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F0A01557-4944-40EB-9E79-CD9F44335BDA}" xr6:coauthVersionLast="46" xr6:coauthVersionMax="46" xr10:uidLastSave="{00000000-0000-0000-0000-000000000000}"/>
  <bookViews>
    <workbookView xWindow="286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Print'!$A$1:$H$9</definedName>
    <definedName name="_xlnm.Print_Area" localSheetId="5">'PI series #'!$A$1:$I$48</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c r="E250" i="28"/>
  <c r="T11" i="29" l="1"/>
  <c r="U11" i="29"/>
  <c r="T12" i="29"/>
  <c r="U12" i="29"/>
  <c r="T13" i="29"/>
  <c r="U13" i="29"/>
  <c r="T14" i="29"/>
  <c r="U14" i="29"/>
  <c r="T15" i="29"/>
  <c r="U15" i="29"/>
  <c r="T16" i="29"/>
  <c r="U16" i="29"/>
  <c r="T17" i="29"/>
  <c r="U17" i="29"/>
  <c r="O12" i="29"/>
  <c r="P12" i="29"/>
  <c r="O13" i="29"/>
  <c r="P13" i="29"/>
  <c r="O14" i="29"/>
  <c r="P14" i="29"/>
  <c r="O15" i="29"/>
  <c r="P15" i="29"/>
  <c r="O16" i="29"/>
  <c r="P16" i="29"/>
  <c r="O17" i="29"/>
  <c r="P17" i="29"/>
  <c r="E257" i="28"/>
  <c r="E93" i="1"/>
  <c r="E97" i="1"/>
  <c r="E96" i="1"/>
  <c r="E95" i="1"/>
  <c r="E94" i="1"/>
  <c r="E92" i="1"/>
  <c r="E91" i="1"/>
  <c r="E90" i="1"/>
  <c r="E260" i="28"/>
  <c r="E259" i="28"/>
  <c r="E258" i="28"/>
  <c r="E256" i="28"/>
  <c r="E255" i="28"/>
  <c r="L255" i="28" s="1"/>
  <c r="E253" i="28"/>
  <c r="E252" i="28"/>
  <c r="E249" i="28"/>
  <c r="E248" i="28"/>
  <c r="E247" i="28"/>
  <c r="E246" i="28"/>
  <c r="T35" i="29" l="1"/>
  <c r="U35" i="29"/>
  <c r="O11" i="29"/>
  <c r="P11" i="29"/>
  <c r="O35" i="29"/>
  <c r="P35" i="29"/>
  <c r="T9" i="29"/>
  <c r="U9" i="29"/>
  <c r="T10" i="29"/>
  <c r="U10" i="29"/>
  <c r="O9" i="29"/>
  <c r="P9" i="29"/>
  <c r="O10" i="29"/>
  <c r="P10" i="29"/>
  <c r="T6" i="29"/>
  <c r="U6" i="29"/>
  <c r="T7" i="29"/>
  <c r="U7" i="29"/>
  <c r="T8" i="29"/>
  <c r="U8" i="29"/>
  <c r="O6" i="29"/>
  <c r="P6" i="29"/>
  <c r="O7" i="29"/>
  <c r="P7" i="29"/>
  <c r="O8" i="29"/>
  <c r="P8" i="29"/>
  <c r="T3" i="29"/>
  <c r="U3" i="29"/>
  <c r="T4" i="29"/>
  <c r="U4" i="29"/>
  <c r="T5" i="29"/>
  <c r="U5" i="29"/>
  <c r="O3" i="29"/>
  <c r="P3" i="29"/>
  <c r="O4" i="29"/>
  <c r="P4" i="29"/>
  <c r="O5" i="29"/>
  <c r="P5" i="29"/>
  <c r="O2" i="29"/>
  <c r="P2" i="29"/>
  <c r="T2" i="29"/>
  <c r="U2" i="29"/>
  <c r="E100" i="1" l="1"/>
  <c r="A327" i="1" l="1"/>
  <c r="V93" i="42" l="1"/>
  <c r="U93" i="42"/>
  <c r="T93" i="42"/>
  <c r="S93" i="42"/>
  <c r="R93" i="42"/>
  <c r="Q93" i="42"/>
  <c r="P93" i="42"/>
  <c r="O93" i="42"/>
  <c r="N93" i="42"/>
  <c r="M93" i="42"/>
  <c r="L93" i="42"/>
  <c r="K93" i="42"/>
  <c r="J93" i="42"/>
  <c r="I93" i="42"/>
  <c r="H93" i="42"/>
  <c r="G93" i="42"/>
  <c r="F93" i="42"/>
  <c r="V92" i="42"/>
  <c r="U92" i="42"/>
  <c r="T92" i="42"/>
  <c r="S92" i="42"/>
  <c r="R92" i="42"/>
  <c r="Q92" i="42"/>
  <c r="P92" i="42"/>
  <c r="O92" i="42"/>
  <c r="N92" i="42"/>
  <c r="M92" i="42"/>
  <c r="L92" i="42"/>
  <c r="K92" i="42"/>
  <c r="J92" i="42"/>
  <c r="I92" i="42"/>
  <c r="H92" i="42"/>
  <c r="G92" i="42"/>
  <c r="F92" i="42"/>
  <c r="V91" i="42"/>
  <c r="U91" i="42"/>
  <c r="T91" i="42"/>
  <c r="S91" i="42"/>
  <c r="R91" i="42"/>
  <c r="Q91" i="42"/>
  <c r="P91" i="42"/>
  <c r="O91" i="42"/>
  <c r="N91" i="42"/>
  <c r="M91" i="42"/>
  <c r="L91" i="42"/>
  <c r="K91" i="42"/>
  <c r="J91" i="42"/>
  <c r="I91" i="42"/>
  <c r="H91" i="42"/>
  <c r="G91" i="42"/>
  <c r="F91" i="42"/>
  <c r="V90" i="42"/>
  <c r="U90" i="42"/>
  <c r="T90" i="42"/>
  <c r="S90" i="42"/>
  <c r="R90" i="42"/>
  <c r="Q90" i="42"/>
  <c r="P90" i="42"/>
  <c r="O90" i="42"/>
  <c r="N90" i="42"/>
  <c r="M90" i="42"/>
  <c r="L90" i="42"/>
  <c r="K90" i="42"/>
  <c r="J90" i="42"/>
  <c r="I90" i="42"/>
  <c r="H90" i="42"/>
  <c r="G90" i="42"/>
  <c r="F90" i="42"/>
  <c r="V89" i="42"/>
  <c r="U89" i="42"/>
  <c r="T89" i="42"/>
  <c r="S89" i="42"/>
  <c r="R89" i="42"/>
  <c r="Q89" i="42"/>
  <c r="P89" i="42"/>
  <c r="O89" i="42"/>
  <c r="N89" i="42"/>
  <c r="M89" i="42"/>
  <c r="L89" i="42"/>
  <c r="K89" i="42"/>
  <c r="J89" i="42"/>
  <c r="I89" i="42"/>
  <c r="H89" i="42"/>
  <c r="G89" i="42"/>
  <c r="F89" i="42"/>
  <c r="V88" i="42"/>
  <c r="U88" i="42"/>
  <c r="T88" i="42"/>
  <c r="S88" i="42"/>
  <c r="R88" i="42"/>
  <c r="Q88" i="42"/>
  <c r="P88" i="42"/>
  <c r="O88" i="42"/>
  <c r="N88" i="42"/>
  <c r="M88" i="42"/>
  <c r="L88" i="42"/>
  <c r="K88" i="42"/>
  <c r="J88" i="42"/>
  <c r="I88" i="42"/>
  <c r="H88" i="42"/>
  <c r="G88" i="42"/>
  <c r="F88" i="42"/>
  <c r="V87" i="42"/>
  <c r="U87" i="42"/>
  <c r="T87" i="42"/>
  <c r="S87" i="42"/>
  <c r="R87" i="42"/>
  <c r="Q87" i="42"/>
  <c r="P87" i="42"/>
  <c r="O87" i="42"/>
  <c r="N87" i="42"/>
  <c r="M87" i="42"/>
  <c r="L87" i="42"/>
  <c r="K87" i="42"/>
  <c r="J87" i="42"/>
  <c r="I87" i="42"/>
  <c r="H87" i="42"/>
  <c r="G87" i="42"/>
  <c r="F87" i="42"/>
  <c r="V86" i="42"/>
  <c r="U86" i="42"/>
  <c r="T86" i="42"/>
  <c r="S86" i="42"/>
  <c r="R86" i="42"/>
  <c r="Q86" i="42"/>
  <c r="P86" i="42"/>
  <c r="O86" i="42"/>
  <c r="N86" i="42"/>
  <c r="M86" i="42"/>
  <c r="L86" i="42"/>
  <c r="K86" i="42"/>
  <c r="J86" i="42"/>
  <c r="I86" i="42"/>
  <c r="H86" i="42"/>
  <c r="G86" i="42"/>
  <c r="F86" i="42"/>
  <c r="V85" i="42"/>
  <c r="U85" i="42"/>
  <c r="T85" i="42"/>
  <c r="S85" i="42"/>
  <c r="R85" i="42"/>
  <c r="Q85" i="42"/>
  <c r="P85" i="42"/>
  <c r="O85" i="42"/>
  <c r="N85" i="42"/>
  <c r="M85" i="42"/>
  <c r="L85" i="42"/>
  <c r="K85" i="42"/>
  <c r="J85" i="42"/>
  <c r="I85" i="42"/>
  <c r="H85" i="42"/>
  <c r="G85" i="42"/>
  <c r="F85" i="42"/>
  <c r="V84" i="42"/>
  <c r="U84" i="42"/>
  <c r="T84" i="42"/>
  <c r="S84" i="42"/>
  <c r="R84" i="42"/>
  <c r="Q84" i="42"/>
  <c r="P84" i="42"/>
  <c r="O84" i="42"/>
  <c r="N84" i="42"/>
  <c r="M84" i="42"/>
  <c r="L84" i="42"/>
  <c r="K84" i="42"/>
  <c r="J84" i="42"/>
  <c r="I84" i="42"/>
  <c r="H84" i="42"/>
  <c r="G84" i="42"/>
  <c r="F84" i="42"/>
  <c r="V83" i="42"/>
  <c r="U83" i="42"/>
  <c r="T83" i="42"/>
  <c r="S83" i="42"/>
  <c r="R83" i="42"/>
  <c r="Q83" i="42"/>
  <c r="P83" i="42"/>
  <c r="O83" i="42"/>
  <c r="N83" i="42"/>
  <c r="M83" i="42"/>
  <c r="L83" i="42"/>
  <c r="K83" i="42"/>
  <c r="J83" i="42"/>
  <c r="I83" i="42"/>
  <c r="H83" i="42"/>
  <c r="G83" i="42"/>
  <c r="F83" i="42"/>
  <c r="V82" i="42"/>
  <c r="U82" i="42"/>
  <c r="T82" i="42"/>
  <c r="S82" i="42"/>
  <c r="R82" i="42"/>
  <c r="Q82" i="42"/>
  <c r="P82" i="42"/>
  <c r="O82" i="42"/>
  <c r="N82" i="42"/>
  <c r="M82" i="42"/>
  <c r="L82" i="42"/>
  <c r="K82" i="42"/>
  <c r="J82" i="42"/>
  <c r="I82" i="42"/>
  <c r="H82" i="42"/>
  <c r="G82" i="42"/>
  <c r="F82" i="42"/>
  <c r="V81" i="42"/>
  <c r="U81" i="42"/>
  <c r="T81" i="42"/>
  <c r="S81" i="42"/>
  <c r="R81" i="42"/>
  <c r="Q81" i="42"/>
  <c r="P81" i="42"/>
  <c r="O81" i="42"/>
  <c r="N81" i="42"/>
  <c r="M81" i="42"/>
  <c r="L81" i="42"/>
  <c r="K81" i="42"/>
  <c r="J81" i="42"/>
  <c r="I81" i="42"/>
  <c r="H81" i="42"/>
  <c r="G81" i="42"/>
  <c r="F81" i="42"/>
  <c r="V80" i="42"/>
  <c r="U80" i="42"/>
  <c r="T80" i="42"/>
  <c r="S80" i="42"/>
  <c r="R80" i="42"/>
  <c r="Q80" i="42"/>
  <c r="P80" i="42"/>
  <c r="O80" i="42"/>
  <c r="N80" i="42"/>
  <c r="M80" i="42"/>
  <c r="L80" i="42"/>
  <c r="K80" i="42"/>
  <c r="J80" i="42"/>
  <c r="I80" i="42"/>
  <c r="H80" i="42"/>
  <c r="G80" i="42"/>
  <c r="F80" i="42"/>
  <c r="V79" i="42"/>
  <c r="U79" i="42"/>
  <c r="T79" i="42"/>
  <c r="S79" i="42"/>
  <c r="R79" i="42"/>
  <c r="Q79" i="42"/>
  <c r="P79" i="42"/>
  <c r="O79" i="42"/>
  <c r="N79" i="42"/>
  <c r="M79" i="42"/>
  <c r="L79" i="42"/>
  <c r="K79" i="42"/>
  <c r="J79" i="42"/>
  <c r="I79" i="42"/>
  <c r="H79" i="42"/>
  <c r="G79" i="42"/>
  <c r="F79" i="42"/>
  <c r="V78" i="42"/>
  <c r="U78" i="42"/>
  <c r="T78" i="42"/>
  <c r="S78" i="42"/>
  <c r="R78" i="42"/>
  <c r="Q78" i="42"/>
  <c r="P78" i="42"/>
  <c r="O78" i="42"/>
  <c r="N78" i="42"/>
  <c r="M78" i="42"/>
  <c r="L78" i="42"/>
  <c r="K78" i="42"/>
  <c r="J78" i="42"/>
  <c r="I78" i="42"/>
  <c r="H78" i="42"/>
  <c r="G78" i="42"/>
  <c r="F78" i="42"/>
  <c r="V77" i="42"/>
  <c r="U77" i="42"/>
  <c r="T77" i="42"/>
  <c r="S77" i="42"/>
  <c r="R77" i="42"/>
  <c r="Q77" i="42"/>
  <c r="P77" i="42"/>
  <c r="O77" i="42"/>
  <c r="N77" i="42"/>
  <c r="M77" i="42"/>
  <c r="L77" i="42"/>
  <c r="K77" i="42"/>
  <c r="J77" i="42"/>
  <c r="I77" i="42"/>
  <c r="H77" i="42"/>
  <c r="G77" i="42"/>
  <c r="F77" i="42"/>
  <c r="V76" i="42"/>
  <c r="U76" i="42"/>
  <c r="T76" i="42"/>
  <c r="S76" i="42"/>
  <c r="R76" i="42"/>
  <c r="Q76" i="42"/>
  <c r="P76" i="42"/>
  <c r="O76" i="42"/>
  <c r="N76" i="42"/>
  <c r="M76" i="42"/>
  <c r="L76" i="42"/>
  <c r="K76" i="42"/>
  <c r="J76" i="42"/>
  <c r="I76" i="42"/>
  <c r="H76" i="42"/>
  <c r="G76" i="42"/>
  <c r="F76" i="42"/>
  <c r="V75" i="42"/>
  <c r="U75" i="42"/>
  <c r="T75" i="42"/>
  <c r="S75" i="42"/>
  <c r="R75" i="42"/>
  <c r="Q75" i="42"/>
  <c r="P75" i="42"/>
  <c r="O75" i="42"/>
  <c r="N75" i="42"/>
  <c r="M75" i="42"/>
  <c r="L75" i="42"/>
  <c r="K75" i="42"/>
  <c r="J75" i="42"/>
  <c r="I75" i="42"/>
  <c r="H75" i="42"/>
  <c r="G75" i="42"/>
  <c r="F75" i="42"/>
  <c r="V74" i="42"/>
  <c r="U74" i="42"/>
  <c r="T74" i="42"/>
  <c r="S74" i="42"/>
  <c r="R74" i="42"/>
  <c r="Q74" i="42"/>
  <c r="P74" i="42"/>
  <c r="O74" i="42"/>
  <c r="N74" i="42"/>
  <c r="M74" i="42"/>
  <c r="L74" i="42"/>
  <c r="K74" i="42"/>
  <c r="J74" i="42"/>
  <c r="I74" i="42"/>
  <c r="H74" i="42"/>
  <c r="G74" i="42"/>
  <c r="F74" i="42"/>
  <c r="V73" i="42"/>
  <c r="U73" i="42"/>
  <c r="T73" i="42"/>
  <c r="S73" i="42"/>
  <c r="R73" i="42"/>
  <c r="Q73" i="42"/>
  <c r="P73" i="42"/>
  <c r="O73" i="42"/>
  <c r="N73" i="42"/>
  <c r="M73" i="42"/>
  <c r="L73" i="42"/>
  <c r="K73" i="42"/>
  <c r="J73" i="42"/>
  <c r="I73" i="42"/>
  <c r="H73" i="42"/>
  <c r="G73" i="42"/>
  <c r="F73" i="42"/>
  <c r="V72" i="42"/>
  <c r="U72" i="42"/>
  <c r="T72" i="42"/>
  <c r="S72" i="42"/>
  <c r="R72" i="42"/>
  <c r="Q72" i="42"/>
  <c r="P72" i="42"/>
  <c r="O72" i="42"/>
  <c r="N72" i="42"/>
  <c r="M72" i="42"/>
  <c r="L72" i="42"/>
  <c r="K72" i="42"/>
  <c r="J72" i="42"/>
  <c r="I72" i="42"/>
  <c r="H72" i="42"/>
  <c r="G72" i="42"/>
  <c r="F72" i="42"/>
  <c r="V71" i="42"/>
  <c r="U71" i="42"/>
  <c r="T71" i="42"/>
  <c r="S71" i="42"/>
  <c r="R71" i="42"/>
  <c r="Q71" i="42"/>
  <c r="P71" i="42"/>
  <c r="O71" i="42"/>
  <c r="N71" i="42"/>
  <c r="M71" i="42"/>
  <c r="L71" i="42"/>
  <c r="K71" i="42"/>
  <c r="J71" i="42"/>
  <c r="I71" i="42"/>
  <c r="H71" i="42"/>
  <c r="G71" i="42"/>
  <c r="F71" i="42"/>
  <c r="V70" i="42"/>
  <c r="U70" i="42"/>
  <c r="U95" i="42" s="1"/>
  <c r="U97" i="42" s="1"/>
  <c r="T70" i="42"/>
  <c r="S70" i="42"/>
  <c r="R70" i="42"/>
  <c r="R95" i="42" s="1"/>
  <c r="Q70" i="42"/>
  <c r="P70" i="42"/>
  <c r="O70" i="42"/>
  <c r="N70" i="42"/>
  <c r="M70" i="42"/>
  <c r="M95" i="42" s="1"/>
  <c r="M97" i="42" s="1"/>
  <c r="L70" i="42"/>
  <c r="K70" i="42"/>
  <c r="J70" i="42"/>
  <c r="J95" i="42" s="1"/>
  <c r="I70" i="42"/>
  <c r="H70" i="42"/>
  <c r="G70" i="42"/>
  <c r="F70" i="42"/>
  <c r="V69" i="42"/>
  <c r="V95" i="42" s="1"/>
  <c r="V97" i="42" s="1"/>
  <c r="U69" i="42"/>
  <c r="T69" i="42"/>
  <c r="T95" i="42" s="1"/>
  <c r="T97" i="42" s="1"/>
  <c r="S69" i="42"/>
  <c r="S95" i="42" s="1"/>
  <c r="R69" i="42"/>
  <c r="Q69" i="42"/>
  <c r="Q95" i="42" s="1"/>
  <c r="P69" i="42"/>
  <c r="P95" i="42" s="1"/>
  <c r="P97" i="42" s="1"/>
  <c r="O69" i="42"/>
  <c r="O95" i="42" s="1"/>
  <c r="N69" i="42"/>
  <c r="N95" i="42" s="1"/>
  <c r="M69" i="42"/>
  <c r="L69" i="42"/>
  <c r="L95" i="42" s="1"/>
  <c r="L97" i="42" s="1"/>
  <c r="K69" i="42"/>
  <c r="K95" i="42" s="1"/>
  <c r="J69" i="42"/>
  <c r="I69" i="42"/>
  <c r="I95" i="42" s="1"/>
  <c r="H69" i="42"/>
  <c r="H95" i="42" s="1"/>
  <c r="G69" i="42"/>
  <c r="G95" i="42" s="1"/>
  <c r="F69" i="42"/>
  <c r="F95" i="42" s="1"/>
  <c r="H58" i="42"/>
  <c r="V56" i="42"/>
  <c r="V58" i="42" s="1"/>
  <c r="U56" i="42"/>
  <c r="U58" i="42" s="1"/>
  <c r="T56" i="42"/>
  <c r="T58" i="42" s="1"/>
  <c r="S56" i="42"/>
  <c r="R56" i="42"/>
  <c r="R97" i="42" s="1"/>
  <c r="Q56" i="42"/>
  <c r="Q97" i="42" s="1"/>
  <c r="O56" i="42"/>
  <c r="O58" i="42" s="1"/>
  <c r="N56" i="42"/>
  <c r="N97" i="42" s="1"/>
  <c r="M56" i="42"/>
  <c r="M58" i="42" s="1"/>
  <c r="L56" i="42"/>
  <c r="L58" i="42" s="1"/>
  <c r="K56" i="42"/>
  <c r="K97" i="42" s="1"/>
  <c r="J56" i="42"/>
  <c r="J97" i="42" s="1"/>
  <c r="I56" i="42"/>
  <c r="I97" i="42" s="1"/>
  <c r="H56" i="42"/>
  <c r="H97" i="42" s="1"/>
  <c r="G56" i="42"/>
  <c r="F56" i="42"/>
  <c r="F58" i="42" s="1"/>
  <c r="S97" i="42" l="1"/>
  <c r="G97" i="42"/>
  <c r="N58" i="42"/>
  <c r="G58" i="42"/>
  <c r="F97" i="42"/>
  <c r="R58" i="42"/>
  <c r="O97" i="42"/>
  <c r="J58" i="42"/>
  <c r="S58" i="42"/>
  <c r="Q58" i="42"/>
  <c r="I58" i="42"/>
  <c r="K58" i="42"/>
  <c r="D27" i="73"/>
  <c r="D29" i="73"/>
  <c r="D31" i="73"/>
  <c r="D33" i="73"/>
  <c r="D35" i="73"/>
  <c r="D37" i="73"/>
  <c r="D39" i="73"/>
  <c r="D41" i="73"/>
  <c r="D43" i="73"/>
  <c r="D45" i="73"/>
  <c r="B4" i="80" l="1"/>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M23" i="73" l="1"/>
  <c r="D23" i="73" s="1"/>
  <c r="C281" i="28"/>
  <c r="G87" i="53" l="1"/>
  <c r="L266" i="28" l="1"/>
  <c r="L267" i="28"/>
  <c r="L268" i="28"/>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AT354" i="74" l="1"/>
  <c r="AU354" i="74"/>
  <c r="AV354" i="74"/>
  <c r="AW354" i="74"/>
  <c r="AX354" i="74"/>
  <c r="AY354" i="74"/>
  <c r="AZ354" i="74"/>
  <c r="BA354" i="74"/>
  <c r="BB354" i="74"/>
  <c r="BC354" i="74"/>
  <c r="BD354" i="74"/>
  <c r="BE354" i="74"/>
  <c r="BF354" i="74"/>
  <c r="BG354" i="74"/>
  <c r="BH354" i="74"/>
  <c r="BI354" i="74"/>
  <c r="BJ354" i="74"/>
  <c r="BK354" i="74"/>
  <c r="BL354" i="74"/>
  <c r="BM354" i="74"/>
  <c r="BN354" i="74"/>
  <c r="BO354" i="74"/>
  <c r="BP354" i="74"/>
  <c r="BQ354" i="74"/>
  <c r="BR354" i="74"/>
  <c r="BS354" i="74"/>
  <c r="BT354" i="74"/>
  <c r="BU354" i="74"/>
  <c r="BV354" i="74"/>
  <c r="BW354" i="74"/>
  <c r="BX354" i="74"/>
  <c r="BY354" i="74"/>
  <c r="BZ354" i="74"/>
  <c r="CA354" i="74"/>
  <c r="CB354" i="74"/>
  <c r="AT353" i="74"/>
  <c r="AU353" i="74"/>
  <c r="AV353" i="74"/>
  <c r="AW353" i="74"/>
  <c r="AX353" i="74"/>
  <c r="AY353" i="74"/>
  <c r="AZ353" i="74"/>
  <c r="BA353" i="74"/>
  <c r="BB353" i="74"/>
  <c r="BC353" i="74"/>
  <c r="BD353" i="74"/>
  <c r="BE353" i="74"/>
  <c r="BF353" i="74"/>
  <c r="BG353" i="74"/>
  <c r="BH353" i="74"/>
  <c r="BI353" i="74"/>
  <c r="BJ353" i="74"/>
  <c r="BK353" i="74"/>
  <c r="BL353" i="74"/>
  <c r="BM353" i="74"/>
  <c r="BN353" i="74"/>
  <c r="BO353" i="74"/>
  <c r="BP353" i="74"/>
  <c r="BQ353" i="74"/>
  <c r="BR353" i="74"/>
  <c r="BS353" i="74"/>
  <c r="BT353" i="74"/>
  <c r="BU353" i="74"/>
  <c r="BV353" i="74"/>
  <c r="BW353" i="74"/>
  <c r="BX353" i="74"/>
  <c r="BY353" i="74"/>
  <c r="BZ353" i="74"/>
  <c r="CA353" i="74"/>
  <c r="CB353" i="74"/>
  <c r="AT352" i="74"/>
  <c r="AU352" i="74"/>
  <c r="AV352" i="74"/>
  <c r="AW352" i="74"/>
  <c r="AX352" i="74"/>
  <c r="AY352" i="74"/>
  <c r="AZ352" i="74"/>
  <c r="BA352" i="74"/>
  <c r="BB352" i="74"/>
  <c r="BC352" i="74"/>
  <c r="BD352" i="74"/>
  <c r="BE352" i="74"/>
  <c r="BF352" i="74"/>
  <c r="BG352" i="74"/>
  <c r="BH352" i="74"/>
  <c r="BI352" i="74"/>
  <c r="BJ352" i="74"/>
  <c r="BK352" i="74"/>
  <c r="BL352" i="74"/>
  <c r="BM352" i="74"/>
  <c r="BN352" i="74"/>
  <c r="BO352" i="74"/>
  <c r="BP352" i="74"/>
  <c r="BQ352" i="74"/>
  <c r="BR352" i="74"/>
  <c r="BS352" i="74"/>
  <c r="BT352" i="74"/>
  <c r="BU352" i="74"/>
  <c r="BV352" i="74"/>
  <c r="BW352" i="74"/>
  <c r="BX352" i="74"/>
  <c r="BY352" i="74"/>
  <c r="BZ352" i="74"/>
  <c r="CA352" i="74"/>
  <c r="CB352" i="74"/>
  <c r="AT349" i="74"/>
  <c r="AU349" i="74"/>
  <c r="AV349" i="74"/>
  <c r="AW349" i="74"/>
  <c r="AX349" i="74"/>
  <c r="AY349" i="74"/>
  <c r="AZ349" i="74"/>
  <c r="BA349" i="74"/>
  <c r="BB349" i="74"/>
  <c r="BC349" i="74"/>
  <c r="BD349" i="74"/>
  <c r="BE349" i="74"/>
  <c r="BF349" i="74"/>
  <c r="BG349" i="74"/>
  <c r="BH349" i="74"/>
  <c r="BI349" i="74"/>
  <c r="BJ349" i="74"/>
  <c r="BK349" i="74"/>
  <c r="BL349" i="74"/>
  <c r="BM349" i="74"/>
  <c r="BN349" i="74"/>
  <c r="BO349" i="74"/>
  <c r="BP349" i="74"/>
  <c r="BQ349" i="74"/>
  <c r="BR349" i="74"/>
  <c r="BS349" i="74"/>
  <c r="BT349" i="74"/>
  <c r="BU349" i="74"/>
  <c r="BV349" i="74"/>
  <c r="BW349" i="74"/>
  <c r="BX349" i="74"/>
  <c r="BY349" i="74"/>
  <c r="BZ349" i="74"/>
  <c r="CA349" i="74"/>
  <c r="CB349" i="74"/>
  <c r="AT351" i="74"/>
  <c r="AU351" i="74"/>
  <c r="AV351" i="74"/>
  <c r="AW351" i="74"/>
  <c r="AX351" i="74"/>
  <c r="AY351" i="74"/>
  <c r="AZ351" i="74"/>
  <c r="BA351" i="74"/>
  <c r="BB351" i="74"/>
  <c r="BC351" i="74"/>
  <c r="BD351" i="74"/>
  <c r="BE351" i="74"/>
  <c r="BF351" i="74"/>
  <c r="BG351" i="74"/>
  <c r="BH351" i="74"/>
  <c r="BI351" i="74"/>
  <c r="BJ351" i="74"/>
  <c r="BK351" i="74"/>
  <c r="BL351" i="74"/>
  <c r="BM351" i="74"/>
  <c r="BN351" i="74"/>
  <c r="BO351" i="74"/>
  <c r="BP351" i="74"/>
  <c r="BQ351" i="74"/>
  <c r="BR351" i="74"/>
  <c r="BS351" i="74"/>
  <c r="BT351" i="74"/>
  <c r="BU351" i="74"/>
  <c r="BV351" i="74"/>
  <c r="BW351" i="74"/>
  <c r="BX351" i="74"/>
  <c r="BY351" i="74"/>
  <c r="BZ351" i="74"/>
  <c r="CA351" i="74"/>
  <c r="CB351" i="74"/>
  <c r="AT348" i="74"/>
  <c r="AU348" i="74"/>
  <c r="AV348" i="74"/>
  <c r="AW348" i="74"/>
  <c r="AX348" i="74"/>
  <c r="AY348" i="74"/>
  <c r="AZ348" i="74"/>
  <c r="BA348" i="74"/>
  <c r="BB348" i="74"/>
  <c r="BC348" i="74"/>
  <c r="BD348" i="74"/>
  <c r="BE348" i="74"/>
  <c r="BF348" i="74"/>
  <c r="BG348" i="74"/>
  <c r="BH348" i="74"/>
  <c r="BI348" i="74"/>
  <c r="BJ348" i="74"/>
  <c r="BK348" i="74"/>
  <c r="BL348" i="74"/>
  <c r="BM348" i="74"/>
  <c r="BN348" i="74"/>
  <c r="BO348" i="74"/>
  <c r="BP348" i="74"/>
  <c r="BQ348" i="74"/>
  <c r="BR348" i="74"/>
  <c r="BS348" i="74"/>
  <c r="BT348" i="74"/>
  <c r="BU348" i="74"/>
  <c r="BV348" i="74"/>
  <c r="BW348" i="74"/>
  <c r="BX348" i="74"/>
  <c r="BY348" i="74"/>
  <c r="BZ348" i="74"/>
  <c r="CA348" i="74"/>
  <c r="CB348" i="74"/>
  <c r="G199" i="1" l="1"/>
  <c r="G183" i="1"/>
  <c r="G132" i="1"/>
  <c r="H74" i="53" l="1"/>
  <c r="H72" i="53"/>
  <c r="H70" i="53"/>
  <c r="H68" i="53"/>
  <c r="H66" i="53"/>
  <c r="H64" i="53"/>
  <c r="H62" i="53"/>
  <c r="H60" i="53"/>
  <c r="H55" i="53"/>
  <c r="H51" i="53"/>
  <c r="H49" i="53"/>
  <c r="H47" i="53"/>
  <c r="H45" i="53"/>
  <c r="H43" i="53"/>
  <c r="H41" i="53"/>
  <c r="H57" i="53"/>
  <c r="H78" i="53"/>
  <c r="H76" i="53"/>
  <c r="G180" i="1" l="1"/>
  <c r="D25" i="73"/>
  <c r="D17" i="73"/>
  <c r="C17" i="73"/>
  <c r="B17" i="73"/>
  <c r="B11" i="73"/>
  <c r="C11" i="73"/>
  <c r="D11" i="73"/>
  <c r="E243" i="28" l="1"/>
  <c r="L243" i="28" s="1"/>
  <c r="B20" i="71" s="1"/>
  <c r="C243" i="28"/>
  <c r="A243" i="28"/>
  <c r="B2" i="71"/>
  <c r="B8" i="71" l="1"/>
  <c r="B12" i="71"/>
  <c r="W243" i="28"/>
  <c r="L253" i="28"/>
  <c r="C253" i="28"/>
  <c r="A253" i="28"/>
  <c r="D40" i="73" l="1"/>
  <c r="F40" i="73" s="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246" i="28"/>
  <c r="E254" i="28"/>
  <c r="C247" i="28"/>
  <c r="C246" i="28"/>
  <c r="A258" i="28"/>
  <c r="A257" i="28"/>
  <c r="A256" i="28"/>
  <c r="A255" i="28"/>
  <c r="A260" i="28"/>
  <c r="A259" i="28"/>
  <c r="A254" i="28"/>
  <c r="A251" i="28"/>
  <c r="A250" i="28"/>
  <c r="A249" i="28"/>
  <c r="A248" i="28"/>
  <c r="A247" i="28"/>
  <c r="A246" i="28"/>
  <c r="K44" i="73" l="1"/>
  <c r="L9" i="80"/>
  <c r="D28" i="73"/>
  <c r="F28" i="73" s="1"/>
  <c r="D30" i="73"/>
  <c r="F30" i="73" s="1"/>
  <c r="D42" i="73"/>
  <c r="F42" i="73" s="1"/>
  <c r="W246" i="28"/>
  <c r="W260" i="28"/>
  <c r="W192" i="28"/>
  <c r="W247" i="28"/>
  <c r="W255" i="28"/>
  <c r="W191" i="28"/>
  <c r="W248" i="28"/>
  <c r="W249" i="28"/>
  <c r="W257" i="28"/>
  <c r="W254" i="28"/>
  <c r="W250" i="28"/>
  <c r="W258" i="28"/>
  <c r="W161" i="28"/>
  <c r="W244" i="28"/>
  <c r="W259" i="28"/>
  <c r="W193" i="28"/>
  <c r="W256" i="28"/>
  <c r="W251" i="28"/>
  <c r="L254" i="28"/>
  <c r="L259" i="28"/>
  <c r="L258" i="28"/>
  <c r="L260" i="28"/>
  <c r="L248" i="28"/>
  <c r="L249" i="28"/>
  <c r="L250" i="28"/>
  <c r="L256" i="28"/>
  <c r="L251" i="28"/>
  <c r="L257" i="28"/>
  <c r="M44" i="73" l="1"/>
  <c r="D44" i="73" s="1"/>
  <c r="N9" i="80"/>
  <c r="L44" i="73"/>
  <c r="M9" i="80"/>
  <c r="D8" i="80"/>
  <c r="F8" i="80" s="1"/>
  <c r="D26" i="73"/>
  <c r="F26" i="73" s="1"/>
  <c r="D48" i="73"/>
  <c r="F48" i="73" s="1"/>
  <c r="D38" i="73"/>
  <c r="F38" i="73" s="1"/>
  <c r="D32" i="73"/>
  <c r="F32" i="73" s="1"/>
  <c r="D9" i="80" l="1"/>
  <c r="B2" i="73"/>
  <c r="C9" i="73" s="1"/>
  <c r="C8" i="73" l="1"/>
  <c r="C6" i="73"/>
  <c r="L14" i="73"/>
  <c r="L13" i="73"/>
  <c r="L20" i="73"/>
  <c r="L19" i="73"/>
  <c r="L18" i="73"/>
  <c r="L12" i="73"/>
  <c r="H28" i="53"/>
  <c r="E27" i="53"/>
  <c r="G11" i="53" l="1"/>
  <c r="G88" i="53" s="1"/>
  <c r="E97" i="53"/>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4" i="28"/>
  <c r="B3" i="71"/>
  <c r="B13" i="71"/>
  <c r="B3" i="73"/>
  <c r="Y266" i="28"/>
  <c r="B9" i="73" l="1"/>
  <c r="K36" i="73"/>
  <c r="D36" i="73"/>
  <c r="F36" i="73" s="1"/>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D34" i="73" l="1"/>
  <c r="F34" i="73" s="1"/>
  <c r="M20" i="73"/>
  <c r="F20" i="73" s="1"/>
  <c r="M14" i="73"/>
  <c r="D14" i="73" s="1"/>
  <c r="D9" i="73"/>
  <c r="D8" i="73"/>
  <c r="D6" i="73"/>
  <c r="M12" i="73"/>
  <c r="F12" i="73"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K9" i="73" l="1"/>
  <c r="F9" i="73" s="1"/>
  <c r="D20" i="73"/>
  <c r="G143" i="28"/>
  <c r="F143" i="28"/>
  <c r="D12" i="73"/>
  <c r="F14" i="73"/>
  <c r="D13" i="73"/>
  <c r="F13" i="73" s="1"/>
  <c r="D15" i="73"/>
  <c r="F15" i="73" s="1"/>
  <c r="K8" i="73"/>
  <c r="L8" i="73" s="1"/>
  <c r="E8" i="73"/>
  <c r="K6" i="73"/>
  <c r="L6" i="73"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6" i="73" l="1"/>
  <c r="F46" i="73" s="1"/>
  <c r="F30" i="71"/>
  <c r="L295" i="28"/>
  <c r="J295" i="28"/>
  <c r="H32" i="30"/>
  <c r="F15" i="30"/>
  <c r="F18" i="30" s="1"/>
  <c r="F32" i="30"/>
  <c r="C22" i="30" l="1"/>
  <c r="F21" i="30"/>
  <c r="C21" i="30"/>
  <c r="F23" i="73" l="1"/>
</calcChain>
</file>

<file path=xl/sharedStrings.xml><?xml version="1.0" encoding="utf-8"?>
<sst xmlns="http://schemas.openxmlformats.org/spreadsheetml/2006/main" count="3462" uniqueCount="2079">
  <si>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</si>
  <si>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</si>
  <si>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</si>
  <si>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</si>
  <si>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</si>
  <si>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</si>
  <si>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</si>
  <si>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</si>
  <si>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</si>
  <si>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</si>
  <si>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</si>
  <si>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</si>
  <si>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</si>
  <si>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</si>
  <si>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</si>
  <si>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</si>
  <si>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</si>
  <si>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</si>
  <si>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</si>
  <si>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</si>
  <si>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</si>
  <si>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</si>
  <si>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</si>
  <si>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</si>
  <si>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</si>
  <si>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</si>
  <si>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</si>
  <si>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</si>
  <si>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</si>
  <si>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</si>
  <si>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</si>
  <si>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</si>
  <si>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</si>
  <si>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</si>
  <si>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</si>
  <si>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</si>
  <si>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</si>
  <si>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</si>
  <si>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</si>
  <si>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</si>
  <si>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</si>
  <si>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</si>
  <si>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</si>
  <si>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</si>
  <si>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</si>
  <si>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</si>
  <si>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</si>
  <si>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</si>
  <si>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</si>
  <si>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</si>
  <si>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</si>
  <si>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</si>
  <si>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</si>
  <si>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</si>
  <si>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</si>
  <si>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</si>
  <si>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</si>
  <si>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</si>
  <si>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</si>
  <si>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</si>
  <si>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</si>
  <si>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</si>
  <si>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</si>
  <si>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</si>
  <si>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</si>
  <si>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</si>
  <si>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</si>
  <si>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</si>
  <si>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</si>
  <si>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</si>
  <si>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</si>
  <si>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</si>
  <si>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</si>
  <si>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</si>
  <si>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</si>
  <si>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</si>
  <si>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</si>
  <si>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</si>
  <si>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</si>
  <si>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</si>
  <si>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</si>
  <si>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</si>
  <si>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</si>
  <si>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</si>
  <si>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</si>
  <si>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</si>
  <si>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</si>
  <si>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</si>
  <si>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</si>
  <si>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</si>
  <si>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</si>
  <si>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</si>
  <si>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</si>
  <si>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</si>
  <si>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</si>
  <si>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</si>
  <si>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</si>
  <si>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</si>
  <si>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</si>
  <si>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</si>
  <si>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</si>
  <si>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</si>
  <si>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</si>
  <si>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</si>
  <si>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</si>
  <si>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</si>
  <si>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</si>
  <si>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</si>
  <si>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</si>
  <si>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</si>
  <si>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</si>
  <si>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</si>
  <si>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</si>
  <si>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</si>
  <si>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</si>
  <si>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</si>
  <si>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</si>
  <si>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</si>
  <si>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</si>
  <si>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</si>
  <si>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</si>
  <si>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</si>
  <si>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</si>
  <si>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</si>
  <si>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</si>
  <si>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</si>
  <si>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</si>
  <si>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</si>
  <si>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</si>
  <si>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</si>
  <si>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</si>
  <si>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</si>
  <si>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</si>
  <si>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</si>
  <si>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</si>
  <si>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</si>
  <si>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</si>
  <si>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</si>
  <si>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</si>
  <si>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</si>
  <si>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</si>
  <si>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</si>
  <si>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</si>
  <si>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</si>
  <si>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</si>
  <si>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</si>
  <si>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</si>
  <si>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</si>
  <si>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</si>
  <si>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</si>
  <si>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</si>
  <si>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</si>
  <si>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</si>
  <si>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</si>
  <si>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</si>
  <si>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</si>
  <si>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</si>
  <si>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</si>
  <si>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</si>
  <si>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</si>
  <si>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</si>
  <si>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</si>
  <si>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</si>
  <si>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</si>
  <si>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</si>
  <si>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</si>
  <si>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</si>
  <si>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</si>
  <si>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</si>
  <si>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</si>
  <si>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</si>
  <si>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</si>
  <si>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</si>
  <si>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</si>
  <si>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</si>
  <si>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</si>
  <si>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</si>
  <si>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</si>
  <si>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</si>
  <si>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</si>
  <si>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</si>
  <si>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</si>
  <si>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</si>
  <si>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</si>
  <si>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</si>
  <si>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</si>
  <si>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</si>
  <si>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</si>
  <si>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</si>
  <si>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</si>
  <si>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</si>
  <si>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</si>
  <si>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</si>
  <si>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</si>
  <si>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</si>
  <si>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</si>
  <si>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</si>
  <si>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</si>
  <si>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</si>
  <si>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</si>
  <si>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</si>
  <si>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</si>
  <si>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</si>
  <si>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</si>
  <si>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</si>
  <si>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</si>
  <si>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</si>
  <si>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</si>
  <si>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</si>
  <si>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</si>
  <si>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</si>
  <si>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</si>
  <si>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</si>
  <si>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</si>
  <si>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</si>
  <si>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</si>
  <si>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</si>
  <si>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</si>
  <si>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</si>
  <si>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</si>
  <si>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</si>
  <si>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</si>
  <si>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</si>
  <si>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</si>
  <si>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</si>
  <si>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</si>
  <si>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</si>
  <si>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</si>
  <si>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</si>
  <si>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</si>
  <si>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</si>
  <si>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</si>
  <si>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</si>
  <si>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</si>
  <si>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</si>
  <si>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</si>
  <si>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</si>
  <si>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</si>
  <si>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</si>
  <si>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</si>
  <si>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</si>
  <si>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</si>
  <si>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</si>
  <si>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</si>
  <si>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</si>
  <si>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</si>
  <si>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</si>
  <si>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</si>
  <si>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</si>
  <si>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</si>
  <si>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</si>
  <si>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</si>
  <si>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</si>
  <si>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</si>
  <si>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</si>
  <si>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</si>
  <si>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</si>
  <si>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</si>
  <si>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</si>
  <si>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</si>
  <si>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</si>
  <si>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</si>
  <si>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</si>
  <si>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</si>
  <si>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</si>
  <si>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</si>
  <si>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</si>
  <si>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</si>
  <si>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</si>
  <si>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</si>
  <si>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</si>
  <si>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</si>
  <si>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</si>
  <si>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</si>
  <si>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</si>
  <si>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</si>
  <si>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</si>
  <si>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</si>
  <si>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</si>
  <si>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</si>
  <si>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</si>
  <si>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</si>
  <si>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</si>
  <si>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</si>
  <si>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</si>
  <si>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</si>
  <si>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</si>
  <si>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</si>
  <si>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</si>
  <si>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</si>
  <si>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</si>
  <si>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</si>
  <si>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</si>
  <si>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</si>
  <si>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</si>
  <si>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</si>
  <si>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</si>
  <si>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</si>
  <si>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</si>
  <si>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</si>
  <si>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</si>
  <si>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</si>
  <si>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</si>
  <si>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</si>
  <si>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</si>
  <si>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</si>
  <si>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</si>
  <si>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</si>
  <si>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</si>
  <si>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</si>
  <si>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</si>
  <si>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</si>
  <si>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</si>
  <si>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</si>
  <si>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</si>
  <si>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</si>
  <si>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</si>
  <si>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</si>
  <si>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</si>
  <si>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</si>
  <si>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</si>
  <si>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</si>
  <si>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</si>
  <si>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</si>
  <si>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</si>
  <si>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</si>
  <si>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</si>
  <si>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</si>
  <si>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</si>
  <si>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</si>
  <si>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</si>
  <si>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</si>
  <si>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</si>
  <si>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</si>
  <si>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</si>
  <si>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</si>
  <si>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</si>
  <si>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</si>
  <si>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</si>
  <si>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</si>
  <si>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</si>
  <si>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</si>
  <si>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</si>
  <si>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</si>
  <si>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</si>
  <si>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</si>
  <si>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</si>
  <si>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</si>
  <si>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</si>
  <si>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</si>
  <si>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</si>
  <si>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</si>
  <si>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</si>
  <si>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</si>
  <si>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</si>
  <si>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</si>
  <si>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</si>
  <si>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</si>
  <si>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</si>
  <si>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</si>
  <si>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</si>
  <si>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</si>
  <si>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</si>
  <si>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</si>
  <si>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</si>
  <si>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</si>
  <si>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</si>
  <si>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</si>
  <si>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</si>
  <si>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</si>
  <si>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</si>
  <si>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</si>
  <si>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</si>
  <si>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</si>
  <si>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</si>
  <si>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</si>
  <si>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</si>
  <si>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</si>
  <si>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</si>
  <si>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</si>
  <si>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</si>
  <si>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</si>
  <si>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</si>
  <si>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</si>
  <si>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</si>
  <si>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</si>
  <si>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</si>
  <si>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</si>
  <si>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</si>
  <si>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</si>
  <si>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</si>
  <si>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</si>
  <si>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</si>
  <si>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</si>
  <si>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</si>
  <si>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</si>
  <si>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</si>
  <si>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</si>
  <si>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</si>
  <si>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</si>
  <si>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</si>
  <si>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</si>
  <si>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</si>
  <si>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</si>
  <si>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</si>
  <si>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</si>
  <si>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</si>
  <si>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</si>
  <si>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</si>
  <si>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</si>
  <si>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</si>
  <si>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</si>
  <si>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</si>
  <si>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</si>
  <si>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</si>
  <si>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</si>
  <si>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</si>
  <si>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</si>
  <si>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</si>
  <si>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</si>
  <si>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</si>
  <si>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</si>
  <si>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</si>
  <si>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</si>
  <si>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</si>
  <si>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</si>
  <si>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</si>
  <si>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</si>
  <si>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</si>
  <si>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</si>
  <si>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</si>
  <si>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</si>
  <si>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</si>
  <si>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</si>
  <si>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</si>
  <si>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</si>
  <si>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</si>
  <si>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</si>
  <si>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</si>
  <si>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</si>
  <si>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</si>
  <si>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</si>
  <si>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</si>
  <si>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</si>
  <si>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</si>
  <si>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</si>
  <si>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</si>
  <si>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</si>
  <si>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</si>
  <si>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</si>
  <si>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</si>
  <si>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</si>
  <si>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</si>
  <si>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</si>
  <si>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</si>
  <si>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</si>
  <si>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</si>
  <si>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</si>
  <si>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</si>
  <si>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</si>
  <si>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</si>
  <si>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</si>
  <si>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</si>
  <si>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</si>
  <si>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</si>
  <si>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</si>
  <si>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</si>
  <si>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</si>
  <si>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</si>
  <si>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</si>
  <si>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</si>
  <si>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</si>
  <si>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</si>
  <si>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</si>
  <si>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</si>
  <si>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</si>
  <si>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</si>
  <si>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</si>
  <si>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</si>
  <si>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</si>
  <si>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</si>
  <si>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</si>
  <si>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</si>
  <si>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</si>
  <si>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</si>
  <si>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</si>
  <si>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</si>
  <si>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</si>
  <si>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</si>
  <si>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</si>
  <si>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</si>
  <si>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</si>
  <si>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</si>
  <si>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</si>
  <si>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</si>
  <si>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</si>
  <si>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</si>
  <si>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</si>
  <si>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</si>
  <si>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</si>
  <si>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</si>
  <si>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</si>
  <si>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</si>
  <si>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</si>
  <si>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</si>
  <si>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</si>
  <si>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</si>
  <si>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</si>
  <si>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</si>
  <si>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</si>
  <si>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</si>
  <si>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</si>
  <si>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</si>
  <si>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</si>
  <si>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</si>
  <si>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</si>
  <si>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</si>
  <si>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</si>
  <si>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</si>
  <si>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</si>
  <si>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</si>
  <si>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</si>
  <si>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</si>
  <si>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</si>
  <si>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</si>
  <si>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</si>
  <si>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</si>
  <si>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</si>
  <si>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</si>
  <si>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</si>
  <si>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</si>
  <si>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</si>
  <si>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</si>
  <si>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</si>
  <si>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</si>
  <si>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</si>
  <si>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</si>
  <si>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</si>
  <si>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</si>
  <si>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</si>
  <si>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</si>
  <si>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</si>
  <si>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</si>
  <si>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</si>
  <si>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</si>
  <si>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</si>
  <si>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</si>
  <si>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</si>
  <si>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</si>
  <si>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</si>
  <si>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</si>
  <si>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</si>
  <si>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</si>
  <si>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</si>
  <si>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</si>
  <si>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</si>
  <si>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</si>
  <si>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</si>
  <si>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</si>
  <si>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</si>
  <si>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</si>
  <si>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</si>
  <si>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</si>
  <si>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</si>
  <si>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</si>
  <si>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</si>
  <si>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</si>
  <si>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</si>
  <si>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</si>
  <si>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</si>
  <si>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</si>
  <si>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</si>
  <si>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</si>
  <si>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</si>
  <si>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</si>
  <si>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</si>
  <si>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</si>
  <si>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</si>
  <si>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</si>
  <si>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</si>
  <si>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</si>
  <si>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</si>
  <si>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</si>
  <si>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</si>
  <si>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</si>
  <si>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</si>
  <si>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</si>
  <si>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</si>
  <si>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</si>
  <si>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</si>
  <si>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</si>
  <si>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</si>
  <si>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</si>
  <si>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</si>
  <si>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</si>
  <si>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</si>
  <si>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</si>
  <si>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</si>
  <si>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</si>
  <si>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</si>
  <si>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</si>
  <si>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</si>
  <si>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</si>
  <si>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</si>
  <si>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</si>
  <si>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</si>
  <si>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</si>
  <si>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</si>
  <si>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</si>
  <si>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</si>
  <si>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</si>
  <si>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</si>
  <si>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</si>
  <si>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</si>
  <si>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</si>
  <si>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</si>
  <si>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</si>
  <si>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Hospital-EF - Patient A/Rec, net</t>
  </si>
  <si>
    <t>Hospital-EF- Total Gross Capital Assets (BS), w/o acc. dep.</t>
  </si>
  <si>
    <t xml:space="preserve">Hospital-EF- Unrestricted Fund Equity/Net Assets </t>
  </si>
  <si>
    <t>Hospital-EF - Total Operating Revenues</t>
  </si>
  <si>
    <t xml:space="preserve">Hospital-EF- Total Operating Expenses. May include Interest Exp. </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</si>
  <si>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</si>
  <si>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</si>
  <si>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</si>
  <si>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</si>
  <si>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</si>
  <si>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</si>
  <si>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</si>
  <si>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</si>
  <si>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</si>
  <si>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</si>
  <si>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</si>
  <si>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</si>
  <si>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</si>
  <si>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</si>
  <si>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</si>
  <si>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</si>
  <si>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</si>
  <si>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</si>
  <si>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</si>
  <si>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</si>
  <si>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</si>
  <si>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</si>
  <si>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</si>
  <si>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</si>
  <si>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</si>
  <si>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</si>
  <si>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</si>
  <si>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</si>
  <si>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</si>
  <si>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</si>
  <si>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</si>
  <si>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</si>
  <si>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</si>
  <si>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</si>
  <si>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</si>
  <si>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</si>
  <si>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</si>
  <si>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</si>
  <si>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</si>
  <si>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</si>
  <si>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</si>
  <si>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</si>
  <si>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</si>
  <si>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</si>
  <si>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</si>
  <si>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</si>
  <si>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</si>
  <si>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</si>
  <si>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</si>
  <si>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</si>
  <si>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</si>
  <si>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</si>
  <si>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</si>
  <si>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</si>
  <si>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</si>
  <si>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</si>
  <si>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</si>
  <si>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</si>
  <si>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</si>
  <si>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</si>
  <si>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</si>
  <si>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</si>
  <si>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</si>
  <si>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</si>
  <si>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</si>
  <si>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</si>
  <si>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</si>
  <si>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</si>
  <si>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</si>
  <si>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</si>
  <si>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</si>
  <si>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</si>
  <si>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</si>
  <si>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</si>
  <si>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</si>
  <si>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</si>
  <si>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</si>
  <si>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</si>
  <si>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</si>
  <si>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</si>
  <si>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</si>
  <si>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</si>
  <si>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</si>
  <si>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</si>
  <si>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</si>
  <si>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</si>
  <si>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</si>
  <si>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</si>
  <si>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</si>
  <si>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</si>
  <si>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</si>
  <si>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</si>
  <si>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</si>
  <si>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</si>
  <si>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</si>
  <si>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</si>
  <si>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</si>
  <si>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</si>
  <si>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</si>
  <si>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</si>
  <si>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</si>
  <si>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</si>
  <si>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</si>
  <si>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</si>
  <si>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</si>
  <si>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</si>
  <si>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</si>
  <si>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</si>
  <si>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</si>
  <si>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</si>
  <si>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</si>
  <si>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</si>
  <si>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</si>
  <si>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</si>
  <si>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</si>
  <si>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</si>
  <si>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</si>
  <si>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</si>
  <si>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</si>
  <si>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</si>
  <si>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</si>
  <si>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</si>
  <si>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</si>
  <si>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</si>
  <si>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</si>
  <si>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</si>
  <si>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</si>
  <si>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</si>
  <si>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</si>
  <si>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</si>
  <si>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</si>
  <si>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</si>
  <si>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</si>
  <si>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</si>
  <si>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</si>
  <si>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</si>
  <si>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</si>
  <si>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</si>
  <si>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</si>
  <si>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</si>
  <si>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</si>
  <si>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</si>
  <si>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</si>
  <si>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</si>
  <si>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</si>
  <si>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</si>
  <si>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</si>
  <si>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</si>
  <si>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</si>
  <si>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</si>
  <si>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</si>
  <si>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</si>
  <si>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</si>
  <si>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</si>
  <si>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</si>
  <si>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</si>
  <si>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</si>
  <si>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</si>
  <si>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</si>
  <si>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</si>
  <si>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</si>
  <si>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</si>
  <si>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</si>
  <si>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</si>
  <si>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</si>
  <si>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</si>
  <si>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</si>
  <si>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</si>
  <si>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</si>
  <si>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</si>
  <si>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</si>
  <si>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</si>
  <si>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</si>
  <si>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</si>
  <si>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</si>
  <si>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</si>
  <si>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</si>
  <si>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</si>
  <si>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</si>
  <si>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</si>
  <si>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</si>
  <si>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</si>
  <si>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</si>
  <si>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</si>
  <si>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</si>
  <si>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</si>
  <si>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</si>
  <si>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</si>
  <si>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</si>
  <si>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Lilesville</t>
  </si>
  <si>
    <t>Lillington</t>
  </si>
  <si>
    <t>Lincolnton</t>
  </si>
  <si>
    <t>Linden</t>
  </si>
  <si>
    <t>Littleton</t>
  </si>
  <si>
    <t>Locust</t>
  </si>
  <si>
    <t>Long View</t>
  </si>
  <si>
    <t>Louisburg</t>
  </si>
  <si>
    <t>Love Valley</t>
  </si>
  <si>
    <t>Lucama</t>
  </si>
  <si>
    <t>Lumber Bridge</t>
  </si>
  <si>
    <t>Lumberton</t>
  </si>
  <si>
    <t>Macclesfield</t>
  </si>
  <si>
    <t>Madison</t>
  </si>
  <si>
    <t>Maggie Valley</t>
  </si>
  <si>
    <t>Magnolia</t>
  </si>
  <si>
    <t>Maiden</t>
  </si>
  <si>
    <t>Manteo</t>
  </si>
  <si>
    <t>Marietta</t>
  </si>
  <si>
    <t>Marion</t>
  </si>
  <si>
    <t>Mars Hill</t>
  </si>
  <si>
    <t>Marshall</t>
  </si>
  <si>
    <t>Marshville</t>
  </si>
  <si>
    <t>Marvin</t>
  </si>
  <si>
    <t>Matthews</t>
  </si>
  <si>
    <t>Maxton</t>
  </si>
  <si>
    <t>Mayodan</t>
  </si>
  <si>
    <t>Maysville</t>
  </si>
  <si>
    <t>Mcadenville</t>
  </si>
  <si>
    <t>Mcdonald</t>
  </si>
  <si>
    <t>Mcfarlan</t>
  </si>
  <si>
    <t>Mebane</t>
  </si>
  <si>
    <t>Mesic</t>
  </si>
  <si>
    <t>Hospital-EF- Change in Net Assets</t>
  </si>
  <si>
    <t>Amount of the Water Sewer Fund Balance appropriated in next year's budget</t>
  </si>
  <si>
    <t>Supplemental School Tax</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</si>
  <si>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</si>
  <si>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</si>
  <si>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</si>
  <si>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</si>
  <si>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</si>
  <si>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</si>
  <si>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</si>
  <si>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</si>
  <si>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</si>
  <si>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</si>
  <si>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</si>
  <si>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</si>
  <si>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</si>
  <si>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</si>
  <si>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</si>
  <si>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</si>
  <si>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</si>
  <si>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</si>
  <si>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</si>
  <si>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</si>
  <si>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</si>
  <si>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</si>
  <si>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</si>
  <si>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</si>
  <si>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</si>
  <si>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</si>
  <si>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</si>
  <si>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</si>
  <si>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</si>
  <si>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</si>
  <si>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</si>
  <si>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</si>
  <si>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</si>
  <si>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</si>
  <si>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</si>
  <si>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</si>
  <si>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</si>
  <si>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Carolina County Test #</t>
  </si>
  <si>
    <t>Does this unit have a Tourism Development Authority as a discretely presented component unit?</t>
  </si>
  <si>
    <t>E-mail address to notify the Primary Government Unit that report has been reviewed</t>
  </si>
  <si>
    <t>carolina@county.gov</t>
  </si>
  <si>
    <t xml:space="preserve">Name of Audit Firm </t>
  </si>
  <si>
    <t>Edmondson &amp; Associates</t>
  </si>
  <si>
    <t>Name of Auditor</t>
  </si>
  <si>
    <t>Joe Schmoe</t>
  </si>
  <si>
    <t>E-mail address to notify the Auditor that the report has been reviewed</t>
  </si>
  <si>
    <t>Joe.Schmoe@Edmondson.com</t>
  </si>
  <si>
    <r>
      <t xml:space="preserve">E-mail address to send approved invoices </t>
    </r>
    <r>
      <rPr>
        <i/>
        <sz val="9.5"/>
        <rFont val="Verdana"/>
        <family val="2"/>
      </rPr>
      <t>(should be at the audit firm)</t>
    </r>
  </si>
  <si>
    <t>accounts.recievable@edmundson.com</t>
  </si>
  <si>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</si>
  <si>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</si>
  <si>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</si>
  <si>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</si>
  <si>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</si>
  <si>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</si>
  <si>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</si>
  <si>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</si>
  <si>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</si>
  <si>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</si>
  <si>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</si>
  <si>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</si>
  <si>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</si>
  <si>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</si>
  <si>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</si>
  <si>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</si>
  <si>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</si>
  <si>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</si>
  <si>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Partner</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</si>
  <si>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</si>
  <si>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</si>
  <si>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</si>
  <si>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</si>
  <si>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</si>
  <si>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</si>
  <si>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</si>
  <si>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</si>
  <si>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</si>
  <si>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</si>
  <si>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</si>
  <si>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</si>
  <si>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</si>
  <si>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</si>
  <si>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</si>
  <si>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</si>
  <si>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</si>
  <si>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</si>
  <si>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</si>
  <si>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</si>
  <si>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</si>
  <si>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</si>
  <si>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</si>
  <si>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</si>
  <si>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</si>
  <si>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</si>
  <si>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</si>
  <si>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</si>
  <si>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</si>
  <si>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</si>
  <si>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</si>
  <si>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</si>
  <si>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</si>
  <si>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</si>
  <si>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</si>
  <si>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</si>
  <si>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</si>
  <si>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</si>
  <si>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</si>
  <si>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</si>
  <si>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</si>
  <si>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</si>
  <si>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</si>
  <si>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</si>
  <si>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</si>
  <si>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</si>
  <si>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</si>
  <si>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</si>
  <si>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</si>
  <si>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</si>
  <si>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</si>
  <si>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</si>
  <si>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</si>
  <si>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</si>
  <si>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</si>
  <si>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</si>
  <si>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</si>
  <si>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</si>
  <si>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</si>
  <si>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</si>
  <si>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</si>
  <si>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</si>
  <si>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</si>
  <si>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</si>
  <si>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</si>
  <si>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</si>
  <si>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</si>
  <si>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</si>
  <si>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</si>
  <si>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</si>
  <si>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</si>
  <si>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</si>
  <si>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</si>
  <si>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</si>
  <si>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</si>
  <si>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</si>
  <si>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</si>
  <si>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</si>
  <si>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</si>
  <si>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</si>
  <si>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</si>
  <si>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</si>
  <si>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</si>
  <si>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</si>
  <si>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</si>
  <si>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</si>
  <si>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</si>
  <si>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</si>
  <si>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</si>
  <si>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</si>
  <si>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</si>
  <si>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</si>
  <si>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</si>
  <si>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</si>
  <si>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</si>
  <si>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</si>
  <si>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</si>
  <si>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</si>
  <si>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</si>
  <si>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</si>
  <si>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</si>
  <si>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</si>
  <si>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</si>
  <si>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</si>
  <si>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</si>
  <si>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</si>
  <si>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</si>
  <si>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</si>
  <si>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</si>
  <si>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</si>
  <si>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</si>
  <si>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</si>
  <si>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</si>
  <si>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</si>
  <si>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</si>
  <si>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</si>
  <si>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</si>
  <si>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</si>
  <si>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</si>
  <si>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</si>
  <si>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</si>
  <si>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</si>
  <si>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</si>
  <si>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</si>
  <si>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</si>
  <si>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</si>
  <si>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</si>
  <si>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</si>
  <si>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</si>
  <si>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</si>
  <si>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</si>
  <si>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</si>
  <si>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</si>
  <si>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</si>
  <si>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</si>
  <si>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</si>
  <si>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</si>
  <si>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</si>
  <si>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</si>
  <si>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</si>
  <si>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</si>
  <si>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</si>
  <si>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</si>
  <si>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</si>
  <si>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</si>
  <si>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</si>
  <si>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</si>
  <si>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General Performance Indicators:</t>
  </si>
  <si>
    <t xml:space="preserve">You must include a financial plan to address the progress you have made since you were placed on the UAL in your Response to Audit Findings, Recommendations and Fiscal Issues </t>
  </si>
  <si>
    <t>The unit must address the material and/or significant findings or any other findings that the auditor reported to them.</t>
  </si>
  <si>
    <t>Before December 1 for 2021</t>
  </si>
  <si>
    <t>Less than 3%</t>
  </si>
  <si>
    <t>Any estimated Decrease</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</si>
  <si>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</si>
  <si>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</si>
  <si>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</si>
  <si>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</si>
  <si>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</si>
  <si>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</si>
  <si>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</si>
  <si>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</si>
  <si>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</si>
  <si>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</si>
  <si>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</si>
  <si>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</si>
  <si>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</si>
  <si>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</si>
  <si>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</si>
  <si>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</si>
  <si>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</si>
  <si>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</si>
  <si>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</si>
  <si>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</si>
  <si>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</si>
  <si>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</si>
  <si>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</si>
  <si>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</si>
  <si>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</si>
  <si>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</si>
  <si>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</si>
  <si>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</si>
  <si>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</si>
  <si>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</si>
  <si>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</si>
  <si>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</si>
  <si>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</si>
  <si>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As stewards of the public’s resources, the governing body is responsible for ensuring that the audited financial statements are available to the public in a timely manner.  Information in the report is needed by you and your Board for you to take prompt and effective corrective action on any deficiencies noted.  External groups such as the North Carolina General Assembly, federal and State agencies that provide funding, and other public associations need current financial information about your Unit as well.  In your response please provide details on how the unit will provide a timely audit in the future.</t>
  </si>
  <si>
    <t xml:space="preserve">The local government has indicated that they have a significant unbudgeted cost that could significantly impact their operations and/or customer rates.  Please indicate what are the future annual cost and how the unit intends to pay for these cost.  </t>
  </si>
  <si>
    <t>You have indicated that the portion of your landfill that is estimated to close withing the next 5 years will not have the closure/postclosure cost funded.  Please provide in detail how these cost will be paid and by whom.</t>
  </si>
  <si>
    <t>The Auditor has reported findings to the Board.  The unit must provide detailed actions they are taking to correct or mitigate these findings.  Please provide the written policy changes you are making.</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</si>
  <si>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</si>
  <si>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</si>
  <si>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</si>
  <si>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</si>
  <si>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</si>
  <si>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</si>
  <si>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</si>
  <si>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</si>
  <si>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</si>
  <si>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Unit Data from Audit worksheet tab : 93-94-52+100</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</si>
  <si>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</si>
  <si>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</si>
  <si>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</si>
  <si>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</si>
  <si>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</si>
  <si>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</si>
  <si>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</si>
  <si>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</si>
  <si>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</si>
  <si>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</si>
  <si>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</si>
  <si>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</si>
  <si>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</si>
  <si>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</si>
  <si>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</si>
  <si>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</si>
  <si>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</si>
  <si>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The 2021 Audit Report is expected to be submitted by the date set by the LGC (not the Oct 31st date) according to the Auditor?</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</si>
  <si>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</si>
  <si>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</si>
  <si>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</si>
  <si>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</si>
  <si>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Please address each statutory violate providing how the violation occurred  and send a copy of written policy changes that will prevent the violation from happening in the future.</t>
  </si>
  <si>
    <t>Uni Number</t>
  </si>
  <si>
    <t>electric Gross Capital Assets</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</si>
  <si>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</si>
  <si>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</si>
  <si>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</si>
  <si>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</si>
  <si>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</si>
  <si>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</si>
  <si>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</si>
  <si>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</si>
  <si>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</si>
  <si>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</si>
  <si>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</si>
  <si>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</si>
  <si>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</si>
  <si>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</si>
  <si>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</si>
  <si>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</si>
  <si>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</si>
  <si>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</si>
  <si>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</si>
  <si>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</si>
  <si>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</si>
  <si>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</si>
  <si>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</si>
  <si>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</si>
  <si>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</si>
  <si>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</si>
  <si>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</si>
  <si>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</si>
  <si>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</si>
  <si>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</si>
  <si>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</si>
  <si>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</si>
  <si>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</si>
  <si>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</si>
  <si>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</si>
  <si>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</si>
  <si>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</si>
  <si>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</si>
  <si>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</si>
  <si>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</si>
  <si>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</si>
  <si>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</si>
  <si>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</si>
  <si>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</si>
  <si>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</si>
  <si>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</si>
  <si>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</si>
  <si>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</si>
  <si>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</si>
  <si>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</si>
  <si>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</si>
  <si>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</si>
  <si>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</si>
  <si>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</si>
  <si>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</si>
  <si>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</si>
  <si>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</si>
  <si>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</si>
  <si>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</si>
  <si>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</si>
  <si>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</si>
  <si>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</si>
  <si>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</si>
  <si>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</si>
  <si>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</si>
  <si>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</si>
  <si>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</si>
  <si>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</si>
  <si>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</si>
  <si>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</si>
  <si>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</si>
  <si>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</si>
  <si>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</si>
  <si>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</si>
  <si>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</si>
  <si>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</si>
  <si>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</si>
  <si>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</si>
  <si>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</si>
  <si>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</si>
  <si>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</si>
  <si>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</si>
  <si>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</si>
  <si>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</si>
  <si>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</si>
  <si>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</si>
  <si>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</si>
  <si>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</si>
  <si>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</si>
  <si>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</si>
  <si>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</si>
  <si>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</si>
  <si>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</si>
  <si>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</si>
  <si>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</si>
  <si>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</si>
  <si>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</si>
  <si>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</si>
  <si>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</si>
  <si>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</si>
  <si>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</si>
  <si>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</si>
  <si>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</si>
  <si>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</si>
  <si>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</si>
  <si>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</si>
  <si>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</si>
  <si>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</si>
  <si>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</si>
  <si>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</si>
  <si>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</si>
  <si>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</si>
  <si>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</si>
  <si>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</si>
  <si>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</si>
  <si>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</si>
  <si>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</si>
  <si>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</si>
  <si>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</si>
  <si>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</si>
  <si>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</si>
  <si>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</si>
  <si>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</si>
  <si>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</si>
  <si>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</si>
  <si>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</si>
  <si>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</si>
  <si>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</si>
  <si>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</si>
  <si>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</si>
  <si>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</si>
  <si>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</si>
  <si>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</si>
  <si>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</si>
  <si>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</si>
  <si>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</si>
  <si>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</si>
  <si>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</si>
  <si>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</si>
  <si>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</si>
  <si>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</si>
  <si>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</si>
  <si>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</si>
  <si>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</si>
  <si>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</si>
  <si>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</si>
  <si>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</si>
  <si>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</si>
  <si>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</si>
  <si>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</si>
  <si>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</si>
  <si>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</si>
  <si>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</si>
  <si>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</si>
  <si>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</si>
  <si>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</si>
  <si>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</si>
  <si>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</si>
  <si>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</si>
  <si>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</si>
  <si>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</si>
  <si>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</si>
  <si>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</si>
  <si>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</si>
  <si>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</si>
  <si>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</si>
  <si>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</si>
  <si>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</si>
  <si>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</si>
  <si>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</si>
  <si>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</si>
  <si>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</si>
  <si>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</si>
  <si>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</si>
  <si>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</si>
  <si>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</si>
  <si>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</si>
  <si>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</si>
  <si>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</si>
  <si>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</si>
  <si>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</si>
  <si>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</si>
  <si>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</si>
  <si>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</si>
  <si>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</si>
  <si>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unit's inability to collect more than 3% of its taxes could be an indicator of negative economic events, inaccurate budgeting, and/or process issues with taxes.  Uncollected revenues at the 3% level represent several pennies of the tax rate.  In your response please explain what was the cause of the inability to collect, will the issues continue into future years and how the unit will deal with the revenue shortfall.</t>
  </si>
  <si>
    <t>The unit had expenditures that exceeded the legal budget ordinance.  This indicates that the unit's purchase order system, contract approval process and / or payment process is not in compliance with North Carolina General Statutes 159.  In your response discuss in detail how this over-expenditure occurred and include the written policy changes that were approved to prevent the statutory violations from happening in the future.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</si>
  <si>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</si>
  <si>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Please explain the purpose for any transfers-out from the electric fund, if the transfers were budget in the next fiscal year and if these transfers will continue into the future.  If your unit is subject to GS 159B-39 how will the unit come into compliance with this statute and the impact to the fund that is receiving the transfers.  GS 159B-39 only applies to members of North Carolina Eastern Municipal Power Agency: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</si>
  <si>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</si>
  <si>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</si>
  <si>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</si>
  <si>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</si>
  <si>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</si>
  <si>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</si>
  <si>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</si>
  <si>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</si>
  <si>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</si>
  <si>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</si>
  <si>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</si>
  <si>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</si>
  <si>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</si>
  <si>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</si>
  <si>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</si>
  <si>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</si>
  <si>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</si>
  <si>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</si>
  <si>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</si>
  <si>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</si>
  <si>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</si>
  <si>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</si>
  <si>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</si>
  <si>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t>Please explain the additional issue(s) the unit needs to address in column H to the right.</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</si>
  <si>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</si>
  <si>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</si>
  <si>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</si>
  <si>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</si>
  <si>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</si>
  <si>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</si>
  <si>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All Units</t>
  </si>
  <si>
    <t>County, Muni</t>
  </si>
  <si>
    <t>County, Muni, Utility Authority</t>
  </si>
  <si>
    <t>all Units</t>
  </si>
  <si>
    <t>County, Muni, Utility Authority - any type that issues debt</t>
  </si>
  <si>
    <t>Muni, Utility Authorities</t>
  </si>
  <si>
    <t>all units</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</si>
  <si>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</si>
  <si>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Please indicate the actions the Unit will take to deal with timely debt service payments and/or compliance with bond covenants.</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</si>
  <si>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</si>
  <si>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</si>
  <si>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</si>
  <si>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</si>
  <si>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</si>
  <si>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</si>
  <si>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</si>
  <si>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</si>
  <si>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</si>
  <si>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</si>
  <si>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</si>
  <si>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</si>
  <si>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</si>
  <si>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193</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</si>
  <si>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</si>
  <si>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</si>
  <si>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</si>
  <si>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</si>
  <si>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</si>
  <si>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</si>
  <si>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</si>
  <si>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</si>
  <si>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</si>
  <si>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</si>
  <si>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</si>
  <si>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</si>
  <si>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</si>
  <si>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</si>
  <si>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</si>
  <si>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</si>
  <si>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</si>
  <si>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</si>
  <si>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</si>
  <si>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</si>
  <si>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</si>
  <si>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</si>
  <si>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</si>
  <si>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</si>
  <si>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</si>
  <si>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</si>
  <si>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</si>
  <si>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</si>
  <si>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</si>
  <si>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</si>
  <si>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</si>
  <si>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</si>
  <si>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</si>
  <si>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</si>
  <si>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</si>
  <si>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</si>
  <si>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</si>
  <si>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</si>
  <si>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</si>
  <si>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</si>
  <si>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</si>
  <si>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</si>
  <si>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</si>
  <si>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</si>
  <si>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</si>
  <si>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</si>
  <si>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</si>
  <si>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</si>
  <si>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</si>
  <si>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</si>
  <si>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</si>
  <si>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</si>
  <si>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</si>
  <si>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</si>
  <si>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</si>
  <si>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</si>
  <si>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</si>
  <si>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</si>
  <si>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</si>
  <si>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</si>
  <si>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</si>
  <si>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</si>
  <si>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</si>
  <si>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</si>
  <si>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</si>
  <si>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</si>
  <si>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</si>
  <si>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</si>
  <si>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</si>
  <si>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</si>
  <si>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</si>
  <si>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</si>
  <si>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</si>
  <si>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</si>
  <si>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</si>
  <si>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</si>
  <si>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</si>
  <si>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</si>
  <si>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</si>
  <si>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</si>
  <si>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</si>
  <si>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</si>
  <si>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</si>
  <si>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</si>
  <si>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</si>
  <si>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</si>
  <si>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</si>
  <si>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</si>
  <si>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</si>
  <si>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</si>
  <si>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</si>
  <si>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</si>
  <si>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</si>
  <si>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</si>
  <si>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</si>
  <si>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</si>
  <si>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</si>
  <si>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</si>
  <si>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</si>
  <si>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</si>
  <si>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</si>
  <si>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</si>
  <si>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</si>
  <si>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</si>
  <si>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</si>
  <si>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</si>
  <si>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</si>
  <si>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</si>
  <si>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</si>
  <si>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</si>
  <si>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</si>
  <si>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</si>
  <si>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</si>
  <si>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</si>
  <si>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</si>
  <si>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</si>
  <si>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</si>
  <si>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</si>
  <si>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</si>
  <si>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</si>
  <si>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</si>
  <si>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</si>
  <si>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</si>
  <si>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</si>
  <si>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</si>
  <si>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</si>
  <si>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</si>
  <si>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</si>
  <si>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</si>
  <si>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</si>
  <si>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</si>
  <si>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</si>
  <si>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</si>
  <si>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</si>
  <si>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</si>
  <si>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</si>
  <si>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</si>
  <si>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</si>
  <si>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</si>
  <si>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</si>
  <si>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</si>
  <si>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</si>
  <si>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</si>
  <si>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</si>
  <si>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</si>
  <si>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</si>
  <si>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</si>
  <si>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</si>
  <si>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</si>
  <si>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</si>
  <si>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</si>
  <si>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</si>
  <si>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</si>
  <si>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</si>
  <si>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</si>
  <si>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</si>
  <si>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</si>
  <si>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</si>
  <si>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</si>
  <si>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</si>
  <si>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</si>
  <si>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</si>
  <si>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</si>
  <si>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</si>
  <si>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</si>
  <si>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</si>
  <si>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</si>
  <si>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</si>
  <si>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</si>
  <si>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</si>
  <si>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</si>
  <si>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</si>
  <si>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</si>
  <si>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</si>
  <si>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</si>
  <si>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</si>
  <si>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</si>
  <si>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</si>
  <si>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</si>
  <si>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</si>
  <si>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</si>
  <si>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</si>
  <si>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</si>
  <si>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</si>
  <si>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</si>
  <si>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</si>
  <si>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</si>
  <si>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</si>
  <si>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</si>
  <si>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</si>
  <si>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</si>
  <si>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</si>
  <si>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</si>
  <si>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</si>
  <si>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</si>
  <si>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</si>
  <si>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</si>
  <si>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</si>
  <si>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</si>
  <si>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</si>
  <si>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</si>
  <si>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</si>
  <si>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</si>
  <si>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</si>
  <si>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</si>
  <si>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</si>
  <si>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</si>
  <si>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</si>
  <si>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</si>
  <si>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</si>
  <si>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</si>
  <si>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</si>
  <si>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</si>
  <si>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</si>
  <si>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</si>
  <si>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</si>
  <si>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</si>
  <si>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</si>
  <si>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</si>
  <si>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</si>
  <si>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</si>
  <si>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</si>
  <si>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</si>
  <si>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</si>
  <si>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</si>
  <si>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</si>
  <si>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</si>
  <si>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</si>
  <si>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</si>
  <si>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 xml:space="preserve">If you indicated that you expect a decrease in property value for your next property revaluation.   </t>
  </si>
  <si>
    <t>If you indicated that you expect a decrease in property value for your next property revaluation.   In your Response Letter please discuss the magnitude of the drop in valuation, the overall cause of the drop and how your County plans to recover the lost revenues.</t>
  </si>
  <si>
    <t>If a unit has no performance indicators of concern in column F that would require them to submit a Response to Audit Findings, Recommendations and Fiscal Issues, but they are currently on the  Unit Assistance List, they must still submit a Response to Audit Findings, Recommendations and Fiscal Issues.  Their response should discuss the financial plan they have developed to address the issues that placed them on the Unit Assistance List and the progress they have made to date.</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</si>
  <si>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</si>
  <si>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</si>
  <si>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</si>
  <si>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</si>
  <si>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</si>
  <si>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Threshold</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</si>
  <si>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</si>
  <si>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</si>
  <si>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</si>
  <si>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</si>
  <si>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</si>
  <si>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</si>
  <si>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</si>
  <si>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</si>
  <si>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</si>
  <si>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</si>
  <si>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</si>
  <si>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</si>
  <si>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</si>
  <si>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</si>
  <si>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</si>
  <si>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</si>
  <si>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</si>
  <si>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</si>
  <si>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</si>
  <si>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</si>
  <si>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</si>
  <si>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</si>
  <si>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</si>
  <si>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</si>
  <si>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</si>
  <si>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</si>
  <si>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</si>
  <si>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</si>
  <si>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</si>
  <si>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</si>
  <si>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</si>
  <si>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</si>
  <si>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</si>
  <si>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</si>
  <si>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</si>
  <si>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</si>
  <si>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</si>
  <si>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</si>
  <si>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</si>
  <si>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</si>
  <si>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</si>
  <si>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</si>
  <si>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</si>
  <si>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</si>
  <si>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</si>
  <si>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</si>
  <si>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</si>
  <si>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</si>
  <si>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</si>
  <si>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</si>
  <si>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</si>
  <si>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</si>
  <si>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</si>
  <si>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</si>
  <si>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</si>
  <si>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</si>
  <si>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</si>
  <si>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</si>
  <si>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</si>
  <si>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</si>
  <si>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</si>
  <si>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</si>
  <si>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</si>
  <si>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2021</t>
  </si>
  <si>
    <t>GENERAL PERFORMANCE INDICATORS:</t>
  </si>
  <si>
    <t>Target</t>
  </si>
  <si>
    <t>The 2021 Audit Report is expected to be submitted by the date set by the LGC (not the October 31st date) according to the Auditor?</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</si>
  <si>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</si>
  <si>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states whether or not your auditor has identified material and/or significant findings or any other findings for your unit.</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</si>
  <si>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</si>
  <si>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</si>
  <si>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Albemarle Hospital Authority</t>
  </si>
  <si>
    <t>Carolinaeast Health System</t>
  </si>
  <si>
    <t>Carteret County General Hospital</t>
  </si>
  <si>
    <t>Catawba Valley Medical Center</t>
  </si>
  <si>
    <t>Charlotte-Mecklenburg Hospital Authority</t>
  </si>
  <si>
    <t>Cleveland County Healthcare System</t>
  </si>
  <si>
    <t>Columbus County Regional Hospital</t>
  </si>
  <si>
    <t>Duplin General Hospital</t>
  </si>
  <si>
    <t>Granville County Medical Center</t>
  </si>
  <si>
    <t>Harnett Health System, Inc.</t>
  </si>
  <si>
    <t>Haywood Regional Medical Center</t>
  </si>
  <si>
    <t>Henderson County Hospital Corporation</t>
  </si>
  <si>
    <t>J Arthur Dosher Memorial Hospital</t>
  </si>
  <si>
    <t>Johnston Memorial Hospital Authority</t>
  </si>
  <si>
    <t>Nash Healthcare Systems</t>
  </si>
  <si>
    <t>New Hanover Regional Medical Center</t>
  </si>
  <si>
    <t>Northern Hospital District of Surry County</t>
  </si>
  <si>
    <t>Onslow Co Hospital Authority</t>
  </si>
  <si>
    <t>Sampson Regional Medical Center, Inc.</t>
  </si>
  <si>
    <t>Stokes/Reynolds Memorial Hospital</t>
  </si>
  <si>
    <t>Union Regional Medical Center</t>
  </si>
  <si>
    <t>Watauga Medical Center, Inc. dba Appalachian Regional Healthcare System</t>
  </si>
  <si>
    <t>Wilkes Regional Medical Center</t>
  </si>
  <si>
    <t>Data Import 2019</t>
  </si>
  <si>
    <t>Upload to SQL Database</t>
  </si>
  <si>
    <t>Trial Balance</t>
  </si>
  <si>
    <t>CCH Master Chart of Accounts</t>
  </si>
  <si>
    <t>Comb-Proprietary Funds-Current Assets less any restricted assets. Do not include deferred outflows.</t>
  </si>
  <si>
    <t>Comb-Proprietary-Current Assets less restricted assets and deferred outflows</t>
  </si>
  <si>
    <t>Comb-Proprietary Funds - Current Liabilities</t>
  </si>
  <si>
    <t>Hospital/MH -EF - Patient A/Rec, net</t>
  </si>
  <si>
    <t>Hospital-EF- Unrestricted Fund Equity/Net Position</t>
  </si>
  <si>
    <t>Hospital/MH -EF - Total Operating Revenues</t>
  </si>
  <si>
    <t xml:space="preserve">Hospital/MH -EF- Total Operating Expenses. May include Interest Exp. </t>
  </si>
  <si>
    <t>Hospital-EF- Change in Net Position</t>
  </si>
  <si>
    <t>Reviewer if you need to change what the unit entered do so directly in cell K27. Enter "1" to the right if the unit has defined benefit other than the ones adm. By the state - leave blank if they do not</t>
  </si>
  <si>
    <t>CCH 591</t>
  </si>
  <si>
    <t>CCH 592</t>
  </si>
  <si>
    <t>CCH 603</t>
  </si>
  <si>
    <t>CCH 605</t>
  </si>
  <si>
    <t>CCH 606</t>
  </si>
  <si>
    <t>CCH 607</t>
  </si>
  <si>
    <t>CCH 608</t>
  </si>
  <si>
    <t>CCH 609</t>
  </si>
  <si>
    <t>CCH 610</t>
  </si>
  <si>
    <t>CCH 611</t>
  </si>
  <si>
    <t>CCH 612</t>
  </si>
  <si>
    <t>CCH 613</t>
  </si>
  <si>
    <t>CCH 614</t>
  </si>
  <si>
    <t>CCH 615</t>
  </si>
  <si>
    <t>CCH 616</t>
  </si>
  <si>
    <t>CCH 617</t>
  </si>
  <si>
    <t>CCH 618</t>
  </si>
  <si>
    <t>CCH 620</t>
  </si>
  <si>
    <t>Net OPEB Liabilty (RHBF)</t>
  </si>
  <si>
    <t>CCH 621</t>
  </si>
  <si>
    <t>Total Pension Liability</t>
  </si>
  <si>
    <t>CCH 622</t>
  </si>
  <si>
    <t>CCH 625</t>
  </si>
  <si>
    <t>Type of hospital 1=159-39 2=131E 3=131E-40</t>
  </si>
  <si>
    <t>Hospital - Budget required if .02</t>
  </si>
  <si>
    <t>Contract Required if .03</t>
  </si>
  <si>
    <t>Batch total</t>
  </si>
  <si>
    <t>CCH TB check</t>
  </si>
  <si>
    <t xml:space="preserve">                               -  </t>
  </si>
  <si>
    <t>Diffference</t>
  </si>
  <si>
    <t>Notes - do not delete</t>
  </si>
  <si>
    <t>Reported as</t>
  </si>
  <si>
    <t>Bought by</t>
  </si>
  <si>
    <t>taken over</t>
  </si>
  <si>
    <t xml:space="preserve">component unit </t>
  </si>
  <si>
    <t>Corporation</t>
  </si>
  <si>
    <t>by Wake Forest</t>
  </si>
  <si>
    <t>on Craven County</t>
  </si>
  <si>
    <t>Baptist Medical Center</t>
  </si>
  <si>
    <t>2020 Data Import</t>
  </si>
  <si>
    <t>Use on upload template</t>
  </si>
  <si>
    <t>Nash Health Care</t>
  </si>
  <si>
    <t>53950</t>
  </si>
  <si>
    <t>Comb-Proprietary Funds- Current Assets w/o Inv &amp; Ppds</t>
  </si>
  <si>
    <t>Combined Total of all Proprietary Funds - Change in Net Position</t>
  </si>
  <si>
    <t>37</t>
  </si>
  <si>
    <t>38</t>
  </si>
  <si>
    <t>39</t>
  </si>
  <si>
    <t>40</t>
  </si>
  <si>
    <t>41</t>
  </si>
  <si>
    <t>43</t>
  </si>
  <si>
    <t>Electric-EF- Current Assets (unrestricted, excl. inventory and prepaids)</t>
  </si>
  <si>
    <t>54</t>
  </si>
  <si>
    <t>Electric Net Transfers in(out) to GF</t>
  </si>
  <si>
    <t>WS-EF- Total LT Debt (ST &amp;LT; External debt only; No Comp Abs, Pension, OPEB)</t>
  </si>
  <si>
    <t>92</t>
  </si>
  <si>
    <t>Electric - Gross Capital Assets</t>
  </si>
  <si>
    <t>104</t>
  </si>
  <si>
    <t>107</t>
  </si>
  <si>
    <t>108</t>
  </si>
  <si>
    <t>194</t>
  </si>
  <si>
    <t>231</t>
  </si>
  <si>
    <t>274</t>
  </si>
  <si>
    <t>294</t>
  </si>
  <si>
    <t>OPEB- Annual Cost/Expenses</t>
  </si>
  <si>
    <t>326</t>
  </si>
  <si>
    <t>WS- Net Infrastructure Capital Assets</t>
  </si>
  <si>
    <t>WS- Accumulated Infrastructure Deprec Expense. Enter as positive.</t>
  </si>
  <si>
    <t>332</t>
  </si>
  <si>
    <t>333</t>
  </si>
  <si>
    <t>334</t>
  </si>
  <si>
    <t>340</t>
  </si>
  <si>
    <t>Gov- Total Program revenue</t>
  </si>
  <si>
    <t>GA- Total General revenues (No transfers, special, extraordinary items)(SOA)</t>
  </si>
  <si>
    <t>342</t>
  </si>
  <si>
    <t>Gov- Net transfers in (out)</t>
  </si>
  <si>
    <t>346</t>
  </si>
  <si>
    <t>WS - Total Depreciable capital assets</t>
  </si>
  <si>
    <t>347</t>
  </si>
  <si>
    <t>WS - Total Accumulated depreciation</t>
  </si>
  <si>
    <t>WS - Total Non-Operating Revenues-exclude capital contrib.</t>
  </si>
  <si>
    <t>Electric - Total Transfers Out (to all funds)</t>
  </si>
  <si>
    <t>371</t>
  </si>
  <si>
    <t>532</t>
  </si>
  <si>
    <t>533</t>
  </si>
  <si>
    <t>534</t>
  </si>
  <si>
    <t>535</t>
  </si>
  <si>
    <t>536</t>
  </si>
  <si>
    <t>537</t>
  </si>
  <si>
    <t>538</t>
  </si>
  <si>
    <t>539</t>
  </si>
  <si>
    <t>Retiree Premiums pd by unit</t>
  </si>
  <si>
    <t>540</t>
  </si>
  <si>
    <t>541</t>
  </si>
  <si>
    <t>542</t>
  </si>
  <si>
    <t>543</t>
  </si>
  <si>
    <t>Amt interest-investment income for Gov. Prop. Funds</t>
  </si>
  <si>
    <t>544</t>
  </si>
  <si>
    <t>545</t>
  </si>
  <si>
    <t>546</t>
  </si>
  <si>
    <t>547</t>
  </si>
  <si>
    <t xml:space="preserve">OPEB 1-implicit rate only  2-no benefit 3-benfit 4- state health plan  </t>
  </si>
  <si>
    <t>548</t>
  </si>
  <si>
    <t>549</t>
  </si>
  <si>
    <t>The Unfunded actuarially accrued liability for the unit's LEO benefit.</t>
  </si>
  <si>
    <t>550</t>
  </si>
  <si>
    <t>551</t>
  </si>
  <si>
    <t>Internal Control-1) no IC issues 2)Inmaterial 3) Unit letter for IC 4) Unit visit for IC</t>
  </si>
  <si>
    <t>552</t>
  </si>
  <si>
    <t>553</t>
  </si>
  <si>
    <t>554</t>
  </si>
  <si>
    <t>555</t>
  </si>
  <si>
    <t>556</t>
  </si>
  <si>
    <t>557</t>
  </si>
  <si>
    <t>558</t>
  </si>
  <si>
    <t>559</t>
  </si>
  <si>
    <t>560</t>
  </si>
  <si>
    <t>561</t>
  </si>
  <si>
    <t>562</t>
  </si>
  <si>
    <t>563</t>
  </si>
  <si>
    <t>564</t>
  </si>
  <si>
    <t>565</t>
  </si>
  <si>
    <t>566</t>
  </si>
  <si>
    <t>567</t>
  </si>
  <si>
    <t>568</t>
  </si>
  <si>
    <t>569</t>
  </si>
  <si>
    <t>570</t>
  </si>
  <si>
    <t>Charter School Debt issued Outside NC</t>
  </si>
  <si>
    <t>571</t>
  </si>
  <si>
    <t>572</t>
  </si>
  <si>
    <t>573</t>
  </si>
  <si>
    <t>574</t>
  </si>
  <si>
    <t xml:space="preserve">Mental Health - Proceeds from LTD </t>
  </si>
  <si>
    <t>992</t>
  </si>
  <si>
    <t>997</t>
  </si>
  <si>
    <t>County Collects Taxes for Municipality</t>
  </si>
  <si>
    <t>CCH 997</t>
  </si>
  <si>
    <t>import tab only</t>
  </si>
  <si>
    <t>do not upload</t>
  </si>
  <si>
    <t>included in TD Accounts</t>
  </si>
  <si>
    <t>TD - auditor</t>
  </si>
  <si>
    <t>TD -Internal</t>
  </si>
  <si>
    <t>do not delete row</t>
  </si>
  <si>
    <t>total expenditures for FBA Calculation</t>
  </si>
  <si>
    <t>should equal column E on 2021 DIW</t>
  </si>
  <si>
    <t>Not loaded to CCH TB</t>
  </si>
  <si>
    <t xml:space="preserve">Date  </t>
  </si>
  <si>
    <t>Please indicate if you expect your revaluation to increase, decrease, or no change.  If you are not listed please select N/A</t>
  </si>
  <si>
    <t>2020 Data(H)</t>
  </si>
  <si>
    <t>2019 Data(H)</t>
  </si>
  <si>
    <t>Inactive</t>
  </si>
  <si>
    <t>Converted to Johnston Health in 2015</t>
  </si>
  <si>
    <t>???</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</si>
  <si>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</si>
  <si>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</si>
  <si>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</si>
  <si>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</si>
  <si>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</si>
  <si>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</si>
  <si>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</si>
  <si>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</si>
  <si>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</si>
  <si>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</si>
  <si>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</si>
  <si>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</si>
  <si>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</si>
  <si>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</si>
  <si>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</si>
  <si>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</si>
  <si>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</si>
  <si>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</si>
  <si>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</si>
  <si>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</si>
  <si>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</si>
  <si>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</si>
  <si>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</si>
  <si>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</si>
  <si>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</si>
  <si>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</si>
  <si>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53876</t>
  </si>
  <si>
    <t>53926</t>
  </si>
  <si>
    <t>53880</t>
  </si>
  <si>
    <t>53881</t>
  </si>
  <si>
    <t>53938</t>
  </si>
  <si>
    <t>53884</t>
  </si>
  <si>
    <t>53889</t>
  </si>
  <si>
    <t>53890</t>
  </si>
  <si>
    <t>53897</t>
  </si>
  <si>
    <t>53970</t>
  </si>
  <si>
    <t>53901</t>
  </si>
  <si>
    <t>53902</t>
  </si>
  <si>
    <t>53923</t>
  </si>
  <si>
    <t>53908</t>
  </si>
  <si>
    <t>53913</t>
  </si>
  <si>
    <t>4</t>
  </si>
  <si>
    <t>5</t>
  </si>
  <si>
    <t>6</t>
  </si>
  <si>
    <t>7</t>
  </si>
  <si>
    <t>9</t>
  </si>
  <si>
    <t>11</t>
  </si>
  <si>
    <t>12</t>
  </si>
  <si>
    <t>13</t>
  </si>
  <si>
    <t>14</t>
  </si>
  <si>
    <t>16</t>
  </si>
  <si>
    <t>17</t>
  </si>
  <si>
    <t>19</t>
  </si>
  <si>
    <t>20</t>
  </si>
  <si>
    <t>21</t>
  </si>
  <si>
    <t>22</t>
  </si>
  <si>
    <t>23</t>
  </si>
  <si>
    <t>31</t>
  </si>
  <si>
    <t>32</t>
  </si>
  <si>
    <t>33</t>
  </si>
  <si>
    <t>44</t>
  </si>
  <si>
    <t>45</t>
  </si>
  <si>
    <t>47</t>
  </si>
  <si>
    <t>48</t>
  </si>
  <si>
    <t>49</t>
  </si>
  <si>
    <t>50</t>
  </si>
  <si>
    <t>51</t>
  </si>
  <si>
    <t>52</t>
  </si>
  <si>
    <t>53</t>
  </si>
  <si>
    <t>55</t>
  </si>
  <si>
    <t>61</t>
  </si>
  <si>
    <t>80</t>
  </si>
  <si>
    <t>81</t>
  </si>
  <si>
    <t>82</t>
  </si>
  <si>
    <t>83</t>
  </si>
  <si>
    <t>84</t>
  </si>
  <si>
    <t>85</t>
  </si>
  <si>
    <t>88</t>
  </si>
  <si>
    <t>89</t>
  </si>
  <si>
    <t>90</t>
  </si>
  <si>
    <t>91</t>
  </si>
  <si>
    <t>93</t>
  </si>
  <si>
    <t>94</t>
  </si>
  <si>
    <t>97</t>
  </si>
  <si>
    <t>98</t>
  </si>
  <si>
    <t>99</t>
  </si>
  <si>
    <t>100</t>
  </si>
  <si>
    <t>101</t>
  </si>
  <si>
    <t>102</t>
  </si>
  <si>
    <t>103</t>
  </si>
  <si>
    <t>171</t>
  </si>
  <si>
    <t>191</t>
  </si>
  <si>
    <t>192</t>
  </si>
  <si>
    <t>252</t>
  </si>
  <si>
    <t>253</t>
  </si>
  <si>
    <t>254</t>
  </si>
  <si>
    <t>255</t>
  </si>
  <si>
    <t>320</t>
  </si>
  <si>
    <t>321</t>
  </si>
  <si>
    <t>322</t>
  </si>
  <si>
    <t>323</t>
  </si>
  <si>
    <t>324</t>
  </si>
  <si>
    <t>325</t>
  </si>
  <si>
    <t>327</t>
  </si>
  <si>
    <t>328</t>
  </si>
  <si>
    <t>331</t>
  </si>
  <si>
    <t>335</t>
  </si>
  <si>
    <t>336</t>
  </si>
  <si>
    <t>337</t>
  </si>
  <si>
    <t>338</t>
  </si>
  <si>
    <t>339</t>
  </si>
  <si>
    <t>341</t>
  </si>
  <si>
    <t>343</t>
  </si>
  <si>
    <t>344</t>
  </si>
  <si>
    <t>349</t>
  </si>
  <si>
    <t>350</t>
  </si>
  <si>
    <t>351</t>
  </si>
  <si>
    <t>352</t>
  </si>
  <si>
    <t>353</t>
  </si>
  <si>
    <t>356</t>
  </si>
  <si>
    <t>357</t>
  </si>
  <si>
    <t>359</t>
  </si>
  <si>
    <t>360</t>
  </si>
  <si>
    <t>361</t>
  </si>
  <si>
    <t>362</t>
  </si>
  <si>
    <t>363</t>
  </si>
  <si>
    <t>364</t>
  </si>
  <si>
    <t>365</t>
  </si>
  <si>
    <t>366</t>
  </si>
  <si>
    <t>367</t>
  </si>
  <si>
    <t>Gen Fund - Restricted Cash &amp; Investments (pre-CCH)</t>
  </si>
  <si>
    <t>368</t>
  </si>
  <si>
    <t>369</t>
  </si>
  <si>
    <t>370</t>
  </si>
  <si>
    <t>373</t>
  </si>
  <si>
    <t>375</t>
  </si>
  <si>
    <t>376</t>
  </si>
  <si>
    <t>377</t>
  </si>
  <si>
    <t>378</t>
  </si>
  <si>
    <t>379</t>
  </si>
  <si>
    <t>380</t>
  </si>
  <si>
    <t>381</t>
  </si>
  <si>
    <t>382</t>
  </si>
  <si>
    <t>383</t>
  </si>
  <si>
    <t>384</t>
  </si>
  <si>
    <t>385</t>
  </si>
  <si>
    <t>386</t>
  </si>
  <si>
    <t>387</t>
  </si>
  <si>
    <t>388</t>
  </si>
  <si>
    <t>389</t>
  </si>
  <si>
    <t>391</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</si>
  <si>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</si>
  <si>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</si>
  <si>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</si>
  <si>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</si>
  <si>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</si>
  <si>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</si>
  <si>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</si>
  <si>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</si>
  <si>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</si>
  <si>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</si>
  <si>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</si>
  <si>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</si>
  <si>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</si>
  <si>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</si>
  <si>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</si>
  <si>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</si>
  <si>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</si>
  <si>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</si>
  <si>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</si>
  <si>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</si>
  <si>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</si>
  <si>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</si>
  <si>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</si>
  <si>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</si>
  <si>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</si>
  <si>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</si>
  <si>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</si>
  <si>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</si>
  <si>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</si>
  <si>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</si>
  <si>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</si>
  <si>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</si>
  <si>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 xml:space="preserve"> 331+89 </t>
  </si>
  <si>
    <t xml:space="preserve">                                            -  </t>
  </si>
  <si>
    <t xml:space="preserve">                                          -  </t>
  </si>
  <si>
    <t xml:space="preserve">                                     -  </t>
  </si>
  <si>
    <t xml:space="preserve">                                           -  </t>
  </si>
  <si>
    <t xml:space="preserve">                                   -  </t>
  </si>
  <si>
    <t xml:space="preserve">                                              -  </t>
  </si>
  <si>
    <t xml:space="preserve">                                               -  </t>
  </si>
  <si>
    <t xml:space="preserve">                                       -  </t>
  </si>
  <si>
    <t xml:space="preserve">                                  -  </t>
  </si>
  <si>
    <t>577</t>
  </si>
  <si>
    <t xml:space="preserve">NC DEPARTMENT OF STATE TREASURER- STATE AND LOCAL GOVERNMENT FINANCE DIVISION
TD Info Completed by Auditor
</t>
  </si>
  <si>
    <t>Formula in cell E250</t>
  </si>
  <si>
    <t>Formula in cell E251</t>
  </si>
  <si>
    <t>The Auditor will submit the Audit Report to the LGC within five months plus one day after the fiscal year end.  (for units with a June 30th fiscal year-end this would be December 1)   Select Yes or No</t>
  </si>
  <si>
    <t>Version Date 9/17/2021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</si>
</sst>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2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b/>
      <sz val="12"/>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u/>
      <sz val="10"/>
      <color theme="0"/>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sz val="11"/>
      <color theme="5" tint="0.79998168889431442"/>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theme="1"/>
      <name val="Century Schoolbook"/>
      <family val="2"/>
    </font>
    <font>
      <sz val="10"/>
      <name val="Arial"/>
      <family val="2"/>
    </font>
    <font>
      <sz val="12"/>
      <name val="Century Schoolbook"/>
      <family val="1"/>
    </font>
    <font>
      <sz val="10"/>
      <name val="Century Schoolbook"/>
      <family val="1"/>
    </font>
    <font>
      <b/>
      <sz val="12"/>
      <name val="Century Schoolbook"/>
      <family val="1"/>
    </font>
    <font>
      <sz val="11"/>
      <name val="Century Schoolbook"/>
      <family val="1"/>
    </font>
    <font>
      <u/>
      <sz val="11"/>
      <color theme="1"/>
      <name val="Century Schoolbook"/>
      <family val="1"/>
    </font>
    <font>
      <sz val="11"/>
      <color rgb="FFFF0000"/>
      <name val="Century Schoolbook"/>
      <family val="1"/>
    </font>
    <font>
      <b/>
      <sz val="11"/>
      <color indexed="8"/>
      <name val="Century Schoolbook"/>
      <family val="1"/>
    </font>
    <font>
      <b/>
      <sz val="11"/>
      <color rgb="FF000000"/>
      <name val="Century Schoolbook"/>
      <family val="1"/>
    </font>
    <font>
      <sz val="8"/>
      <color theme="1"/>
      <name val="Century Schoolbook"/>
      <family val="1"/>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name val="Verdana"/>
      <family val="2"/>
    </font>
    <font>
      <b/>
      <sz val="11"/>
      <color rgb="FFFF0000"/>
      <name val="Verdana"/>
      <family val="2"/>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style="thin">
        <color theme="1" tint="0.499984740745262"/>
      </right>
      <top style="thin">
        <color theme="1" tint="0.499984740745262"/>
      </top>
      <bottom style="thin">
        <color theme="1" tint="0.499984740745262"/>
      </bottom>
      <diagonal/>
    </border>
    <border>
      <left style="thin">
        <color theme="0"/>
      </left>
      <right style="thin">
        <color theme="0"/>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right style="thin">
        <color theme="0"/>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 fillId="15" borderId="1" applyNumberFormat="0" applyAlignment="0" applyProtection="0"/>
    <xf numFmtId="0" fontId="18" fillId="15" borderId="1" applyNumberFormat="0" applyAlignment="0" applyProtection="0"/>
    <xf numFmtId="0" fontId="9" fillId="7" borderId="2" applyNumberFormat="0" applyAlignment="0" applyProtection="0"/>
    <xf numFmtId="0" fontId="9" fillId="7" borderId="2" applyNumberFormat="0" applyAlignment="0" applyProtection="0"/>
    <xf numFmtId="43" fontId="3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0" fillId="0" borderId="0"/>
    <xf numFmtId="0" fontId="21" fillId="0" borderId="0"/>
    <xf numFmtId="0" fontId="20" fillId="0" borderId="0"/>
    <xf numFmtId="0" fontId="30" fillId="0" borderId="0"/>
    <xf numFmtId="0" fontId="2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1"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0" fillId="0" borderId="0"/>
    <xf numFmtId="0" fontId="20"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35" fillId="0" borderId="0"/>
    <xf numFmtId="0" fontId="30" fillId="0" borderId="0"/>
    <xf numFmtId="0" fontId="20" fillId="0" borderId="0"/>
    <xf numFmtId="0" fontId="20" fillId="0" borderId="0"/>
    <xf numFmtId="0" fontId="35" fillId="0" borderId="0"/>
    <xf numFmtId="0" fontId="12" fillId="0" borderId="0"/>
    <xf numFmtId="0" fontId="12" fillId="0" borderId="0"/>
    <xf numFmtId="0" fontId="35" fillId="0" borderId="0"/>
    <xf numFmtId="0" fontId="20" fillId="0" borderId="0"/>
    <xf numFmtId="0" fontId="20" fillId="0" borderId="0"/>
    <xf numFmtId="0" fontId="20" fillId="0" borderId="0"/>
    <xf numFmtId="0" fontId="35" fillId="0" borderId="0"/>
    <xf numFmtId="0" fontId="35" fillId="0" borderId="0"/>
    <xf numFmtId="0" fontId="35" fillId="0" borderId="0"/>
    <xf numFmtId="0" fontId="20" fillId="0" borderId="0"/>
    <xf numFmtId="0" fontId="35" fillId="0" borderId="0"/>
    <xf numFmtId="0" fontId="20" fillId="0" borderId="0"/>
    <xf numFmtId="0" fontId="35" fillId="0" borderId="0"/>
    <xf numFmtId="0" fontId="35" fillId="0" borderId="0"/>
    <xf numFmtId="0" fontId="20" fillId="0" borderId="0"/>
    <xf numFmtId="0" fontId="35" fillId="0" borderId="0"/>
    <xf numFmtId="0" fontId="35" fillId="0" borderId="0"/>
    <xf numFmtId="0" fontId="35" fillId="0" borderId="0"/>
    <xf numFmtId="0" fontId="3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12" fillId="0" borderId="0"/>
    <xf numFmtId="0" fontId="23" fillId="0" borderId="0"/>
    <xf numFmtId="0" fontId="22" fillId="0" borderId="0"/>
    <xf numFmtId="0" fontId="22" fillId="0" borderId="0"/>
    <xf numFmtId="0" fontId="31" fillId="0" borderId="0"/>
    <xf numFmtId="0" fontId="12" fillId="0" borderId="0"/>
    <xf numFmtId="0" fontId="12" fillId="0" borderId="0"/>
    <xf numFmtId="0" fontId="12" fillId="0" borderId="0"/>
    <xf numFmtId="0" fontId="12"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20" fillId="0" borderId="0"/>
    <xf numFmtId="0" fontId="31" fillId="0" borderId="0"/>
    <xf numFmtId="0" fontId="12" fillId="0" borderId="0"/>
    <xf numFmtId="0" fontId="12" fillId="0" borderId="0"/>
    <xf numFmtId="0" fontId="12" fillId="0" borderId="0"/>
    <xf numFmtId="0" fontId="1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22" fillId="0" borderId="0"/>
    <xf numFmtId="0" fontId="29"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2" fillId="0" borderId="0"/>
    <xf numFmtId="0" fontId="32" fillId="0" borderId="0"/>
    <xf numFmtId="0" fontId="22" fillId="0" borderId="0"/>
    <xf numFmtId="0" fontId="22" fillId="0" borderId="0"/>
    <xf numFmtId="0" fontId="22" fillId="0" borderId="0"/>
    <xf numFmtId="0" fontId="22" fillId="0" borderId="0"/>
    <xf numFmtId="0" fontId="35" fillId="0" borderId="0"/>
    <xf numFmtId="0" fontId="3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35" fillId="0" borderId="0"/>
    <xf numFmtId="0" fontId="35" fillId="0" borderId="0"/>
    <xf numFmtId="0" fontId="22" fillId="0" borderId="0"/>
    <xf numFmtId="0" fontId="35" fillId="0" borderId="0"/>
    <xf numFmtId="0" fontId="35" fillId="0" borderId="0"/>
    <xf numFmtId="0" fontId="35" fillId="0" borderId="0"/>
    <xf numFmtId="0" fontId="3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6" fillId="0" borderId="0"/>
    <xf numFmtId="3" fontId="6" fillId="0" borderId="0"/>
    <xf numFmtId="0" fontId="12" fillId="5" borderId="7" applyNumberFormat="0" applyFont="0" applyAlignment="0" applyProtection="0"/>
    <xf numFmtId="0" fontId="12" fillId="5" borderId="7" applyNumberFormat="0" applyFont="0" applyAlignment="0" applyProtection="0"/>
    <xf numFmtId="0" fontId="31" fillId="5" borderId="7" applyNumberFormat="0" applyFont="0" applyAlignment="0" applyProtection="0"/>
    <xf numFmtId="0" fontId="12" fillId="5" borderId="7" applyNumberFormat="0" applyFont="0" applyAlignment="0" applyProtection="0"/>
    <xf numFmtId="0" fontId="12" fillId="5" borderId="7" applyNumberFormat="0" applyFont="0" applyAlignment="0" applyProtection="0"/>
    <xf numFmtId="0" fontId="11" fillId="15" borderId="8" applyNumberFormat="0" applyAlignment="0" applyProtection="0"/>
    <xf numFmtId="0" fontId="11" fillId="15" borderId="8" applyNumberFormat="0" applyAlignment="0" applyProtection="0"/>
    <xf numFmtId="9" fontId="23"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13" fillId="0" borderId="0" applyNumberFormat="0" applyFill="0" applyBorder="0" applyAlignment="0" applyProtection="0"/>
    <xf numFmtId="0" fontId="40" fillId="20" borderId="0" applyFont="0" applyBorder="0" applyAlignment="0">
      <alignment horizontal="center" wrapText="1"/>
    </xf>
    <xf numFmtId="0" fontId="40" fillId="20" borderId="0" applyFont="0" applyBorder="0" applyAlignment="0">
      <alignment horizontal="center" wrapText="1"/>
    </xf>
    <xf numFmtId="0" fontId="34"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0" fillId="0" borderId="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xf numFmtId="0" fontId="71" fillId="0" borderId="0"/>
    <xf numFmtId="0" fontId="71" fillId="0" borderId="0"/>
    <xf numFmtId="0" fontId="70" fillId="0" borderId="0"/>
    <xf numFmtId="0" fontId="71" fillId="0" borderId="0"/>
    <xf numFmtId="0" fontId="71" fillId="0" borderId="0"/>
    <xf numFmtId="0" fontId="72" fillId="0" borderId="0"/>
    <xf numFmtId="0" fontId="7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5" borderId="7" applyNumberFormat="0" applyFont="0" applyAlignment="0" applyProtection="0"/>
    <xf numFmtId="0" fontId="1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43" fontId="1" fillId="0" borderId="0" applyFont="0" applyFill="0" applyBorder="0" applyAlignment="0" applyProtection="0"/>
    <xf numFmtId="0" fontId="36"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5"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0" fontId="70"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0" fillId="0" borderId="0"/>
    <xf numFmtId="0" fontId="70" fillId="0" borderId="0"/>
    <xf numFmtId="0" fontId="70" fillId="0" borderId="0"/>
    <xf numFmtId="0" fontId="70" fillId="0" borderId="0"/>
    <xf numFmtId="0" fontId="70" fillId="0" borderId="0"/>
    <xf numFmtId="0" fontId="12" fillId="0" borderId="0"/>
    <xf numFmtId="0" fontId="70" fillId="0" borderId="0"/>
    <xf numFmtId="0" fontId="7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5" fillId="0" borderId="0"/>
    <xf numFmtId="0" fontId="35" fillId="0" borderId="0"/>
    <xf numFmtId="0" fontId="22" fillId="0" borderId="0"/>
    <xf numFmtId="0" fontId="35" fillId="0" borderId="0"/>
    <xf numFmtId="0" fontId="35" fillId="0" borderId="0"/>
    <xf numFmtId="0" fontId="35" fillId="0" borderId="0"/>
    <xf numFmtId="0" fontId="70" fillId="0" borderId="0"/>
    <xf numFmtId="0" fontId="35" fillId="0" borderId="0"/>
    <xf numFmtId="0" fontId="35" fillId="0" borderId="0"/>
    <xf numFmtId="0" fontId="35" fillId="0" borderId="0"/>
    <xf numFmtId="0" fontId="35" fillId="0" borderId="0"/>
    <xf numFmtId="0" fontId="3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5" fillId="0" borderId="0"/>
    <xf numFmtId="0" fontId="35" fillId="0" borderId="0"/>
    <xf numFmtId="0" fontId="35" fillId="0" borderId="0"/>
    <xf numFmtId="0" fontId="35" fillId="0" borderId="0"/>
    <xf numFmtId="0" fontId="35" fillId="0" borderId="0"/>
    <xf numFmtId="0" fontId="12" fillId="0" borderId="0"/>
    <xf numFmtId="0" fontId="72" fillId="0" borderId="0"/>
    <xf numFmtId="0" fontId="72" fillId="0" borderId="0"/>
    <xf numFmtId="0" fontId="72" fillId="0" borderId="0"/>
    <xf numFmtId="0" fontId="72" fillId="0" borderId="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2" fillId="0" borderId="0"/>
    <xf numFmtId="0" fontId="72" fillId="0" borderId="0"/>
    <xf numFmtId="0" fontId="35" fillId="0" borderId="0"/>
    <xf numFmtId="0" fontId="35" fillId="0" borderId="0"/>
    <xf numFmtId="0" fontId="35" fillId="0" borderId="0"/>
    <xf numFmtId="0" fontId="35" fillId="0" borderId="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22" fillId="0" borderId="0"/>
    <xf numFmtId="0" fontId="7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71" fillId="0" borderId="0"/>
    <xf numFmtId="0" fontId="12" fillId="0" borderId="0"/>
    <xf numFmtId="0" fontId="12"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2" fillId="0" borderId="0"/>
    <xf numFmtId="0" fontId="12" fillId="0" borderId="0"/>
    <xf numFmtId="0" fontId="12" fillId="0" borderId="0"/>
    <xf numFmtId="44" fontId="35" fillId="0" borderId="0" applyFont="0" applyFill="0" applyBorder="0" applyAlignment="0" applyProtection="0"/>
    <xf numFmtId="0" fontId="22" fillId="0" borderId="0"/>
    <xf numFmtId="0" fontId="12" fillId="0" borderId="0"/>
    <xf numFmtId="0" fontId="12" fillId="0" borderId="0"/>
    <xf numFmtId="0" fontId="20" fillId="0" borderId="0"/>
    <xf numFmtId="0" fontId="12" fillId="0" borderId="0"/>
    <xf numFmtId="43" fontId="35" fillId="0" borderId="0" applyFont="0" applyFill="0" applyBorder="0" applyAlignment="0" applyProtection="0"/>
    <xf numFmtId="0" fontId="20" fillId="0" borderId="0"/>
    <xf numFmtId="0" fontId="12" fillId="0" borderId="0"/>
    <xf numFmtId="43" fontId="35" fillId="0" borderId="0" applyFont="0" applyFill="0" applyBorder="0" applyAlignment="0" applyProtection="0"/>
    <xf numFmtId="0" fontId="12" fillId="0" borderId="0"/>
    <xf numFmtId="0" fontId="20" fillId="0" borderId="0"/>
    <xf numFmtId="0" fontId="20"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72" fillId="0" borderId="0"/>
    <xf numFmtId="0" fontId="1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43" fontId="35" fillId="0" borderId="0" applyFont="0" applyFill="0" applyBorder="0" applyAlignment="0" applyProtection="0"/>
    <xf numFmtId="0" fontId="12" fillId="0" borderId="0"/>
    <xf numFmtId="0" fontId="20" fillId="0" borderId="0"/>
    <xf numFmtId="0" fontId="20" fillId="0" borderId="0"/>
    <xf numFmtId="0" fontId="12" fillId="0" borderId="0"/>
    <xf numFmtId="0" fontId="22" fillId="0" borderId="0"/>
    <xf numFmtId="0" fontId="20" fillId="0" borderId="0"/>
    <xf numFmtId="0" fontId="20" fillId="0" borderId="0"/>
    <xf numFmtId="0" fontId="12"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22"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12" fillId="0" borderId="0"/>
    <xf numFmtId="0" fontId="22"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0" fontId="71" fillId="0" borderId="0"/>
    <xf numFmtId="0" fontId="20" fillId="0" borderId="0"/>
    <xf numFmtId="44" fontId="35" fillId="0" borderId="0" applyFont="0" applyFill="0" applyBorder="0" applyAlignment="0" applyProtection="0"/>
    <xf numFmtId="9" fontId="35" fillId="0" borderId="0" applyFont="0" applyFill="0" applyBorder="0" applyAlignment="0" applyProtection="0"/>
    <xf numFmtId="0" fontId="20" fillId="0" borderId="0"/>
    <xf numFmtId="0" fontId="22"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20" fillId="0" borderId="0"/>
    <xf numFmtId="0" fontId="12" fillId="0" borderId="0"/>
    <xf numFmtId="0" fontId="20" fillId="0" borderId="0"/>
    <xf numFmtId="0" fontId="12" fillId="0" borderId="0"/>
    <xf numFmtId="0" fontId="20"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1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2" fillId="0" borderId="0"/>
    <xf numFmtId="0" fontId="20" fillId="0" borderId="0"/>
    <xf numFmtId="0" fontId="12"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20" fillId="0" borderId="0"/>
    <xf numFmtId="0" fontId="22" fillId="0" borderId="0"/>
    <xf numFmtId="0" fontId="2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12" fillId="0" borderId="0"/>
    <xf numFmtId="0" fontId="12" fillId="0" borderId="0"/>
    <xf numFmtId="0" fontId="12" fillId="0" borderId="0"/>
    <xf numFmtId="0" fontId="22" fillId="0" borderId="0"/>
    <xf numFmtId="0" fontId="22" fillId="0" borderId="0"/>
    <xf numFmtId="0" fontId="12" fillId="0" borderId="0"/>
    <xf numFmtId="0" fontId="20" fillId="0" borderId="0"/>
    <xf numFmtId="0" fontId="20" fillId="0" borderId="0"/>
    <xf numFmtId="0" fontId="12" fillId="0" borderId="0"/>
    <xf numFmtId="0" fontId="12" fillId="0" borderId="0"/>
    <xf numFmtId="0" fontId="12" fillId="0" borderId="0"/>
    <xf numFmtId="0" fontId="20" fillId="0" borderId="0"/>
    <xf numFmtId="0" fontId="20" fillId="0" borderId="0"/>
    <xf numFmtId="0" fontId="22" fillId="0" borderId="0"/>
    <xf numFmtId="0" fontId="12" fillId="5" borderId="7" applyNumberFormat="0" applyFont="0" applyAlignment="0" applyProtection="0"/>
    <xf numFmtId="0" fontId="12" fillId="0" borderId="0"/>
    <xf numFmtId="0" fontId="12" fillId="0" borderId="0"/>
    <xf numFmtId="0" fontId="12" fillId="0" borderId="0"/>
    <xf numFmtId="0" fontId="12" fillId="0" borderId="0"/>
    <xf numFmtId="0" fontId="22" fillId="0" borderId="0"/>
    <xf numFmtId="0" fontId="22" fillId="0" borderId="0"/>
    <xf numFmtId="0" fontId="12" fillId="0" borderId="0"/>
    <xf numFmtId="0" fontId="12" fillId="0" borderId="0"/>
    <xf numFmtId="0" fontId="22" fillId="0" borderId="0"/>
    <xf numFmtId="0" fontId="20" fillId="0" borderId="0"/>
    <xf numFmtId="0" fontId="12" fillId="5" borderId="7" applyNumberFormat="0" applyFont="0" applyAlignment="0" applyProtection="0"/>
    <xf numFmtId="0" fontId="12" fillId="0" borderId="0"/>
    <xf numFmtId="0" fontId="20" fillId="0" borderId="0"/>
    <xf numFmtId="0" fontId="12" fillId="0" borderId="0"/>
    <xf numFmtId="0" fontId="20" fillId="0" borderId="0"/>
    <xf numFmtId="0" fontId="20" fillId="0" borderId="0"/>
    <xf numFmtId="0" fontId="20"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0" fillId="0" borderId="0"/>
    <xf numFmtId="0" fontId="20" fillId="0" borderId="0"/>
    <xf numFmtId="0" fontId="22" fillId="0" borderId="0"/>
    <xf numFmtId="0" fontId="20" fillId="0" borderId="0"/>
    <xf numFmtId="0" fontId="22" fillId="0" borderId="0"/>
    <xf numFmtId="0" fontId="12" fillId="0" borderId="0"/>
    <xf numFmtId="0" fontId="12" fillId="0" borderId="0"/>
    <xf numFmtId="0" fontId="22" fillId="0" borderId="0"/>
    <xf numFmtId="0" fontId="20" fillId="0" borderId="0"/>
    <xf numFmtId="0" fontId="12" fillId="0" borderId="0"/>
    <xf numFmtId="0" fontId="76" fillId="0" borderId="47" applyNumberFormat="0" applyFill="0" applyAlignment="0" applyProtection="0"/>
    <xf numFmtId="0" fontId="77" fillId="0" borderId="48" applyNumberFormat="0" applyFill="0" applyAlignment="0" applyProtection="0"/>
    <xf numFmtId="0" fontId="78" fillId="0" borderId="49" applyNumberFormat="0" applyFill="0" applyAlignment="0" applyProtection="0"/>
    <xf numFmtId="0" fontId="78" fillId="0" borderId="0" applyNumberFormat="0" applyFill="0" applyBorder="0" applyAlignment="0" applyProtection="0"/>
    <xf numFmtId="0" fontId="79" fillId="37" borderId="0" applyNumberFormat="0" applyBorder="0" applyAlignment="0" applyProtection="0"/>
    <xf numFmtId="0" fontId="80" fillId="38" borderId="0" applyNumberFormat="0" applyBorder="0" applyAlignment="0" applyProtection="0"/>
    <xf numFmtId="0" fontId="81" fillId="40" borderId="50" applyNumberFormat="0" applyAlignment="0" applyProtection="0"/>
    <xf numFmtId="0" fontId="82" fillId="41" borderId="51" applyNumberFormat="0" applyAlignment="0" applyProtection="0"/>
    <xf numFmtId="0" fontId="83" fillId="41" borderId="50" applyNumberFormat="0" applyAlignment="0" applyProtection="0"/>
    <xf numFmtId="0" fontId="84" fillId="0" borderId="52" applyNumberFormat="0" applyFill="0" applyAlignment="0" applyProtection="0"/>
    <xf numFmtId="0" fontId="85" fillId="42" borderId="53" applyNumberFormat="0" applyAlignment="0" applyProtection="0"/>
    <xf numFmtId="0" fontId="73" fillId="0" borderId="0" applyNumberFormat="0" applyFill="0" applyBorder="0" applyAlignment="0" applyProtection="0"/>
    <xf numFmtId="0" fontId="41" fillId="0" borderId="55" applyNumberFormat="0" applyFill="0" applyAlignment="0" applyProtection="0"/>
    <xf numFmtId="0" fontId="86"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95" fillId="39" borderId="0" applyNumberFormat="0" applyBorder="0" applyAlignment="0" applyProtection="0"/>
    <xf numFmtId="0" fontId="35" fillId="43" borderId="54" applyNumberFormat="0" applyFont="0" applyAlignment="0" applyProtection="0"/>
    <xf numFmtId="40" fontId="88" fillId="0" borderId="17">
      <alignment horizontal="right"/>
    </xf>
    <xf numFmtId="0" fontId="89" fillId="0" borderId="0">
      <alignment horizontal="left"/>
    </xf>
    <xf numFmtId="49" fontId="12" fillId="0" borderId="0"/>
    <xf numFmtId="0" fontId="89" fillId="0" borderId="0">
      <alignment horizontal="left"/>
    </xf>
    <xf numFmtId="177" fontId="88" fillId="0" borderId="17">
      <alignment horizontal="right"/>
    </xf>
    <xf numFmtId="49" fontId="88" fillId="0" borderId="0">
      <alignment horizontal="right"/>
    </xf>
    <xf numFmtId="40" fontId="12" fillId="0" borderId="0">
      <alignment horizontal="right"/>
    </xf>
    <xf numFmtId="49" fontId="12" fillId="0" borderId="0">
      <alignment horizontal="left"/>
    </xf>
    <xf numFmtId="40" fontId="12" fillId="0" borderId="0"/>
    <xf numFmtId="49" fontId="12" fillId="0" borderId="0">
      <alignment horizontal="left"/>
    </xf>
    <xf numFmtId="177" fontId="12" fillId="0" borderId="0">
      <alignment horizontal="right"/>
    </xf>
    <xf numFmtId="49" fontId="12" fillId="0" borderId="0"/>
    <xf numFmtId="49" fontId="87" fillId="50" borderId="0">
      <alignment horizontal="right" vertical="center"/>
    </xf>
    <xf numFmtId="49" fontId="87" fillId="50" borderId="0">
      <alignment horizontal="left" vertical="center"/>
    </xf>
    <xf numFmtId="49" fontId="87" fillId="50" borderId="0">
      <alignment horizontal="center" vertical="center"/>
    </xf>
    <xf numFmtId="49" fontId="87" fillId="50" borderId="0">
      <alignment horizontal="center" vertical="center"/>
    </xf>
    <xf numFmtId="49" fontId="87" fillId="50" borderId="0">
      <alignment horizontal="right" vertical="center"/>
    </xf>
    <xf numFmtId="40" fontId="87" fillId="50" borderId="0">
      <alignment horizontal="right"/>
    </xf>
    <xf numFmtId="49" fontId="87" fillId="50" borderId="0">
      <alignment horizontal="center" vertical="center"/>
    </xf>
    <xf numFmtId="40" fontId="12" fillId="0" borderId="0"/>
    <xf numFmtId="0" fontId="12" fillId="0" borderId="0">
      <alignment horizontal="left"/>
    </xf>
    <xf numFmtId="49" fontId="12" fillId="0" borderId="0"/>
    <xf numFmtId="49" fontId="12" fillId="0" borderId="0">
      <alignment horizontal="center" vertical="center"/>
    </xf>
    <xf numFmtId="177" fontId="12" fillId="0" borderId="0">
      <alignment horizontal="right"/>
    </xf>
    <xf numFmtId="49" fontId="12" fillId="0" borderId="0"/>
    <xf numFmtId="49" fontId="87" fillId="50" borderId="0">
      <alignment horizontal="center" vertical="center"/>
    </xf>
    <xf numFmtId="49" fontId="87" fillId="50" borderId="0">
      <alignment horizontal="center" vertical="center"/>
    </xf>
    <xf numFmtId="177" fontId="87" fillId="50" borderId="0">
      <alignment horizontal="center" vertical="center"/>
    </xf>
    <xf numFmtId="49" fontId="87" fillId="50" borderId="0">
      <alignment horizontal="right"/>
    </xf>
    <xf numFmtId="40" fontId="88" fillId="0" borderId="19">
      <alignment horizontal="right"/>
    </xf>
    <xf numFmtId="0" fontId="89" fillId="0" borderId="0">
      <alignment horizontal="left"/>
    </xf>
    <xf numFmtId="49" fontId="12" fillId="0" borderId="0"/>
    <xf numFmtId="0" fontId="89" fillId="0" borderId="0">
      <alignment horizontal="left"/>
    </xf>
    <xf numFmtId="177" fontId="88" fillId="0" borderId="19">
      <alignment horizontal="right"/>
    </xf>
    <xf numFmtId="49" fontId="88" fillId="0" borderId="0">
      <alignment horizontal="right"/>
    </xf>
    <xf numFmtId="49" fontId="12" fillId="0" borderId="0"/>
    <xf numFmtId="49" fontId="12" fillId="0" borderId="0"/>
    <xf numFmtId="40" fontId="88" fillId="0" borderId="14">
      <alignment horizontal="right"/>
    </xf>
    <xf numFmtId="49" fontId="88" fillId="0" borderId="0">
      <alignment horizontal="left"/>
    </xf>
    <xf numFmtId="49" fontId="12" fillId="0" borderId="0"/>
    <xf numFmtId="49" fontId="88" fillId="0" borderId="0">
      <alignment horizontal="left"/>
    </xf>
    <xf numFmtId="177" fontId="88" fillId="0" borderId="14">
      <alignment horizontal="right"/>
    </xf>
    <xf numFmtId="49" fontId="88" fillId="0" borderId="0">
      <alignment horizontal="right"/>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12" fillId="0" borderId="0"/>
    <xf numFmtId="49" fontId="12" fillId="0" borderId="0"/>
    <xf numFmtId="49" fontId="12" fillId="0" borderId="0"/>
    <xf numFmtId="49" fontId="12" fillId="0" borderId="0"/>
    <xf numFmtId="49" fontId="12" fillId="0" borderId="0"/>
    <xf numFmtId="49" fontId="12" fillId="0" borderId="0"/>
    <xf numFmtId="0" fontId="88" fillId="51" borderId="0">
      <alignment horizontal="center" vertical="center"/>
    </xf>
    <xf numFmtId="49" fontId="12" fillId="51" borderId="0">
      <alignment horizontal="left" vertical="center"/>
    </xf>
    <xf numFmtId="49" fontId="88" fillId="51" borderId="0">
      <alignment horizontal="center" vertical="center"/>
    </xf>
    <xf numFmtId="0" fontId="88" fillId="52" borderId="0">
      <alignment horizontal="left"/>
    </xf>
    <xf numFmtId="49" fontId="12" fillId="0" borderId="0"/>
    <xf numFmtId="0" fontId="88" fillId="52" borderId="0">
      <alignment horizontal="left"/>
    </xf>
    <xf numFmtId="40" fontId="88" fillId="0" borderId="0">
      <alignment horizontal="right"/>
    </xf>
    <xf numFmtId="49" fontId="87" fillId="50" borderId="0"/>
    <xf numFmtId="49" fontId="87" fillId="50" borderId="0"/>
    <xf numFmtId="49" fontId="12" fillId="0" borderId="0"/>
    <xf numFmtId="0" fontId="90" fillId="53" borderId="0" applyFont="0" applyFill="0">
      <alignment horizontal="left" vertical="top" wrapText="1"/>
    </xf>
    <xf numFmtId="40" fontId="90" fillId="0" borderId="0"/>
    <xf numFmtId="40" fontId="90" fillId="0" borderId="0"/>
    <xf numFmtId="0" fontId="90" fillId="0" borderId="0">
      <alignment horizontal="left"/>
    </xf>
    <xf numFmtId="0" fontId="90" fillId="0" borderId="0">
      <alignment horizontal="center"/>
    </xf>
    <xf numFmtId="0" fontId="91" fillId="0" borderId="0">
      <alignment horizontal="center"/>
    </xf>
    <xf numFmtId="0" fontId="92" fillId="50" borderId="0">
      <alignment horizontal="left"/>
    </xf>
    <xf numFmtId="0" fontId="92" fillId="50" borderId="0">
      <alignment horizontal="left"/>
    </xf>
    <xf numFmtId="0" fontId="91" fillId="0" borderId="0">
      <alignment horizontal="center"/>
    </xf>
    <xf numFmtId="40" fontId="93" fillId="0" borderId="18"/>
    <xf numFmtId="40" fontId="93" fillId="0" borderId="18"/>
    <xf numFmtId="0" fontId="93" fillId="0" borderId="0"/>
    <xf numFmtId="0" fontId="93" fillId="0" borderId="0"/>
    <xf numFmtId="0" fontId="91" fillId="0" borderId="0">
      <alignment horizontal="center"/>
    </xf>
    <xf numFmtId="0" fontId="94" fillId="54" borderId="0">
      <alignment horizontal="left"/>
    </xf>
    <xf numFmtId="0" fontId="94" fillId="54" borderId="0">
      <alignment horizontal="left"/>
    </xf>
    <xf numFmtId="40" fontId="88" fillId="0" borderId="0">
      <alignment horizontal="right"/>
    </xf>
    <xf numFmtId="0" fontId="89" fillId="0" borderId="0">
      <alignment horizontal="left"/>
    </xf>
    <xf numFmtId="49" fontId="12" fillId="0" borderId="0"/>
    <xf numFmtId="0" fontId="89" fillId="0" borderId="0">
      <alignment horizontal="left"/>
    </xf>
    <xf numFmtId="177" fontId="88" fillId="0" borderId="0">
      <alignment horizontal="right"/>
    </xf>
    <xf numFmtId="49" fontId="88" fillId="0" borderId="0" applyBorder="0">
      <alignment horizontal="right"/>
    </xf>
    <xf numFmtId="0" fontId="12" fillId="0" borderId="0"/>
    <xf numFmtId="49" fontId="96" fillId="53" borderId="0">
      <alignment horizontal="left"/>
    </xf>
    <xf numFmtId="49" fontId="96" fillId="53" borderId="0">
      <alignment horizontal="left"/>
    </xf>
    <xf numFmtId="0" fontId="97" fillId="53" borderId="0">
      <alignment horizontal="left"/>
    </xf>
    <xf numFmtId="178" fontId="97" fillId="53" borderId="0">
      <alignment horizontal="left"/>
    </xf>
    <xf numFmtId="40" fontId="88" fillId="0" borderId="0">
      <alignment horizontal="right"/>
    </xf>
    <xf numFmtId="49" fontId="98" fillId="53" borderId="0">
      <alignment horizontal="left"/>
    </xf>
    <xf numFmtId="49" fontId="98" fillId="53" borderId="0">
      <alignment horizontal="left"/>
    </xf>
    <xf numFmtId="49" fontId="12" fillId="0" borderId="0"/>
    <xf numFmtId="40" fontId="88" fillId="0" borderId="14">
      <alignment horizontal="right"/>
    </xf>
    <xf numFmtId="49" fontId="88" fillId="0" borderId="0">
      <alignment horizontal="left"/>
    </xf>
    <xf numFmtId="49" fontId="12" fillId="0" borderId="0"/>
    <xf numFmtId="49" fontId="88" fillId="0" borderId="0">
      <alignment horizontal="left"/>
    </xf>
    <xf numFmtId="177" fontId="88" fillId="0" borderId="14">
      <alignment horizontal="right"/>
    </xf>
    <xf numFmtId="49" fontId="88" fillId="0" borderId="0">
      <alignment horizontal="right"/>
    </xf>
    <xf numFmtId="40" fontId="88" fillId="0" borderId="14">
      <alignment horizontal="right"/>
    </xf>
    <xf numFmtId="0" fontId="88" fillId="52" borderId="0">
      <alignment horizontal="left"/>
    </xf>
    <xf numFmtId="49" fontId="12" fillId="0" borderId="0"/>
    <xf numFmtId="0" fontId="88" fillId="52" borderId="0">
      <alignment horizontal="left"/>
    </xf>
    <xf numFmtId="177" fontId="88" fillId="0" borderId="14">
      <alignment horizontal="right"/>
    </xf>
    <xf numFmtId="49" fontId="88" fillId="0" borderId="0">
      <alignment horizontal="right"/>
    </xf>
    <xf numFmtId="0" fontId="93" fillId="0" borderId="0"/>
    <xf numFmtId="40" fontId="90" fillId="0" borderId="18"/>
    <xf numFmtId="40" fontId="90" fillId="0" borderId="18"/>
    <xf numFmtId="0" fontId="90" fillId="0" borderId="0"/>
    <xf numFmtId="0" fontId="90" fillId="0" borderId="0"/>
    <xf numFmtId="40" fontId="90" fillId="0" borderId="0"/>
    <xf numFmtId="179" fontId="90" fillId="0" borderId="0"/>
    <xf numFmtId="40" fontId="90" fillId="0" borderId="0"/>
    <xf numFmtId="0" fontId="90" fillId="0" borderId="0"/>
    <xf numFmtId="0" fontId="90" fillId="0" borderId="0"/>
    <xf numFmtId="40" fontId="88" fillId="0" borderId="18">
      <alignment horizontal="right"/>
    </xf>
    <xf numFmtId="49" fontId="88" fillId="0" borderId="0">
      <alignment horizontal="left"/>
    </xf>
    <xf numFmtId="49" fontId="12" fillId="0" borderId="0"/>
    <xf numFmtId="49" fontId="88" fillId="0" borderId="0">
      <alignment horizontal="left"/>
    </xf>
    <xf numFmtId="177" fontId="88" fillId="0" borderId="18">
      <alignment horizontal="right"/>
    </xf>
    <xf numFmtId="49" fontId="88" fillId="0" borderId="0">
      <alignment horizontal="right"/>
    </xf>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43" borderId="54" applyNumberFormat="0" applyFon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8" fillId="11"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6"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12" fillId="0" borderId="0"/>
    <xf numFmtId="0" fontId="2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8" fillId="13"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8" fillId="7" borderId="0" applyNumberFormat="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22"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6"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9" fontId="33"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4" fillId="20" borderId="0" applyFont="0" applyBorder="0" applyAlignment="0">
      <alignment horizontal="center" wrapText="1"/>
    </xf>
    <xf numFmtId="0" fontId="35" fillId="0" borderId="0"/>
    <xf numFmtId="43" fontId="1" fillId="0" borderId="0" applyFont="0" applyFill="0" applyBorder="0" applyAlignment="0" applyProtection="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20" fillId="0" borderId="0"/>
    <xf numFmtId="0" fontId="35" fillId="0" borderId="0"/>
    <xf numFmtId="0" fontId="35" fillId="0" borderId="0"/>
    <xf numFmtId="0" fontId="35" fillId="0" borderId="0"/>
    <xf numFmtId="0" fontId="20" fillId="0" borderId="0"/>
    <xf numFmtId="44"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20"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12" fillId="0" borderId="0"/>
    <xf numFmtId="43" fontId="35" fillId="0" borderId="0" applyFont="0" applyFill="0" applyBorder="0" applyAlignment="0" applyProtection="0"/>
    <xf numFmtId="0" fontId="8" fillId="7" borderId="0" applyNumberFormat="0" applyBorder="0" applyAlignment="0" applyProtection="0"/>
    <xf numFmtId="0" fontId="35" fillId="0" borderId="0"/>
    <xf numFmtId="0" fontId="8" fillId="11" borderId="0" applyNumberFormat="0" applyBorder="0" applyAlignment="0" applyProtection="0"/>
    <xf numFmtId="0" fontId="35" fillId="0" borderId="0"/>
    <xf numFmtId="0" fontId="20"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12" fillId="0" borderId="0"/>
    <xf numFmtId="0" fontId="12"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7" borderId="0" applyNumberFormat="0" applyBorder="0" applyAlignment="0" applyProtection="0"/>
    <xf numFmtId="0" fontId="12" fillId="0" borderId="0"/>
    <xf numFmtId="0" fontId="40" fillId="20" borderId="0" applyFont="0" applyBorder="0" applyAlignment="0">
      <alignment horizontal="center" wrapText="1"/>
    </xf>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0" fontId="22" fillId="0" borderId="0"/>
    <xf numFmtId="0" fontId="20" fillId="0" borderId="0"/>
    <xf numFmtId="0" fontId="12" fillId="0" borderId="0"/>
    <xf numFmtId="0" fontId="1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12" fillId="0" borderId="0"/>
    <xf numFmtId="0" fontId="35"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43" fontId="1"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20" fillId="0" borderId="0"/>
    <xf numFmtId="0" fontId="22" fillId="0" borderId="0"/>
    <xf numFmtId="44" fontId="36" fillId="0" borderId="0" applyFont="0" applyFill="0" applyBorder="0" applyAlignment="0" applyProtection="0"/>
    <xf numFmtId="43" fontId="35" fillId="0" borderId="0" applyFont="0" applyFill="0" applyBorder="0" applyAlignment="0" applyProtection="0"/>
    <xf numFmtId="0" fontId="20" fillId="0" borderId="0"/>
    <xf numFmtId="0" fontId="12"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40" fillId="20" borderId="0" applyFont="0" applyBorder="0" applyAlignment="0">
      <alignment horizontal="center" wrapText="1"/>
    </xf>
    <xf numFmtId="0" fontId="22" fillId="0" borderId="0"/>
    <xf numFmtId="0" fontId="12" fillId="0" borderId="0"/>
    <xf numFmtId="43" fontId="1"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20" fillId="0" borderId="0"/>
    <xf numFmtId="0" fontId="12" fillId="0" borderId="0"/>
    <xf numFmtId="0" fontId="35" fillId="0" borderId="0"/>
    <xf numFmtId="0" fontId="34" fillId="20" borderId="0" applyFont="0" applyBorder="0" applyAlignment="0">
      <alignment horizontal="center" wrapText="1"/>
    </xf>
    <xf numFmtId="0" fontId="35" fillId="0" borderId="0"/>
    <xf numFmtId="0" fontId="35" fillId="0" borderId="0"/>
    <xf numFmtId="0" fontId="12"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12" fillId="0" borderId="0"/>
    <xf numFmtId="44" fontId="1"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2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35" fillId="0" borderId="0"/>
    <xf numFmtId="0" fontId="20" fillId="0" borderId="0"/>
    <xf numFmtId="0" fontId="12"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12" fillId="0" borderId="0"/>
    <xf numFmtId="0" fontId="12" fillId="0" borderId="0"/>
    <xf numFmtId="0" fontId="20" fillId="0" borderId="0"/>
    <xf numFmtId="0" fontId="12" fillId="0" borderId="0"/>
    <xf numFmtId="0" fontId="12" fillId="0" borderId="0"/>
    <xf numFmtId="0" fontId="22"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2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9"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43" borderId="54" applyNumberFormat="0" applyFont="0" applyAlignment="0" applyProtection="0"/>
    <xf numFmtId="0" fontId="99" fillId="0" borderId="0" applyNumberFormat="0" applyFill="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4" borderId="0" applyNumberFormat="0" applyBorder="0" applyAlignment="0" applyProtection="0"/>
    <xf numFmtId="0" fontId="36" fillId="67" borderId="0" applyNumberFormat="0" applyBorder="0" applyAlignment="0" applyProtection="0"/>
    <xf numFmtId="0" fontId="36" fillId="70"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5" borderId="0" applyNumberFormat="0" applyBorder="0" applyAlignment="0" applyProtection="0"/>
    <xf numFmtId="0" fontId="36" fillId="68" borderId="0" applyNumberFormat="0" applyBorder="0" applyAlignment="0" applyProtection="0"/>
    <xf numFmtId="0" fontId="36" fillId="71" borderId="0" applyNumberFormat="0" applyBorder="0" applyAlignment="0" applyProtection="0"/>
    <xf numFmtId="0" fontId="86" fillId="57" borderId="0" applyNumberFormat="0" applyBorder="0" applyAlignment="0" applyProtection="0"/>
    <xf numFmtId="0" fontId="100" fillId="57" borderId="0" applyNumberFormat="0" applyBorder="0" applyAlignment="0" applyProtection="0"/>
    <xf numFmtId="0" fontId="86" fillId="60" borderId="0" applyNumberFormat="0" applyBorder="0" applyAlignment="0" applyProtection="0"/>
    <xf numFmtId="0" fontId="100" fillId="60" borderId="0" applyNumberFormat="0" applyBorder="0" applyAlignment="0" applyProtection="0"/>
    <xf numFmtId="0" fontId="86" fillId="63" borderId="0" applyNumberFormat="0" applyBorder="0" applyAlignment="0" applyProtection="0"/>
    <xf numFmtId="0" fontId="100" fillId="63" borderId="0" applyNumberFormat="0" applyBorder="0" applyAlignment="0" applyProtection="0"/>
    <xf numFmtId="0" fontId="86" fillId="66" borderId="0" applyNumberFormat="0" applyBorder="0" applyAlignment="0" applyProtection="0"/>
    <xf numFmtId="0" fontId="100" fillId="66" borderId="0" applyNumberFormat="0" applyBorder="0" applyAlignment="0" applyProtection="0"/>
    <xf numFmtId="0" fontId="86" fillId="69" borderId="0" applyNumberFormat="0" applyBorder="0" applyAlignment="0" applyProtection="0"/>
    <xf numFmtId="0" fontId="100" fillId="69" borderId="0" applyNumberFormat="0" applyBorder="0" applyAlignment="0" applyProtection="0"/>
    <xf numFmtId="0" fontId="86" fillId="72" borderId="0" applyNumberFormat="0" applyBorder="0" applyAlignment="0" applyProtection="0"/>
    <xf numFmtId="0" fontId="100" fillId="72"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1" fillId="38" borderId="0" applyNumberFormat="0" applyBorder="0" applyAlignment="0" applyProtection="0"/>
    <xf numFmtId="0" fontId="102" fillId="41" borderId="50" applyNumberFormat="0" applyAlignment="0" applyProtection="0"/>
    <xf numFmtId="0" fontId="103"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0" fontId="104" fillId="0" borderId="0" applyNumberFormat="0" applyFill="0" applyBorder="0" applyAlignment="0" applyProtection="0"/>
    <xf numFmtId="0" fontId="105" fillId="37" borderId="0" applyNumberFormat="0" applyBorder="0" applyAlignment="0" applyProtection="0"/>
    <xf numFmtId="0" fontId="106" fillId="0" borderId="47" applyNumberFormat="0" applyFill="0" applyAlignment="0" applyProtection="0"/>
    <xf numFmtId="0" fontId="107" fillId="0" borderId="48" applyNumberFormat="0" applyFill="0" applyAlignment="0" applyProtection="0"/>
    <xf numFmtId="0" fontId="16" fillId="0" borderId="58" applyNumberFormat="0" applyFill="0" applyAlignment="0" applyProtection="0"/>
    <xf numFmtId="0" fontId="16" fillId="0" borderId="58" applyNumberFormat="0" applyFill="0" applyAlignment="0" applyProtection="0"/>
    <xf numFmtId="0" fontId="108" fillId="0" borderId="49" applyNumberFormat="0" applyFill="0" applyAlignment="0" applyProtection="0"/>
    <xf numFmtId="0" fontId="108" fillId="0" borderId="0" applyNumberFormat="0" applyFill="0" applyBorder="0" applyAlignment="0" applyProtection="0"/>
    <xf numFmtId="0" fontId="109" fillId="40" borderId="50" applyNumberFormat="0" applyAlignment="0" applyProtection="0"/>
    <xf numFmtId="0" fontId="110" fillId="0" borderId="52" applyNumberFormat="0" applyFill="0" applyAlignment="0" applyProtection="0"/>
    <xf numFmtId="0" fontId="111" fillId="39" borderId="0" applyNumberFormat="0" applyBorder="0" applyAlignment="0" applyProtection="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12" fillId="0" borderId="0"/>
    <xf numFmtId="0" fontId="20" fillId="0" borderId="0"/>
    <xf numFmtId="0" fontId="12" fillId="0" borderId="0"/>
    <xf numFmtId="0" fontId="36" fillId="0" borderId="0"/>
    <xf numFmtId="0" fontId="35" fillId="0" borderId="0"/>
    <xf numFmtId="0" fontId="12" fillId="0" borderId="0"/>
    <xf numFmtId="0" fontId="35" fillId="0" borderId="0"/>
    <xf numFmtId="0" fontId="12" fillId="0" borderId="0"/>
    <xf numFmtId="0" fontId="12" fillId="0" borderId="0"/>
    <xf numFmtId="0" fontId="12" fillId="0" borderId="0"/>
    <xf numFmtId="0" fontId="12" fillId="0" borderId="0"/>
    <xf numFmtId="0" fontId="12" fillId="0" borderId="0"/>
    <xf numFmtId="0" fontId="36" fillId="43" borderId="54" applyNumberFormat="0" applyFont="0" applyAlignment="0" applyProtection="0"/>
    <xf numFmtId="0" fontId="112" fillId="41" borderId="51" applyNumberFormat="0" applyAlignment="0" applyProtection="0"/>
    <xf numFmtId="9" fontId="6" fillId="0" borderId="0" applyFont="0" applyFill="0" applyBorder="0" applyAlignment="0" applyProtection="0"/>
    <xf numFmtId="0" fontId="113" fillId="0" borderId="0" applyNumberFormat="0" applyFill="0" applyBorder="0" applyAlignment="0" applyProtection="0"/>
    <xf numFmtId="0" fontId="114" fillId="0" borderId="55" applyNumberFormat="0" applyFill="0" applyAlignment="0" applyProtection="0"/>
    <xf numFmtId="0" fontId="115" fillId="0" borderId="0" applyNumberFormat="0" applyFill="0" applyBorder="0" applyAlignment="0" applyProtection="0"/>
    <xf numFmtId="0" fontId="118" fillId="0" borderId="0"/>
    <xf numFmtId="43" fontId="119" fillId="0" borderId="0" applyFont="0" applyFill="0" applyBorder="0" applyAlignment="0" applyProtection="0"/>
    <xf numFmtId="0" fontId="119"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6" fillId="0" borderId="0"/>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35" fillId="0" borderId="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2" fillId="0" borderId="0"/>
    <xf numFmtId="0" fontId="12" fillId="0" borderId="0"/>
    <xf numFmtId="0" fontId="20" fillId="0" borderId="0"/>
    <xf numFmtId="43" fontId="6" fillId="0" borderId="0" applyFont="0" applyFill="0" applyBorder="0" applyAlignment="0" applyProtection="0"/>
    <xf numFmtId="43" fontId="1" fillId="0" borderId="0" applyFont="0" applyFill="0" applyBorder="0" applyAlignment="0" applyProtection="0"/>
    <xf numFmtId="0" fontId="36" fillId="0" borderId="0"/>
    <xf numFmtId="0" fontId="12" fillId="0" borderId="0"/>
    <xf numFmtId="0" fontId="12" fillId="0" borderId="0"/>
    <xf numFmtId="0" fontId="35" fillId="0" borderId="0"/>
    <xf numFmtId="0" fontId="12" fillId="0" borderId="0"/>
    <xf numFmtId="0" fontId="20" fillId="0" borderId="0"/>
    <xf numFmtId="0" fontId="22" fillId="0" borderId="0"/>
    <xf numFmtId="0" fontId="12" fillId="0" borderId="0"/>
    <xf numFmtId="0" fontId="12" fillId="0" borderId="0"/>
    <xf numFmtId="0" fontId="20" fillId="0" borderId="0"/>
    <xf numFmtId="0" fontId="119" fillId="0" borderId="0"/>
    <xf numFmtId="0" fontId="12" fillId="0" borderId="0"/>
    <xf numFmtId="0" fontId="119"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20" fillId="0" borderId="0"/>
    <xf numFmtId="0" fontId="22" fillId="0" borderId="0"/>
    <xf numFmtId="0" fontId="35" fillId="0" borderId="0"/>
    <xf numFmtId="43" fontId="35" fillId="0" borderId="0" applyFont="0" applyFill="0" applyBorder="0" applyAlignment="0" applyProtection="0"/>
    <xf numFmtId="0" fontId="20" fillId="0" borderId="0"/>
    <xf numFmtId="0" fontId="22" fillId="0" borderId="0"/>
    <xf numFmtId="43" fontId="35" fillId="0" borderId="0" applyFont="0" applyFill="0" applyBorder="0" applyAlignment="0" applyProtection="0"/>
    <xf numFmtId="44"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9"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0" fillId="20" borderId="0" applyFont="0" applyBorder="0" applyAlignment="0">
      <alignment horizontal="center" wrapText="1"/>
    </xf>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22"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6" fillId="0" borderId="0" applyFont="0" applyFill="0" applyBorder="0" applyAlignment="0" applyProtection="0"/>
    <xf numFmtId="43" fontId="36" fillId="0" borderId="0" applyFont="0" applyFill="0" applyBorder="0" applyAlignment="0" applyProtection="0"/>
    <xf numFmtId="0" fontId="20" fillId="0" borderId="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0" fillId="20" borderId="0" applyFont="0" applyBorder="0" applyAlignment="0">
      <alignment horizontal="center" wrapText="1"/>
    </xf>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0" fontId="2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44" fontId="1" fillId="0" borderId="0" applyFont="0" applyFill="0" applyBorder="0" applyAlignment="0" applyProtection="0"/>
    <xf numFmtId="0" fontId="20" fillId="0" borderId="0"/>
    <xf numFmtId="44" fontId="1" fillId="0" borderId="0" applyFont="0" applyFill="0" applyBorder="0" applyAlignment="0" applyProtection="0"/>
    <xf numFmtId="0" fontId="12" fillId="0" borderId="0"/>
    <xf numFmtId="0" fontId="20" fillId="0" borderId="0"/>
    <xf numFmtId="0" fontId="20"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12" fillId="5" borderId="7" applyNumberFormat="0" applyFont="0" applyAlignment="0" applyProtection="0"/>
    <xf numFmtId="0" fontId="35" fillId="0" borderId="0"/>
    <xf numFmtId="0" fontId="130" fillId="0" borderId="0"/>
    <xf numFmtId="43" fontId="118" fillId="0" borderId="0" applyFont="0" applyFill="0" applyBorder="0" applyAlignment="0" applyProtection="0"/>
    <xf numFmtId="0" fontId="118" fillId="0" borderId="0"/>
    <xf numFmtId="0" fontId="156" fillId="0" borderId="0"/>
    <xf numFmtId="0" fontId="35" fillId="0" borderId="0"/>
    <xf numFmtId="0" fontId="156" fillId="0" borderId="0"/>
    <xf numFmtId="43" fontId="118" fillId="0" borderId="0" applyFont="0" applyFill="0" applyBorder="0" applyAlignment="0" applyProtection="0"/>
    <xf numFmtId="0" fontId="118" fillId="0" borderId="0"/>
    <xf numFmtId="0" fontId="118" fillId="0" borderId="0"/>
    <xf numFmtId="0" fontId="118" fillId="0" borderId="0"/>
    <xf numFmtId="0" fontId="159" fillId="0" borderId="0"/>
    <xf numFmtId="0" fontId="159" fillId="0" borderId="0"/>
    <xf numFmtId="0" fontId="160" fillId="0" borderId="0"/>
    <xf numFmtId="0" fontId="159" fillId="0" borderId="0"/>
    <xf numFmtId="0" fontId="156" fillId="0" borderId="0"/>
    <xf numFmtId="0" fontId="159" fillId="0" borderId="0"/>
    <xf numFmtId="0" fontId="156" fillId="0" borderId="0"/>
    <xf numFmtId="0" fontId="16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9" fillId="0" borderId="0"/>
    <xf numFmtId="0" fontId="156" fillId="0" borderId="0"/>
    <xf numFmtId="0" fontId="156" fillId="0" borderId="0"/>
    <xf numFmtId="0" fontId="159" fillId="0" borderId="0"/>
    <xf numFmtId="0" fontId="156" fillId="0" borderId="0"/>
    <xf numFmtId="0" fontId="156" fillId="0" borderId="0"/>
    <xf numFmtId="0" fontId="160" fillId="0" borderId="0"/>
    <xf numFmtId="0" fontId="156" fillId="5" borderId="7" applyNumberFormat="0" applyFont="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0" borderId="0"/>
    <xf numFmtId="0" fontId="16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5" borderId="7" applyNumberFormat="0" applyFont="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0" borderId="0"/>
    <xf numFmtId="0" fontId="160" fillId="0" borderId="0"/>
    <xf numFmtId="0" fontId="156" fillId="0" borderId="0"/>
    <xf numFmtId="0" fontId="160" fillId="0" borderId="0"/>
    <xf numFmtId="0" fontId="156" fillId="0" borderId="0"/>
    <xf numFmtId="0" fontId="161"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1"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18"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161"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40" fillId="20" borderId="0" applyFont="0" applyBorder="0" applyAlignment="0">
      <alignment horizontal="center" wrapText="1"/>
    </xf>
    <xf numFmtId="0" fontId="40" fillId="20" borderId="0" applyFont="0" applyBorder="0" applyAlignment="0">
      <alignment horizontal="center" wrapText="1"/>
    </xf>
    <xf numFmtId="0" fontId="22" fillId="0" borderId="0"/>
    <xf numFmtId="9"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22" fillId="0" borderId="0"/>
    <xf numFmtId="0" fontId="22" fillId="0" borderId="0"/>
    <xf numFmtId="0" fontId="35" fillId="0" borderId="0"/>
    <xf numFmtId="0" fontId="12" fillId="0" borderId="0"/>
    <xf numFmtId="0" fontId="22" fillId="0" borderId="0"/>
    <xf numFmtId="0" fontId="22"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 fillId="0" borderId="0"/>
    <xf numFmtId="0" fontId="20" fillId="0" borderId="0"/>
    <xf numFmtId="0" fontId="12" fillId="0" borderId="0"/>
    <xf numFmtId="9" fontId="33" fillId="0" borderId="0" applyFont="0" applyFill="0" applyBorder="0" applyAlignment="0" applyProtection="0"/>
    <xf numFmtId="0" fontId="34" fillId="20" borderId="0" applyFont="0" applyBorder="0" applyAlignment="0">
      <alignment horizontal="center" wrapText="1"/>
    </xf>
    <xf numFmtId="0" fontId="12" fillId="0" borderId="0"/>
    <xf numFmtId="0" fontId="20" fillId="0" borderId="0"/>
    <xf numFmtId="0" fontId="20" fillId="0" borderId="0"/>
    <xf numFmtId="0" fontId="12" fillId="0" borderId="0"/>
    <xf numFmtId="0" fontId="22" fillId="0" borderId="0"/>
    <xf numFmtId="0" fontId="20" fillId="0" borderId="0"/>
    <xf numFmtId="0" fontId="12" fillId="0" borderId="0"/>
    <xf numFmtId="0" fontId="12" fillId="0" borderId="0"/>
    <xf numFmtId="0" fontId="20" fillId="0" borderId="0"/>
    <xf numFmtId="0" fontId="12" fillId="0" borderId="0"/>
    <xf numFmtId="0" fontId="12"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 fillId="0" borderId="0"/>
    <xf numFmtId="0" fontId="12" fillId="0" borderId="0"/>
    <xf numFmtId="0" fontId="12" fillId="0" borderId="0"/>
    <xf numFmtId="0" fontId="20" fillId="0" borderId="0"/>
    <xf numFmtId="0" fontId="20" fillId="0" borderId="0"/>
    <xf numFmtId="0" fontId="12" fillId="0" borderId="0"/>
    <xf numFmtId="0" fontId="12" fillId="0" borderId="0"/>
    <xf numFmtId="0" fontId="12" fillId="0" borderId="0"/>
    <xf numFmtId="0" fontId="22" fillId="0" borderId="0"/>
    <xf numFmtId="0" fontId="22" fillId="0" borderId="0"/>
    <xf numFmtId="44" fontId="35" fillId="0" borderId="0" applyFont="0" applyFill="0" applyBorder="0" applyAlignment="0" applyProtection="0"/>
    <xf numFmtId="43" fontId="35" fillId="0" borderId="0" applyFont="0" applyFill="0" applyBorder="0" applyAlignment="0" applyProtection="0"/>
    <xf numFmtId="0" fontId="12" fillId="5" borderId="7" applyNumberFormat="0" applyFont="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0" fontId="20" fillId="0" borderId="0"/>
    <xf numFmtId="0" fontId="2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0" borderId="0"/>
    <xf numFmtId="0" fontId="20" fillId="0" borderId="0"/>
    <xf numFmtId="0" fontId="20" fillId="0" borderId="0"/>
    <xf numFmtId="0" fontId="22" fillId="0" borderId="0"/>
    <xf numFmtId="0" fontId="22" fillId="0" borderId="0"/>
    <xf numFmtId="0" fontId="12" fillId="0" borderId="0"/>
    <xf numFmtId="0" fontId="35" fillId="43" borderId="54" applyNumberFormat="0" applyFont="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43" borderId="54" applyNumberFormat="0" applyFont="0" applyAlignment="0" applyProtection="0"/>
    <xf numFmtId="0" fontId="20" fillId="0" borderId="0"/>
    <xf numFmtId="0" fontId="22" fillId="0" borderId="0"/>
    <xf numFmtId="0" fontId="36"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22" fillId="0" borderId="0"/>
    <xf numFmtId="43" fontId="36" fillId="0" borderId="0" applyFont="0" applyFill="0" applyBorder="0" applyAlignment="0" applyProtection="0"/>
    <xf numFmtId="0" fontId="2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2" fillId="0" borderId="0"/>
    <xf numFmtId="43" fontId="35" fillId="0" borderId="0" applyFont="0" applyFill="0" applyBorder="0" applyAlignment="0" applyProtection="0"/>
    <xf numFmtId="44" fontId="35" fillId="0" borderId="0" applyFont="0" applyFill="0" applyBorder="0" applyAlignment="0" applyProtection="0"/>
    <xf numFmtId="0" fontId="20"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0"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0" fontId="12" fillId="0" borderId="0"/>
    <xf numFmtId="0" fontId="35" fillId="0" borderId="0"/>
    <xf numFmtId="0" fontId="12" fillId="0" borderId="0"/>
    <xf numFmtId="0" fontId="12" fillId="0" borderId="0"/>
    <xf numFmtId="0" fontId="36" fillId="43" borderId="54" applyNumberFormat="0" applyFont="0" applyAlignment="0" applyProtection="0"/>
    <xf numFmtId="0" fontId="12" fillId="0" borderId="0"/>
    <xf numFmtId="0" fontId="12" fillId="0" borderId="0"/>
    <xf numFmtId="0" fontId="35" fillId="0" borderId="0"/>
    <xf numFmtId="0" fontId="12" fillId="0" borderId="0"/>
    <xf numFmtId="0" fontId="12" fillId="0" borderId="0"/>
    <xf numFmtId="0" fontId="36" fillId="0" borderId="0"/>
    <xf numFmtId="44" fontId="1" fillId="0" borderId="0" applyFont="0" applyFill="0" applyBorder="0" applyAlignment="0" applyProtection="0"/>
    <xf numFmtId="43" fontId="33"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5" fillId="0" borderId="0" applyFont="0" applyFill="0" applyBorder="0" applyAlignment="0" applyProtection="0"/>
    <xf numFmtId="44" fontId="36" fillId="0" borderId="0" applyFont="0" applyFill="0" applyBorder="0" applyAlignment="0" applyProtection="0"/>
    <xf numFmtId="0" fontId="20" fillId="0" borderId="0"/>
    <xf numFmtId="0" fontId="20" fillId="0" borderId="0"/>
    <xf numFmtId="0" fontId="12" fillId="0" borderId="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0" fillId="20" borderId="0" applyFont="0" applyBorder="0" applyAlignment="0">
      <alignment horizontal="center" wrapText="1"/>
    </xf>
    <xf numFmtId="43" fontId="35" fillId="0" borderId="0" applyFont="0" applyFill="0" applyBorder="0" applyAlignment="0" applyProtection="0"/>
    <xf numFmtId="44" fontId="35"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2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2" fillId="0" borderId="0"/>
    <xf numFmtId="0" fontId="12" fillId="0" borderId="0"/>
    <xf numFmtId="0" fontId="20" fillId="0" borderId="0"/>
    <xf numFmtId="0" fontId="12" fillId="0" borderId="0"/>
    <xf numFmtId="0" fontId="20" fillId="0" borderId="0"/>
    <xf numFmtId="0" fontId="20" fillId="0" borderId="0"/>
    <xf numFmtId="0" fontId="12" fillId="0" borderId="0"/>
    <xf numFmtId="0" fontId="22" fillId="0" borderId="0"/>
    <xf numFmtId="0" fontId="12" fillId="0" borderId="0"/>
    <xf numFmtId="0" fontId="20" fillId="0" borderId="0"/>
    <xf numFmtId="0" fontId="20" fillId="0" borderId="0"/>
    <xf numFmtId="0" fontId="12" fillId="0" borderId="0"/>
    <xf numFmtId="0" fontId="12" fillId="0" borderId="0"/>
    <xf numFmtId="0" fontId="20" fillId="0" borderId="0"/>
    <xf numFmtId="0" fontId="12" fillId="0" borderId="0"/>
    <xf numFmtId="0" fontId="20" fillId="0" borderId="0"/>
    <xf numFmtId="0" fontId="22" fillId="0" borderId="0"/>
    <xf numFmtId="0" fontId="12" fillId="0" borderId="0"/>
    <xf numFmtId="0" fontId="12" fillId="0" borderId="0"/>
    <xf numFmtId="0" fontId="12" fillId="5" borderId="7" applyNumberFormat="0" applyFont="0" applyAlignment="0" applyProtection="0"/>
    <xf numFmtId="0" fontId="20" fillId="0" borderId="0"/>
    <xf numFmtId="0" fontId="20" fillId="0" borderId="0"/>
    <xf numFmtId="0" fontId="12"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4" fillId="20" borderId="0" applyFont="0" applyBorder="0" applyAlignment="0">
      <alignment horizontal="center" wrapText="1"/>
    </xf>
    <xf numFmtId="0" fontId="12" fillId="0" borderId="0"/>
    <xf numFmtId="0" fontId="12" fillId="5" borderId="7"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5" borderId="7"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22" fillId="0" borderId="0"/>
    <xf numFmtId="0" fontId="12" fillId="0" borderId="0"/>
    <xf numFmtId="43" fontId="1" fillId="0" borderId="0" applyFont="0" applyFill="0" applyBorder="0" applyAlignment="0" applyProtection="0"/>
    <xf numFmtId="0" fontId="35" fillId="0" borderId="0"/>
    <xf numFmtId="0" fontId="20" fillId="0" borderId="0"/>
    <xf numFmtId="0" fontId="20" fillId="0" borderId="0"/>
    <xf numFmtId="0" fontId="12" fillId="0" borderId="0"/>
    <xf numFmtId="0" fontId="12" fillId="0" borderId="0"/>
    <xf numFmtId="0" fontId="12" fillId="0" borderId="0"/>
    <xf numFmtId="0" fontId="12" fillId="0" borderId="0"/>
    <xf numFmtId="0" fontId="22" fillId="0" borderId="0"/>
    <xf numFmtId="0" fontId="2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0" fillId="0" borderId="0"/>
    <xf numFmtId="0" fontId="12" fillId="0" borderId="0"/>
    <xf numFmtId="0" fontId="12" fillId="0" borderId="0"/>
    <xf numFmtId="0" fontId="22" fillId="0" borderId="0"/>
    <xf numFmtId="0" fontId="12" fillId="5" borderId="7"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5" borderId="7"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22" fillId="0" borderId="0"/>
    <xf numFmtId="0" fontId="12" fillId="0" borderId="0"/>
    <xf numFmtId="0" fontId="22" fillId="0" borderId="0"/>
    <xf numFmtId="0" fontId="12" fillId="0" borderId="0"/>
    <xf numFmtId="0" fontId="118" fillId="0" borderId="0"/>
    <xf numFmtId="43" fontId="118" fillId="0" borderId="0" applyFont="0" applyFill="0" applyBorder="0" applyAlignment="0" applyProtection="0"/>
    <xf numFmtId="0" fontId="118" fillId="0" borderId="0"/>
    <xf numFmtId="0" fontId="20" fillId="0" borderId="0"/>
    <xf numFmtId="0" fontId="20" fillId="0" borderId="0"/>
    <xf numFmtId="0" fontId="20"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2" fillId="0" borderId="0"/>
    <xf numFmtId="0" fontId="22" fillId="0" borderId="0"/>
    <xf numFmtId="0" fontId="118"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02" fillId="0" borderId="0"/>
    <xf numFmtId="0" fontId="202" fillId="0" borderId="0"/>
    <xf numFmtId="0" fontId="202" fillId="0" borderId="0"/>
    <xf numFmtId="0" fontId="35" fillId="0" borderId="0"/>
  </cellStyleXfs>
  <cellXfs count="1312">
    <xf numFmtId="0" fontId="0" fillId="0" borderId="0" xfId="0"/>
    <xf numFmtId="164" fontId="41" fillId="0" borderId="0" xfId="439" applyNumberFormat="1" applyFont="1" applyFill="1" applyAlignment="1" applyProtection="1">
      <alignment horizontal="center" wrapText="1"/>
    </xf>
    <xf numFmtId="0" fontId="45"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2" fillId="21" borderId="0" xfId="0" applyFont="1" applyFill="1" applyBorder="1" applyAlignment="1" applyProtection="1">
      <alignment horizontal="center" wrapText="1"/>
    </xf>
    <xf numFmtId="0" fontId="50" fillId="24" borderId="10" xfId="0" applyFont="1" applyFill="1" applyBorder="1" applyAlignment="1" applyProtection="1">
      <alignment horizontal="center" wrapText="1"/>
    </xf>
    <xf numFmtId="0" fontId="43" fillId="0" borderId="0" xfId="0" applyFont="1" applyAlignment="1" applyProtection="1">
      <alignment horizontal="left" wrapText="1"/>
    </xf>
    <xf numFmtId="0" fontId="43" fillId="0" borderId="0" xfId="0" applyFont="1" applyAlignment="1" applyProtection="1">
      <alignment horizontal="left" vertical="center" wrapText="1"/>
    </xf>
    <xf numFmtId="0" fontId="43" fillId="24" borderId="0" xfId="0" applyFont="1" applyFill="1" applyBorder="1" applyAlignment="1" applyProtection="1">
      <alignment horizontal="left" wrapText="1"/>
    </xf>
    <xf numFmtId="0" fontId="41" fillId="0" borderId="0" xfId="0" applyFont="1" applyAlignment="1" applyProtection="1">
      <alignment horizontal="center"/>
    </xf>
    <xf numFmtId="167" fontId="41" fillId="23" borderId="0" xfId="545" applyNumberFormat="1" applyFont="1" applyFill="1" applyProtection="1"/>
    <xf numFmtId="0" fontId="53" fillId="25" borderId="0" xfId="0" applyFont="1" applyFill="1" applyAlignment="1" applyProtection="1">
      <alignment horizontal="center" wrapText="1"/>
    </xf>
    <xf numFmtId="0" fontId="54" fillId="21" borderId="10" xfId="0" applyFont="1" applyFill="1" applyBorder="1" applyAlignment="1" applyProtection="1">
      <alignment horizontal="center" wrapText="1"/>
    </xf>
    <xf numFmtId="0" fontId="54"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6" fillId="26" borderId="0" xfId="682" applyFont="1" applyFill="1"/>
    <xf numFmtId="0" fontId="56" fillId="0" borderId="0" xfId="682" applyFont="1" applyFill="1"/>
    <xf numFmtId="0" fontId="41" fillId="0" borderId="0" xfId="682" applyFont="1"/>
    <xf numFmtId="40" fontId="57" fillId="0" borderId="0" xfId="0" applyNumberFormat="1" applyFont="1"/>
    <xf numFmtId="0" fontId="54" fillId="0" borderId="0" xfId="0" applyFont="1"/>
    <xf numFmtId="0" fontId="0" fillId="0" borderId="0" xfId="0" applyNumberFormat="1" applyFont="1" applyFill="1" applyAlignment="1" applyProtection="1">
      <alignment vertical="center" wrapText="1"/>
    </xf>
    <xf numFmtId="0" fontId="56"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9" fillId="0" borderId="0" xfId="0" applyNumberFormat="1" applyFont="1" applyFill="1" applyAlignment="1" applyProtection="1">
      <alignment vertical="center" wrapText="1"/>
    </xf>
    <xf numFmtId="0" fontId="41" fillId="0" borderId="0" xfId="0" applyNumberFormat="1" applyFont="1" applyFill="1" applyAlignment="1" applyProtection="1">
      <alignment horizontal="left" vertical="center" wrapText="1" indent="3"/>
    </xf>
    <xf numFmtId="0" fontId="56" fillId="0" borderId="0" xfId="0" applyNumberFormat="1" applyFont="1" applyFill="1" applyAlignment="1" applyProtection="1">
      <alignment vertical="center" wrapText="1"/>
    </xf>
    <xf numFmtId="0" fontId="56" fillId="0" borderId="0" xfId="0" applyNumberFormat="1" applyFont="1" applyFill="1" applyAlignment="1" applyProtection="1">
      <alignment horizontal="left" vertical="center" wrapText="1" indent="3"/>
    </xf>
    <xf numFmtId="0" fontId="56" fillId="0" borderId="14" xfId="0" applyNumberFormat="1" applyFont="1" applyFill="1" applyBorder="1" applyAlignment="1" applyProtection="1">
      <alignment horizontal="left" vertical="center" wrapText="1" indent="3"/>
    </xf>
    <xf numFmtId="0" fontId="56" fillId="0" borderId="0" xfId="0" applyNumberFormat="1" applyFont="1" applyFill="1" applyAlignment="1" applyProtection="1">
      <alignment horizontal="left" vertical="center" wrapText="1" indent="6"/>
    </xf>
    <xf numFmtId="0" fontId="47"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7" fillId="0" borderId="0" xfId="439" applyNumberFormat="1" applyFont="1" applyFill="1" applyAlignment="1" applyProtection="1">
      <alignment horizontal="center" vertical="center" wrapText="1"/>
    </xf>
    <xf numFmtId="173" fontId="47" fillId="0" borderId="0" xfId="439" applyNumberFormat="1" applyFont="1" applyFill="1" applyAlignment="1" applyProtection="1">
      <alignment horizontal="center" vertical="center" wrapText="1"/>
    </xf>
    <xf numFmtId="164" fontId="61"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2" fillId="0"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41" fillId="23" borderId="25" xfId="0" applyNumberFormat="1" applyFont="1" applyFill="1" applyBorder="1" applyAlignment="1" applyProtection="1">
      <alignment horizontal="center" vertical="center"/>
    </xf>
    <xf numFmtId="0" fontId="41" fillId="0" borderId="26" xfId="0" applyNumberFormat="1" applyFont="1" applyFill="1" applyBorder="1" applyAlignment="1" applyProtection="1">
      <alignment horizontal="center" vertical="center"/>
    </xf>
    <xf numFmtId="0" fontId="52"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2" fillId="24" borderId="0" xfId="0" applyFont="1" applyFill="1" applyBorder="1" applyAlignment="1" applyProtection="1">
      <alignment horizontal="center" vertical="center" wrapText="1"/>
    </xf>
    <xf numFmtId="0" fontId="54" fillId="21" borderId="10" xfId="0" applyFont="1" applyFill="1" applyBorder="1" applyAlignment="1" applyProtection="1">
      <alignment horizontal="center" vertical="center" wrapText="1"/>
    </xf>
    <xf numFmtId="164" fontId="61" fillId="0" borderId="31" xfId="439" applyNumberFormat="1" applyFont="1" applyFill="1" applyBorder="1" applyAlignment="1" applyProtection="1">
      <alignment horizontal="center" vertical="center" wrapText="1"/>
    </xf>
    <xf numFmtId="0" fontId="53" fillId="25" borderId="0" xfId="0" applyFont="1" applyFill="1" applyAlignment="1" applyProtection="1">
      <alignment horizontal="center" vertical="center"/>
    </xf>
    <xf numFmtId="0" fontId="42" fillId="23" borderId="0" xfId="0" applyFont="1" applyFill="1" applyAlignment="1" applyProtection="1">
      <alignment vertical="center" wrapText="1"/>
    </xf>
    <xf numFmtId="0" fontId="42"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1" fillId="0" borderId="0" xfId="0" applyFont="1" applyProtection="1"/>
    <xf numFmtId="0" fontId="61" fillId="23" borderId="23" xfId="0" applyNumberFormat="1" applyFont="1" applyFill="1" applyBorder="1" applyAlignment="1" applyProtection="1">
      <alignment horizontal="left" vertical="center" wrapText="1"/>
    </xf>
    <xf numFmtId="0" fontId="61"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1"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7" fillId="0" borderId="0" xfId="439" applyNumberFormat="1" applyFont="1" applyFill="1" applyAlignment="1" applyProtection="1">
      <alignment horizontal="center" vertical="center" wrapText="1"/>
    </xf>
    <xf numFmtId="0" fontId="64" fillId="0" borderId="0" xfId="0" applyNumberFormat="1" applyFont="1" applyFill="1" applyAlignment="1" applyProtection="1">
      <alignment vertical="center" wrapText="1"/>
    </xf>
    <xf numFmtId="0" fontId="52" fillId="0" borderId="0" xfId="0" applyFont="1" applyAlignment="1" applyProtection="1">
      <alignment wrapText="1"/>
    </xf>
    <xf numFmtId="0" fontId="47" fillId="0" borderId="23" xfId="1243" applyFont="1" applyFill="1" applyBorder="1" applyAlignment="1" applyProtection="1">
      <alignment horizontal="left" vertical="center" wrapText="1"/>
    </xf>
    <xf numFmtId="164" fontId="53" fillId="25" borderId="0" xfId="439" applyNumberFormat="1" applyFont="1" applyFill="1" applyAlignment="1" applyProtection="1">
      <alignment horizontal="center"/>
    </xf>
    <xf numFmtId="0" fontId="65"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1" fillId="22" borderId="23" xfId="439" applyNumberFormat="1" applyFont="1" applyFill="1" applyBorder="1" applyAlignment="1" applyProtection="1">
      <alignment horizontal="center" vertical="center" wrapText="1"/>
    </xf>
    <xf numFmtId="0" fontId="52" fillId="30" borderId="25" xfId="0" applyNumberFormat="1" applyFont="1" applyFill="1" applyBorder="1" applyAlignment="1" applyProtection="1">
      <alignment horizontal="center" vertical="center" wrapText="1"/>
    </xf>
    <xf numFmtId="164" fontId="52" fillId="24" borderId="10" xfId="439" applyNumberFormat="1" applyFont="1" applyFill="1" applyBorder="1" applyAlignment="1" applyProtection="1">
      <alignment horizontal="center" wrapText="1"/>
    </xf>
    <xf numFmtId="0" fontId="66" fillId="0" borderId="0" xfId="720" applyNumberFormat="1" applyFont="1" applyFill="1" applyAlignment="1" applyProtection="1">
      <alignment horizontal="left" vertical="center" wrapText="1"/>
    </xf>
    <xf numFmtId="39" fontId="41" fillId="0" borderId="0" xfId="0" applyNumberFormat="1" applyFont="1" applyAlignment="1" applyProtection="1">
      <alignment horizontal="center"/>
    </xf>
    <xf numFmtId="39" fontId="42" fillId="21" borderId="0" xfId="0" applyNumberFormat="1" applyFont="1" applyFill="1" applyBorder="1" applyAlignment="1" applyProtection="1">
      <alignment horizontal="center" wrapText="1"/>
    </xf>
    <xf numFmtId="39" fontId="61" fillId="0" borderId="29" xfId="439" applyNumberFormat="1" applyFont="1" applyFill="1" applyBorder="1" applyAlignment="1" applyProtection="1">
      <alignment horizontal="center" vertical="center" wrapText="1"/>
    </xf>
    <xf numFmtId="39" fontId="61" fillId="23" borderId="28" xfId="439" applyNumberFormat="1" applyFont="1" applyFill="1" applyBorder="1" applyAlignment="1" applyProtection="1">
      <alignment horizontal="center" vertical="center" wrapText="1"/>
    </xf>
    <xf numFmtId="0" fontId="42" fillId="0" borderId="0" xfId="0" applyFont="1" applyFill="1" applyAlignment="1" applyProtection="1">
      <alignment vertical="center" wrapText="1"/>
    </xf>
    <xf numFmtId="39" fontId="54" fillId="31" borderId="0" xfId="0" applyNumberFormat="1" applyFont="1" applyFill="1" applyBorder="1" applyAlignment="1" applyProtection="1">
      <alignment horizontal="center" wrapText="1"/>
    </xf>
    <xf numFmtId="0" fontId="41"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5" fillId="32" borderId="0" xfId="0" applyFont="1" applyFill="1" applyAlignment="1" applyProtection="1">
      <alignment horizontal="center" vertical="center" wrapText="1"/>
    </xf>
    <xf numFmtId="0" fontId="0" fillId="0" borderId="0" xfId="0" applyFont="1" applyProtection="1">
      <protection locked="0"/>
    </xf>
    <xf numFmtId="0" fontId="55" fillId="0" borderId="25" xfId="0" applyNumberFormat="1" applyFont="1" applyFill="1" applyBorder="1" applyAlignment="1" applyProtection="1">
      <alignment horizontal="left" vertical="center" wrapText="1"/>
    </xf>
    <xf numFmtId="0" fontId="43" fillId="0" borderId="25" xfId="0" applyNumberFormat="1" applyFont="1" applyFill="1" applyBorder="1" applyAlignment="1" applyProtection="1">
      <alignment horizontal="left" vertical="center" wrapText="1"/>
    </xf>
    <xf numFmtId="41" fontId="61" fillId="0" borderId="23" xfId="439" applyNumberFormat="1" applyFont="1" applyFill="1" applyBorder="1" applyAlignment="1" applyProtection="1">
      <alignment horizontal="center" vertical="center" wrapText="1"/>
    </xf>
    <xf numFmtId="0" fontId="50" fillId="0" borderId="23" xfId="439" applyNumberFormat="1" applyFont="1" applyFill="1" applyBorder="1" applyAlignment="1" applyProtection="1">
      <alignment horizontal="center" vertical="center" wrapText="1"/>
    </xf>
    <xf numFmtId="41" fontId="68" fillId="0" borderId="0" xfId="0" applyNumberFormat="1" applyFont="1" applyFill="1" applyAlignment="1" applyProtection="1">
      <alignment wrapText="1"/>
    </xf>
    <xf numFmtId="0" fontId="67" fillId="0" borderId="0" xfId="0" applyFont="1" applyFill="1" applyAlignment="1" applyProtection="1">
      <alignment horizontal="center" vertical="center"/>
    </xf>
    <xf numFmtId="0" fontId="52" fillId="0" borderId="0" xfId="0" applyFont="1" applyFill="1" applyAlignment="1" applyProtection="1">
      <alignment horizontal="center" vertical="center" wrapText="1"/>
    </xf>
    <xf numFmtId="0" fontId="61"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1" fillId="29" borderId="23" xfId="439" applyNumberFormat="1" applyFont="1" applyFill="1" applyBorder="1" applyAlignment="1" applyProtection="1">
      <alignment horizontal="center" vertical="center" wrapText="1"/>
      <protection locked="0"/>
    </xf>
    <xf numFmtId="37" fontId="62" fillId="33" borderId="28" xfId="439" applyNumberFormat="1" applyFont="1" applyFill="1" applyBorder="1" applyAlignment="1" applyProtection="1">
      <alignment horizontal="center" vertical="center" wrapText="1"/>
    </xf>
    <xf numFmtId="37" fontId="41" fillId="0" borderId="28" xfId="439" applyNumberFormat="1" applyFont="1" applyFill="1" applyBorder="1" applyAlignment="1" applyProtection="1">
      <alignment horizontal="center" vertical="center" wrapText="1"/>
    </xf>
    <xf numFmtId="37" fontId="62"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1"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1"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1" fillId="0" borderId="0" xfId="439" applyNumberFormat="1" applyFont="1" applyFill="1" applyAlignment="1" applyProtection="1">
      <alignment horizontal="center" vertical="center"/>
      <protection locked="0"/>
    </xf>
    <xf numFmtId="38" fontId="47"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1" fillId="0" borderId="29" xfId="439" applyNumberFormat="1" applyFont="1" applyFill="1" applyBorder="1" applyAlignment="1" applyProtection="1">
      <alignment horizontal="center" vertical="center" wrapText="1"/>
    </xf>
    <xf numFmtId="172" fontId="61" fillId="0" borderId="23" xfId="439" applyNumberFormat="1" applyFont="1" applyFill="1" applyBorder="1" applyAlignment="1" applyProtection="1">
      <alignment horizontal="center" vertical="center" wrapText="1"/>
    </xf>
    <xf numFmtId="0" fontId="41" fillId="0" borderId="24" xfId="0" applyNumberFormat="1" applyFont="1" applyFill="1" applyBorder="1" applyAlignment="1" applyProtection="1">
      <alignment horizontal="center" vertical="center"/>
    </xf>
    <xf numFmtId="0" fontId="56" fillId="0" borderId="0" xfId="0" applyFont="1" applyFill="1" applyAlignment="1" applyProtection="1">
      <alignment vertical="center" wrapText="1"/>
    </xf>
    <xf numFmtId="0" fontId="56"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1" fillId="29" borderId="44" xfId="439" applyNumberFormat="1" applyFont="1" applyFill="1" applyBorder="1" applyAlignment="1" applyProtection="1">
      <alignment horizontal="center" vertical="center" wrapText="1"/>
      <protection locked="0"/>
    </xf>
    <xf numFmtId="164" fontId="61" fillId="0" borderId="30" xfId="439" applyNumberFormat="1" applyFont="1" applyFill="1" applyBorder="1" applyAlignment="1" applyProtection="1">
      <alignment horizontal="center" vertical="center" wrapText="1"/>
    </xf>
    <xf numFmtId="39" fontId="61" fillId="0" borderId="27" xfId="439" applyNumberFormat="1" applyFont="1" applyFill="1" applyBorder="1" applyAlignment="1" applyProtection="1">
      <alignment horizontal="center" vertical="center" wrapText="1"/>
    </xf>
    <xf numFmtId="164" fontId="61" fillId="0" borderId="46" xfId="439" applyNumberFormat="1" applyFont="1" applyFill="1" applyBorder="1" applyAlignment="1" applyProtection="1">
      <alignment horizontal="center" vertical="center" wrapText="1"/>
    </xf>
    <xf numFmtId="0" fontId="41"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1" fillId="29" borderId="45" xfId="439" applyNumberFormat="1" applyFont="1" applyFill="1" applyBorder="1" applyAlignment="1" applyProtection="1">
      <alignment horizontal="center" vertical="center" wrapText="1"/>
      <protection locked="0"/>
    </xf>
    <xf numFmtId="0" fontId="61" fillId="0" borderId="30" xfId="0" applyNumberFormat="1" applyFont="1" applyFill="1" applyBorder="1" applyAlignment="1" applyProtection="1">
      <alignment horizontal="left" vertical="center" wrapText="1"/>
    </xf>
    <xf numFmtId="0" fontId="61" fillId="23" borderId="31" xfId="0" applyNumberFormat="1" applyFont="1" applyFill="1" applyBorder="1" applyAlignment="1" applyProtection="1">
      <alignment horizontal="left" vertical="center" wrapText="1"/>
    </xf>
    <xf numFmtId="0" fontId="61" fillId="23" borderId="31" xfId="439" applyNumberFormat="1" applyFont="1" applyFill="1" applyBorder="1" applyAlignment="1" applyProtection="1">
      <alignment horizontal="center" vertical="center" wrapText="1"/>
    </xf>
    <xf numFmtId="37" fontId="41" fillId="23" borderId="29" xfId="439" applyNumberFormat="1" applyFont="1" applyFill="1" applyBorder="1" applyAlignment="1" applyProtection="1">
      <alignment horizontal="center" vertical="center" wrapText="1"/>
    </xf>
    <xf numFmtId="0" fontId="41" fillId="23" borderId="26" xfId="0" applyNumberFormat="1" applyFont="1" applyFill="1" applyBorder="1" applyAlignment="1" applyProtection="1">
      <alignment horizontal="center" vertical="center"/>
    </xf>
    <xf numFmtId="37" fontId="41" fillId="0" borderId="27" xfId="439" applyNumberFormat="1" applyFont="1" applyFill="1" applyBorder="1" applyAlignment="1" applyProtection="1">
      <alignment horizontal="center" vertical="center" wrapText="1"/>
    </xf>
    <xf numFmtId="0" fontId="41"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1"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3" fillId="0" borderId="0" xfId="0" applyNumberFormat="1" applyFont="1" applyFill="1" applyAlignment="1" applyProtection="1">
      <alignment horizontal="left" vertical="center" wrapText="1" indent="6"/>
    </xf>
    <xf numFmtId="0" fontId="61"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2" fillId="24" borderId="0" xfId="439" applyNumberFormat="1" applyFont="1" applyFill="1" applyBorder="1" applyAlignment="1" applyProtection="1">
      <alignment horizontal="center" wrapText="1"/>
    </xf>
    <xf numFmtId="41" fontId="69" fillId="0" borderId="0" xfId="0" applyNumberFormat="1" applyFont="1" applyFill="1" applyAlignment="1" applyProtection="1">
      <alignment wrapText="1"/>
    </xf>
    <xf numFmtId="14" fontId="61"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2" fillId="0" borderId="0" xfId="0" applyNumberFormat="1" applyFont="1" applyAlignment="1" applyProtection="1">
      <alignment wrapText="1"/>
    </xf>
    <xf numFmtId="164" fontId="61" fillId="22" borderId="23" xfId="439" applyNumberFormat="1" applyFont="1" applyFill="1" applyBorder="1" applyAlignment="1" applyProtection="1">
      <alignment horizontal="center" vertical="center" wrapText="1"/>
      <protection locked="0"/>
    </xf>
    <xf numFmtId="172" fontId="61" fillId="22" borderId="23" xfId="439" applyNumberFormat="1" applyFont="1" applyFill="1" applyBorder="1" applyAlignment="1" applyProtection="1">
      <alignment horizontal="center" vertical="center" wrapText="1"/>
    </xf>
    <xf numFmtId="39" fontId="61" fillId="22" borderId="28" xfId="439" applyNumberFormat="1" applyFont="1" applyFill="1" applyBorder="1" applyAlignment="1" applyProtection="1">
      <alignment horizontal="center" vertical="center" wrapText="1"/>
    </xf>
    <xf numFmtId="164" fontId="61" fillId="22" borderId="29" xfId="439" applyNumberFormat="1" applyFont="1" applyFill="1" applyBorder="1" applyAlignment="1" applyProtection="1">
      <alignment horizontal="center" vertical="center" wrapText="1"/>
    </xf>
    <xf numFmtId="0" fontId="41" fillId="22" borderId="24" xfId="0" applyNumberFormat="1" applyFont="1" applyFill="1" applyBorder="1" applyAlignment="1" applyProtection="1">
      <alignment horizontal="center" vertical="center"/>
    </xf>
    <xf numFmtId="164" fontId="61" fillId="29" borderId="31" xfId="439" applyNumberFormat="1" applyFont="1" applyFill="1" applyBorder="1" applyAlignment="1" applyProtection="1">
      <alignment horizontal="center" vertical="center" wrapText="1"/>
      <protection locked="0"/>
    </xf>
    <xf numFmtId="0" fontId="51" fillId="0" borderId="0" xfId="0" applyFont="1" applyAlignment="1" applyProtection="1">
      <alignment horizontal="center"/>
    </xf>
    <xf numFmtId="0" fontId="43" fillId="22" borderId="0" xfId="0" applyFont="1" applyFill="1" applyAlignment="1" applyProtection="1">
      <alignment horizontal="left" wrapText="1"/>
    </xf>
    <xf numFmtId="172" fontId="61" fillId="22" borderId="30" xfId="439" applyNumberFormat="1" applyFont="1" applyFill="1" applyBorder="1" applyAlignment="1" applyProtection="1">
      <alignment horizontal="center" vertical="center" wrapText="1"/>
    </xf>
    <xf numFmtId="175" fontId="61" fillId="75" borderId="23" xfId="439" applyNumberFormat="1" applyFont="1" applyFill="1" applyBorder="1" applyAlignment="1" applyProtection="1">
      <alignment horizontal="center" vertical="center" wrapText="1"/>
    </xf>
    <xf numFmtId="3" fontId="61" fillId="0" borderId="23" xfId="439" applyNumberFormat="1" applyFont="1" applyFill="1" applyBorder="1" applyAlignment="1" applyProtection="1">
      <alignment horizontal="center" vertical="center" wrapText="1"/>
      <protection locked="0"/>
    </xf>
    <xf numFmtId="180" fontId="61" fillId="75" borderId="23" xfId="439" applyNumberFormat="1" applyFont="1" applyFill="1" applyBorder="1" applyAlignment="1" applyProtection="1">
      <alignment horizontal="center" vertical="center" wrapText="1"/>
    </xf>
    <xf numFmtId="39" fontId="61" fillId="0" borderId="23" xfId="439" applyNumberFormat="1" applyFont="1" applyFill="1" applyBorder="1" applyAlignment="1" applyProtection="1">
      <alignment horizontal="center" vertical="center" wrapText="1"/>
    </xf>
    <xf numFmtId="3" fontId="61" fillId="0" borderId="31" xfId="439" applyNumberFormat="1" applyFont="1" applyFill="1" applyBorder="1" applyAlignment="1" applyProtection="1">
      <alignment horizontal="center" vertical="center" wrapText="1"/>
    </xf>
    <xf numFmtId="3" fontId="61" fillId="23" borderId="31" xfId="439" applyNumberFormat="1" applyFont="1" applyFill="1" applyBorder="1" applyAlignment="1" applyProtection="1">
      <alignment horizontal="center" vertical="center" wrapText="1"/>
    </xf>
    <xf numFmtId="3" fontId="61" fillId="23" borderId="23" xfId="439" applyNumberFormat="1" applyFont="1" applyFill="1" applyBorder="1" applyAlignment="1" applyProtection="1">
      <alignment horizontal="center" vertical="center" wrapText="1"/>
    </xf>
    <xf numFmtId="3" fontId="61" fillId="0" borderId="30" xfId="439" applyNumberFormat="1" applyFont="1" applyFill="1" applyBorder="1" applyAlignment="1" applyProtection="1">
      <alignment horizontal="center" vertical="center" wrapText="1"/>
    </xf>
    <xf numFmtId="37" fontId="61" fillId="0" borderId="23" xfId="439" applyNumberFormat="1" applyFont="1" applyFill="1" applyBorder="1" applyAlignment="1" applyProtection="1">
      <alignment horizontal="center" vertical="center" wrapText="1"/>
    </xf>
    <xf numFmtId="0" fontId="41" fillId="0" borderId="0" xfId="0" applyFont="1" applyAlignment="1" applyProtection="1">
      <alignment horizontal="left" vertical="center" wrapText="1"/>
    </xf>
    <xf numFmtId="0" fontId="67" fillId="0" borderId="0" xfId="0" applyFont="1" applyProtection="1"/>
    <xf numFmtId="0" fontId="41" fillId="0" borderId="57" xfId="0" applyFont="1" applyBorder="1"/>
    <xf numFmtId="0" fontId="41" fillId="26" borderId="16" xfId="0" applyFont="1" applyFill="1" applyBorder="1" applyAlignment="1" applyProtection="1">
      <alignment horizontal="left"/>
    </xf>
    <xf numFmtId="0" fontId="41" fillId="0" borderId="17" xfId="0" applyFont="1" applyBorder="1" applyAlignment="1">
      <alignment vertical="center"/>
    </xf>
    <xf numFmtId="0" fontId="41" fillId="0" borderId="0" xfId="0" applyFont="1" applyBorder="1" applyAlignment="1">
      <alignment vertical="center"/>
    </xf>
    <xf numFmtId="0" fontId="41" fillId="0" borderId="15" xfId="0" applyFont="1" applyBorder="1" applyAlignment="1">
      <alignment vertical="center"/>
    </xf>
    <xf numFmtId="3" fontId="41" fillId="0" borderId="0" xfId="439" applyNumberFormat="1" applyFont="1" applyFill="1" applyAlignment="1" applyProtection="1">
      <alignment horizontal="center" vertical="center" wrapText="1"/>
      <protection locked="0"/>
    </xf>
    <xf numFmtId="0" fontId="75" fillId="22" borderId="0" xfId="0" applyFont="1" applyFill="1" applyProtection="1"/>
    <xf numFmtId="0" fontId="122" fillId="22" borderId="0" xfId="0" applyFont="1" applyFill="1" applyProtection="1"/>
    <xf numFmtId="0" fontId="86" fillId="22" borderId="0" xfId="0" applyFont="1" applyFill="1" applyAlignment="1" applyProtection="1">
      <alignment vertical="center" wrapText="1"/>
    </xf>
    <xf numFmtId="0" fontId="86" fillId="22" borderId="0" xfId="0" applyFont="1" applyFill="1" applyAlignment="1" applyProtection="1">
      <alignment vertical="center"/>
      <protection locked="0"/>
    </xf>
    <xf numFmtId="0" fontId="86" fillId="22" borderId="0" xfId="0" applyFont="1" applyFill="1" applyAlignment="1" applyProtection="1">
      <alignment vertical="center"/>
    </xf>
    <xf numFmtId="0" fontId="0" fillId="0" borderId="0" xfId="0" applyAlignment="1">
      <alignment horizontal="center"/>
    </xf>
    <xf numFmtId="0" fontId="86" fillId="0" borderId="0" xfId="0" applyFont="1" applyAlignment="1">
      <alignment horizontal="center"/>
    </xf>
    <xf numFmtId="0" fontId="41" fillId="0" borderId="24" xfId="0" applyFont="1" applyBorder="1" applyAlignment="1">
      <alignment horizontal="center" vertical="center"/>
    </xf>
    <xf numFmtId="0" fontId="41" fillId="0" borderId="0" xfId="0" applyFont="1" applyAlignment="1">
      <alignment vertical="center"/>
    </xf>
    <xf numFmtId="0" fontId="0" fillId="34" borderId="45" xfId="0" applyFont="1" applyFill="1" applyBorder="1" applyAlignment="1">
      <alignment vertical="center" wrapText="1"/>
    </xf>
    <xf numFmtId="171" fontId="61" fillId="75" borderId="29" xfId="439" applyNumberFormat="1" applyFont="1" applyFill="1" applyBorder="1" applyAlignment="1" applyProtection="1">
      <alignment horizontal="center" vertical="center" wrapText="1"/>
    </xf>
    <xf numFmtId="0" fontId="41" fillId="74" borderId="63" xfId="0" applyNumberFormat="1" applyFont="1" applyFill="1" applyBorder="1" applyAlignment="1" applyProtection="1">
      <alignment horizontal="center" vertical="center"/>
    </xf>
    <xf numFmtId="0" fontId="0" fillId="73" borderId="0" xfId="0" applyFill="1"/>
    <xf numFmtId="0" fontId="123" fillId="73" borderId="0" xfId="0" applyFont="1" applyFill="1" applyAlignment="1">
      <alignment vertical="center" wrapText="1"/>
    </xf>
    <xf numFmtId="0" fontId="49" fillId="73" borderId="0" xfId="0" applyFont="1" applyFill="1" applyAlignment="1">
      <alignment horizontal="justify" vertical="center"/>
    </xf>
    <xf numFmtId="0" fontId="128" fillId="77" borderId="0" xfId="0" applyFont="1" applyFill="1" applyAlignment="1">
      <alignment vertical="center"/>
    </xf>
    <xf numFmtId="0" fontId="65" fillId="0" borderId="45" xfId="0" applyFont="1" applyFill="1" applyBorder="1" applyAlignment="1" applyProtection="1">
      <alignment horizontal="center" vertical="center" wrapText="1"/>
    </xf>
    <xf numFmtId="0" fontId="65" fillId="32" borderId="45" xfId="0" applyFont="1" applyFill="1" applyBorder="1" applyAlignment="1" applyProtection="1">
      <alignment horizontal="center" vertical="center" wrapText="1"/>
    </xf>
    <xf numFmtId="0" fontId="61" fillId="31" borderId="25" xfId="0" applyNumberFormat="1" applyFont="1" applyFill="1" applyBorder="1" applyAlignment="1" applyProtection="1">
      <alignment horizontal="left" vertical="center" wrapText="1"/>
    </xf>
    <xf numFmtId="0" fontId="43" fillId="31" borderId="65" xfId="0" applyFont="1" applyFill="1" applyBorder="1" applyAlignment="1">
      <alignment wrapText="1"/>
    </xf>
    <xf numFmtId="14" fontId="43" fillId="31" borderId="65" xfId="0" applyNumberFormat="1" applyFont="1" applyFill="1" applyBorder="1" applyAlignment="1">
      <alignment wrapText="1"/>
    </xf>
    <xf numFmtId="0" fontId="41" fillId="31" borderId="63" xfId="0" applyNumberFormat="1" applyFont="1" applyFill="1" applyBorder="1" applyAlignment="1" applyProtection="1">
      <alignment horizontal="center" vertical="center"/>
    </xf>
    <xf numFmtId="49" fontId="61" fillId="0" borderId="23" xfId="439" applyNumberFormat="1" applyFont="1" applyFill="1" applyBorder="1" applyAlignment="1" applyProtection="1">
      <alignment horizontal="center" vertical="center" wrapText="1"/>
    </xf>
    <xf numFmtId="0" fontId="124" fillId="73" borderId="0" xfId="0" applyFont="1" applyFill="1" applyAlignment="1">
      <alignment horizontal="left" vertical="center" wrapText="1"/>
    </xf>
    <xf numFmtId="0" fontId="35" fillId="73" borderId="0" xfId="30098" applyFill="1"/>
    <xf numFmtId="0" fontId="127" fillId="77" borderId="0" xfId="30098" applyFont="1" applyFill="1" applyAlignment="1">
      <alignment horizontal="center" vertical="center" wrapText="1"/>
    </xf>
    <xf numFmtId="0" fontId="123" fillId="73" borderId="0" xfId="30098" applyFont="1" applyFill="1" applyAlignment="1">
      <alignment vertical="center" wrapText="1"/>
    </xf>
    <xf numFmtId="0" fontId="49" fillId="73" borderId="0" xfId="30098" applyFont="1" applyFill="1" applyAlignment="1">
      <alignment vertical="center" wrapText="1"/>
    </xf>
    <xf numFmtId="0" fontId="128" fillId="77" borderId="0" xfId="30098" applyFont="1" applyFill="1" applyAlignment="1">
      <alignment vertical="center"/>
    </xf>
    <xf numFmtId="0" fontId="131" fillId="0" borderId="0" xfId="30099" applyFont="1" applyAlignment="1">
      <alignment horizontal="left" vertical="top"/>
    </xf>
    <xf numFmtId="0" fontId="133" fillId="0" borderId="0" xfId="30099" applyFont="1" applyAlignment="1">
      <alignment horizontal="left" vertical="top"/>
    </xf>
    <xf numFmtId="0" fontId="131" fillId="36" borderId="0" xfId="30099" applyFont="1" applyFill="1" applyAlignment="1">
      <alignment horizontal="left" vertical="top"/>
    </xf>
    <xf numFmtId="0" fontId="133" fillId="0" borderId="0" xfId="30099" applyFont="1" applyAlignment="1">
      <alignment vertical="top"/>
    </xf>
    <xf numFmtId="0" fontId="131" fillId="0" borderId="0" xfId="30099" applyFont="1" applyAlignment="1">
      <alignment vertical="top"/>
    </xf>
    <xf numFmtId="14" fontId="133" fillId="0" borderId="0" xfId="30099" applyNumberFormat="1" applyFont="1" applyAlignment="1">
      <alignment horizontal="left" vertical="top"/>
    </xf>
    <xf numFmtId="0" fontId="133" fillId="79" borderId="13" xfId="30099" applyFont="1" applyFill="1" applyBorder="1" applyAlignment="1">
      <alignment horizontal="left" vertical="top"/>
    </xf>
    <xf numFmtId="0" fontId="133" fillId="79" borderId="16" xfId="30099" applyFont="1" applyFill="1" applyBorder="1" applyAlignment="1">
      <alignment horizontal="left" vertical="top"/>
    </xf>
    <xf numFmtId="164" fontId="138" fillId="79" borderId="16" xfId="30100" applyNumberFormat="1" applyFont="1" applyFill="1" applyBorder="1" applyAlignment="1">
      <alignment vertical="center"/>
    </xf>
    <xf numFmtId="0" fontId="139" fillId="79" borderId="16" xfId="30099" applyFont="1" applyFill="1" applyBorder="1" applyAlignment="1">
      <alignment vertical="center" wrapText="1"/>
    </xf>
    <xf numFmtId="0" fontId="139" fillId="79" borderId="16" xfId="30099" applyFont="1" applyFill="1" applyBorder="1" applyAlignment="1">
      <alignment vertical="center"/>
    </xf>
    <xf numFmtId="0" fontId="131" fillId="79" borderId="11" xfId="30099" applyFont="1" applyFill="1" applyBorder="1" applyAlignment="1">
      <alignment horizontal="left" vertical="top" wrapText="1"/>
    </xf>
    <xf numFmtId="0" fontId="140" fillId="0" borderId="0" xfId="30099" applyFont="1" applyAlignment="1">
      <alignment horizontal="left" vertical="top"/>
    </xf>
    <xf numFmtId="0" fontId="140" fillId="26" borderId="15" xfId="30099" applyFont="1" applyFill="1" applyBorder="1" applyAlignment="1">
      <alignment horizontal="left" vertical="top"/>
    </xf>
    <xf numFmtId="0" fontId="140" fillId="26" borderId="0" xfId="30099" applyFont="1" applyFill="1" applyAlignment="1">
      <alignment horizontal="left" vertical="top"/>
    </xf>
    <xf numFmtId="0" fontId="131" fillId="26" borderId="0" xfId="30099" applyFont="1" applyFill="1" applyAlignment="1">
      <alignment horizontal="left" vertical="top" wrapText="1"/>
    </xf>
    <xf numFmtId="0" fontId="140" fillId="26" borderId="0" xfId="30099" applyFont="1" applyFill="1" applyAlignment="1">
      <alignment horizontal="left" vertical="center"/>
    </xf>
    <xf numFmtId="0" fontId="140" fillId="26" borderId="60" xfId="30099" applyFont="1" applyFill="1" applyBorder="1" applyAlignment="1">
      <alignment horizontal="left" vertical="top" wrapText="1"/>
    </xf>
    <xf numFmtId="0" fontId="131" fillId="26" borderId="15" xfId="30099" applyFont="1" applyFill="1" applyBorder="1" applyAlignment="1">
      <alignment horizontal="left" vertical="top"/>
    </xf>
    <xf numFmtId="0" fontId="131" fillId="26" borderId="0" xfId="30099" applyFont="1" applyFill="1" applyAlignment="1">
      <alignment horizontal="left" vertical="top"/>
    </xf>
    <xf numFmtId="0" fontId="131" fillId="26" borderId="60" xfId="30099" applyFont="1" applyFill="1" applyBorder="1" applyAlignment="1">
      <alignment horizontal="left" vertical="top" wrapText="1"/>
    </xf>
    <xf numFmtId="0" fontId="143" fillId="26" borderId="0" xfId="30099" applyFont="1" applyFill="1" applyAlignment="1">
      <alignment horizontal="left" vertical="top"/>
    </xf>
    <xf numFmtId="0" fontId="131" fillId="26" borderId="0" xfId="30099" applyFont="1" applyFill="1" applyAlignment="1">
      <alignment horizontal="left" vertical="center"/>
    </xf>
    <xf numFmtId="14" fontId="131" fillId="0" borderId="69" xfId="30099" applyNumberFormat="1" applyFont="1" applyBorder="1" applyAlignment="1" applyProtection="1">
      <alignment horizontal="center" vertical="center"/>
      <protection locked="0"/>
    </xf>
    <xf numFmtId="0" fontId="131" fillId="26" borderId="0" xfId="30099" applyFont="1" applyFill="1" applyAlignment="1">
      <alignment horizontal="left" vertical="center" wrapText="1"/>
    </xf>
    <xf numFmtId="0" fontId="131" fillId="0" borderId="69" xfId="30099" applyFont="1" applyBorder="1" applyAlignment="1" applyProtection="1">
      <alignment horizontal="center" vertical="center"/>
      <protection locked="0"/>
    </xf>
    <xf numFmtId="0" fontId="146" fillId="0" borderId="0" xfId="29597" applyFont="1" applyFill="1" applyBorder="1" applyAlignment="1">
      <alignment horizontal="left" vertical="top"/>
    </xf>
    <xf numFmtId="0" fontId="148" fillId="26" borderId="0" xfId="30099" applyFont="1" applyFill="1" applyAlignment="1">
      <alignment horizontal="center" vertical="center" wrapText="1"/>
    </xf>
    <xf numFmtId="0" fontId="131" fillId="0" borderId="57" xfId="30099" applyFont="1" applyBorder="1" applyAlignment="1" applyProtection="1">
      <alignment horizontal="center" vertical="center"/>
      <protection locked="0"/>
    </xf>
    <xf numFmtId="0" fontId="131" fillId="26" borderId="0" xfId="30099" applyFont="1" applyFill="1" applyAlignment="1">
      <alignment horizontal="center" vertical="center"/>
    </xf>
    <xf numFmtId="0" fontId="149" fillId="26" borderId="0" xfId="30099" applyFont="1" applyFill="1" applyAlignment="1">
      <alignment horizontal="left" vertical="top" wrapText="1"/>
    </xf>
    <xf numFmtId="0" fontId="149" fillId="0" borderId="57" xfId="30099" applyFont="1" applyBorder="1" applyAlignment="1" applyProtection="1">
      <alignment horizontal="center" vertical="center" wrapText="1"/>
      <protection locked="0"/>
    </xf>
    <xf numFmtId="0" fontId="133" fillId="0" borderId="0" xfId="30099" applyFont="1" applyAlignment="1">
      <alignment horizontal="left"/>
    </xf>
    <xf numFmtId="0" fontId="132" fillId="0" borderId="69" xfId="30099" applyFont="1" applyBorder="1" applyAlignment="1" applyProtection="1">
      <alignment horizontal="center" vertical="center"/>
      <protection locked="0"/>
    </xf>
    <xf numFmtId="0" fontId="131" fillId="26" borderId="0" xfId="30099" applyFont="1" applyFill="1" applyAlignment="1">
      <alignment vertical="top" wrapText="1"/>
    </xf>
    <xf numFmtId="0" fontId="131" fillId="26" borderId="60" xfId="30099" applyFont="1" applyFill="1" applyBorder="1" applyAlignment="1">
      <alignment vertical="top" wrapText="1"/>
    </xf>
    <xf numFmtId="0" fontId="135" fillId="26" borderId="0" xfId="30099" applyFont="1" applyFill="1" applyAlignment="1">
      <alignment horizontal="left" vertical="top"/>
    </xf>
    <xf numFmtId="0" fontId="143" fillId="26" borderId="0" xfId="30099" applyFont="1" applyFill="1" applyAlignment="1">
      <alignment horizontal="left" vertical="top" wrapText="1"/>
    </xf>
    <xf numFmtId="0" fontId="131" fillId="26" borderId="15" xfId="30099" applyFont="1" applyFill="1" applyBorder="1" applyAlignment="1">
      <alignment horizontal="left"/>
    </xf>
    <xf numFmtId="0" fontId="131" fillId="26" borderId="0" xfId="30099" applyFont="1" applyFill="1" applyAlignment="1">
      <alignment horizontal="left"/>
    </xf>
    <xf numFmtId="0" fontId="131" fillId="26" borderId="0" xfId="30099" applyFont="1" applyFill="1" applyAlignment="1">
      <alignment vertical="center" wrapText="1"/>
    </xf>
    <xf numFmtId="0" fontId="143" fillId="26" borderId="0" xfId="30099" applyFont="1" applyFill="1" applyAlignment="1">
      <alignment vertical="center" wrapText="1"/>
    </xf>
    <xf numFmtId="14" fontId="133" fillId="0" borderId="0" xfId="30099" applyNumberFormat="1" applyFont="1" applyAlignment="1">
      <alignment horizontal="left"/>
    </xf>
    <xf numFmtId="0" fontId="131" fillId="0" borderId="0" xfId="30099" applyFont="1" applyAlignment="1">
      <alignment horizontal="left"/>
    </xf>
    <xf numFmtId="0" fontId="137" fillId="26" borderId="0" xfId="30099" applyFont="1" applyFill="1" applyAlignment="1">
      <alignment horizontal="left"/>
    </xf>
    <xf numFmtId="0" fontId="137" fillId="26" borderId="0" xfId="30099" applyFont="1" applyFill="1" applyAlignment="1">
      <alignment horizontal="right" vertical="center"/>
    </xf>
    <xf numFmtId="0" fontId="137" fillId="26" borderId="0" xfId="30099" applyFont="1" applyFill="1" applyAlignment="1">
      <alignment horizontal="right"/>
    </xf>
    <xf numFmtId="0" fontId="131" fillId="26" borderId="0" xfId="30099" applyFont="1" applyFill="1" applyAlignment="1">
      <alignment horizontal="right" vertical="center" wrapText="1"/>
    </xf>
    <xf numFmtId="14" fontId="131" fillId="26" borderId="0" xfId="30099" applyNumberFormat="1" applyFont="1" applyFill="1" applyAlignment="1">
      <alignment horizontal="left" vertical="center"/>
    </xf>
    <xf numFmtId="0" fontId="153" fillId="79" borderId="0" xfId="30099" applyFont="1" applyFill="1" applyAlignment="1">
      <alignment vertical="center"/>
    </xf>
    <xf numFmtId="0" fontId="153" fillId="79" borderId="0" xfId="30099" applyFont="1" applyFill="1" applyAlignment="1">
      <alignment horizontal="left" vertical="center"/>
    </xf>
    <xf numFmtId="0" fontId="143" fillId="26" borderId="0" xfId="30099" applyFont="1" applyFill="1" applyAlignment="1">
      <alignment horizontal="left" vertical="center" wrapText="1"/>
    </xf>
    <xf numFmtId="0" fontId="143" fillId="26" borderId="60" xfId="30099" applyFont="1" applyFill="1" applyBorder="1" applyAlignment="1">
      <alignment vertical="top" wrapText="1"/>
    </xf>
    <xf numFmtId="0" fontId="131" fillId="26" borderId="40" xfId="30099" applyFont="1" applyFill="1" applyBorder="1" applyAlignment="1">
      <alignment horizontal="left" vertical="top"/>
    </xf>
    <xf numFmtId="0" fontId="131" fillId="26" borderId="41" xfId="30099" applyFont="1" applyFill="1" applyBorder="1" applyAlignment="1">
      <alignment horizontal="left" vertical="top"/>
    </xf>
    <xf numFmtId="0" fontId="131" fillId="26" borderId="41" xfId="30099" applyFont="1" applyFill="1" applyBorder="1" applyAlignment="1">
      <alignment horizontal="right" vertical="center" wrapText="1"/>
    </xf>
    <xf numFmtId="0" fontId="131" fillId="26" borderId="41" xfId="30099" applyFont="1" applyFill="1" applyBorder="1" applyAlignment="1">
      <alignment horizontal="left" vertical="center"/>
    </xf>
    <xf numFmtId="0" fontId="131" fillId="26" borderId="42" xfId="30099" applyFont="1" applyFill="1" applyBorder="1" applyAlignment="1">
      <alignment horizontal="left" vertical="top" wrapText="1"/>
    </xf>
    <xf numFmtId="0" fontId="131" fillId="0" borderId="0" xfId="30099" applyFont="1" applyAlignment="1">
      <alignment horizontal="left" vertical="top" wrapText="1"/>
    </xf>
    <xf numFmtId="2" fontId="131" fillId="0" borderId="0" xfId="30099" applyNumberFormat="1" applyFont="1" applyAlignment="1">
      <alignment horizontal="left" vertical="top"/>
    </xf>
    <xf numFmtId="0" fontId="131" fillId="0" borderId="0" xfId="30099" applyFont="1" applyAlignment="1">
      <alignment horizontal="left" vertical="center" wrapText="1"/>
    </xf>
    <xf numFmtId="14" fontId="131" fillId="0" borderId="0" xfId="30099" applyNumberFormat="1" applyFont="1" applyAlignment="1">
      <alignment horizontal="left" vertical="top"/>
    </xf>
    <xf numFmtId="0" fontId="131"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5" fillId="26" borderId="0" xfId="30099" applyFont="1" applyFill="1" applyAlignment="1">
      <alignment horizontal="center" vertical="center"/>
    </xf>
    <xf numFmtId="164" fontId="137" fillId="26" borderId="0" xfId="30100" applyNumberFormat="1" applyFont="1" applyFill="1" applyBorder="1" applyAlignment="1">
      <alignment vertical="center"/>
    </xf>
    <xf numFmtId="164" fontId="137" fillId="26" borderId="0" xfId="30100" applyNumberFormat="1" applyFont="1" applyFill="1" applyBorder="1" applyAlignment="1">
      <alignment vertical="top"/>
    </xf>
    <xf numFmtId="164" fontId="136" fillId="26" borderId="0" xfId="30100" applyNumberFormat="1" applyFont="1" applyFill="1" applyBorder="1" applyAlignment="1">
      <alignment vertical="center"/>
    </xf>
    <xf numFmtId="164" fontId="135" fillId="26" borderId="0" xfId="30100" applyNumberFormat="1" applyFont="1" applyFill="1" applyBorder="1" applyAlignment="1">
      <alignment vertical="center"/>
    </xf>
    <xf numFmtId="164" fontId="137" fillId="26" borderId="41" xfId="30100" applyNumberFormat="1" applyFont="1" applyFill="1" applyBorder="1" applyAlignment="1">
      <alignment vertical="top"/>
    </xf>
    <xf numFmtId="164" fontId="131" fillId="0" borderId="0" xfId="30100" applyNumberFormat="1" applyFont="1" applyFill="1" applyBorder="1" applyAlignment="1">
      <alignment vertical="top"/>
    </xf>
    <xf numFmtId="49" fontId="137" fillId="26" borderId="0" xfId="30100" applyNumberFormat="1" applyFont="1" applyFill="1" applyBorder="1" applyAlignment="1">
      <alignment horizontal="center" vertical="center"/>
    </xf>
    <xf numFmtId="49" fontId="137" fillId="26" borderId="0" xfId="30100" applyNumberFormat="1" applyFont="1" applyFill="1" applyBorder="1" applyAlignment="1">
      <alignment horizontal="center" vertical="top"/>
    </xf>
    <xf numFmtId="0" fontId="137" fillId="26" borderId="0" xfId="30099" applyFont="1" applyFill="1" applyAlignment="1">
      <alignment horizontal="left" wrapText="1"/>
    </xf>
    <xf numFmtId="0" fontId="137" fillId="26" borderId="0" xfId="30099" applyFont="1" applyFill="1" applyAlignment="1">
      <alignment horizontal="left" vertical="center" wrapText="1"/>
    </xf>
    <xf numFmtId="0" fontId="131" fillId="0" borderId="0" xfId="30099" applyFont="1" applyFill="1" applyAlignment="1">
      <alignment horizontal="left"/>
    </xf>
    <xf numFmtId="0" fontId="133" fillId="0" borderId="0" xfId="30099" applyFont="1" applyFill="1" applyAlignment="1">
      <alignment horizontal="left"/>
    </xf>
    <xf numFmtId="14" fontId="133" fillId="0" borderId="0" xfId="30099" applyNumberFormat="1"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41" fillId="29" borderId="0" xfId="439" applyNumberFormat="1" applyFont="1" applyFill="1" applyAlignment="1" applyProtection="1">
      <alignment horizontal="center" vertical="center"/>
      <protection locked="0"/>
    </xf>
    <xf numFmtId="174" fontId="41" fillId="29" borderId="0" xfId="439" applyNumberFormat="1" applyFont="1" applyFill="1" applyAlignment="1" applyProtection="1">
      <alignment horizontal="center" vertical="center"/>
      <protection locked="0"/>
    </xf>
    <xf numFmtId="38" fontId="47" fillId="29" borderId="0" xfId="439" applyNumberFormat="1" applyFont="1" applyFill="1" applyAlignment="1" applyProtection="1">
      <alignment horizontal="center" vertical="center" wrapText="1"/>
      <protection locked="0"/>
    </xf>
    <xf numFmtId="9" fontId="0" fillId="0" borderId="82" xfId="4688" applyFont="1" applyBorder="1"/>
    <xf numFmtId="0" fontId="139" fillId="79" borderId="41" xfId="30099" applyFont="1" applyFill="1" applyBorder="1" applyAlignment="1">
      <alignment vertical="center"/>
    </xf>
    <xf numFmtId="0" fontId="41" fillId="0" borderId="43" xfId="0" applyNumberFormat="1" applyFont="1" applyFill="1" applyBorder="1" applyAlignment="1" applyProtection="1">
      <alignment horizontal="center" vertical="center"/>
    </xf>
    <xf numFmtId="0" fontId="41" fillId="0" borderId="0" xfId="0" applyFont="1" applyBorder="1" applyAlignment="1">
      <alignment wrapText="1"/>
    </xf>
    <xf numFmtId="0" fontId="41" fillId="0" borderId="0" xfId="0" applyFont="1" applyAlignment="1">
      <alignment horizontal="center"/>
    </xf>
    <xf numFmtId="0" fontId="41" fillId="0" borderId="0" xfId="0" applyFont="1" applyAlignment="1">
      <alignment horizontal="center" wrapText="1"/>
    </xf>
    <xf numFmtId="0" fontId="135" fillId="26" borderId="0" xfId="30099" applyFont="1" applyFill="1" applyAlignment="1">
      <alignment vertical="top" wrapText="1"/>
    </xf>
    <xf numFmtId="0" fontId="157" fillId="26" borderId="0" xfId="30099" applyFont="1" applyFill="1" applyAlignment="1">
      <alignment horizontal="left" vertical="top" wrapText="1"/>
    </xf>
    <xf numFmtId="170" fontId="41" fillId="29" borderId="0" xfId="439" applyNumberFormat="1" applyFont="1" applyFill="1" applyAlignment="1" applyProtection="1">
      <alignment horizontal="center" vertical="center"/>
      <protection locked="0"/>
    </xf>
    <xf numFmtId="0" fontId="41" fillId="78" borderId="85" xfId="0" applyFont="1" applyFill="1" applyBorder="1" applyAlignment="1">
      <alignment horizontal="center"/>
    </xf>
    <xf numFmtId="0" fontId="41" fillId="78" borderId="85" xfId="0" applyFont="1" applyFill="1" applyBorder="1" applyAlignment="1">
      <alignment horizontal="center" wrapText="1"/>
    </xf>
    <xf numFmtId="0" fontId="41" fillId="78" borderId="98" xfId="0" applyFont="1" applyFill="1" applyBorder="1" applyAlignment="1">
      <alignment vertical="center" wrapText="1"/>
    </xf>
    <xf numFmtId="0" fontId="41" fillId="78" borderId="88" xfId="0" applyFont="1" applyFill="1" applyBorder="1" applyAlignment="1">
      <alignment wrapText="1"/>
    </xf>
    <xf numFmtId="0" fontId="41" fillId="78" borderId="78" xfId="0" applyFont="1" applyFill="1" applyBorder="1" applyAlignment="1">
      <alignment horizontal="center"/>
    </xf>
    <xf numFmtId="0" fontId="41" fillId="78" borderId="85" xfId="0" applyFont="1" applyFill="1" applyBorder="1" applyAlignment="1">
      <alignment wrapText="1"/>
    </xf>
    <xf numFmtId="0" fontId="41" fillId="78" borderId="87" xfId="0" applyFont="1" applyFill="1" applyBorder="1" applyAlignment="1">
      <alignment wrapText="1"/>
    </xf>
    <xf numFmtId="9" fontId="0" fillId="0" borderId="92" xfId="4688" applyFont="1" applyFill="1" applyBorder="1"/>
    <xf numFmtId="9" fontId="41" fillId="0" borderId="86" xfId="0" applyNumberFormat="1" applyFont="1" applyFill="1" applyBorder="1" applyAlignment="1">
      <alignment horizontal="center"/>
    </xf>
    <xf numFmtId="0" fontId="41" fillId="0" borderId="92" xfId="0" applyFont="1" applyFill="1" applyBorder="1" applyAlignment="1">
      <alignment horizontal="center" wrapText="1"/>
    </xf>
    <xf numFmtId="9" fontId="0" fillId="0" borderId="92" xfId="4688" applyNumberFormat="1" applyFont="1" applyFill="1" applyBorder="1" applyAlignment="1">
      <alignment horizontal="center"/>
    </xf>
    <xf numFmtId="37" fontId="0" fillId="0" borderId="92" xfId="0" applyNumberFormat="1" applyFont="1" applyFill="1" applyBorder="1" applyAlignment="1">
      <alignment horizontal="center" wrapText="1"/>
    </xf>
    <xf numFmtId="43" fontId="0" fillId="0" borderId="82" xfId="439" applyNumberFormat="1" applyFont="1" applyBorder="1"/>
    <xf numFmtId="0" fontId="41" fillId="78" borderId="102" xfId="0" applyFont="1" applyFill="1" applyBorder="1" applyAlignment="1">
      <alignment horizontal="center"/>
    </xf>
    <xf numFmtId="0" fontId="41" fillId="78" borderId="96" xfId="0" applyFont="1" applyFill="1" applyBorder="1" applyAlignment="1">
      <alignment horizontal="center"/>
    </xf>
    <xf numFmtId="0" fontId="41" fillId="78" borderId="98" xfId="0" applyFont="1" applyFill="1" applyBorder="1" applyAlignment="1">
      <alignment wrapText="1"/>
    </xf>
    <xf numFmtId="0" fontId="41" fillId="78" borderId="106" xfId="0" applyFont="1" applyFill="1" applyBorder="1" applyAlignment="1">
      <alignment vertical="center" wrapText="1"/>
    </xf>
    <xf numFmtId="38" fontId="41" fillId="29" borderId="0" xfId="439" applyNumberFormat="1" applyFont="1" applyFill="1" applyAlignment="1" applyProtection="1">
      <alignment horizontal="center" vertical="center"/>
      <protection locked="0"/>
    </xf>
    <xf numFmtId="3" fontId="41" fillId="29" borderId="0" xfId="439" applyNumberFormat="1" applyFont="1" applyFill="1" applyAlignment="1" applyProtection="1">
      <alignment horizontal="center" vertical="center"/>
      <protection locked="0"/>
    </xf>
    <xf numFmtId="37" fontId="41"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62" fillId="0" borderId="0" xfId="0" applyFont="1" applyAlignment="1">
      <alignment vertical="center"/>
    </xf>
    <xf numFmtId="0" fontId="162" fillId="0" borderId="0" xfId="30099" applyFont="1" applyAlignment="1">
      <alignment horizontal="left" vertical="top"/>
    </xf>
    <xf numFmtId="0" fontId="158" fillId="26" borderId="0" xfId="30099" applyFont="1" applyFill="1" applyAlignment="1">
      <alignment vertical="center" wrapText="1"/>
    </xf>
    <xf numFmtId="0" fontId="163" fillId="26" borderId="0" xfId="30099" applyFont="1" applyFill="1" applyAlignment="1">
      <alignment vertical="center" wrapText="1"/>
    </xf>
    <xf numFmtId="0" fontId="164" fillId="0" borderId="0" xfId="0" applyFont="1"/>
    <xf numFmtId="0" fontId="137" fillId="26" borderId="0" xfId="30100" applyNumberFormat="1" applyFont="1" applyFill="1" applyBorder="1" applyAlignment="1">
      <alignment horizontal="center" vertical="center"/>
    </xf>
    <xf numFmtId="164" fontId="137"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6"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1" fillId="0" borderId="26" xfId="0" applyFont="1" applyFill="1" applyBorder="1" applyAlignment="1">
      <alignment horizontal="center" vertical="center"/>
    </xf>
    <xf numFmtId="0" fontId="41" fillId="0" borderId="25" xfId="0" applyFont="1" applyFill="1" applyBorder="1" applyAlignment="1">
      <alignment horizontal="center" vertical="center"/>
    </xf>
    <xf numFmtId="0" fontId="41" fillId="0" borderId="24" xfId="0" applyFont="1" applyFill="1" applyBorder="1" applyAlignment="1">
      <alignment horizontal="center" vertical="center"/>
    </xf>
    <xf numFmtId="0" fontId="41" fillId="0" borderId="45" xfId="0" applyFont="1" applyFill="1" applyBorder="1" applyAlignment="1">
      <alignment horizontal="center" vertical="center"/>
    </xf>
    <xf numFmtId="0" fontId="41" fillId="0" borderId="43" xfId="0" applyFont="1" applyFill="1" applyBorder="1" applyAlignment="1">
      <alignment horizontal="center" vertical="center"/>
    </xf>
    <xf numFmtId="0" fontId="63" fillId="0" borderId="25" xfId="0" applyFont="1" applyFill="1" applyBorder="1" applyAlignment="1">
      <alignment horizontal="center" vertical="center"/>
    </xf>
    <xf numFmtId="0" fontId="52" fillId="0" borderId="25" xfId="0" applyFont="1" applyFill="1" applyBorder="1" applyAlignment="1">
      <alignment horizontal="center" vertical="center" wrapText="1"/>
    </xf>
    <xf numFmtId="0" fontId="62" fillId="0" borderId="25" xfId="0" applyFont="1" applyFill="1" applyBorder="1" applyAlignment="1">
      <alignment horizontal="center" vertical="center"/>
    </xf>
    <xf numFmtId="0" fontId="41" fillId="0" borderId="63" xfId="0" applyFont="1" applyFill="1" applyBorder="1" applyAlignment="1">
      <alignment horizontal="center" vertical="center"/>
    </xf>
    <xf numFmtId="0" fontId="73" fillId="0" borderId="0" xfId="0" applyFont="1" applyFill="1"/>
    <xf numFmtId="0" fontId="41" fillId="0" borderId="0" xfId="0" applyFont="1" applyFill="1" applyBorder="1" applyAlignment="1">
      <alignment horizontal="center" vertical="center"/>
    </xf>
    <xf numFmtId="0" fontId="55" fillId="0" borderId="30" xfId="0" applyNumberFormat="1" applyFont="1" applyFill="1" applyBorder="1" applyAlignment="1" applyProtection="1">
      <alignment horizontal="left" vertical="center" wrapText="1"/>
    </xf>
    <xf numFmtId="39" fontId="61" fillId="0" borderId="45" xfId="439" applyNumberFormat="1" applyFont="1" applyFill="1" applyBorder="1" applyAlignment="1" applyProtection="1">
      <alignment horizontal="center" vertical="center" wrapText="1"/>
    </xf>
    <xf numFmtId="0" fontId="66" fillId="0" borderId="0" xfId="0" applyNumberFormat="1" applyFont="1" applyFill="1" applyAlignment="1" applyProtection="1">
      <alignment horizontal="left" vertical="center" wrapText="1"/>
    </xf>
    <xf numFmtId="0" fontId="43" fillId="34" borderId="23" xfId="0" applyNumberFormat="1" applyFont="1" applyFill="1" applyBorder="1" applyAlignment="1" applyProtection="1">
      <alignment horizontal="left" vertical="center" wrapText="1"/>
    </xf>
    <xf numFmtId="0" fontId="61" fillId="34" borderId="25" xfId="0" applyNumberFormat="1" applyFont="1" applyFill="1" applyBorder="1" applyAlignment="1" applyProtection="1">
      <alignment horizontal="left" vertical="center" wrapText="1"/>
    </xf>
    <xf numFmtId="0" fontId="41" fillId="34" borderId="24" xfId="0" applyNumberFormat="1" applyFont="1" applyFill="1" applyBorder="1" applyAlignment="1" applyProtection="1">
      <alignment horizontal="center" vertical="center"/>
    </xf>
    <xf numFmtId="180" fontId="61"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1" fillId="0" borderId="45" xfId="439" applyNumberFormat="1" applyFont="1" applyFill="1" applyBorder="1" applyAlignment="1" applyProtection="1">
      <alignment horizontal="center" vertical="center" wrapText="1"/>
    </xf>
    <xf numFmtId="0" fontId="66" fillId="0" borderId="45" xfId="0" applyNumberFormat="1" applyFont="1" applyFill="1" applyBorder="1" applyAlignment="1" applyProtection="1">
      <alignment horizontal="left" vertical="center" wrapText="1"/>
    </xf>
    <xf numFmtId="0" fontId="61" fillId="0" borderId="28" xfId="0" applyNumberFormat="1" applyFont="1" applyFill="1" applyBorder="1" applyAlignment="1" applyProtection="1">
      <alignment horizontal="left" vertical="center" wrapText="1"/>
    </xf>
    <xf numFmtId="0" fontId="55" fillId="0" borderId="45" xfId="0" applyNumberFormat="1" applyFont="1" applyFill="1" applyBorder="1" applyAlignment="1" applyProtection="1">
      <alignment horizontal="left" vertical="center" wrapText="1"/>
    </xf>
    <xf numFmtId="0" fontId="41" fillId="0" borderId="45" xfId="0" applyNumberFormat="1" applyFont="1" applyFill="1" applyBorder="1" applyAlignment="1" applyProtection="1">
      <alignment horizontal="center" vertical="center"/>
    </xf>
    <xf numFmtId="164" fontId="61" fillId="0" borderId="45" xfId="439" applyNumberFormat="1" applyFont="1" applyFill="1" applyBorder="1" applyAlignment="1" applyProtection="1">
      <alignment horizontal="center" vertical="center" wrapText="1"/>
    </xf>
    <xf numFmtId="41" fontId="44"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1" fillId="0" borderId="25" xfId="0" applyNumberFormat="1" applyFont="1" applyFill="1" applyBorder="1" applyAlignment="1" applyProtection="1">
      <alignment horizontal="center" vertical="center"/>
    </xf>
    <xf numFmtId="164" fontId="61" fillId="0" borderId="29" xfId="439" applyNumberFormat="1" applyFont="1" applyFill="1" applyBorder="1" applyAlignment="1" applyProtection="1">
      <alignment horizontal="center" vertical="center" wrapText="1"/>
    </xf>
    <xf numFmtId="164" fontId="61" fillId="0" borderId="23" xfId="439" applyNumberFormat="1" applyFont="1" applyFill="1" applyBorder="1" applyAlignment="1" applyProtection="1">
      <alignment horizontal="center" vertical="center" wrapText="1"/>
    </xf>
    <xf numFmtId="0" fontId="61" fillId="0" borderId="23" xfId="0" applyNumberFormat="1" applyFont="1" applyFill="1" applyBorder="1" applyAlignment="1" applyProtection="1">
      <alignment horizontal="left" vertical="center" wrapText="1"/>
    </xf>
    <xf numFmtId="39" fontId="61" fillId="0" borderId="28" xfId="439" applyNumberFormat="1" applyFont="1" applyFill="1" applyBorder="1" applyAlignment="1" applyProtection="1">
      <alignment horizontal="center" vertical="center" wrapText="1"/>
    </xf>
    <xf numFmtId="164" fontId="61"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1" fillId="34" borderId="23" xfId="0" applyNumberFormat="1" applyFont="1" applyFill="1" applyBorder="1" applyAlignment="1" applyProtection="1">
      <alignment horizontal="left" vertical="center" wrapText="1"/>
    </xf>
    <xf numFmtId="164" fontId="61" fillId="29" borderId="23" xfId="439" applyNumberFormat="1" applyFont="1" applyFill="1" applyBorder="1" applyAlignment="1" applyProtection="1">
      <alignment horizontal="center" vertical="center" wrapText="1"/>
      <protection locked="0"/>
    </xf>
    <xf numFmtId="3" fontId="61" fillId="0" borderId="23" xfId="439" applyNumberFormat="1" applyFont="1" applyFill="1" applyBorder="1" applyAlignment="1" applyProtection="1">
      <alignment horizontal="center" vertical="center" wrapText="1"/>
    </xf>
    <xf numFmtId="3" fontId="61" fillId="34" borderId="23" xfId="439" applyNumberFormat="1" applyFont="1" applyFill="1" applyBorder="1" applyAlignment="1" applyProtection="1">
      <alignment horizontal="center" vertical="center" wrapText="1"/>
    </xf>
    <xf numFmtId="0" fontId="61" fillId="22" borderId="23" xfId="439" applyNumberFormat="1" applyFont="1" applyFill="1" applyBorder="1" applyAlignment="1" applyProtection="1">
      <alignment horizontal="center" vertical="center" wrapText="1"/>
      <protection locked="0"/>
    </xf>
    <xf numFmtId="164" fontId="61" fillId="29" borderId="0" xfId="439" applyNumberFormat="1" applyFont="1" applyFill="1" applyBorder="1" applyAlignment="1" applyProtection="1">
      <alignment horizontal="center" vertical="center" wrapText="1"/>
      <protection locked="0"/>
    </xf>
    <xf numFmtId="37" fontId="41" fillId="0" borderId="0" xfId="439" applyNumberFormat="1" applyFont="1" applyFill="1" applyBorder="1" applyAlignment="1" applyProtection="1">
      <alignment horizontal="center" vertical="center" wrapText="1"/>
    </xf>
    <xf numFmtId="0" fontId="41" fillId="0" borderId="0" xfId="0" applyNumberFormat="1" applyFont="1" applyFill="1" applyBorder="1" applyAlignment="1" applyProtection="1">
      <alignment horizontal="center" vertical="center"/>
    </xf>
    <xf numFmtId="3" fontId="61"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1" fillId="34" borderId="25" xfId="0" applyNumberFormat="1" applyFont="1" applyFill="1" applyBorder="1" applyAlignment="1" applyProtection="1">
      <alignment horizontal="center" vertical="center"/>
    </xf>
    <xf numFmtId="182" fontId="41"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1" fillId="78" borderId="25" xfId="0" applyNumberFormat="1" applyFont="1" applyFill="1" applyBorder="1" applyAlignment="1" applyProtection="1">
      <alignment horizontal="left" vertical="center" wrapText="1"/>
    </xf>
    <xf numFmtId="0" fontId="61" fillId="78" borderId="23" xfId="0" applyNumberFormat="1" applyFont="1" applyFill="1" applyBorder="1" applyAlignment="1" applyProtection="1">
      <alignment horizontal="left" vertical="center" wrapText="1"/>
    </xf>
    <xf numFmtId="0" fontId="41" fillId="78" borderId="43" xfId="0" applyNumberFormat="1" applyFont="1" applyFill="1" applyBorder="1" applyAlignment="1" applyProtection="1">
      <alignment horizontal="center" vertical="center"/>
    </xf>
    <xf numFmtId="0" fontId="41"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1"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3" fillId="0" borderId="0" xfId="0" applyFont="1" applyAlignment="1" applyProtection="1">
      <alignment wrapText="1"/>
      <protection locked="0"/>
    </xf>
    <xf numFmtId="9" fontId="0" fillId="0" borderId="86" xfId="4688" applyNumberFormat="1" applyFont="1" applyFill="1" applyBorder="1" applyAlignment="1">
      <alignment horizontal="center"/>
    </xf>
    <xf numFmtId="3" fontId="41" fillId="0" borderId="0" xfId="439" applyNumberFormat="1" applyFont="1" applyFill="1" applyAlignment="1" applyProtection="1">
      <alignment horizontal="center" vertical="center" wrapText="1"/>
    </xf>
    <xf numFmtId="183" fontId="47" fillId="0" borderId="0" xfId="439" applyNumberFormat="1" applyFont="1" applyFill="1" applyAlignment="1" applyProtection="1">
      <alignment horizontal="center" vertical="center" wrapText="1"/>
    </xf>
    <xf numFmtId="167" fontId="0" fillId="0" borderId="86" xfId="545" applyNumberFormat="1" applyFont="1" applyFill="1" applyBorder="1" applyAlignment="1">
      <alignment horizontal="center"/>
    </xf>
    <xf numFmtId="10" fontId="0" fillId="0" borderId="99" xfId="4688" applyNumberFormat="1" applyFont="1" applyFill="1" applyBorder="1" applyAlignment="1">
      <alignment horizontal="center"/>
    </xf>
    <xf numFmtId="37" fontId="165" fillId="0" borderId="86" xfId="0" applyNumberFormat="1" applyFont="1" applyFill="1" applyBorder="1" applyAlignment="1">
      <alignment horizontal="center"/>
    </xf>
    <xf numFmtId="164" fontId="52" fillId="0" borderId="0" xfId="0" applyNumberFormat="1" applyFont="1" applyFill="1" applyAlignment="1" applyProtection="1">
      <alignment wrapText="1"/>
    </xf>
    <xf numFmtId="0" fontId="131" fillId="26" borderId="0" xfId="30099" applyFont="1" applyFill="1" applyAlignment="1">
      <alignment horizontal="left" vertical="top" wrapText="1"/>
    </xf>
    <xf numFmtId="164" fontId="52" fillId="78" borderId="10" xfId="0" applyNumberFormat="1" applyFont="1" applyFill="1" applyBorder="1" applyAlignment="1" applyProtection="1">
      <alignment horizontal="center" vertical="center" wrapText="1"/>
    </xf>
    <xf numFmtId="0" fontId="43" fillId="78" borderId="0" xfId="0" applyFont="1" applyFill="1" applyBorder="1" applyAlignment="1">
      <alignment wrapText="1"/>
    </xf>
    <xf numFmtId="0" fontId="41" fillId="78" borderId="63" xfId="0" applyNumberFormat="1" applyFont="1" applyFill="1" applyBorder="1" applyAlignment="1" applyProtection="1">
      <alignment horizontal="center" vertical="center"/>
    </xf>
    <xf numFmtId="0" fontId="43" fillId="78" borderId="23" xfId="0" applyNumberFormat="1" applyFont="1" applyFill="1" applyBorder="1" applyAlignment="1" applyProtection="1">
      <alignment horizontal="left" vertical="center" wrapText="1"/>
    </xf>
    <xf numFmtId="0" fontId="41" fillId="0" borderId="10" xfId="0" applyFont="1" applyFill="1" applyBorder="1" applyAlignment="1" applyProtection="1">
      <alignment wrapText="1"/>
      <protection locked="0"/>
    </xf>
    <xf numFmtId="0" fontId="47" fillId="0" borderId="10" xfId="0" applyFont="1" applyBorder="1" applyProtection="1">
      <protection locked="0"/>
    </xf>
    <xf numFmtId="0" fontId="155" fillId="81" borderId="57" xfId="30099" applyFont="1" applyFill="1" applyBorder="1" applyAlignment="1" applyProtection="1">
      <alignment horizontal="center" vertical="center"/>
      <protection locked="0"/>
    </xf>
    <xf numFmtId="0" fontId="131" fillId="81" borderId="57" xfId="30099" applyFont="1" applyFill="1" applyBorder="1" applyAlignment="1" applyProtection="1">
      <alignment horizontal="center" vertical="center"/>
      <protection locked="0"/>
    </xf>
    <xf numFmtId="14" fontId="131" fillId="81" borderId="57" xfId="30099" applyNumberFormat="1" applyFont="1" applyFill="1" applyBorder="1" applyAlignment="1" applyProtection="1">
      <alignment horizontal="center" vertical="center"/>
      <protection locked="0"/>
    </xf>
    <xf numFmtId="164" fontId="137" fillId="26" borderId="0" xfId="30100" applyNumberFormat="1" applyFont="1" applyFill="1" applyBorder="1" applyAlignment="1"/>
    <xf numFmtId="37" fontId="47" fillId="0" borderId="92" xfId="0" applyNumberFormat="1" applyFont="1" applyFill="1" applyBorder="1" applyAlignment="1">
      <alignment horizontal="center"/>
    </xf>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1" fillId="78" borderId="111" xfId="0" applyFont="1" applyFill="1" applyBorder="1" applyAlignment="1">
      <alignment wrapText="1"/>
    </xf>
    <xf numFmtId="0" fontId="41"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1" fillId="78" borderId="111" xfId="0" applyFont="1" applyFill="1" applyBorder="1" applyAlignment="1">
      <alignment vertical="center" wrapText="1"/>
    </xf>
    <xf numFmtId="0" fontId="41"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5" fillId="0" borderId="0" xfId="0" applyFont="1" applyProtection="1"/>
    <xf numFmtId="0" fontId="62" fillId="0" borderId="0" xfId="26000" applyFont="1" applyProtection="1"/>
    <xf numFmtId="0" fontId="62" fillId="0" borderId="0" xfId="26000" applyFont="1" applyAlignment="1" applyProtection="1">
      <alignment horizontal="center" vertical="center"/>
    </xf>
    <xf numFmtId="0" fontId="47" fillId="0" borderId="0" xfId="26000" applyFont="1" applyProtection="1"/>
    <xf numFmtId="0" fontId="47" fillId="0" borderId="0" xfId="26000" applyFont="1" applyFill="1" applyProtection="1"/>
    <xf numFmtId="0" fontId="47" fillId="0" borderId="0" xfId="26000" applyFont="1" applyAlignment="1" applyProtection="1">
      <alignment horizontal="center"/>
    </xf>
    <xf numFmtId="0" fontId="62" fillId="0" borderId="0" xfId="26000" applyFont="1" applyAlignment="1" applyProtection="1">
      <alignment horizontal="left"/>
    </xf>
    <xf numFmtId="0" fontId="62" fillId="84" borderId="0" xfId="26000" applyFont="1" applyFill="1" applyProtection="1"/>
    <xf numFmtId="0" fontId="47" fillId="84" borderId="0" xfId="26000" applyFont="1" applyFill="1" applyProtection="1"/>
    <xf numFmtId="0" fontId="168" fillId="0" borderId="57" xfId="26000" applyFont="1" applyBorder="1" applyProtection="1"/>
    <xf numFmtId="9" fontId="62" fillId="0" borderId="0" xfId="26000" applyNumberFormat="1" applyFont="1" applyAlignment="1" applyProtection="1">
      <alignment horizontal="center"/>
    </xf>
    <xf numFmtId="38" fontId="47" fillId="83" borderId="0" xfId="29549" applyNumberFormat="1" applyFont="1" applyFill="1" applyProtection="1"/>
    <xf numFmtId="38" fontId="47" fillId="0" borderId="0" xfId="29549" applyNumberFormat="1" applyFont="1" applyFill="1" applyProtection="1"/>
    <xf numFmtId="164" fontId="47" fillId="0" borderId="57" xfId="29549" applyNumberFormat="1" applyFont="1" applyBorder="1" applyProtection="1"/>
    <xf numFmtId="164" fontId="47" fillId="0" borderId="0" xfId="29549" applyNumberFormat="1" applyFont="1" applyFill="1" applyBorder="1" applyProtection="1"/>
    <xf numFmtId="38" fontId="47" fillId="83" borderId="0" xfId="26000" applyNumberFormat="1" applyFont="1" applyFill="1" applyProtection="1"/>
    <xf numFmtId="38" fontId="47" fillId="0" borderId="0" xfId="26000" applyNumberFormat="1" applyFont="1" applyProtection="1"/>
    <xf numFmtId="0" fontId="47" fillId="0" borderId="0" xfId="26000" applyFont="1" applyAlignment="1" applyProtection="1">
      <alignment wrapText="1"/>
    </xf>
    <xf numFmtId="43" fontId="47" fillId="83" borderId="57" xfId="29549" applyFont="1" applyFill="1" applyBorder="1" applyAlignment="1" applyProtection="1">
      <alignment horizontal="left"/>
    </xf>
    <xf numFmtId="164" fontId="47" fillId="0" borderId="0" xfId="29549" applyNumberFormat="1" applyFont="1" applyFill="1" applyBorder="1" applyAlignment="1" applyProtection="1">
      <alignment horizontal="left"/>
    </xf>
    <xf numFmtId="172" fontId="47" fillId="0" borderId="0" xfId="29549" applyNumberFormat="1" applyFont="1" applyFill="1" applyBorder="1" applyAlignment="1" applyProtection="1">
      <alignment horizontal="left"/>
    </xf>
    <xf numFmtId="0" fontId="62" fillId="0" borderId="0" xfId="26000" applyFont="1" applyAlignment="1" applyProtection="1">
      <alignment wrapText="1"/>
    </xf>
    <xf numFmtId="164" fontId="47" fillId="83" borderId="57" xfId="29549" applyNumberFormat="1" applyFont="1" applyFill="1" applyBorder="1" applyProtection="1"/>
    <xf numFmtId="164" fontId="47" fillId="0" borderId="57" xfId="29549" applyNumberFormat="1" applyFont="1" applyFill="1" applyBorder="1" applyProtection="1"/>
    <xf numFmtId="40" fontId="47" fillId="83" borderId="0" xfId="26000" applyNumberFormat="1" applyFont="1" applyFill="1" applyProtection="1"/>
    <xf numFmtId="0" fontId="169" fillId="0" borderId="0" xfId="26000" applyFont="1" applyAlignment="1" applyProtection="1">
      <alignment horizontal="right"/>
    </xf>
    <xf numFmtId="164" fontId="47" fillId="0" borderId="0" xfId="29549" applyNumberFormat="1" applyFont="1" applyBorder="1" applyProtection="1"/>
    <xf numFmtId="164" fontId="47" fillId="0" borderId="0" xfId="26000" applyNumberFormat="1" applyFont="1" applyProtection="1"/>
    <xf numFmtId="38" fontId="47" fillId="0" borderId="0" xfId="29549" applyNumberFormat="1" applyFont="1" applyBorder="1" applyProtection="1"/>
    <xf numFmtId="0" fontId="169" fillId="0" borderId="0" xfId="26000" applyFont="1" applyProtection="1"/>
    <xf numFmtId="43" fontId="47" fillId="0" borderId="0" xfId="26000" applyNumberFormat="1" applyFont="1" applyProtection="1"/>
    <xf numFmtId="164" fontId="62" fillId="0" borderId="57" xfId="26000" applyNumberFormat="1" applyFont="1" applyBorder="1" applyProtection="1"/>
    <xf numFmtId="0" fontId="62" fillId="0" borderId="0" xfId="26000" applyFont="1" applyAlignment="1" applyProtection="1">
      <alignment horizontal="center"/>
    </xf>
    <xf numFmtId="0" fontId="62" fillId="0" borderId="70" xfId="26000" applyFont="1" applyBorder="1" applyAlignment="1" applyProtection="1">
      <alignment horizontal="right" vertical="top" wrapText="1"/>
    </xf>
    <xf numFmtId="164" fontId="62" fillId="0" borderId="72" xfId="29549" applyNumberFormat="1" applyFont="1" applyBorder="1" applyProtection="1"/>
    <xf numFmtId="167" fontId="47" fillId="0" borderId="0" xfId="29549" applyNumberFormat="1" applyFont="1" applyProtection="1"/>
    <xf numFmtId="43" fontId="62" fillId="0" borderId="70" xfId="29549" applyFont="1" applyBorder="1" applyProtection="1"/>
    <xf numFmtId="43" fontId="47" fillId="0" borderId="72" xfId="29549" applyFont="1" applyBorder="1" applyAlignment="1" applyProtection="1">
      <alignment horizontal="right"/>
    </xf>
    <xf numFmtId="0" fontId="47" fillId="0" borderId="0" xfId="26000" applyFont="1" applyBorder="1" applyAlignment="1" applyProtection="1">
      <alignment vertical="top"/>
    </xf>
    <xf numFmtId="0" fontId="169" fillId="0" borderId="0" xfId="26000" applyFont="1" applyAlignment="1" applyProtection="1">
      <alignment vertical="top" wrapText="1"/>
    </xf>
    <xf numFmtId="38" fontId="55" fillId="26" borderId="0" xfId="682" applyNumberFormat="1" applyFont="1" applyFill="1"/>
    <xf numFmtId="0" fontId="41" fillId="0" borderId="0" xfId="682" applyFont="1" applyFill="1" applyAlignment="1">
      <alignment wrapText="1"/>
    </xf>
    <xf numFmtId="0" fontId="0" fillId="0" borderId="0" xfId="682" applyFont="1"/>
    <xf numFmtId="0" fontId="170" fillId="26" borderId="0" xfId="682" applyFont="1" applyFill="1"/>
    <xf numFmtId="0" fontId="0" fillId="26" borderId="0" xfId="682" applyFont="1" applyFill="1"/>
    <xf numFmtId="0" fontId="52" fillId="0" borderId="17" xfId="682" applyFont="1" applyBorder="1" applyAlignment="1">
      <alignment horizontal="center"/>
    </xf>
    <xf numFmtId="0" fontId="171" fillId="0" borderId="0" xfId="682" applyFont="1"/>
    <xf numFmtId="0" fontId="171" fillId="0" borderId="0" xfId="682" applyFont="1" applyAlignment="1">
      <alignment vertical="center"/>
    </xf>
    <xf numFmtId="0" fontId="52" fillId="0" borderId="14" xfId="682" applyFont="1" applyBorder="1" applyAlignment="1">
      <alignment horizontal="center" vertical="center" wrapText="1"/>
    </xf>
    <xf numFmtId="0" fontId="172" fillId="0" borderId="0" xfId="682" applyFont="1"/>
    <xf numFmtId="0" fontId="55" fillId="0" borderId="0" xfId="682" applyFont="1"/>
    <xf numFmtId="167" fontId="173" fillId="26" borderId="0" xfId="546" applyNumberFormat="1" applyFont="1" applyFill="1"/>
    <xf numFmtId="167" fontId="55" fillId="0" borderId="0" xfId="546" applyNumberFormat="1" applyFont="1"/>
    <xf numFmtId="38" fontId="173" fillId="26" borderId="0" xfId="682" applyNumberFormat="1" applyFont="1" applyFill="1"/>
    <xf numFmtId="38" fontId="55" fillId="0" borderId="0" xfId="682" applyNumberFormat="1" applyFont="1"/>
    <xf numFmtId="38" fontId="0" fillId="26" borderId="0" xfId="682" applyNumberFormat="1" applyFont="1" applyFill="1"/>
    <xf numFmtId="38" fontId="55" fillId="26" borderId="17" xfId="449" applyNumberFormat="1" applyFont="1" applyFill="1" applyBorder="1"/>
    <xf numFmtId="38" fontId="55" fillId="0" borderId="0" xfId="449" applyNumberFormat="1" applyFont="1"/>
    <xf numFmtId="0" fontId="52" fillId="27" borderId="0" xfId="682" applyFont="1" applyFill="1"/>
    <xf numFmtId="0" fontId="0" fillId="27" borderId="0" xfId="682" applyFont="1" applyFill="1"/>
    <xf numFmtId="0" fontId="55" fillId="27" borderId="0" xfId="682" applyFont="1" applyFill="1"/>
    <xf numFmtId="167" fontId="52" fillId="27" borderId="0" xfId="546" applyNumberFormat="1" applyFont="1" applyFill="1"/>
    <xf numFmtId="167" fontId="55" fillId="27" borderId="0" xfId="546" applyNumberFormat="1" applyFont="1" applyFill="1"/>
    <xf numFmtId="164" fontId="55" fillId="26" borderId="17" xfId="449" applyNumberFormat="1" applyFont="1" applyFill="1" applyBorder="1"/>
    <xf numFmtId="164" fontId="55" fillId="0" borderId="0" xfId="449" applyNumberFormat="1" applyFont="1"/>
    <xf numFmtId="0" fontId="172" fillId="0" borderId="0" xfId="682" applyFont="1" applyAlignment="1">
      <alignment vertical="center"/>
    </xf>
    <xf numFmtId="0" fontId="174" fillId="0" borderId="0" xfId="682" applyFont="1"/>
    <xf numFmtId="38" fontId="55" fillId="26" borderId="0" xfId="449" applyNumberFormat="1" applyFont="1" applyFill="1"/>
    <xf numFmtId="167" fontId="52" fillId="27" borderId="18" xfId="546" applyNumberFormat="1" applyFont="1" applyFill="1" applyBorder="1"/>
    <xf numFmtId="167" fontId="55" fillId="26" borderId="19" xfId="546" applyNumberFormat="1" applyFont="1" applyFill="1" applyBorder="1"/>
    <xf numFmtId="0" fontId="52" fillId="0" borderId="0" xfId="682" applyFont="1"/>
    <xf numFmtId="167" fontId="52" fillId="0" borderId="20" xfId="546" applyNumberFormat="1" applyFont="1" applyBorder="1"/>
    <xf numFmtId="0" fontId="52" fillId="0" borderId="0" xfId="682" applyFont="1" applyAlignment="1">
      <alignment horizontal="center"/>
    </xf>
    <xf numFmtId="167" fontId="173" fillId="0" borderId="0" xfId="546" applyNumberFormat="1" applyFont="1" applyFill="1"/>
    <xf numFmtId="38" fontId="173" fillId="26" borderId="0" xfId="0" applyNumberFormat="1" applyFont="1" applyFill="1"/>
    <xf numFmtId="38" fontId="173" fillId="0" borderId="0" xfId="449" applyNumberFormat="1" applyFont="1" applyFill="1"/>
    <xf numFmtId="38" fontId="173" fillId="26" borderId="17" xfId="0" applyNumberFormat="1" applyFont="1" applyFill="1" applyBorder="1"/>
    <xf numFmtId="38" fontId="173" fillId="0" borderId="17" xfId="449" applyNumberFormat="1" applyFont="1" applyFill="1" applyBorder="1"/>
    <xf numFmtId="167" fontId="55" fillId="0" borderId="19" xfId="546" applyNumberFormat="1" applyFont="1" applyBorder="1"/>
    <xf numFmtId="10" fontId="52" fillId="0" borderId="19" xfId="682" applyNumberFormat="1" applyFont="1" applyBorder="1"/>
    <xf numFmtId="0" fontId="0" fillId="0" borderId="82" xfId="0" applyFont="1" applyBorder="1"/>
    <xf numFmtId="0" fontId="41" fillId="78" borderId="78" xfId="0" applyFont="1" applyFill="1" applyBorder="1" applyAlignment="1">
      <alignment horizontal="left"/>
    </xf>
    <xf numFmtId="0" fontId="0" fillId="78" borderId="78" xfId="0" applyFont="1" applyFill="1" applyBorder="1"/>
    <xf numFmtId="0" fontId="41"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4"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6" fillId="78" borderId="105" xfId="0" applyFont="1" applyFill="1" applyBorder="1" applyAlignment="1">
      <alignment wrapText="1"/>
    </xf>
    <xf numFmtId="37" fontId="0" fillId="0" borderId="0" xfId="0" applyNumberFormat="1" applyFont="1" applyBorder="1"/>
    <xf numFmtId="0" fontId="0" fillId="0" borderId="86" xfId="0" applyNumberFormat="1" applyFont="1" applyBorder="1" applyAlignment="1">
      <alignment horizontal="center" wrapText="1"/>
    </xf>
    <xf numFmtId="10" fontId="0" fillId="0" borderId="82" xfId="0" applyNumberFormat="1" applyFont="1" applyBorder="1"/>
    <xf numFmtId="0" fontId="0" fillId="78" borderId="85" xfId="0" applyFont="1" applyFill="1" applyBorder="1"/>
    <xf numFmtId="0" fontId="0" fillId="78" borderId="85" xfId="0" applyFont="1" applyFill="1" applyBorder="1" applyAlignment="1">
      <alignment horizontal="center" wrapText="1"/>
    </xf>
    <xf numFmtId="0" fontId="0" fillId="78" borderId="85" xfId="0" applyFont="1" applyFill="1" applyBorder="1" applyAlignment="1">
      <alignment wrapText="1"/>
    </xf>
    <xf numFmtId="0" fontId="0" fillId="78" borderId="102" xfId="0" applyFont="1" applyFill="1" applyBorder="1" applyAlignment="1">
      <alignment horizontal="center" wrapText="1"/>
    </xf>
    <xf numFmtId="0" fontId="0" fillId="78" borderId="102" xfId="0" applyFont="1" applyFill="1" applyBorder="1"/>
    <xf numFmtId="2" fontId="0" fillId="0" borderId="82" xfId="0" applyNumberFormat="1" applyFont="1" applyBorder="1"/>
    <xf numFmtId="168" fontId="0" fillId="0" borderId="82" xfId="0" applyNumberFormat="1" applyFont="1" applyBorder="1"/>
    <xf numFmtId="2" fontId="0" fillId="80" borderId="87" xfId="0" applyNumberFormat="1" applyFont="1" applyFill="1" applyBorder="1"/>
    <xf numFmtId="0" fontId="0" fillId="78" borderId="96" xfId="0" applyFont="1" applyFill="1" applyBorder="1" applyAlignment="1">
      <alignment horizontal="center" wrapText="1"/>
    </xf>
    <xf numFmtId="0" fontId="0" fillId="78" borderId="96" xfId="0" applyFont="1" applyFill="1" applyBorder="1"/>
    <xf numFmtId="0" fontId="0" fillId="78" borderId="97" xfId="0" applyFont="1" applyFill="1" applyBorder="1"/>
    <xf numFmtId="39" fontId="0" fillId="0" borderId="82" xfId="0" applyNumberFormat="1" applyFont="1" applyBorder="1"/>
    <xf numFmtId="2" fontId="0" fillId="0" borderId="86" xfId="0" applyNumberFormat="1" applyFont="1" applyFill="1" applyBorder="1" applyAlignment="1">
      <alignment horizontal="center"/>
    </xf>
    <xf numFmtId="0" fontId="0" fillId="0" borderId="86" xfId="0" applyFont="1" applyFill="1" applyBorder="1" applyAlignment="1">
      <alignment horizontal="center" wrapText="1"/>
    </xf>
    <xf numFmtId="0" fontId="0" fillId="78" borderId="86" xfId="0" applyFont="1" applyFill="1" applyBorder="1" applyAlignment="1">
      <alignment wrapText="1"/>
    </xf>
    <xf numFmtId="0" fontId="0" fillId="78" borderId="88" xfId="0" applyFont="1" applyFill="1" applyBorder="1"/>
    <xf numFmtId="0" fontId="0" fillId="78" borderId="88" xfId="0" applyFont="1" applyFill="1" applyBorder="1" applyAlignment="1">
      <alignment horizontal="center" wrapText="1"/>
    </xf>
    <xf numFmtId="0" fontId="0" fillId="78" borderId="88" xfId="0" applyFont="1" applyFill="1" applyBorder="1" applyAlignment="1">
      <alignment wrapText="1"/>
    </xf>
    <xf numFmtId="0" fontId="176" fillId="78" borderId="82" xfId="0" applyFont="1" applyFill="1" applyBorder="1" applyAlignment="1">
      <alignment wrapText="1"/>
    </xf>
    <xf numFmtId="0" fontId="0" fillId="78" borderId="86" xfId="0" applyFont="1" applyFill="1" applyBorder="1" applyAlignment="1">
      <alignment horizontal="center" wrapText="1"/>
    </xf>
    <xf numFmtId="37" fontId="0" fillId="0" borderId="86" xfId="0" applyNumberFormat="1" applyFont="1" applyFill="1" applyBorder="1" applyAlignment="1">
      <alignment horizontal="center"/>
    </xf>
    <xf numFmtId="0" fontId="0" fillId="0" borderId="10" xfId="0" applyFont="1" applyFill="1" applyBorder="1"/>
    <xf numFmtId="0" fontId="0" fillId="78" borderId="87" xfId="0" applyFont="1" applyFill="1" applyBorder="1" applyAlignment="1">
      <alignment vertical="center" wrapText="1"/>
    </xf>
    <xf numFmtId="0" fontId="0" fillId="0" borderId="10" xfId="0" applyFont="1" applyFill="1" applyBorder="1" applyProtection="1">
      <protection locked="0"/>
    </xf>
    <xf numFmtId="0" fontId="0" fillId="0" borderId="78" xfId="0" applyFont="1" applyBorder="1"/>
    <xf numFmtId="0" fontId="0" fillId="0" borderId="88" xfId="0" applyFont="1" applyBorder="1"/>
    <xf numFmtId="0" fontId="0" fillId="78" borderId="90" xfId="0" applyFont="1" applyFill="1" applyBorder="1"/>
    <xf numFmtId="0" fontId="0" fillId="78" borderId="85" xfId="0" applyFont="1" applyFill="1" applyBorder="1" applyAlignment="1">
      <alignment horizontal="center"/>
    </xf>
    <xf numFmtId="0" fontId="0" fillId="0" borderId="90" xfId="0" applyFont="1" applyFill="1" applyBorder="1"/>
    <xf numFmtId="0" fontId="0" fillId="78" borderId="86" xfId="0" applyFont="1" applyFill="1" applyBorder="1" applyAlignment="1">
      <alignment horizontal="left" vertical="center" wrapText="1"/>
    </xf>
    <xf numFmtId="0" fontId="0" fillId="78" borderId="87" xfId="0" applyFont="1" applyFill="1" applyBorder="1" applyAlignment="1">
      <alignment horizontal="left" vertical="center" wrapText="1"/>
    </xf>
    <xf numFmtId="0" fontId="0" fillId="0" borderId="82" xfId="0" applyFont="1" applyFill="1" applyBorder="1"/>
    <xf numFmtId="37" fontId="0" fillId="0" borderId="92" xfId="0" applyNumberFormat="1" applyFont="1" applyFill="1" applyBorder="1" applyAlignment="1">
      <alignment horizontal="center"/>
    </xf>
    <xf numFmtId="0" fontId="0" fillId="78" borderId="91" xfId="0" applyFont="1" applyFill="1" applyBorder="1"/>
    <xf numFmtId="0" fontId="0" fillId="78" borderId="82" xfId="0" applyFont="1" applyFill="1" applyBorder="1" applyAlignment="1">
      <alignment horizontal="center"/>
    </xf>
    <xf numFmtId="0" fontId="0" fillId="78" borderId="82" xfId="0" applyFont="1" applyFill="1" applyBorder="1"/>
    <xf numFmtId="0" fontId="0" fillId="78" borderId="78" xfId="0" applyFont="1" applyFill="1" applyBorder="1" applyAlignment="1">
      <alignment wrapText="1"/>
    </xf>
    <xf numFmtId="0" fontId="0" fillId="78" borderId="10" xfId="0" applyFont="1" applyFill="1" applyBorder="1" applyAlignment="1">
      <alignment wrapText="1"/>
    </xf>
    <xf numFmtId="0" fontId="0" fillId="0" borderId="88" xfId="0" applyFont="1" applyBorder="1" applyAlignment="1">
      <alignment wrapText="1"/>
    </xf>
    <xf numFmtId="0" fontId="0" fillId="78" borderId="110" xfId="0" applyFont="1" applyFill="1" applyBorder="1"/>
    <xf numFmtId="0" fontId="0" fillId="78" borderId="10" xfId="0" quotePrefix="1" applyFont="1" applyFill="1" applyBorder="1" applyAlignment="1">
      <alignment horizontal="center" wrapText="1"/>
    </xf>
    <xf numFmtId="0" fontId="0" fillId="0" borderId="103"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8" xfId="0" applyFont="1" applyFill="1" applyBorder="1" applyAlignment="1">
      <alignment wrapText="1"/>
    </xf>
    <xf numFmtId="0" fontId="0" fillId="0" borderId="104"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8"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37" fontId="0" fillId="0" borderId="86" xfId="0" applyNumberFormat="1" applyFont="1" applyFill="1" applyBorder="1" applyAlignment="1">
      <alignment horizontal="center" wrapText="1"/>
    </xf>
    <xf numFmtId="0" fontId="0" fillId="0" borderId="10" xfId="0" applyFont="1" applyBorder="1" applyProtection="1">
      <protection locked="0"/>
    </xf>
    <xf numFmtId="0" fontId="41" fillId="0" borderId="78" xfId="0" applyFont="1" applyBorder="1" applyAlignment="1">
      <alignment vertical="center"/>
    </xf>
    <xf numFmtId="0" fontId="176" fillId="78" borderId="109" xfId="0" applyFont="1" applyFill="1" applyBorder="1" applyAlignment="1">
      <alignment wrapText="1"/>
    </xf>
    <xf numFmtId="0" fontId="41" fillId="0" borderId="95" xfId="0" applyFont="1" applyBorder="1" applyAlignment="1">
      <alignment vertical="center"/>
    </xf>
    <xf numFmtId="9" fontId="41" fillId="0" borderId="0" xfId="4688" applyFont="1" applyBorder="1" applyAlignment="1">
      <alignment horizontal="center" wrapText="1"/>
    </xf>
    <xf numFmtId="0" fontId="41" fillId="0" borderId="85" xfId="0" applyFont="1" applyBorder="1" applyAlignment="1">
      <alignment vertical="center"/>
    </xf>
    <xf numFmtId="0" fontId="41" fillId="0" borderId="0" xfId="0" applyFont="1" applyFill="1" applyBorder="1" applyAlignment="1">
      <alignment vertical="center"/>
    </xf>
    <xf numFmtId="0" fontId="41" fillId="0" borderId="88" xfId="0" applyFont="1" applyBorder="1" applyAlignment="1">
      <alignment vertical="center"/>
    </xf>
    <xf numFmtId="0" fontId="41" fillId="0" borderId="82" xfId="0" applyFont="1" applyBorder="1" applyAlignment="1">
      <alignment vertical="center"/>
    </xf>
    <xf numFmtId="0" fontId="0" fillId="78" borderId="10" xfId="0" applyFont="1" applyFill="1" applyBorder="1" applyAlignment="1">
      <alignment horizontal="justify" vertical="center"/>
    </xf>
    <xf numFmtId="0" fontId="41" fillId="0" borderId="0" xfId="0" applyFont="1" applyBorder="1" applyAlignment="1">
      <alignment vertical="center" wrapText="1"/>
    </xf>
    <xf numFmtId="0" fontId="166" fillId="73" borderId="97" xfId="0" applyFont="1" applyFill="1" applyBorder="1" applyAlignment="1">
      <alignment horizontal="center" vertical="center" wrapText="1"/>
    </xf>
    <xf numFmtId="0" fontId="41" fillId="78" borderId="12" xfId="0" applyFont="1" applyFill="1" applyBorder="1"/>
    <xf numFmtId="0" fontId="176" fillId="78" borderId="115" xfId="0" applyFont="1" applyFill="1" applyBorder="1" applyAlignment="1">
      <alignment wrapText="1"/>
    </xf>
    <xf numFmtId="0" fontId="41" fillId="78" borderId="12" xfId="0" applyFont="1" applyFill="1" applyBorder="1" applyAlignment="1">
      <alignment horizontal="center"/>
    </xf>
    <xf numFmtId="0" fontId="41" fillId="78" borderId="12" xfId="0" applyFont="1" applyFill="1" applyBorder="1" applyAlignment="1">
      <alignment horizontal="center" wrapText="1"/>
    </xf>
    <xf numFmtId="0" fontId="0" fillId="78" borderId="116" xfId="0" applyFont="1" applyFill="1" applyBorder="1"/>
    <xf numFmtId="0" fontId="0" fillId="78" borderId="10" xfId="0" applyFont="1" applyFill="1" applyBorder="1"/>
    <xf numFmtId="0" fontId="41" fillId="78" borderId="10" xfId="0" applyFont="1" applyFill="1" applyBorder="1" applyAlignment="1">
      <alignment horizontal="center"/>
    </xf>
    <xf numFmtId="0" fontId="41" fillId="78" borderId="10" xfId="0" applyFont="1" applyFill="1" applyBorder="1" applyAlignment="1">
      <alignment horizontal="center" wrapText="1"/>
    </xf>
    <xf numFmtId="0" fontId="166"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1"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1"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7"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7"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7"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7"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1"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8"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1"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7"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7" fillId="0" borderId="0" xfId="439" applyNumberFormat="1" applyFont="1" applyFill="1" applyProtection="1"/>
    <xf numFmtId="38" fontId="47" fillId="0" borderId="45" xfId="439" applyNumberFormat="1" applyFont="1" applyFill="1" applyBorder="1" applyAlignment="1" applyProtection="1">
      <alignment horizontal="center" vertical="center" wrapText="1"/>
    </xf>
    <xf numFmtId="0" fontId="41" fillId="0" borderId="59" xfId="0" applyFont="1" applyFill="1" applyBorder="1" applyAlignment="1">
      <alignment vertical="center"/>
    </xf>
    <xf numFmtId="174" fontId="41" fillId="28" borderId="0" xfId="439" applyNumberFormat="1" applyFont="1" applyFill="1" applyAlignment="1" applyProtection="1">
      <alignment horizontal="center" vertical="center"/>
      <protection locked="0"/>
    </xf>
    <xf numFmtId="181" fontId="162" fillId="82" borderId="0" xfId="30099" applyNumberFormat="1" applyFont="1" applyFill="1" applyAlignment="1">
      <alignment horizontal="right" vertical="top" indent="1" shrinkToFit="1"/>
    </xf>
    <xf numFmtId="0" fontId="47" fillId="0" borderId="0" xfId="30099" applyFont="1" applyAlignment="1">
      <alignment horizontal="left" vertical="top" wrapText="1" indent="1"/>
    </xf>
    <xf numFmtId="1" fontId="162" fillId="0" borderId="0" xfId="30099" applyNumberFormat="1" applyFont="1" applyAlignment="1">
      <alignment horizontal="center" vertical="top" shrinkToFit="1"/>
    </xf>
    <xf numFmtId="0" fontId="47" fillId="0" borderId="0" xfId="0" applyNumberFormat="1" applyFont="1" applyFill="1" applyAlignment="1" applyProtection="1">
      <alignment horizontal="left" vertical="center" wrapText="1"/>
    </xf>
    <xf numFmtId="181" fontId="162" fillId="0" borderId="0" xfId="30099" applyNumberFormat="1" applyFont="1" applyFill="1" applyAlignment="1">
      <alignment horizontal="right" vertical="top" indent="1" shrinkToFit="1"/>
    </xf>
    <xf numFmtId="1" fontId="162" fillId="82" borderId="0" xfId="30099" applyNumberFormat="1" applyFont="1" applyFill="1" applyAlignment="1">
      <alignment horizontal="left" vertical="top" indent="3" shrinkToFit="1"/>
    </xf>
    <xf numFmtId="181" fontId="162" fillId="0" borderId="0" xfId="30099" applyNumberFormat="1" applyFont="1" applyAlignment="1">
      <alignment horizontal="right" vertical="top" indent="1" shrinkToFit="1"/>
    </xf>
    <xf numFmtId="1" fontId="162" fillId="0" borderId="0" xfId="30099" applyNumberFormat="1" applyFont="1" applyFill="1" applyAlignment="1">
      <alignment horizontal="left" vertical="top" indent="3" shrinkToFit="1"/>
    </xf>
    <xf numFmtId="0" fontId="47" fillId="0" borderId="0" xfId="30099" applyFont="1" applyFill="1" applyAlignment="1">
      <alignment horizontal="left" vertical="top" wrapText="1"/>
    </xf>
    <xf numFmtId="164" fontId="35" fillId="0" borderId="0" xfId="439" applyNumberFormat="1" applyFont="1"/>
    <xf numFmtId="0" fontId="47" fillId="0" borderId="0" xfId="30099" applyFont="1" applyAlignment="1">
      <alignment horizontal="left" vertical="top" wrapText="1" indent="2"/>
    </xf>
    <xf numFmtId="0" fontId="56" fillId="0" borderId="0" xfId="0" applyFont="1" applyFill="1" applyAlignment="1" applyProtection="1">
      <alignment horizontal="left" vertical="center" wrapText="1"/>
    </xf>
    <xf numFmtId="164" fontId="35" fillId="0" borderId="0" xfId="439" applyNumberFormat="1" applyFont="1" applyAlignment="1">
      <alignment horizontal="center" vertical="center" wrapText="1"/>
    </xf>
    <xf numFmtId="0" fontId="35" fillId="0" borderId="0" xfId="439" applyNumberFormat="1" applyFont="1" applyAlignment="1">
      <alignment horizontal="center" vertical="center"/>
    </xf>
    <xf numFmtId="0" fontId="0" fillId="0" borderId="32" xfId="0" applyFont="1" applyFill="1" applyBorder="1" applyAlignment="1">
      <alignment horizontal="center" wrapText="1"/>
    </xf>
    <xf numFmtId="1" fontId="162" fillId="0" borderId="0" xfId="30099" applyNumberFormat="1" applyFont="1" applyFill="1" applyAlignment="1">
      <alignment horizontal="center" vertical="top" shrinkToFit="1"/>
    </xf>
    <xf numFmtId="0" fontId="47" fillId="0" borderId="0" xfId="0" applyFont="1" applyFill="1" applyAlignment="1" applyProtection="1">
      <alignment horizontal="left" vertical="center" wrapText="1"/>
      <protection hidden="1"/>
    </xf>
    <xf numFmtId="0" fontId="47" fillId="0" borderId="0" xfId="30099" applyFont="1" applyAlignment="1">
      <alignment horizontal="left" vertical="top" wrapText="1"/>
    </xf>
    <xf numFmtId="0" fontId="47" fillId="0" borderId="61" xfId="0" applyFont="1" applyFill="1" applyBorder="1" applyAlignment="1">
      <alignment vertical="center" wrapText="1"/>
    </xf>
    <xf numFmtId="1" fontId="162" fillId="82" borderId="0" xfId="30099" applyNumberFormat="1" applyFont="1" applyFill="1" applyAlignment="1">
      <alignment horizontal="center" vertical="top" shrinkToFit="1"/>
    </xf>
    <xf numFmtId="1" fontId="162" fillId="0" borderId="0" xfId="30099" applyNumberFormat="1" applyFont="1" applyAlignment="1">
      <alignment horizontal="left" vertical="top" indent="3" shrinkToFit="1"/>
    </xf>
    <xf numFmtId="0" fontId="47" fillId="0" borderId="0" xfId="30099" applyFont="1" applyAlignment="1">
      <alignment horizontal="center" vertical="top" wrapText="1"/>
    </xf>
    <xf numFmtId="0" fontId="162" fillId="0" borderId="0" xfId="30099" applyFont="1" applyAlignment="1">
      <alignment horizontal="left" wrapText="1"/>
    </xf>
    <xf numFmtId="0" fontId="47" fillId="82" borderId="0" xfId="30099" applyFont="1" applyFill="1" applyAlignment="1">
      <alignment horizontal="left" vertical="top" wrapText="1" indent="1"/>
    </xf>
    <xf numFmtId="0" fontId="47" fillId="82" borderId="0" xfId="30099" applyFont="1" applyFill="1" applyAlignment="1">
      <alignment horizontal="left" vertical="top" wrapText="1" indent="2"/>
    </xf>
    <xf numFmtId="0" fontId="0" fillId="0" borderId="0" xfId="0" applyFont="1" applyAlignment="1">
      <alignment horizontal="center" vertical="center" wrapText="1"/>
    </xf>
    <xf numFmtId="0" fontId="74" fillId="0" borderId="45" xfId="0" applyNumberFormat="1" applyFont="1" applyFill="1" applyBorder="1" applyAlignment="1" applyProtection="1">
      <alignment horizontal="left" vertical="center" wrapText="1"/>
    </xf>
    <xf numFmtId="0" fontId="66"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1" fillId="0" borderId="0" xfId="0" applyFont="1" applyFill="1" applyAlignment="1" applyProtection="1">
      <alignment horizontal="right"/>
    </xf>
    <xf numFmtId="0" fontId="41"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1"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7" fillId="21" borderId="16" xfId="0" applyNumberFormat="1" applyFont="1" applyFill="1" applyBorder="1" applyProtection="1"/>
    <xf numFmtId="41" fontId="0" fillId="21" borderId="12" xfId="0" applyNumberFormat="1" applyFont="1" applyFill="1" applyBorder="1" applyAlignment="1" applyProtection="1">
      <alignment wrapText="1"/>
    </xf>
    <xf numFmtId="0" fontId="41" fillId="21" borderId="10" xfId="0" applyFont="1" applyFill="1" applyBorder="1" applyAlignment="1" applyProtection="1">
      <alignment horizontal="center" wrapText="1"/>
    </xf>
    <xf numFmtId="0" fontId="41" fillId="21" borderId="0" xfId="0" applyFont="1" applyFill="1" applyBorder="1" applyAlignment="1" applyProtection="1">
      <alignment horizontal="center"/>
    </xf>
    <xf numFmtId="164" fontId="74" fillId="21" borderId="12" xfId="439" applyNumberFormat="1" applyFont="1" applyFill="1" applyBorder="1" applyAlignment="1" applyProtection="1">
      <alignment horizontal="center" wrapText="1"/>
    </xf>
    <xf numFmtId="0" fontId="41" fillId="21" borderId="22" xfId="0" applyFont="1" applyFill="1" applyBorder="1" applyAlignment="1" applyProtection="1">
      <alignment horizontal="center" wrapText="1"/>
    </xf>
    <xf numFmtId="41" fontId="73" fillId="28" borderId="0" xfId="439" applyNumberFormat="1" applyFont="1" applyFill="1" applyAlignment="1" applyProtection="1">
      <alignment wrapText="1"/>
    </xf>
    <xf numFmtId="41" fontId="74"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3"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3"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3" fillId="0" borderId="0" xfId="0" applyNumberFormat="1" applyFont="1" applyFill="1" applyAlignment="1" applyProtection="1">
      <alignment wrapText="1"/>
    </xf>
    <xf numFmtId="41" fontId="74" fillId="0" borderId="0" xfId="0" applyNumberFormat="1" applyFont="1" applyFill="1" applyBorder="1" applyAlignment="1" applyProtection="1">
      <alignment wrapText="1"/>
      <protection locked="0"/>
    </xf>
    <xf numFmtId="0" fontId="73" fillId="0" borderId="0" xfId="0" applyFont="1" applyFill="1" applyProtection="1"/>
    <xf numFmtId="164" fontId="0" fillId="0" borderId="45" xfId="0" applyNumberFormat="1" applyFont="1" applyFill="1" applyBorder="1" applyAlignment="1" applyProtection="1">
      <alignment wrapText="1"/>
      <protection locked="0"/>
    </xf>
    <xf numFmtId="0" fontId="74" fillId="0" borderId="0" xfId="0" applyFont="1" applyFill="1" applyAlignment="1" applyProtection="1">
      <alignment wrapText="1"/>
    </xf>
    <xf numFmtId="0" fontId="41" fillId="0" borderId="0" xfId="0" applyFont="1" applyFill="1" applyAlignment="1" applyProtection="1">
      <alignment horizontal="center" vertical="center" wrapText="1"/>
    </xf>
    <xf numFmtId="0" fontId="74" fillId="0" borderId="0" xfId="0" applyFont="1" applyFill="1" applyAlignment="1" applyProtection="1">
      <alignment horizontal="left" wrapText="1" indent="2"/>
    </xf>
    <xf numFmtId="0" fontId="0" fillId="0" borderId="0" xfId="0" applyFont="1" applyBorder="1" applyAlignment="1" applyProtection="1">
      <alignment wrapText="1"/>
    </xf>
    <xf numFmtId="41" fontId="74" fillId="0" borderId="45" xfId="0" applyNumberFormat="1" applyFont="1" applyFill="1" applyBorder="1" applyAlignment="1" applyProtection="1">
      <alignment wrapText="1"/>
    </xf>
    <xf numFmtId="41" fontId="74" fillId="0" borderId="45" xfId="0" applyNumberFormat="1" applyFont="1" applyBorder="1" applyAlignment="1">
      <alignment wrapText="1"/>
    </xf>
    <xf numFmtId="41" fontId="74"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4"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1"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4" fillId="0" borderId="0" xfId="0" applyNumberFormat="1" applyFont="1" applyFill="1" applyAlignment="1" applyProtection="1">
      <alignment horizontal="center" wrapText="1"/>
    </xf>
    <xf numFmtId="0" fontId="41"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3" fillId="0" borderId="0" xfId="439" applyNumberFormat="1" applyFont="1" applyFill="1" applyAlignment="1" applyProtection="1">
      <alignment vertical="center" wrapText="1"/>
    </xf>
    <xf numFmtId="39" fontId="73"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1"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1"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3" fillId="0" borderId="0" xfId="439" applyNumberFormat="1" applyFont="1" applyFill="1" applyAlignment="1" applyProtection="1">
      <alignment vertical="center" wrapText="1"/>
      <protection locked="0"/>
    </xf>
    <xf numFmtId="0" fontId="41" fillId="31" borderId="37" xfId="0" applyFont="1" applyFill="1" applyBorder="1" applyAlignment="1">
      <alignment horizontal="center" vertical="center" wrapText="1"/>
    </xf>
    <xf numFmtId="0" fontId="41" fillId="31" borderId="39" xfId="0" applyFont="1" applyFill="1" applyBorder="1" applyAlignment="1">
      <alignment horizontal="center" vertical="center" wrapText="1"/>
    </xf>
    <xf numFmtId="41" fontId="73"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7"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1"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4"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7" fillId="0" borderId="45" xfId="0" applyFont="1" applyFill="1" applyBorder="1" applyAlignment="1" applyProtection="1">
      <alignment wrapText="1"/>
    </xf>
    <xf numFmtId="0" fontId="184" fillId="0" borderId="0" xfId="0" applyFont="1" applyFill="1" applyAlignment="1" applyProtection="1">
      <alignment horizontal="left" vertical="center" wrapText="1"/>
    </xf>
    <xf numFmtId="0" fontId="66" fillId="0" borderId="36" xfId="0" applyNumberFormat="1" applyFont="1" applyFill="1" applyBorder="1" applyAlignment="1" applyProtection="1">
      <alignment horizontal="left" vertical="center" wrapText="1"/>
    </xf>
    <xf numFmtId="0" fontId="47" fillId="0" borderId="0" xfId="0" applyFont="1" applyFill="1" applyAlignment="1" applyProtection="1">
      <alignment wrapText="1"/>
    </xf>
    <xf numFmtId="0" fontId="66" fillId="0" borderId="0" xfId="0" applyFont="1" applyAlignment="1">
      <alignment wrapText="1"/>
    </xf>
    <xf numFmtId="0" fontId="47" fillId="0" borderId="45" xfId="0" applyFont="1" applyBorder="1" applyAlignment="1">
      <alignment horizontal="center" vertical="center" wrapText="1"/>
    </xf>
    <xf numFmtId="0" fontId="41"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7" fillId="0" borderId="0" xfId="0" applyFont="1" applyFill="1" applyAlignment="1" applyProtection="1">
      <alignment horizontal="center" vertical="center" wrapText="1"/>
    </xf>
    <xf numFmtId="0" fontId="47"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7" fillId="0" borderId="45" xfId="0" applyFont="1" applyFill="1" applyBorder="1" applyAlignment="1" applyProtection="1">
      <alignment horizontal="center" vertical="center" wrapText="1"/>
    </xf>
    <xf numFmtId="0" fontId="41"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7" fillId="34" borderId="0" xfId="0" applyFont="1" applyFill="1" applyAlignment="1" applyProtection="1">
      <alignment horizontal="center" vertical="center" wrapText="1"/>
    </xf>
    <xf numFmtId="0" fontId="66" fillId="0" borderId="0" xfId="0" applyFont="1" applyFill="1" applyAlignment="1" applyProtection="1">
      <alignment horizontal="center" vertical="center" wrapText="1"/>
    </xf>
    <xf numFmtId="3" fontId="191" fillId="0" borderId="0" xfId="1540" applyFont="1" applyFill="1" applyAlignment="1" applyProtection="1">
      <alignment vertical="center" wrapText="1"/>
    </xf>
    <xf numFmtId="0" fontId="62" fillId="0" borderId="0" xfId="30099" applyFont="1" applyFill="1" applyAlignment="1">
      <alignment horizontal="left" vertical="top" wrapText="1"/>
    </xf>
    <xf numFmtId="0" fontId="62"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38" fontId="0" fillId="0" borderId="0" xfId="0" applyNumberFormat="1" applyFont="1" applyProtection="1">
      <protection locked="0"/>
    </xf>
    <xf numFmtId="0" fontId="41" fillId="74" borderId="0" xfId="0" applyFont="1" applyFill="1" applyAlignment="1" applyProtection="1">
      <alignment horizontal="left" vertical="center" wrapText="1"/>
    </xf>
    <xf numFmtId="0" fontId="41" fillId="74" borderId="0" xfId="0" applyFont="1" applyFill="1" applyAlignment="1" applyProtection="1">
      <alignment vertical="center" wrapText="1"/>
    </xf>
    <xf numFmtId="0" fontId="41" fillId="74" borderId="0" xfId="0" applyFont="1" applyFill="1" applyAlignment="1" applyProtection="1">
      <alignment vertical="center"/>
    </xf>
    <xf numFmtId="0" fontId="41" fillId="74" borderId="0" xfId="0" applyFont="1" applyFill="1" applyAlignment="1" applyProtection="1"/>
    <xf numFmtId="0" fontId="0" fillId="74" borderId="0" xfId="0" applyFont="1" applyFill="1" applyAlignment="1" applyProtection="1"/>
    <xf numFmtId="0" fontId="41" fillId="74" borderId="0" xfId="0" applyFont="1" applyFill="1" applyAlignment="1" applyProtection="1">
      <alignment wrapText="1"/>
    </xf>
    <xf numFmtId="2" fontId="41" fillId="74" borderId="0" xfId="0" applyNumberFormat="1" applyFont="1" applyFill="1" applyAlignment="1" applyProtection="1">
      <alignment horizontal="center" vertical="center" wrapText="1"/>
      <protection locked="0"/>
    </xf>
    <xf numFmtId="0" fontId="74"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41"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4" fillId="74" borderId="0" xfId="439" applyNumberFormat="1" applyFont="1" applyFill="1" applyAlignment="1" applyProtection="1">
      <alignment wrapText="1"/>
    </xf>
    <xf numFmtId="0" fontId="62" fillId="74" borderId="0" xfId="0" applyFont="1" applyFill="1" applyAlignment="1" applyProtection="1">
      <alignment horizontal="left" vertical="center"/>
    </xf>
    <xf numFmtId="0" fontId="47"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1" fillId="74" borderId="0" xfId="439" applyNumberFormat="1" applyFont="1" applyFill="1" applyAlignment="1" applyProtection="1">
      <alignment horizontal="center" vertical="center"/>
      <protection locked="0"/>
    </xf>
    <xf numFmtId="41" fontId="74" fillId="74" borderId="0" xfId="0" applyNumberFormat="1" applyFont="1" applyFill="1" applyAlignment="1" applyProtection="1">
      <alignment wrapText="1"/>
    </xf>
    <xf numFmtId="0" fontId="41" fillId="74" borderId="0" xfId="0" applyFont="1" applyFill="1" applyAlignment="1" applyProtection="1">
      <alignment horizontal="center" vertical="center"/>
      <protection locked="0"/>
    </xf>
    <xf numFmtId="0" fontId="74" fillId="74" borderId="0" xfId="0" applyFont="1" applyFill="1" applyAlignment="1" applyProtection="1"/>
    <xf numFmtId="0" fontId="41" fillId="74" borderId="0" xfId="0" applyFont="1" applyFill="1" applyAlignment="1" applyProtection="1">
      <alignment horizontal="center" vertical="center" wrapText="1"/>
      <protection locked="0"/>
    </xf>
    <xf numFmtId="0" fontId="74" fillId="74" borderId="0" xfId="0" applyFont="1" applyFill="1" applyAlignment="1" applyProtection="1">
      <alignment horizontal="left" wrapText="1" indent="2"/>
    </xf>
    <xf numFmtId="0" fontId="41"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1"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6" fillId="74" borderId="0" xfId="0" applyFont="1" applyFill="1" applyAlignment="1" applyProtection="1">
      <alignment horizontal="left" vertical="center"/>
    </xf>
    <xf numFmtId="3" fontId="41" fillId="74" borderId="0" xfId="0" applyNumberFormat="1" applyFont="1" applyFill="1" applyAlignment="1" applyProtection="1">
      <alignment horizontal="center" vertical="center"/>
      <protection locked="0"/>
    </xf>
    <xf numFmtId="3" fontId="41" fillId="74" borderId="0" xfId="0" applyNumberFormat="1" applyFont="1" applyFill="1" applyAlignment="1" applyProtection="1">
      <alignment horizontal="center" vertical="center" wrapText="1"/>
      <protection locked="0"/>
    </xf>
    <xf numFmtId="0" fontId="74" fillId="74" borderId="0" xfId="0" applyFont="1" applyFill="1" applyAlignment="1" applyProtection="1">
      <alignment vertical="center"/>
    </xf>
    <xf numFmtId="3" fontId="41" fillId="74" borderId="0" xfId="439" applyNumberFormat="1" applyFont="1" applyFill="1" applyAlignment="1" applyProtection="1">
      <alignment horizontal="center" vertical="center"/>
      <protection locked="0"/>
    </xf>
    <xf numFmtId="38" fontId="47"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1" fillId="74" borderId="0" xfId="0" applyNumberFormat="1" applyFont="1" applyFill="1" applyAlignment="1" applyProtection="1">
      <alignment wrapText="1"/>
    </xf>
    <xf numFmtId="164" fontId="41" fillId="74" borderId="0" xfId="439" applyNumberFormat="1" applyFont="1" applyFill="1" applyAlignment="1" applyProtection="1">
      <alignment horizontal="center" wrapText="1"/>
    </xf>
    <xf numFmtId="3" fontId="41" fillId="74" borderId="0" xfId="439" applyNumberFormat="1" applyFont="1" applyFill="1" applyAlignment="1" applyProtection="1">
      <alignment horizontal="center" vertical="center" wrapText="1"/>
    </xf>
    <xf numFmtId="41" fontId="73" fillId="74" borderId="0" xfId="0" applyNumberFormat="1" applyFont="1" applyFill="1" applyAlignment="1" applyProtection="1">
      <alignment wrapText="1"/>
    </xf>
    <xf numFmtId="3" fontId="41"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7" fillId="74" borderId="0" xfId="439" applyNumberFormat="1" applyFont="1" applyFill="1" applyProtection="1"/>
    <xf numFmtId="0" fontId="193"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1" fillId="74" borderId="0" xfId="0" applyNumberFormat="1" applyFont="1" applyFill="1" applyAlignment="1" applyProtection="1">
      <alignment horizontal="left" vertical="center"/>
    </xf>
    <xf numFmtId="0" fontId="74"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1"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4" fillId="74" borderId="0" xfId="0" applyFont="1" applyFill="1" applyAlignment="1" applyProtection="1">
      <alignment horizontal="left" vertical="center"/>
    </xf>
    <xf numFmtId="0" fontId="86" fillId="74" borderId="0" xfId="0" applyFont="1" applyFill="1" applyAlignment="1" applyProtection="1">
      <alignment vertical="center"/>
    </xf>
    <xf numFmtId="0" fontId="195" fillId="74" borderId="0" xfId="0" applyFont="1" applyFill="1" applyAlignment="1" applyProtection="1">
      <alignment vertical="center"/>
      <protection locked="0"/>
    </xf>
    <xf numFmtId="0" fontId="66" fillId="74" borderId="36" xfId="0" applyNumberFormat="1" applyFont="1" applyFill="1" applyBorder="1" applyAlignment="1" applyProtection="1">
      <alignment horizontal="left" vertical="center" wrapText="1"/>
    </xf>
    <xf numFmtId="0" fontId="56" fillId="74" borderId="0" xfId="0" applyNumberFormat="1" applyFont="1" applyFill="1" applyAlignment="1" applyProtection="1">
      <alignment horizontal="left" vertical="center" wrapText="1"/>
    </xf>
    <xf numFmtId="168" fontId="41" fillId="29" borderId="0" xfId="439" applyNumberFormat="1" applyFont="1" applyFill="1" applyAlignment="1" applyProtection="1">
      <alignment horizontal="center" vertical="center"/>
      <protection locked="0"/>
    </xf>
    <xf numFmtId="0" fontId="62" fillId="74" borderId="0" xfId="0" applyFont="1" applyFill="1" applyAlignment="1">
      <alignment vertical="center" wrapText="1"/>
    </xf>
    <xf numFmtId="41" fontId="74" fillId="36" borderId="118" xfId="439" applyNumberFormat="1" applyFont="1" applyFill="1" applyBorder="1" applyAlignment="1">
      <alignment vertical="center" wrapText="1"/>
    </xf>
    <xf numFmtId="41" fontId="74" fillId="36" borderId="0" xfId="439" applyNumberFormat="1" applyFont="1" applyFill="1" applyAlignment="1">
      <alignment vertical="center" wrapText="1"/>
    </xf>
    <xf numFmtId="41" fontId="74" fillId="36" borderId="119" xfId="439" applyNumberFormat="1" applyFont="1" applyFill="1" applyBorder="1" applyAlignment="1">
      <alignment vertical="center" wrapText="1"/>
    </xf>
    <xf numFmtId="41" fontId="196" fillId="0" borderId="0" xfId="0" applyNumberFormat="1" applyFont="1" applyFill="1" applyAlignment="1" applyProtection="1">
      <alignment wrapText="1"/>
    </xf>
    <xf numFmtId="0" fontId="62"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7" fillId="22" borderId="0" xfId="439" applyNumberFormat="1" applyFont="1" applyFill="1" applyAlignment="1" applyProtection="1">
      <alignment horizontal="center" vertical="center" wrapText="1"/>
    </xf>
    <xf numFmtId="167" fontId="0" fillId="80" borderId="87" xfId="545" applyNumberFormat="1" applyFont="1" applyFill="1" applyBorder="1"/>
    <xf numFmtId="37" fontId="0" fillId="0" borderId="108" xfId="0" applyNumberFormat="1" applyFont="1" applyFill="1" applyBorder="1" applyAlignment="1">
      <alignment horizontal="center" wrapText="1"/>
    </xf>
    <xf numFmtId="37" fontId="86" fillId="0" borderId="108" xfId="0" applyNumberFormat="1" applyFont="1" applyFill="1" applyBorder="1" applyAlignment="1">
      <alignment horizontal="center" wrapText="1"/>
    </xf>
    <xf numFmtId="41" fontId="74"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6"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6" xfId="0" applyNumberFormat="1" applyFont="1" applyFill="1" applyBorder="1" applyAlignment="1">
      <alignment horizontal="center" wrapText="1"/>
    </xf>
    <xf numFmtId="37" fontId="0" fillId="0" borderId="89" xfId="0" applyNumberFormat="1" applyFont="1" applyFill="1" applyBorder="1" applyAlignment="1">
      <alignment horizontal="center" wrapText="1"/>
    </xf>
    <xf numFmtId="10" fontId="0" fillId="0" borderId="99" xfId="0" applyNumberFormat="1" applyFont="1" applyFill="1" applyBorder="1" applyAlignment="1">
      <alignment horizontal="center" wrapText="1"/>
    </xf>
    <xf numFmtId="0" fontId="41" fillId="78" borderId="10" xfId="0" applyFont="1" applyFill="1" applyBorder="1" applyAlignment="1">
      <alignment wrapText="1"/>
    </xf>
    <xf numFmtId="0" fontId="41" fillId="78" borderId="120" xfId="0" applyFont="1" applyFill="1" applyBorder="1" applyAlignment="1">
      <alignment wrapText="1"/>
    </xf>
    <xf numFmtId="10" fontId="0" fillId="0" borderId="84" xfId="4688" applyNumberFormat="1" applyFont="1" applyFill="1" applyBorder="1"/>
    <xf numFmtId="10" fontId="0" fillId="0" borderId="84" xfId="0" applyNumberFormat="1" applyFont="1" applyFill="1" applyBorder="1" applyAlignment="1">
      <alignment horizontal="center" wrapText="1"/>
    </xf>
    <xf numFmtId="0" fontId="0" fillId="0" borderId="121"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7" fillId="0" borderId="0" xfId="439" applyNumberFormat="1" applyFont="1" applyFill="1" applyAlignment="1" applyProtection="1">
      <alignment horizontal="center" vertical="center" wrapText="1"/>
    </xf>
    <xf numFmtId="0" fontId="0" fillId="78" borderId="86" xfId="0" applyFont="1" applyFill="1" applyBorder="1" applyAlignment="1">
      <alignment vertical="center" wrapText="1"/>
    </xf>
    <xf numFmtId="0" fontId="0" fillId="78" borderId="85" xfId="0" applyFont="1" applyFill="1" applyBorder="1" applyAlignment="1">
      <alignment vertical="center" wrapText="1"/>
    </xf>
    <xf numFmtId="0" fontId="0" fillId="78" borderId="85" xfId="0" applyFont="1" applyFill="1" applyBorder="1" applyAlignment="1">
      <alignment vertical="center"/>
    </xf>
    <xf numFmtId="0" fontId="0" fillId="78" borderId="90" xfId="0" applyFont="1" applyFill="1" applyBorder="1" applyAlignment="1">
      <alignment vertical="center"/>
    </xf>
    <xf numFmtId="0" fontId="41" fillId="78" borderId="85" xfId="0" applyFont="1" applyFill="1" applyBorder="1" applyAlignment="1">
      <alignment vertical="center" wrapText="1"/>
    </xf>
    <xf numFmtId="0" fontId="0" fillId="0" borderId="92" xfId="0" applyFont="1" applyFill="1" applyBorder="1" applyAlignment="1">
      <alignment horizontal="center" vertical="center" wrapText="1"/>
    </xf>
    <xf numFmtId="0" fontId="0" fillId="78" borderId="86" xfId="0" applyFont="1" applyFill="1" applyBorder="1" applyAlignment="1">
      <alignment horizontal="center" vertical="center" wrapText="1"/>
    </xf>
    <xf numFmtId="0" fontId="0" fillId="0" borderId="86" xfId="0" applyFont="1" applyFill="1" applyBorder="1" applyAlignment="1">
      <alignment horizontal="center" vertical="center" wrapText="1"/>
    </xf>
    <xf numFmtId="0" fontId="0" fillId="0" borderId="92" xfId="0" applyFont="1" applyFill="1" applyBorder="1" applyAlignment="1">
      <alignment horizontal="center" vertical="center"/>
    </xf>
    <xf numFmtId="0" fontId="0" fillId="0" borderId="86" xfId="0" applyFont="1" applyFill="1" applyBorder="1" applyAlignment="1">
      <alignment horizontal="center" vertical="center"/>
    </xf>
    <xf numFmtId="37" fontId="0" fillId="0" borderId="10" xfId="0" applyNumberFormat="1" applyFont="1" applyBorder="1" applyAlignment="1">
      <alignment vertical="center"/>
    </xf>
    <xf numFmtId="0" fontId="41" fillId="78" borderId="83" xfId="0" applyFont="1" applyFill="1" applyBorder="1" applyAlignment="1">
      <alignment vertical="center" wrapText="1"/>
    </xf>
    <xf numFmtId="0" fontId="0" fillId="78" borderId="101" xfId="0" applyFont="1" applyFill="1" applyBorder="1" applyAlignment="1">
      <alignment vertical="center" wrapText="1"/>
    </xf>
    <xf numFmtId="0" fontId="0" fillId="78" borderId="107" xfId="0" applyFont="1" applyFill="1" applyBorder="1" applyAlignment="1">
      <alignment vertical="center" wrapText="1"/>
    </xf>
    <xf numFmtId="0" fontId="0" fillId="78" borderId="99"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4" xfId="0" quotePrefix="1" applyFont="1" applyFill="1" applyBorder="1" applyAlignment="1">
      <alignment horizontal="center" vertical="center" wrapText="1"/>
    </xf>
    <xf numFmtId="0" fontId="0" fillId="78" borderId="84" xfId="0" applyFont="1" applyFill="1" applyBorder="1" applyAlignment="1">
      <alignment vertical="center" wrapText="1"/>
    </xf>
    <xf numFmtId="164" fontId="47" fillId="0" borderId="10" xfId="439" applyNumberFormat="1" applyFont="1" applyFill="1" applyBorder="1" applyAlignment="1">
      <alignment horizontal="center"/>
    </xf>
    <xf numFmtId="0" fontId="0" fillId="78" borderId="0" xfId="0" applyFont="1" applyFill="1" applyBorder="1" applyProtection="1">
      <protection locked="0"/>
    </xf>
    <xf numFmtId="0" fontId="176" fillId="78" borderId="122" xfId="0" applyFont="1" applyFill="1" applyBorder="1" applyAlignment="1">
      <alignment wrapText="1"/>
    </xf>
    <xf numFmtId="9" fontId="0" fillId="78" borderId="84" xfId="4688" applyFont="1" applyFill="1" applyBorder="1" applyAlignment="1">
      <alignment horizontal="center" wrapText="1"/>
    </xf>
    <xf numFmtId="0" fontId="0" fillId="78" borderId="85" xfId="0" applyFont="1" applyFill="1" applyBorder="1" applyAlignment="1">
      <alignment horizontal="center" vertical="center" wrapText="1"/>
    </xf>
    <xf numFmtId="0" fontId="47" fillId="78" borderId="86" xfId="0" applyFont="1" applyFill="1" applyBorder="1" applyAlignment="1">
      <alignment horizontal="center" wrapText="1"/>
    </xf>
    <xf numFmtId="37" fontId="0" fillId="0" borderId="10" xfId="0" applyNumberFormat="1" applyFont="1" applyFill="1" applyBorder="1" applyAlignment="1">
      <alignment vertical="center"/>
    </xf>
    <xf numFmtId="0" fontId="0" fillId="78" borderId="99" xfId="0" applyFont="1" applyFill="1" applyBorder="1" applyAlignment="1">
      <alignment horizontal="center" vertical="center" wrapText="1"/>
    </xf>
    <xf numFmtId="37" fontId="0" fillId="78" borderId="108" xfId="0" applyNumberFormat="1" applyFont="1" applyFill="1" applyBorder="1" applyAlignment="1">
      <alignment horizontal="center" wrapText="1"/>
    </xf>
    <xf numFmtId="0" fontId="0" fillId="78" borderId="103" xfId="0" applyFont="1" applyFill="1" applyBorder="1" applyProtection="1">
      <protection locked="0"/>
    </xf>
    <xf numFmtId="43" fontId="0" fillId="0" borderId="10" xfId="439" applyNumberFormat="1" applyFont="1" applyFill="1" applyBorder="1" applyAlignment="1">
      <alignment horizontal="center"/>
    </xf>
    <xf numFmtId="43" fontId="47" fillId="0" borderId="10" xfId="439" applyNumberFormat="1" applyFont="1" applyFill="1" applyBorder="1" applyAlignment="1">
      <alignment horizontal="center"/>
    </xf>
    <xf numFmtId="0" fontId="136" fillId="78" borderId="15" xfId="30099" applyFont="1" applyFill="1" applyBorder="1" applyAlignment="1">
      <alignment horizontal="left" wrapText="1"/>
    </xf>
    <xf numFmtId="0" fontId="136" fillId="78" borderId="0" xfId="30099" applyFont="1" applyFill="1" applyAlignment="1">
      <alignment horizontal="left" wrapText="1"/>
    </xf>
    <xf numFmtId="0" fontId="136"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23" xfId="0" applyBorder="1"/>
    <xf numFmtId="0" fontId="0" fillId="0" borderId="81" xfId="0" applyBorder="1"/>
    <xf numFmtId="0" fontId="0" fillId="0" borderId="82" xfId="0" applyBorder="1"/>
    <xf numFmtId="0" fontId="0" fillId="0" borderId="126" xfId="0" applyBorder="1"/>
    <xf numFmtId="0" fontId="200"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200" fillId="0" borderId="84" xfId="0" applyFont="1" applyBorder="1" applyAlignment="1">
      <alignment horizontal="center" vertical="center" wrapText="1"/>
    </xf>
    <xf numFmtId="0" fontId="0" fillId="0" borderId="0" xfId="0" applyAlignment="1">
      <alignment horizontal="center" wrapText="1"/>
    </xf>
    <xf numFmtId="9" fontId="0" fillId="0" borderId="0" xfId="4688" applyFont="1" applyFill="1" applyBorder="1"/>
    <xf numFmtId="2" fontId="0" fillId="0" borderId="0" xfId="0" applyNumberFormat="1"/>
    <xf numFmtId="0" fontId="0" fillId="0" borderId="57" xfId="0" applyBorder="1" applyAlignment="1">
      <alignment horizontal="center" wrapText="1"/>
    </xf>
    <xf numFmtId="0" fontId="0" fillId="78" borderId="57" xfId="0" applyFill="1" applyBorder="1" applyAlignment="1">
      <alignment wrapText="1"/>
    </xf>
    <xf numFmtId="0" fontId="41" fillId="0" borderId="128" xfId="0" applyFont="1" applyBorder="1" applyAlignment="1">
      <alignment wrapText="1"/>
    </xf>
    <xf numFmtId="0" fontId="0" fillId="0" borderId="129" xfId="0" applyBorder="1"/>
    <xf numFmtId="0" fontId="0" fillId="0" borderId="129" xfId="0" applyBorder="1" applyAlignment="1">
      <alignment horizontal="center" wrapText="1"/>
    </xf>
    <xf numFmtId="0" fontId="0" fillId="0" borderId="129" xfId="0" applyBorder="1" applyAlignment="1">
      <alignment wrapText="1"/>
    </xf>
    <xf numFmtId="0" fontId="0" fillId="78" borderId="85" xfId="0" applyFill="1" applyBorder="1"/>
    <xf numFmtId="0" fontId="41" fillId="78" borderId="94" xfId="0" applyFont="1" applyFill="1" applyBorder="1" applyAlignment="1">
      <alignment horizontal="center" wrapText="1"/>
    </xf>
    <xf numFmtId="0" fontId="41" fillId="78" borderId="70" xfId="0" applyFont="1" applyFill="1" applyBorder="1" applyAlignment="1">
      <alignment horizontal="center"/>
    </xf>
    <xf numFmtId="37" fontId="0" fillId="0" borderId="57" xfId="0" applyNumberFormat="1" applyBorder="1" applyAlignment="1">
      <alignment horizontal="center"/>
    </xf>
    <xf numFmtId="0" fontId="0" fillId="0" borderId="131" xfId="0" applyBorder="1"/>
    <xf numFmtId="0" fontId="0" fillId="85" borderId="57" xfId="0" applyFill="1" applyBorder="1" applyAlignment="1">
      <alignment horizontal="center" wrapText="1"/>
    </xf>
    <xf numFmtId="37" fontId="47" fillId="0" borderId="57" xfId="0" applyNumberFormat="1" applyFont="1" applyBorder="1" applyAlignment="1">
      <alignment horizontal="center"/>
    </xf>
    <xf numFmtId="37" fontId="47" fillId="0" borderId="57" xfId="0" applyNumberFormat="1" applyFont="1" applyBorder="1" applyAlignment="1">
      <alignment horizontal="center" wrapText="1"/>
    </xf>
    <xf numFmtId="0" fontId="0" fillId="0" borderId="88" xfId="0" applyBorder="1"/>
    <xf numFmtId="0" fontId="0" fillId="0" borderId="88" xfId="0" applyBorder="1" applyAlignment="1">
      <alignment wrapText="1"/>
    </xf>
    <xf numFmtId="0" fontId="0" fillId="0" borderId="82" xfId="0" applyBorder="1" applyAlignment="1">
      <alignment wrapText="1"/>
    </xf>
    <xf numFmtId="0" fontId="0" fillId="0" borderId="94" xfId="0" applyBorder="1"/>
    <xf numFmtId="0" fontId="0" fillId="0" borderId="124" xfId="0" applyBorder="1"/>
    <xf numFmtId="0" fontId="39" fillId="78" borderId="57" xfId="0" applyFont="1" applyFill="1" applyBorder="1" applyAlignment="1">
      <alignment vertical="center" wrapText="1"/>
    </xf>
    <xf numFmtId="0" fontId="166" fillId="0" borderId="0" xfId="0" applyFont="1" applyFill="1" applyBorder="1" applyAlignment="1">
      <alignment vertical="center" wrapText="1"/>
    </xf>
    <xf numFmtId="0" fontId="0" fillId="0" borderId="125" xfId="0" applyBorder="1" applyAlignment="1">
      <alignment wrapText="1"/>
    </xf>
    <xf numFmtId="0" fontId="39" fillId="78" borderId="57" xfId="0" applyFont="1" applyFill="1" applyBorder="1" applyAlignment="1">
      <alignment horizontal="justify" vertical="center"/>
    </xf>
    <xf numFmtId="0" fontId="48" fillId="78" borderId="13" xfId="0" applyFont="1" applyFill="1" applyBorder="1" applyAlignment="1">
      <alignment vertical="center" wrapText="1"/>
    </xf>
    <xf numFmtId="0" fontId="48" fillId="0" borderId="94" xfId="0" applyFont="1" applyFill="1" applyBorder="1" applyAlignment="1">
      <alignment vertical="center"/>
    </xf>
    <xf numFmtId="0" fontId="0" fillId="0" borderId="57" xfId="0" applyFill="1" applyBorder="1" applyAlignment="1">
      <alignment horizontal="justify" vertical="center"/>
    </xf>
    <xf numFmtId="0" fontId="42" fillId="78" borderId="13" xfId="0" applyFont="1" applyFill="1" applyBorder="1" applyAlignment="1">
      <alignment horizontal="center" vertical="center"/>
    </xf>
    <xf numFmtId="49" fontId="0" fillId="0" borderId="0" xfId="0" applyNumberFormat="1" applyAlignment="1">
      <alignment horizontal="center" vertical="center"/>
    </xf>
    <xf numFmtId="0" fontId="66" fillId="0" borderId="0" xfId="0" applyFont="1" applyFill="1" applyBorder="1" applyAlignment="1">
      <alignment vertical="center" wrapText="1"/>
    </xf>
    <xf numFmtId="0" fontId="0" fillId="0" borderId="0" xfId="0" applyNumberFormat="1" applyFont="1" applyFill="1" applyBorder="1" applyAlignment="1">
      <alignment horizontal="center"/>
    </xf>
    <xf numFmtId="4" fontId="0" fillId="0" borderId="0" xfId="0" applyNumberFormat="1"/>
    <xf numFmtId="14" fontId="0" fillId="0" borderId="0" xfId="0" applyNumberFormat="1"/>
    <xf numFmtId="0" fontId="0" fillId="0" borderId="0" xfId="0"/>
    <xf numFmtId="43" fontId="36" fillId="0" borderId="0" xfId="440" applyFont="1" applyFill="1"/>
    <xf numFmtId="164" fontId="66" fillId="0" borderId="0" xfId="440" applyNumberFormat="1" applyFont="1" applyFill="1" applyAlignment="1" applyProtection="1">
      <alignment horizontal="center" vertical="center"/>
    </xf>
    <xf numFmtId="0" fontId="0" fillId="0" borderId="0" xfId="0" applyFill="1"/>
    <xf numFmtId="0" fontId="0" fillId="0" borderId="0" xfId="0" applyFill="1" applyAlignment="1">
      <alignment horizontal="center"/>
    </xf>
    <xf numFmtId="0" fontId="114" fillId="0" borderId="0" xfId="720" applyFont="1" applyFill="1" applyAlignment="1">
      <alignment wrapText="1"/>
    </xf>
    <xf numFmtId="0" fontId="36" fillId="0" borderId="0" xfId="720" applyFill="1" applyAlignment="1">
      <alignment wrapText="1"/>
    </xf>
    <xf numFmtId="0" fontId="0" fillId="0" borderId="0" xfId="0" applyFill="1" applyAlignment="1">
      <alignment wrapText="1"/>
    </xf>
    <xf numFmtId="1" fontId="201" fillId="0" borderId="0" xfId="720" applyNumberFormat="1" applyFont="1" applyFill="1" applyAlignment="1">
      <alignment horizontal="center" wrapText="1"/>
    </xf>
    <xf numFmtId="1" fontId="201" fillId="0" borderId="0" xfId="720" applyNumberFormat="1" applyFont="1" applyFill="1" applyAlignment="1">
      <alignment horizontal="center"/>
    </xf>
    <xf numFmtId="49" fontId="0" fillId="0" borderId="0" xfId="0" applyNumberFormat="1" applyFill="1" applyAlignment="1">
      <alignment horizontal="center" vertical="center"/>
    </xf>
    <xf numFmtId="49" fontId="129" fillId="0" borderId="0" xfId="705" applyNumberFormat="1" applyFont="1" applyFill="1" applyAlignment="1">
      <alignment horizontal="center" vertical="center" wrapText="1"/>
    </xf>
    <xf numFmtId="0" fontId="46" fillId="0" borderId="0" xfId="705" applyFont="1" applyFill="1" applyAlignment="1" applyProtection="1">
      <alignment vertical="center" wrapText="1"/>
      <protection locked="0"/>
    </xf>
    <xf numFmtId="0" fontId="36" fillId="0" borderId="0" xfId="720" applyFill="1"/>
    <xf numFmtId="38" fontId="0" fillId="0" borderId="0" xfId="0" applyNumberFormat="1" applyFill="1"/>
    <xf numFmtId="0" fontId="202" fillId="0" borderId="0" xfId="31722" applyFill="1" applyAlignment="1">
      <alignment horizontal="center"/>
    </xf>
    <xf numFmtId="40" fontId="202" fillId="0" borderId="0" xfId="31722" applyNumberFormat="1" applyFill="1" applyAlignment="1">
      <alignment horizontal="right"/>
    </xf>
    <xf numFmtId="40" fontId="0" fillId="0" borderId="0" xfId="0" applyNumberFormat="1" applyFill="1"/>
    <xf numFmtId="169" fontId="203" fillId="0" borderId="0" xfId="841" applyNumberFormat="1" applyFont="1" applyFill="1" applyAlignment="1">
      <alignment horizontal="center" vertical="center" wrapText="1"/>
    </xf>
    <xf numFmtId="0" fontId="204" fillId="0" borderId="0" xfId="841" applyFont="1" applyFill="1" applyAlignment="1">
      <alignment horizontal="left" vertical="center" wrapText="1"/>
    </xf>
    <xf numFmtId="49" fontId="203" fillId="0" borderId="0" xfId="841" applyNumberFormat="1" applyFont="1" applyFill="1" applyAlignment="1">
      <alignment horizontal="center" vertical="center" wrapText="1"/>
    </xf>
    <xf numFmtId="0" fontId="26" fillId="0" borderId="0" xfId="720" applyFont="1" applyFill="1" applyAlignment="1">
      <alignment horizontal="left" vertical="center" wrapText="1"/>
    </xf>
    <xf numFmtId="0" fontId="46" fillId="0" borderId="0" xfId="705" applyFont="1" applyFill="1" applyAlignment="1">
      <alignment vertical="center" wrapText="1"/>
    </xf>
    <xf numFmtId="40" fontId="87" fillId="0" borderId="0" xfId="31722" applyNumberFormat="1" applyFont="1" applyFill="1"/>
    <xf numFmtId="49" fontId="205" fillId="0" borderId="0" xfId="705" applyNumberFormat="1" applyFont="1" applyFill="1" applyAlignment="1">
      <alignment horizontal="center" vertical="center" wrapText="1"/>
    </xf>
    <xf numFmtId="3" fontId="206" fillId="0" borderId="0" xfId="1540" applyFont="1" applyFill="1" applyAlignment="1">
      <alignment vertical="center" wrapText="1"/>
    </xf>
    <xf numFmtId="0" fontId="204" fillId="0" borderId="0" xfId="31723" applyFont="1" applyFill="1" applyAlignment="1">
      <alignment horizontal="left" wrapText="1"/>
    </xf>
    <xf numFmtId="0" fontId="46" fillId="0" borderId="0" xfId="705" applyFont="1" applyFill="1" applyAlignment="1">
      <alignment wrapText="1"/>
    </xf>
    <xf numFmtId="0" fontId="207" fillId="0" borderId="0" xfId="705" applyFont="1" applyFill="1" applyAlignment="1">
      <alignment vertical="center" wrapText="1"/>
    </xf>
    <xf numFmtId="0" fontId="46" fillId="0" borderId="0" xfId="705" applyFont="1" applyFill="1" applyAlignment="1">
      <alignment horizontal="left" vertical="center" wrapText="1"/>
    </xf>
    <xf numFmtId="0" fontId="208" fillId="0" borderId="0" xfId="705" applyFont="1" applyFill="1" applyAlignment="1">
      <alignment horizontal="left" vertical="center" wrapText="1"/>
    </xf>
    <xf numFmtId="0" fontId="46" fillId="0" borderId="23" xfId="705" applyFont="1" applyFill="1" applyBorder="1" applyAlignment="1">
      <alignment vertical="center" wrapText="1"/>
    </xf>
    <xf numFmtId="0" fontId="41" fillId="0" borderId="0" xfId="0" applyFont="1" applyFill="1" applyAlignment="1">
      <alignment wrapText="1"/>
    </xf>
    <xf numFmtId="0" fontId="204" fillId="0" borderId="0" xfId="31724" applyFont="1" applyFill="1" applyAlignment="1">
      <alignment horizontal="left" wrapText="1"/>
    </xf>
    <xf numFmtId="3" fontId="205" fillId="0" borderId="0" xfId="1540" applyFont="1" applyFill="1" applyAlignment="1">
      <alignment horizontal="center" vertical="center" wrapText="1"/>
    </xf>
    <xf numFmtId="0" fontId="209" fillId="0" borderId="0" xfId="720" applyFont="1" applyFill="1" applyAlignment="1">
      <alignment horizontal="left" vertical="center" wrapText="1"/>
    </xf>
    <xf numFmtId="0" fontId="46" fillId="0" borderId="0" xfId="720" applyFont="1" applyFill="1"/>
    <xf numFmtId="40" fontId="66" fillId="0" borderId="0" xfId="0" applyNumberFormat="1" applyFont="1" applyFill="1"/>
    <xf numFmtId="0" fontId="129" fillId="0" borderId="0" xfId="705" applyFont="1" applyFill="1" applyAlignment="1">
      <alignment horizontal="center" vertical="center" wrapText="1"/>
    </xf>
    <xf numFmtId="0" fontId="7" fillId="0" borderId="0" xfId="720" applyFont="1" applyFill="1" applyAlignment="1">
      <alignment horizontal="center" vertical="center" wrapText="1"/>
    </xf>
    <xf numFmtId="166" fontId="0" fillId="0" borderId="0" xfId="0" applyNumberFormat="1" applyFill="1"/>
    <xf numFmtId="1" fontId="36" fillId="0" borderId="0" xfId="720" applyNumberFormat="1" applyFill="1" applyAlignment="1">
      <alignment horizontal="center" vertical="center" wrapText="1"/>
    </xf>
    <xf numFmtId="0" fontId="36" fillId="0" borderId="31" xfId="720" applyFill="1" applyBorder="1" applyAlignment="1">
      <alignment vertical="center" wrapText="1"/>
    </xf>
    <xf numFmtId="0" fontId="36" fillId="0" borderId="23" xfId="720" applyFill="1" applyBorder="1" applyAlignment="1">
      <alignment vertical="center" wrapText="1"/>
    </xf>
    <xf numFmtId="0" fontId="47" fillId="0" borderId="23" xfId="841" applyFont="1" applyFill="1" applyBorder="1" applyAlignment="1">
      <alignment horizontal="left" vertical="center" wrapText="1"/>
    </xf>
    <xf numFmtId="0" fontId="35" fillId="0" borderId="0" xfId="622" applyFill="1" applyAlignment="1">
      <alignment wrapText="1"/>
    </xf>
    <xf numFmtId="0" fontId="46" fillId="0" borderId="0" xfId="0" applyFont="1" applyFill="1" applyAlignment="1">
      <alignment horizontal="center" wrapText="1"/>
    </xf>
    <xf numFmtId="0" fontId="35" fillId="0" borderId="0" xfId="31725" applyFill="1" applyAlignment="1">
      <alignment wrapText="1"/>
    </xf>
    <xf numFmtId="0" fontId="46" fillId="0" borderId="0" xfId="0" applyFont="1" applyFill="1" applyAlignment="1">
      <alignment horizontal="left"/>
    </xf>
    <xf numFmtId="0" fontId="46" fillId="0" borderId="0" xfId="0" applyFont="1" applyFill="1"/>
    <xf numFmtId="0" fontId="46" fillId="0" borderId="0" xfId="3627" applyFont="1" applyFill="1" applyAlignment="1">
      <alignment wrapText="1"/>
    </xf>
    <xf numFmtId="0" fontId="26" fillId="0" borderId="0" xfId="3627" applyFont="1" applyFill="1" applyAlignment="1">
      <alignment horizontal="right" vertical="center" wrapText="1"/>
    </xf>
    <xf numFmtId="38" fontId="66" fillId="0" borderId="0" xfId="0" applyNumberFormat="1" applyFont="1" applyFill="1" applyAlignment="1">
      <alignment horizontal="right" vertical="center" wrapText="1"/>
    </xf>
    <xf numFmtId="0" fontId="46" fillId="0" borderId="0" xfId="3627" applyFont="1" applyFill="1"/>
    <xf numFmtId="0" fontId="210" fillId="0" borderId="0" xfId="0" applyFont="1" applyFill="1"/>
    <xf numFmtId="10" fontId="0" fillId="0" borderId="0" xfId="0" applyNumberFormat="1" applyFill="1"/>
    <xf numFmtId="164" fontId="46" fillId="0" borderId="0" xfId="3627" applyNumberFormat="1" applyFont="1" applyFill="1"/>
    <xf numFmtId="2" fontId="66" fillId="0" borderId="0" xfId="0" applyNumberFormat="1" applyFont="1" applyFill="1" applyAlignment="1">
      <alignment horizontal="center" vertical="center"/>
    </xf>
    <xf numFmtId="0" fontId="46" fillId="0" borderId="0" xfId="0" applyFont="1" applyFill="1" applyAlignment="1">
      <alignment wrapText="1"/>
    </xf>
    <xf numFmtId="0" fontId="26" fillId="0" borderId="0" xfId="3627" applyFont="1" applyFill="1" applyAlignment="1">
      <alignment horizontal="left" vertical="center" wrapText="1"/>
    </xf>
    <xf numFmtId="0" fontId="60" fillId="0" borderId="0" xfId="0" applyFont="1" applyFill="1" applyAlignment="1">
      <alignment vertical="center" wrapText="1"/>
    </xf>
    <xf numFmtId="0" fontId="46" fillId="0" borderId="0" xfId="0" applyFont="1" applyFill="1" applyAlignment="1">
      <alignment horizontal="center" vertical="center" wrapText="1"/>
    </xf>
    <xf numFmtId="0" fontId="211" fillId="0" borderId="0" xfId="0" applyFont="1" applyFill="1" applyAlignment="1">
      <alignment vertical="center" wrapText="1"/>
    </xf>
    <xf numFmtId="4" fontId="0" fillId="0" borderId="0" xfId="0" applyNumberFormat="1" applyFill="1"/>
    <xf numFmtId="0" fontId="41" fillId="0" borderId="64" xfId="0" applyFont="1" applyFill="1" applyBorder="1" applyAlignment="1">
      <alignment horizontal="center" vertical="center"/>
    </xf>
    <xf numFmtId="0" fontId="0" fillId="0" borderId="23" xfId="0" applyFill="1" applyBorder="1" applyAlignment="1">
      <alignment vertical="center" wrapText="1"/>
    </xf>
    <xf numFmtId="0" fontId="0" fillId="0" borderId="25" xfId="0" applyNumberFormat="1" applyFont="1" applyFill="1" applyBorder="1" applyAlignment="1">
      <alignment horizontal="center" vertical="center" wrapText="1"/>
    </xf>
    <xf numFmtId="164" fontId="47" fillId="22" borderId="0" xfId="439" applyNumberFormat="1" applyFont="1" applyFill="1" applyAlignment="1" applyProtection="1">
      <alignment horizontal="center" vertical="center" wrapText="1"/>
    </xf>
    <xf numFmtId="41" fontId="74" fillId="0" borderId="0" xfId="439" applyNumberFormat="1" applyFont="1" applyFill="1" applyAlignment="1" applyProtection="1">
      <alignment horizontal="center" vertical="center" wrapText="1"/>
      <protection locked="0"/>
    </xf>
    <xf numFmtId="0" fontId="131" fillId="26" borderId="0" xfId="30099" applyFont="1" applyFill="1" applyAlignment="1">
      <alignment horizontal="left" vertical="top" wrapText="1"/>
    </xf>
    <xf numFmtId="0" fontId="137" fillId="26" borderId="0" xfId="30099" applyFont="1" applyFill="1" applyAlignment="1">
      <alignment horizontal="left" wrapText="1"/>
    </xf>
    <xf numFmtId="0" fontId="131" fillId="26" borderId="0" xfId="30099" applyFont="1" applyFill="1" applyAlignment="1">
      <alignment horizontal="left" vertical="top" wrapText="1"/>
    </xf>
    <xf numFmtId="0" fontId="137" fillId="26" borderId="0" xfId="30099" applyFont="1" applyFill="1" applyAlignment="1">
      <alignment horizontal="left" wrapText="1"/>
    </xf>
    <xf numFmtId="0" fontId="0" fillId="0" borderId="0" xfId="0" applyAlignment="1"/>
    <xf numFmtId="0" fontId="0" fillId="0" borderId="0" xfId="0" applyFill="1" applyAlignment="1"/>
    <xf numFmtId="0" fontId="0" fillId="0" borderId="0" xfId="0" applyFont="1" applyAlignment="1" applyProtection="1"/>
    <xf numFmtId="0" fontId="0" fillId="0" borderId="32" xfId="0" applyFont="1" applyFill="1" applyBorder="1" applyAlignment="1">
      <alignment horizontal="center"/>
    </xf>
    <xf numFmtId="0" fontId="0" fillId="36" borderId="0" xfId="0" applyFont="1" applyFill="1" applyProtection="1"/>
    <xf numFmtId="164" fontId="52" fillId="0" borderId="0" xfId="0" applyNumberFormat="1" applyFont="1" applyAlignment="1">
      <alignment wrapText="1"/>
    </xf>
    <xf numFmtId="0" fontId="41" fillId="78" borderId="85" xfId="0" applyFont="1" applyFill="1" applyBorder="1" applyAlignment="1">
      <alignment horizontal="left"/>
    </xf>
    <xf numFmtId="0" fontId="0" fillId="78" borderId="132" xfId="0" applyFill="1" applyBorder="1"/>
    <xf numFmtId="0" fontId="212" fillId="77" borderId="57" xfId="0" applyFont="1" applyFill="1" applyBorder="1" applyAlignment="1">
      <alignment horizontal="center" vertical="center" wrapText="1"/>
    </xf>
    <xf numFmtId="0" fontId="198" fillId="0" borderId="0" xfId="0" applyFont="1"/>
    <xf numFmtId="0" fontId="213" fillId="73" borderId="0" xfId="0" applyFont="1" applyFill="1" applyAlignment="1">
      <alignment horizontal="justify" vertical="center"/>
    </xf>
    <xf numFmtId="0" fontId="213" fillId="73" borderId="0" xfId="0" applyFont="1" applyFill="1" applyAlignment="1">
      <alignment vertical="center"/>
    </xf>
    <xf numFmtId="0" fontId="0" fillId="0" borderId="0" xfId="0" applyAlignment="1">
      <alignment vertical="center"/>
    </xf>
    <xf numFmtId="0" fontId="213" fillId="73" borderId="0" xfId="0" applyFont="1" applyFill="1" applyAlignment="1">
      <alignment vertical="center" wrapText="1"/>
    </xf>
    <xf numFmtId="0" fontId="217" fillId="73" borderId="0" xfId="611" applyFont="1" applyFill="1" applyAlignment="1">
      <alignment vertical="center"/>
    </xf>
    <xf numFmtId="0" fontId="218" fillId="73" borderId="0" xfId="0" applyFont="1" applyFill="1" applyAlignment="1">
      <alignment vertical="center"/>
    </xf>
    <xf numFmtId="0" fontId="219" fillId="73" borderId="0" xfId="611" applyFont="1" applyFill="1" applyAlignment="1" applyProtection="1">
      <alignment vertical="center"/>
      <protection locked="0"/>
    </xf>
    <xf numFmtId="0" fontId="218" fillId="73" borderId="0" xfId="0" applyFont="1" applyFill="1"/>
    <xf numFmtId="0" fontId="219" fillId="73" borderId="0" xfId="611" applyFont="1" applyFill="1" applyProtection="1">
      <protection locked="0"/>
    </xf>
    <xf numFmtId="0" fontId="123" fillId="73" borderId="0" xfId="30098" applyFont="1" applyFill="1" applyAlignment="1">
      <alignment horizontal="left" vertical="center" wrapText="1" indent="1"/>
    </xf>
    <xf numFmtId="0" fontId="123" fillId="73" borderId="0" xfId="30098" quotePrefix="1" applyFont="1" applyFill="1" applyAlignment="1">
      <alignment horizontal="left" vertical="center" wrapText="1" indent="1"/>
    </xf>
    <xf numFmtId="0" fontId="222" fillId="73" borderId="0" xfId="30098" applyFont="1" applyFill="1" applyAlignment="1">
      <alignment vertical="center" wrapText="1"/>
    </xf>
    <xf numFmtId="0" fontId="37" fillId="0" borderId="0" xfId="611"/>
    <xf numFmtId="0" fontId="213" fillId="73" borderId="0" xfId="30098" applyFont="1" applyFill="1" applyAlignment="1">
      <alignment vertical="center" wrapText="1"/>
    </xf>
    <xf numFmtId="0" fontId="219" fillId="73" borderId="0" xfId="611" applyFont="1" applyFill="1" applyAlignment="1">
      <alignment vertical="center"/>
    </xf>
    <xf numFmtId="43" fontId="47" fillId="0" borderId="0" xfId="439" applyFont="1" applyFill="1" applyAlignment="1" applyProtection="1">
      <alignment horizontal="center" vertical="center" wrapText="1"/>
    </xf>
    <xf numFmtId="0" fontId="131" fillId="0" borderId="0" xfId="30099" applyFont="1" applyAlignment="1">
      <alignment horizontal="center" wrapText="1"/>
    </xf>
    <xf numFmtId="0" fontId="136" fillId="78" borderId="38" xfId="30099" applyFont="1" applyFill="1" applyBorder="1" applyAlignment="1"/>
    <xf numFmtId="0" fontId="224" fillId="78" borderId="38" xfId="30099" applyFont="1" applyFill="1" applyBorder="1" applyAlignment="1"/>
    <xf numFmtId="0" fontId="224" fillId="78" borderId="39" xfId="30099" applyFont="1" applyFill="1" applyBorder="1" applyAlignment="1"/>
    <xf numFmtId="0" fontId="225" fillId="78" borderId="15" xfId="30099" applyFont="1" applyFill="1" applyBorder="1" applyAlignment="1">
      <alignment horizontal="left" vertical="center"/>
    </xf>
    <xf numFmtId="0" fontId="225" fillId="78" borderId="0" xfId="30099" applyFont="1" applyFill="1" applyAlignment="1">
      <alignment wrapText="1"/>
    </xf>
    <xf numFmtId="14" fontId="0" fillId="0" borderId="0" xfId="0" applyNumberFormat="1" applyFont="1" applyProtection="1"/>
    <xf numFmtId="164" fontId="61" fillId="34"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149" fillId="26" borderId="0" xfId="30099" applyFont="1" applyFill="1" applyAlignment="1">
      <alignment horizontal="right" vertical="center" wrapText="1"/>
    </xf>
    <xf numFmtId="0" fontId="137" fillId="0" borderId="0" xfId="30099" applyFont="1" applyAlignment="1">
      <alignment horizontal="left" vertical="top"/>
    </xf>
    <xf numFmtId="0" fontId="137" fillId="0" borderId="0" xfId="30099" applyFont="1" applyAlignment="1">
      <alignment vertical="top"/>
    </xf>
    <xf numFmtId="0" fontId="137" fillId="0" borderId="0" xfId="30099" applyFont="1" applyAlignment="1">
      <alignment horizontal="left"/>
    </xf>
    <xf numFmtId="0" fontId="137" fillId="0" borderId="0" xfId="30099" applyFont="1" applyFill="1" applyAlignment="1">
      <alignment horizontal="left"/>
    </xf>
    <xf numFmtId="0" fontId="154" fillId="26" borderId="0" xfId="30099" applyFont="1" applyFill="1" applyAlignment="1">
      <alignment vertical="center" wrapText="1"/>
    </xf>
    <xf numFmtId="0" fontId="158" fillId="26" borderId="0" xfId="30099" applyFont="1" applyFill="1" applyAlignment="1">
      <alignment horizontal="lef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1" fillId="0" borderId="13" xfId="0" applyFont="1" applyBorder="1" applyAlignment="1">
      <alignment horizontal="center"/>
    </xf>
    <xf numFmtId="0" fontId="41" fillId="0" borderId="16" xfId="0" applyFont="1" applyBorder="1" applyAlignment="1">
      <alignment horizontal="center"/>
    </xf>
    <xf numFmtId="0" fontId="41" fillId="0" borderId="11" xfId="0" applyFont="1" applyBorder="1" applyAlignment="1">
      <alignment horizontal="center"/>
    </xf>
    <xf numFmtId="0" fontId="62" fillId="74" borderId="117"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43" fillId="26" borderId="0" xfId="30099" applyFont="1" applyFill="1" applyAlignment="1">
      <alignment horizontal="left" vertical="center" wrapText="1"/>
    </xf>
    <xf numFmtId="0" fontId="131" fillId="26" borderId="0" xfId="30099" applyFont="1" applyFill="1" applyAlignment="1">
      <alignment horizontal="left" vertical="center" wrapText="1"/>
    </xf>
    <xf numFmtId="0" fontId="131" fillId="26" borderId="0" xfId="30099" applyFont="1" applyFill="1" applyAlignment="1">
      <alignment horizontal="left" vertical="top" wrapText="1"/>
    </xf>
    <xf numFmtId="0" fontId="131" fillId="0" borderId="66" xfId="30099" applyFont="1" applyBorder="1" applyAlignment="1" applyProtection="1">
      <alignment horizontal="left" vertical="center"/>
      <protection locked="0"/>
    </xf>
    <xf numFmtId="0" fontId="131" fillId="0" borderId="67" xfId="30099" applyFont="1" applyBorder="1" applyAlignment="1" applyProtection="1">
      <alignment horizontal="left" vertical="center"/>
      <protection locked="0"/>
    </xf>
    <xf numFmtId="0" fontId="131" fillId="0" borderId="68" xfId="30099" applyFont="1" applyBorder="1" applyAlignment="1" applyProtection="1">
      <alignment horizontal="left" vertical="center"/>
      <protection locked="0"/>
    </xf>
    <xf numFmtId="0" fontId="131" fillId="26" borderId="60" xfId="30099" applyFont="1" applyFill="1" applyBorder="1" applyAlignment="1">
      <alignment horizontal="left" vertical="center" wrapText="1"/>
    </xf>
    <xf numFmtId="0" fontId="137" fillId="26" borderId="0" xfId="30099" applyFont="1" applyFill="1" applyAlignment="1">
      <alignment horizontal="left" wrapText="1"/>
    </xf>
    <xf numFmtId="0" fontId="137" fillId="26" borderId="60" xfId="30099" applyFont="1" applyFill="1" applyBorder="1" applyAlignment="1">
      <alignment horizontal="left" wrapText="1"/>
    </xf>
    <xf numFmtId="0" fontId="152" fillId="26" borderId="0" xfId="30099" applyFont="1" applyFill="1" applyAlignment="1">
      <alignment horizontal="right" vertical="center" wrapText="1"/>
    </xf>
    <xf numFmtId="0" fontId="145" fillId="26" borderId="0" xfId="30099" applyFont="1" applyFill="1" applyAlignment="1">
      <alignment horizontal="left" vertical="center" wrapText="1"/>
    </xf>
    <xf numFmtId="0" fontId="121" fillId="0" borderId="66" xfId="29597" applyFill="1" applyBorder="1" applyAlignment="1" applyProtection="1">
      <alignment horizontal="left" vertical="center"/>
      <protection locked="0"/>
    </xf>
    <xf numFmtId="0" fontId="131" fillId="26" borderId="0" xfId="30099" applyFont="1" applyFill="1" applyAlignment="1">
      <alignment horizontal="left" wrapText="1"/>
    </xf>
    <xf numFmtId="0" fontId="131" fillId="26" borderId="71" xfId="30099" applyFont="1" applyFill="1" applyBorder="1" applyAlignment="1">
      <alignment horizontal="left" wrapText="1"/>
    </xf>
    <xf numFmtId="0" fontId="136" fillId="78" borderId="40" xfId="30099" applyFont="1" applyFill="1" applyBorder="1" applyAlignment="1">
      <alignment horizontal="left" vertical="center" wrapText="1"/>
    </xf>
    <xf numFmtId="0" fontId="136" fillId="78" borderId="41" xfId="30099" applyFont="1" applyFill="1" applyBorder="1" applyAlignment="1">
      <alignment horizontal="left" vertical="center" wrapText="1"/>
    </xf>
    <xf numFmtId="0" fontId="136" fillId="78" borderId="42" xfId="30099" applyFont="1" applyFill="1" applyBorder="1" applyAlignment="1">
      <alignment horizontal="left" vertical="center" wrapText="1"/>
    </xf>
    <xf numFmtId="0" fontId="148" fillId="26" borderId="0" xfId="30099" applyFont="1" applyFill="1" applyAlignment="1">
      <alignment horizontal="center" vertical="center" wrapText="1"/>
    </xf>
    <xf numFmtId="0" fontId="143" fillId="26" borderId="15" xfId="30099" applyFont="1" applyFill="1" applyBorder="1" applyAlignment="1">
      <alignment horizontal="center" vertical="top"/>
    </xf>
    <xf numFmtId="0" fontId="143" fillId="26" borderId="0" xfId="30099" applyFont="1" applyFill="1" applyAlignment="1">
      <alignment horizontal="center" vertical="top"/>
    </xf>
    <xf numFmtId="0" fontId="143" fillId="26" borderId="0" xfId="30099" applyFont="1" applyFill="1" applyAlignment="1">
      <alignment horizontal="center" vertical="top" wrapText="1"/>
    </xf>
    <xf numFmtId="0" fontId="149" fillId="0" borderId="66" xfId="30099" applyFont="1" applyBorder="1" applyAlignment="1" applyProtection="1">
      <alignment horizontal="left" vertical="center"/>
      <protection locked="0"/>
    </xf>
    <xf numFmtId="0" fontId="149" fillId="0" borderId="67" xfId="30099" applyFont="1" applyBorder="1" applyAlignment="1" applyProtection="1">
      <alignment horizontal="left" vertical="center"/>
      <protection locked="0"/>
    </xf>
    <xf numFmtId="0" fontId="149" fillId="0" borderId="68" xfId="30099" applyFont="1" applyBorder="1" applyAlignment="1" applyProtection="1">
      <alignment horizontal="left" vertical="center"/>
      <protection locked="0"/>
    </xf>
    <xf numFmtId="0" fontId="132" fillId="78" borderId="13" xfId="30099" applyFont="1" applyFill="1" applyBorder="1" applyAlignment="1">
      <alignment horizontal="center" vertical="center" wrapText="1"/>
    </xf>
    <xf numFmtId="0" fontId="132" fillId="78" borderId="16" xfId="30099" applyFont="1" applyFill="1" applyBorder="1" applyAlignment="1">
      <alignment horizontal="center" vertical="center" wrapText="1"/>
    </xf>
    <xf numFmtId="0" fontId="132" fillId="78" borderId="11" xfId="30099" applyFont="1" applyFill="1" applyBorder="1" applyAlignment="1">
      <alignment horizontal="center" vertical="center" wrapText="1"/>
    </xf>
    <xf numFmtId="0" fontId="132" fillId="78" borderId="13" xfId="30099" applyFont="1" applyFill="1" applyBorder="1" applyAlignment="1">
      <alignment horizontal="center" vertical="top" wrapText="1"/>
    </xf>
    <xf numFmtId="0" fontId="132" fillId="78" borderId="16" xfId="30099" applyFont="1" applyFill="1" applyBorder="1" applyAlignment="1">
      <alignment horizontal="center" vertical="top" wrapText="1"/>
    </xf>
    <xf numFmtId="0" fontId="132" fillId="78" borderId="11" xfId="30099" applyFont="1" applyFill="1" applyBorder="1" applyAlignment="1">
      <alignment horizontal="center" vertical="top" wrapText="1"/>
    </xf>
    <xf numFmtId="164" fontId="134" fillId="79" borderId="13" xfId="30100" applyNumberFormat="1" applyFont="1" applyFill="1" applyBorder="1" applyAlignment="1">
      <alignment horizontal="center" vertical="center"/>
    </xf>
    <xf numFmtId="164" fontId="134" fillId="79" borderId="16" xfId="30100" applyNumberFormat="1" applyFont="1" applyFill="1" applyBorder="1" applyAlignment="1">
      <alignment horizontal="center" vertical="center"/>
    </xf>
    <xf numFmtId="164" fontId="134" fillId="79" borderId="11" xfId="30100" applyNumberFormat="1" applyFont="1" applyFill="1" applyBorder="1" applyAlignment="1">
      <alignment horizontal="center" vertical="center"/>
    </xf>
    <xf numFmtId="0" fontId="136" fillId="78" borderId="15" xfId="30099" applyFont="1" applyFill="1" applyBorder="1" applyAlignment="1">
      <alignment horizontal="left" wrapText="1"/>
    </xf>
    <xf numFmtId="0" fontId="136" fillId="78" borderId="0" xfId="30099" applyFont="1" applyFill="1" applyAlignment="1">
      <alignment horizontal="left" wrapText="1"/>
    </xf>
    <xf numFmtId="0" fontId="136" fillId="78" borderId="60" xfId="30099" applyFont="1" applyFill="1" applyBorder="1" applyAlignment="1">
      <alignment horizontal="left" wrapText="1"/>
    </xf>
    <xf numFmtId="0" fontId="131" fillId="0" borderId="13" xfId="30099" applyFont="1" applyBorder="1" applyAlignment="1" applyProtection="1">
      <alignment horizontal="left" vertical="center"/>
      <protection locked="0"/>
    </xf>
    <xf numFmtId="0" fontId="131" fillId="0" borderId="11" xfId="30099" applyFont="1" applyBorder="1" applyAlignment="1" applyProtection="1">
      <alignment horizontal="left" vertical="center"/>
      <protection locked="0"/>
    </xf>
    <xf numFmtId="0" fontId="137" fillId="26" borderId="0" xfId="30099" applyFont="1" applyFill="1" applyBorder="1" applyAlignment="1">
      <alignment horizontal="left" wrapText="1"/>
    </xf>
    <xf numFmtId="0" fontId="131" fillId="26" borderId="71" xfId="30099" applyFont="1" applyFill="1" applyBorder="1" applyAlignment="1">
      <alignment horizontal="left" vertical="center" wrapText="1"/>
    </xf>
    <xf numFmtId="0" fontId="148" fillId="26" borderId="41" xfId="30099" applyFont="1" applyFill="1" applyBorder="1" applyAlignment="1">
      <alignment horizontal="center" vertical="center" wrapText="1"/>
    </xf>
    <xf numFmtId="164" fontId="138" fillId="79" borderId="13" xfId="30100" applyNumberFormat="1" applyFont="1" applyFill="1" applyBorder="1" applyAlignment="1">
      <alignment horizontal="center" vertical="center" wrapText="1"/>
    </xf>
    <xf numFmtId="164" fontId="138" fillId="79" borderId="16" xfId="30100" applyNumberFormat="1" applyFont="1" applyFill="1" applyBorder="1" applyAlignment="1">
      <alignment horizontal="center" vertical="center" wrapText="1"/>
    </xf>
    <xf numFmtId="164" fontId="138" fillId="79" borderId="11" xfId="30100" applyNumberFormat="1" applyFont="1" applyFill="1" applyBorder="1" applyAlignment="1">
      <alignment horizontal="center" vertical="center" wrapText="1"/>
    </xf>
    <xf numFmtId="0" fontId="199" fillId="0" borderId="40" xfId="0" applyFont="1" applyBorder="1" applyAlignment="1">
      <alignment horizontal="center" vertical="center"/>
    </xf>
    <xf numFmtId="0" fontId="199" fillId="0" borderId="41" xfId="0" applyFont="1" applyBorder="1" applyAlignment="1">
      <alignment horizontal="center" vertical="center"/>
    </xf>
    <xf numFmtId="0" fontId="199" fillId="0" borderId="13" xfId="0" applyFont="1" applyBorder="1" applyAlignment="1">
      <alignment horizontal="center" vertical="center"/>
    </xf>
    <xf numFmtId="0" fontId="199" fillId="0" borderId="16" xfId="0" applyFont="1" applyBorder="1" applyAlignment="1">
      <alignment horizontal="center" vertical="center"/>
    </xf>
    <xf numFmtId="0" fontId="199" fillId="0" borderId="11" xfId="0" applyFont="1" applyBorder="1" applyAlignment="1">
      <alignment horizontal="center" vertical="center"/>
    </xf>
    <xf numFmtId="0" fontId="62" fillId="34" borderId="13" xfId="0" applyFont="1" applyFill="1" applyBorder="1" applyAlignment="1">
      <alignment horizontal="center" vertical="center" wrapText="1"/>
    </xf>
    <xf numFmtId="0" fontId="62" fillId="34" borderId="16" xfId="0" applyFont="1" applyFill="1" applyBorder="1" applyAlignment="1">
      <alignment horizontal="center" vertical="center" wrapText="1"/>
    </xf>
    <xf numFmtId="0" fontId="62" fillId="34" borderId="11" xfId="0" applyFont="1" applyFill="1" applyBorder="1" applyAlignment="1">
      <alignment horizontal="center" vertical="center" wrapText="1"/>
    </xf>
    <xf numFmtId="0" fontId="0" fillId="78" borderId="133" xfId="0" applyFill="1" applyBorder="1" applyAlignment="1">
      <alignment horizontal="center"/>
    </xf>
    <xf numFmtId="0" fontId="0" fillId="78" borderId="17" xfId="0" applyFill="1" applyBorder="1" applyAlignment="1">
      <alignment horizontal="center"/>
    </xf>
    <xf numFmtId="0" fontId="51" fillId="0" borderId="10" xfId="0" applyFont="1" applyBorder="1" applyAlignment="1">
      <alignment horizontal="center" vertical="center" wrapText="1"/>
    </xf>
    <xf numFmtId="0" fontId="41" fillId="0" borderId="22" xfId="0" applyFont="1" applyBorder="1" applyAlignment="1">
      <alignment horizontal="center" vertical="center"/>
    </xf>
    <xf numFmtId="0" fontId="41" fillId="0" borderId="0" xfId="0" applyFont="1" applyAlignment="1">
      <alignment horizontal="center" vertical="center"/>
    </xf>
    <xf numFmtId="0" fontId="41" fillId="0" borderId="84" xfId="0" applyFont="1" applyBorder="1" applyAlignment="1">
      <alignment horizontal="center" vertical="center"/>
    </xf>
    <xf numFmtId="0" fontId="41" fillId="0" borderId="134" xfId="0" applyFont="1" applyBorder="1" applyAlignment="1">
      <alignment horizontal="center" vertical="center"/>
    </xf>
    <xf numFmtId="0" fontId="51" fillId="0" borderId="84" xfId="0" applyFont="1" applyBorder="1" applyAlignment="1">
      <alignment horizontal="center" vertical="center"/>
    </xf>
    <xf numFmtId="0" fontId="41" fillId="78" borderId="13" xfId="0" applyFont="1" applyFill="1" applyBorder="1" applyAlignment="1">
      <alignment horizontal="left" wrapText="1"/>
    </xf>
    <xf numFmtId="0" fontId="41" fillId="78" borderId="16" xfId="0" applyFont="1" applyFill="1" applyBorder="1" applyAlignment="1">
      <alignment horizontal="left" wrapText="1"/>
    </xf>
    <xf numFmtId="0" fontId="41" fillId="78" borderId="11" xfId="0" applyFont="1" applyFill="1" applyBorder="1" applyAlignment="1">
      <alignment horizontal="left" wrapText="1"/>
    </xf>
    <xf numFmtId="0" fontId="62" fillId="78" borderId="13" xfId="0" applyFont="1" applyFill="1" applyBorder="1" applyAlignment="1">
      <alignment horizontal="left" wrapText="1"/>
    </xf>
    <xf numFmtId="0" fontId="62" fillId="78" borderId="16" xfId="0" applyFont="1" applyFill="1" applyBorder="1" applyAlignment="1">
      <alignment horizontal="left" wrapText="1"/>
    </xf>
    <xf numFmtId="0" fontId="62" fillId="78" borderId="130" xfId="0" applyFont="1" applyFill="1" applyBorder="1" applyAlignment="1">
      <alignment horizontal="left" wrapText="1"/>
    </xf>
    <xf numFmtId="0" fontId="41" fillId="78" borderId="57" xfId="0" applyFont="1" applyFill="1" applyBorder="1" applyAlignment="1">
      <alignment horizontal="left" wrapText="1"/>
    </xf>
    <xf numFmtId="0" fontId="166" fillId="73" borderId="70" xfId="0" applyFont="1" applyFill="1" applyBorder="1" applyAlignment="1">
      <alignment horizontal="center" vertical="center" wrapText="1"/>
    </xf>
    <xf numFmtId="0" fontId="166" fillId="73" borderId="127" xfId="0" applyFont="1" applyFill="1" applyBorder="1" applyAlignment="1">
      <alignment horizontal="center" vertical="center" wrapText="1"/>
    </xf>
    <xf numFmtId="0" fontId="166" fillId="73" borderId="60" xfId="0" applyFont="1" applyFill="1" applyBorder="1" applyAlignment="1">
      <alignment horizontal="center" vertical="center" wrapText="1"/>
    </xf>
    <xf numFmtId="0" fontId="166" fillId="73" borderId="42" xfId="0" applyFont="1" applyFill="1" applyBorder="1" applyAlignment="1">
      <alignment horizontal="center" vertical="center" wrapText="1"/>
    </xf>
    <xf numFmtId="0" fontId="41" fillId="78" borderId="70" xfId="0" applyFont="1" applyFill="1" applyBorder="1" applyAlignment="1">
      <alignment horizontal="center" vertical="center" wrapText="1"/>
    </xf>
    <xf numFmtId="0" fontId="41" fillId="78" borderId="127" xfId="0" applyFont="1" applyFill="1" applyBorder="1" applyAlignment="1">
      <alignment horizontal="center" vertical="center" wrapText="1"/>
    </xf>
    <xf numFmtId="0" fontId="41" fillId="78" borderId="72" xfId="0" applyFont="1" applyFill="1" applyBorder="1" applyAlignment="1">
      <alignment horizontal="center" vertical="center" wrapText="1"/>
    </xf>
    <xf numFmtId="0" fontId="41" fillId="78" borderId="83" xfId="0" applyFont="1" applyFill="1" applyBorder="1" applyAlignment="1">
      <alignment horizontal="left" wrapText="1"/>
    </xf>
    <xf numFmtId="0" fontId="41" fillId="78" borderId="14" xfId="0" applyFont="1" applyFill="1" applyBorder="1" applyAlignment="1">
      <alignment horizontal="left" wrapText="1"/>
    </xf>
    <xf numFmtId="0" fontId="41" fillId="78" borderId="21" xfId="0" applyFont="1" applyFill="1" applyBorder="1" applyAlignment="1">
      <alignment horizontal="left" wrapText="1"/>
    </xf>
    <xf numFmtId="0" fontId="41" fillId="78" borderId="87" xfId="0" applyFont="1" applyFill="1" applyBorder="1" applyAlignment="1">
      <alignment horizontal="left" wrapText="1"/>
    </xf>
    <xf numFmtId="0" fontId="41" fillId="78" borderId="93" xfId="0" applyFont="1" applyFill="1" applyBorder="1" applyAlignment="1">
      <alignment horizontal="left" wrapText="1"/>
    </xf>
    <xf numFmtId="0" fontId="41" fillId="78" borderId="92" xfId="0" applyFont="1" applyFill="1" applyBorder="1" applyAlignment="1">
      <alignment horizontal="left" wrapText="1"/>
    </xf>
    <xf numFmtId="0" fontId="41" fillId="78" borderId="87" xfId="0" applyFont="1" applyFill="1" applyBorder="1" applyAlignment="1">
      <alignment horizontal="left" vertical="center" wrapText="1"/>
    </xf>
    <xf numFmtId="0" fontId="41" fillId="78" borderId="93" xfId="0" applyFont="1" applyFill="1" applyBorder="1" applyAlignment="1">
      <alignment horizontal="left" vertical="center" wrapText="1"/>
    </xf>
    <xf numFmtId="0" fontId="41" fillId="78" borderId="92" xfId="0" applyFont="1" applyFill="1" applyBorder="1" applyAlignment="1">
      <alignment horizontal="left" vertical="center" wrapText="1"/>
    </xf>
    <xf numFmtId="0" fontId="41" fillId="78" borderId="100" xfId="0" applyFont="1" applyFill="1" applyBorder="1" applyAlignment="1">
      <alignment horizontal="left" wrapText="1"/>
    </xf>
    <xf numFmtId="0" fontId="41" fillId="0" borderId="87" xfId="0" applyFont="1" applyFill="1" applyBorder="1" applyAlignment="1">
      <alignment horizontal="left" wrapText="1"/>
    </xf>
    <xf numFmtId="0" fontId="41" fillId="0" borderId="100" xfId="0" applyFont="1" applyFill="1" applyBorder="1" applyAlignment="1">
      <alignment horizontal="left" wrapText="1"/>
    </xf>
    <xf numFmtId="0" fontId="41" fillId="78" borderId="100" xfId="0" applyFont="1" applyFill="1" applyBorder="1" applyAlignment="1">
      <alignment horizontal="left" vertical="center" wrapText="1"/>
    </xf>
    <xf numFmtId="0" fontId="62" fillId="78" borderId="87" xfId="0" applyFont="1" applyFill="1" applyBorder="1" applyAlignment="1">
      <alignment horizontal="left" vertical="center" wrapText="1"/>
    </xf>
    <xf numFmtId="0" fontId="62" fillId="78" borderId="100" xfId="0" applyFont="1" applyFill="1" applyBorder="1" applyAlignment="1">
      <alignment horizontal="left" vertical="center" wrapText="1"/>
    </xf>
    <xf numFmtId="0" fontId="41" fillId="78" borderId="112" xfId="0" applyFont="1" applyFill="1" applyBorder="1" applyAlignment="1">
      <alignment horizontal="left" wrapText="1"/>
    </xf>
    <xf numFmtId="0" fontId="41" fillId="78" borderId="108"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51" fillId="73" borderId="10" xfId="0" applyFont="1" applyFill="1" applyBorder="1" applyAlignment="1">
      <alignment horizontal="center" vertical="center" wrapText="1"/>
    </xf>
    <xf numFmtId="0" fontId="48" fillId="73" borderId="10" xfId="0" applyFont="1" applyFill="1" applyBorder="1" applyAlignment="1">
      <alignment horizontal="center" vertical="center" wrapText="1"/>
    </xf>
    <xf numFmtId="0" fontId="48" fillId="73" borderId="84" xfId="0" applyFont="1" applyFill="1" applyBorder="1" applyAlignment="1">
      <alignment horizontal="center" vertical="center" wrapText="1"/>
    </xf>
    <xf numFmtId="0" fontId="0" fillId="73" borderId="10" xfId="0" applyFont="1" applyFill="1" applyBorder="1" applyAlignment="1">
      <alignment horizontal="center" vertical="center"/>
    </xf>
    <xf numFmtId="0" fontId="166" fillId="73" borderId="74" xfId="0" applyFont="1" applyFill="1" applyBorder="1" applyAlignment="1">
      <alignment horizontal="center" vertical="center" wrapText="1"/>
    </xf>
    <xf numFmtId="0" fontId="166" fillId="73" borderId="0" xfId="0" applyFont="1" applyFill="1" applyBorder="1" applyAlignment="1">
      <alignment horizontal="center" vertical="center" wrapText="1"/>
    </xf>
    <xf numFmtId="0" fontId="167" fillId="73" borderId="113" xfId="0" applyFont="1" applyFill="1" applyBorder="1" applyAlignment="1">
      <alignment horizontal="center" vertical="center" wrapText="1"/>
    </xf>
    <xf numFmtId="0" fontId="167" fillId="73" borderId="114" xfId="0" applyFont="1" applyFill="1" applyBorder="1" applyAlignment="1">
      <alignment horizontal="center" vertical="center" wrapText="1"/>
    </xf>
    <xf numFmtId="0" fontId="55" fillId="0" borderId="0" xfId="682" applyFont="1" applyAlignment="1">
      <alignment horizontal="left" wrapText="1"/>
    </xf>
    <xf numFmtId="0" fontId="175" fillId="27" borderId="0" xfId="682" applyFont="1" applyFill="1" applyAlignment="1">
      <alignment horizontal="left" vertical="center" wrapText="1"/>
    </xf>
    <xf numFmtId="0" fontId="172" fillId="0" borderId="0" xfId="682" applyFont="1" applyAlignment="1">
      <alignment horizontal="center" vertical="center"/>
    </xf>
    <xf numFmtId="0" fontId="41" fillId="27" borderId="0" xfId="682" applyFont="1" applyFill="1" applyAlignment="1">
      <alignment horizontal="left" wrapText="1"/>
    </xf>
    <xf numFmtId="0" fontId="47" fillId="0" borderId="0" xfId="30099" applyFont="1" applyAlignment="1">
      <alignment horizontal="left" vertical="top" wrapText="1" indent="1"/>
    </xf>
    <xf numFmtId="0" fontId="47" fillId="0" borderId="0" xfId="30099" applyFont="1" applyAlignment="1">
      <alignment horizontal="left" vertical="top" wrapText="1" indent="5"/>
    </xf>
    <xf numFmtId="0" fontId="47" fillId="0" borderId="0" xfId="30099" applyFont="1" applyAlignment="1">
      <alignment horizontal="center" vertical="top" wrapText="1"/>
    </xf>
    <xf numFmtId="0" fontId="47" fillId="0" borderId="0" xfId="30099" applyFont="1" applyAlignment="1">
      <alignment horizontal="left" vertical="top" wrapText="1" indent="4"/>
    </xf>
    <xf numFmtId="0" fontId="47" fillId="0" borderId="0" xfId="30099" applyFont="1" applyAlignment="1">
      <alignment horizontal="left" vertical="top" wrapText="1" indent="8"/>
    </xf>
    <xf numFmtId="0" fontId="47" fillId="0" borderId="0" xfId="30099" applyFont="1" applyAlignment="1">
      <alignment horizontal="left" vertical="center" wrapText="1" indent="1"/>
    </xf>
    <xf numFmtId="0" fontId="47" fillId="0" borderId="37" xfId="26000" applyFont="1" applyBorder="1" applyAlignment="1" applyProtection="1">
      <alignment horizontal="left" vertical="top" wrapText="1"/>
    </xf>
    <xf numFmtId="0" fontId="47" fillId="0" borderId="38" xfId="26000" applyFont="1" applyBorder="1" applyAlignment="1" applyProtection="1">
      <alignment horizontal="left" vertical="top" wrapText="1"/>
    </xf>
    <xf numFmtId="0" fontId="47" fillId="0" borderId="39" xfId="26000" applyFont="1" applyBorder="1" applyAlignment="1" applyProtection="1">
      <alignment horizontal="left" vertical="top" wrapText="1"/>
    </xf>
    <xf numFmtId="0" fontId="47" fillId="0" borderId="15" xfId="26000" applyFont="1" applyBorder="1" applyAlignment="1" applyProtection="1">
      <alignment horizontal="left" vertical="top" wrapText="1"/>
    </xf>
    <xf numFmtId="0" fontId="47" fillId="0" borderId="0" xfId="26000" applyFont="1" applyAlignment="1" applyProtection="1">
      <alignment horizontal="left" vertical="top" wrapText="1"/>
    </xf>
    <xf numFmtId="0" fontId="47" fillId="0" borderId="60" xfId="26000" applyFont="1" applyBorder="1" applyAlignment="1" applyProtection="1">
      <alignment horizontal="left" vertical="top" wrapText="1"/>
    </xf>
    <xf numFmtId="0" fontId="47" fillId="0" borderId="40" xfId="26000" applyFont="1" applyBorder="1" applyAlignment="1" applyProtection="1">
      <alignment horizontal="left" vertical="top" wrapText="1"/>
    </xf>
    <xf numFmtId="0" fontId="47" fillId="0" borderId="41" xfId="26000" applyFont="1" applyBorder="1" applyAlignment="1" applyProtection="1">
      <alignment horizontal="left" vertical="top" wrapText="1"/>
    </xf>
    <xf numFmtId="0" fontId="47" fillId="0" borderId="42" xfId="26000" applyFont="1" applyBorder="1" applyAlignment="1" applyProtection="1">
      <alignment horizontal="left" vertical="top" wrapText="1"/>
    </xf>
    <xf numFmtId="0" fontId="62" fillId="0" borderId="0" xfId="26000" applyFont="1" applyAlignment="1" applyProtection="1">
      <alignment horizontal="center" vertical="top"/>
    </xf>
    <xf numFmtId="0" fontId="62" fillId="0" borderId="0" xfId="26000" applyFont="1" applyAlignment="1" applyProtection="1">
      <alignment horizontal="center" vertical="top" wrapText="1"/>
    </xf>
    <xf numFmtId="0" fontId="169" fillId="0" borderId="73" xfId="26000" applyFont="1" applyBorder="1" applyAlignment="1" applyProtection="1">
      <alignment horizontal="left" vertical="top" wrapText="1"/>
    </xf>
    <xf numFmtId="0" fontId="169" fillId="0" borderId="74" xfId="26000" applyFont="1" applyBorder="1" applyAlignment="1" applyProtection="1">
      <alignment horizontal="left" vertical="top" wrapText="1"/>
    </xf>
    <xf numFmtId="0" fontId="169" fillId="0" borderId="75" xfId="26000" applyFont="1" applyBorder="1" applyAlignment="1" applyProtection="1">
      <alignment horizontal="left" vertical="top" wrapText="1"/>
    </xf>
    <xf numFmtId="0" fontId="169" fillId="0" borderId="22" xfId="26000" applyFont="1" applyBorder="1" applyAlignment="1" applyProtection="1">
      <alignment horizontal="left" vertical="top" wrapText="1"/>
    </xf>
    <xf numFmtId="0" fontId="169" fillId="0" borderId="0" xfId="26000" applyFont="1" applyAlignment="1" applyProtection="1">
      <alignment horizontal="left" vertical="top" wrapText="1"/>
    </xf>
    <xf numFmtId="0" fontId="169" fillId="0" borderId="56" xfId="26000" applyFont="1" applyBorder="1" applyAlignment="1" applyProtection="1">
      <alignment horizontal="left" vertical="top" wrapText="1"/>
    </xf>
    <xf numFmtId="0" fontId="169" fillId="0" borderId="76" xfId="26000" applyFont="1" applyBorder="1" applyAlignment="1" applyProtection="1">
      <alignment horizontal="left" vertical="top" wrapText="1"/>
    </xf>
    <xf numFmtId="0" fontId="169" fillId="0" borderId="17" xfId="26000" applyFont="1" applyBorder="1" applyAlignment="1" applyProtection="1">
      <alignment horizontal="left" vertical="top" wrapText="1"/>
    </xf>
    <xf numFmtId="0" fontId="169" fillId="0" borderId="77" xfId="26000" applyFont="1" applyBorder="1" applyAlignment="1" applyProtection="1">
      <alignment horizontal="left" vertical="top" wrapText="1"/>
    </xf>
    <xf numFmtId="0" fontId="62" fillId="0" borderId="41" xfId="26000" applyFont="1" applyBorder="1" applyAlignment="1" applyProtection="1">
      <alignment horizontal="left"/>
    </xf>
  </cellXfs>
  <cellStyles count="317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5" xr:uid="{C3AF9F28-95DF-4937-90C3-A513EEB3B326}"/>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22" xr:uid="{71B46BFA-E7B7-45A8-AC20-01BE1303DDF6}"/>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3 7" xfId="31724" xr:uid="{CA5F41CC-B0FD-4954-8A22-3377F189CA4D}"/>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3 7" xfId="31723" xr:uid="{E604F0D1-D22E-44C1-96D7-4CA8EF6DAC1C}"/>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79998168889431442"/>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7"/>
      <tableStyleElement type="headerRow" dxfId="126"/>
      <tableStyleElement type="firstRowStripe" dxfId="125"/>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1924046</xdr:colOff>
      <xdr:row>46</xdr:row>
      <xdr:rowOff>238125</xdr:rowOff>
    </xdr:from>
    <xdr:to>
      <xdr:col>5</xdr:col>
      <xdr:colOff>3478526</xdr:colOff>
      <xdr:row>51</xdr:row>
      <xdr:rowOff>104775</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19771" y="4762500"/>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accounts.recievable@edmundson.com" TargetMode="External"/><Relationship Id="rId2" Type="http://schemas.openxmlformats.org/officeDocument/2006/relationships/hyperlink" Target="mailto:Joe.Schmoe@Edmondson.com" TargetMode="External"/><Relationship Id="rId1" Type="http://schemas.openxmlformats.org/officeDocument/2006/relationships/hyperlink" Target="mailto:carolina@county.gov" TargetMode="Externa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6D91-AAC8-4E57-9047-7EE57F8CDBE7}">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1049" customWidth="1"/>
    <col min="2" max="2" width="187.109375" style="1049" customWidth="1"/>
    <col min="3" max="4" width="9.109375" style="1049" hidden="1" customWidth="1"/>
    <col min="5" max="5" width="2.33203125" style="1049" customWidth="1"/>
    <col min="6" max="6" width="8.109375" style="1049" customWidth="1"/>
    <col min="7" max="16384" width="9.109375" style="1049"/>
  </cols>
  <sheetData>
    <row r="1" spans="2:14" ht="9.6" customHeight="1" thickBot="1" x14ac:dyDescent="0.35">
      <c r="B1" s="177"/>
    </row>
    <row r="2" spans="2:14" ht="100.95" customHeight="1" thickBot="1" x14ac:dyDescent="0.35">
      <c r="B2" s="1130" t="s">
        <v>1882</v>
      </c>
    </row>
    <row r="3" spans="2:14" ht="63.6" customHeight="1" x14ac:dyDescent="0.3">
      <c r="B3" s="188" t="s">
        <v>1883</v>
      </c>
    </row>
    <row r="4" spans="2:14" ht="81.599999999999994" customHeight="1" x14ac:dyDescent="0.4">
      <c r="B4" s="188" t="s">
        <v>1884</v>
      </c>
      <c r="F4" s="1131"/>
      <c r="G4" s="1131"/>
      <c r="H4" s="1131"/>
      <c r="I4" s="1131"/>
      <c r="J4" s="1131"/>
      <c r="K4" s="1131"/>
      <c r="L4" s="1131"/>
      <c r="M4" s="1131"/>
      <c r="N4" s="1131"/>
    </row>
    <row r="5" spans="2:14" ht="60.6" customHeight="1" x14ac:dyDescent="0.3">
      <c r="B5" s="188" t="s">
        <v>1885</v>
      </c>
    </row>
    <row r="6" spans="2:14" ht="115.2" customHeight="1" x14ac:dyDescent="0.3">
      <c r="B6" s="178" t="s">
        <v>1886</v>
      </c>
    </row>
    <row r="7" spans="2:14" ht="25.95" customHeight="1" x14ac:dyDescent="0.3">
      <c r="B7" s="190" t="s">
        <v>862</v>
      </c>
    </row>
    <row r="8" spans="2:14" ht="43.2" customHeight="1" x14ac:dyDescent="0.3">
      <c r="B8" s="1132" t="s">
        <v>1887</v>
      </c>
    </row>
    <row r="9" spans="2:14" ht="37.950000000000003" customHeight="1" x14ac:dyDescent="0.3">
      <c r="B9" s="1132" t="s">
        <v>863</v>
      </c>
    </row>
    <row r="10" spans="2:14" s="1134" customFormat="1" ht="28.95" customHeight="1" x14ac:dyDescent="0.3">
      <c r="B10" s="1133" t="s">
        <v>864</v>
      </c>
    </row>
    <row r="11" spans="2:14" s="1134" customFormat="1" ht="48" customHeight="1" x14ac:dyDescent="0.3">
      <c r="B11" s="1135" t="s">
        <v>1888</v>
      </c>
    </row>
    <row r="12" spans="2:14" ht="49.95" customHeight="1" x14ac:dyDescent="0.3">
      <c r="B12" s="1135" t="s">
        <v>1889</v>
      </c>
    </row>
    <row r="13" spans="2:14" ht="21" customHeight="1" x14ac:dyDescent="0.3">
      <c r="B13" s="1136" t="s">
        <v>1890</v>
      </c>
    </row>
    <row r="14" spans="2:14" ht="25.95" customHeight="1" x14ac:dyDescent="0.3">
      <c r="B14" s="190" t="s">
        <v>865</v>
      </c>
    </row>
    <row r="15" spans="2:14" x14ac:dyDescent="0.3">
      <c r="B15" s="177"/>
    </row>
    <row r="16" spans="2:14" x14ac:dyDescent="0.3">
      <c r="B16" s="1137" t="s">
        <v>37</v>
      </c>
    </row>
    <row r="17" spans="2:2" ht="15.6" customHeight="1" x14ac:dyDescent="0.3">
      <c r="B17" s="1138" t="s">
        <v>1891</v>
      </c>
    </row>
    <row r="18" spans="2:2" x14ac:dyDescent="0.3">
      <c r="B18" s="1139"/>
    </row>
    <row r="19" spans="2:2" x14ac:dyDescent="0.3">
      <c r="B19" s="1137" t="s">
        <v>38</v>
      </c>
    </row>
    <row r="20" spans="2:2" ht="15.6" customHeight="1" x14ac:dyDescent="0.3">
      <c r="B20" s="1140" t="s">
        <v>654</v>
      </c>
    </row>
    <row r="21" spans="2:2" ht="13.2" customHeight="1" x14ac:dyDescent="0.3">
      <c r="B21" s="177"/>
    </row>
    <row r="22" spans="2:2" ht="25.95" customHeight="1" x14ac:dyDescent="0.3">
      <c r="B22" s="190" t="s">
        <v>866</v>
      </c>
    </row>
    <row r="23" spans="2:2" s="1134" customFormat="1" ht="72.599999999999994" customHeight="1" x14ac:dyDescent="0.3">
      <c r="B23" s="1132" t="s">
        <v>1892</v>
      </c>
    </row>
    <row r="24" spans="2:2" s="1134" customFormat="1" ht="77.400000000000006" customHeight="1" x14ac:dyDescent="0.3">
      <c r="B24" s="1132" t="s">
        <v>1893</v>
      </c>
    </row>
    <row r="25" spans="2:2" s="1134" customFormat="1" ht="83.4" customHeight="1" x14ac:dyDescent="0.3">
      <c r="B25" s="1132" t="s">
        <v>867</v>
      </c>
    </row>
    <row r="26" spans="2:2" ht="15" x14ac:dyDescent="0.3">
      <c r="B26" s="180" t="s">
        <v>1894</v>
      </c>
    </row>
    <row r="27" spans="2:2" ht="8.4" customHeight="1" x14ac:dyDescent="0.3">
      <c r="B27" s="179"/>
    </row>
    <row r="28" spans="2:2" ht="25.95" customHeight="1" x14ac:dyDescent="0.3">
      <c r="B28" s="190" t="s">
        <v>1895</v>
      </c>
    </row>
    <row r="29" spans="2:2" ht="21" customHeight="1" x14ac:dyDescent="0.3">
      <c r="B29" s="191" t="s">
        <v>1896</v>
      </c>
    </row>
    <row r="30" spans="2:2" ht="24" customHeight="1" x14ac:dyDescent="0.3">
      <c r="B30" s="191" t="s">
        <v>1897</v>
      </c>
    </row>
    <row r="31" spans="2:2" ht="28.2" customHeight="1" x14ac:dyDescent="0.3">
      <c r="B31" s="1141" t="s">
        <v>1898</v>
      </c>
    </row>
    <row r="32" spans="2:2" ht="23.4" customHeight="1" x14ac:dyDescent="0.3">
      <c r="B32" s="1141" t="s">
        <v>1899</v>
      </c>
    </row>
    <row r="33" spans="2:7" ht="25.95" customHeight="1" x14ac:dyDescent="0.3">
      <c r="B33" s="1142" t="s">
        <v>1900</v>
      </c>
    </row>
    <row r="34" spans="2:7" ht="25.95" customHeight="1" x14ac:dyDescent="0.3">
      <c r="B34" s="1143" t="s">
        <v>1901</v>
      </c>
    </row>
    <row r="35" spans="2:7" ht="49.2" customHeight="1" x14ac:dyDescent="0.3">
      <c r="B35" s="191" t="s">
        <v>1902</v>
      </c>
    </row>
    <row r="36" spans="2:7" ht="31.95" customHeight="1" x14ac:dyDescent="0.3">
      <c r="B36" s="191" t="s">
        <v>1903</v>
      </c>
    </row>
    <row r="37" spans="2:7" ht="12" customHeight="1" x14ac:dyDescent="0.3">
      <c r="B37" s="191"/>
    </row>
    <row r="38" spans="2:7" ht="25.95" customHeight="1" x14ac:dyDescent="0.3">
      <c r="B38" s="190" t="s">
        <v>1146</v>
      </c>
    </row>
    <row r="39" spans="2:7" x14ac:dyDescent="0.3">
      <c r="B39" s="189"/>
      <c r="G39" s="1144"/>
    </row>
    <row r="40" spans="2:7" ht="34.950000000000003" customHeight="1" x14ac:dyDescent="0.3">
      <c r="B40" s="1145" t="s">
        <v>1904</v>
      </c>
    </row>
    <row r="41" spans="2:7" ht="19.95" customHeight="1" x14ac:dyDescent="0.3">
      <c r="B41" s="1146" t="s">
        <v>1890</v>
      </c>
    </row>
    <row r="42" spans="2:7" ht="11.4" customHeight="1" x14ac:dyDescent="0.3">
      <c r="B42" s="192"/>
    </row>
    <row r="43" spans="2:7" ht="15" x14ac:dyDescent="0.3">
      <c r="B43" s="193"/>
    </row>
    <row r="44" spans="2:7" ht="7.2" customHeight="1" x14ac:dyDescent="0.3">
      <c r="B44" s="191"/>
    </row>
    <row r="45" spans="2:7" ht="25.95" customHeight="1" x14ac:dyDescent="0.3">
      <c r="B45" s="190" t="s">
        <v>1147</v>
      </c>
    </row>
    <row r="46" spans="2:7" ht="46.95" customHeight="1" x14ac:dyDescent="0.3">
      <c r="B46" s="1145" t="s">
        <v>1905</v>
      </c>
    </row>
    <row r="47" spans="2:7" ht="15" x14ac:dyDescent="0.3">
      <c r="B47" s="193"/>
    </row>
    <row r="58" ht="44.25" customHeight="1" x14ac:dyDescent="0.3"/>
  </sheetData>
  <sheetProtection algorithmName="SHA-512" hashValue="qKivId0n2bH6Uzxw/1ty72hFrO4OhGc8zN0iwWPujUTfcS+glrjkfG1G1EC28Nxfdi5qW3HDAZ8s98NiGeBA5w==" saltValue="6y4+EKlfsHx0lgpCjwrdjA==" spinCount="100000" sheet="1" formatCells="0" formatColumns="0" formatRows="0"/>
  <hyperlinks>
    <hyperlink ref="B17" r:id="rId1" xr:uid="{0637659E-A49F-44F7-8595-61B9A1BFDFB7}"/>
    <hyperlink ref="B20" r:id="rId2" xr:uid="{D35B6D5D-4D00-4211-A5F8-926B17450E9E}"/>
    <hyperlink ref="B41" r:id="rId3" xr:uid="{FCA609B1-F1BB-443A-B5B8-23652DDA32DD}"/>
    <hyperlink ref="B13" r:id="rId4" xr:uid="{C5833602-C659-4FB1-83EB-5C3FAF6B377E}"/>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B459"/>
  <sheetViews>
    <sheetView zoomScaleNormal="100" workbookViewId="0">
      <pane xSplit="5" ySplit="2" topLeftCell="F3" activePane="bottomRight" state="frozen"/>
      <selection pane="topRight" activeCell="F1" sqref="F1"/>
      <selection pane="bottomLeft" activeCell="A3" sqref="A3"/>
      <selection pane="bottomRight" activeCell="F1" sqref="F1"/>
    </sheetView>
  </sheetViews>
  <sheetFormatPr defaultColWidth="9.109375" defaultRowHeight="14.4" x14ac:dyDescent="0.3"/>
  <cols>
    <col min="1" max="1" width="5.33203125" style="99" customWidth="1"/>
    <col min="2" max="2" width="11.109375" style="323" customWidth="1"/>
    <col min="3" max="3" width="27" style="99" customWidth="1"/>
    <col min="4" max="4" width="37.88671875" style="99" customWidth="1"/>
    <col min="5" max="5" width="14.44140625" style="99" bestFit="1" customWidth="1"/>
    <col min="6" max="6" width="15.5546875" style="99" bestFit="1" customWidth="1"/>
    <col min="7" max="7" width="18.33203125" style="99" customWidth="1"/>
    <col min="8" max="8" width="17" style="99" bestFit="1" customWidth="1"/>
    <col min="9" max="9" width="17.6640625" style="99" customWidth="1"/>
    <col min="10" max="10" width="14.44140625" style="99" bestFit="1" customWidth="1"/>
    <col min="11" max="11" width="15.44140625" style="99" bestFit="1" customWidth="1"/>
    <col min="12" max="12" width="14.44140625" style="99" bestFit="1" customWidth="1"/>
    <col min="13" max="13" width="17" style="99" bestFit="1" customWidth="1"/>
    <col min="14" max="14" width="16.6640625" style="99" customWidth="1"/>
    <col min="15" max="15" width="14.44140625" style="99" bestFit="1" customWidth="1"/>
    <col min="16" max="16" width="17.6640625" style="99" customWidth="1"/>
    <col min="17" max="17" width="15.88671875" style="99" bestFit="1" customWidth="1"/>
    <col min="18" max="19" width="15.5546875" style="99" bestFit="1" customWidth="1"/>
    <col min="20" max="20" width="16.5546875" style="99" bestFit="1" customWidth="1"/>
    <col min="21" max="21" width="15" style="99" customWidth="1"/>
    <col min="22" max="22" width="17" style="99" bestFit="1" customWidth="1"/>
    <col min="23" max="23" width="13.44140625" style="99" bestFit="1" customWidth="1"/>
    <col min="24" max="24" width="15.44140625" style="99" bestFit="1" customWidth="1"/>
    <col min="25" max="25" width="15.88671875" style="99" bestFit="1" customWidth="1"/>
    <col min="26" max="28" width="15.5546875" style="99" bestFit="1" customWidth="1"/>
    <col min="29" max="29" width="14.44140625" style="99" bestFit="1" customWidth="1"/>
    <col min="30" max="30" width="14" style="99" bestFit="1" customWidth="1"/>
    <col min="31" max="32" width="15.5546875" style="99" bestFit="1" customWidth="1"/>
    <col min="33" max="33" width="13.88671875" style="99" bestFit="1" customWidth="1"/>
    <col min="34" max="34" width="13.44140625" style="99" bestFit="1" customWidth="1"/>
    <col min="35" max="35" width="13.88671875" style="99" bestFit="1" customWidth="1"/>
    <col min="36" max="36" width="14.44140625" style="99" bestFit="1" customWidth="1"/>
    <col min="37" max="37" width="16.5546875" style="99" bestFit="1" customWidth="1"/>
    <col min="38" max="38" width="14.44140625" style="99" bestFit="1" customWidth="1"/>
    <col min="39" max="39" width="13.44140625" style="99" bestFit="1" customWidth="1"/>
    <col min="40" max="41" width="15.5546875" style="99" bestFit="1" customWidth="1"/>
    <col min="42" max="42" width="14.44140625" style="99" bestFit="1" customWidth="1"/>
    <col min="43" max="43" width="15.44140625" style="99" bestFit="1" customWidth="1"/>
    <col min="44" max="44" width="17" style="99" bestFit="1" customWidth="1"/>
    <col min="45" max="45" width="15.5546875" style="99" bestFit="1" customWidth="1"/>
    <col min="46" max="46" width="14.44140625" style="99" bestFit="1" customWidth="1"/>
    <col min="47" max="47" width="15.5546875" style="99" bestFit="1" customWidth="1"/>
    <col min="48" max="48" width="16.5546875" style="99" bestFit="1" customWidth="1"/>
    <col min="49" max="50" width="14.44140625" style="99" bestFit="1" customWidth="1"/>
    <col min="51" max="53" width="15.5546875" style="99" bestFit="1" customWidth="1"/>
    <col min="54" max="54" width="14" style="99" bestFit="1" customWidth="1"/>
    <col min="55" max="55" width="15.5546875" style="99" bestFit="1" customWidth="1"/>
    <col min="56" max="56" width="9.88671875" style="99" bestFit="1" customWidth="1"/>
    <col min="57" max="57" width="13.44140625" style="99" bestFit="1" customWidth="1"/>
    <col min="58" max="58" width="17" style="99" bestFit="1" customWidth="1"/>
    <col min="59" max="59" width="10.5546875" style="99" bestFit="1" customWidth="1"/>
    <col min="60" max="60" width="13.44140625" style="99" bestFit="1" customWidth="1"/>
    <col min="61" max="61" width="15.5546875" style="99" bestFit="1" customWidth="1"/>
    <col min="62" max="62" width="15.44140625" style="99" bestFit="1" customWidth="1"/>
    <col min="63" max="63" width="9.88671875" style="99" bestFit="1" customWidth="1"/>
    <col min="64" max="65" width="15.5546875" style="99" bestFit="1" customWidth="1"/>
    <col min="66" max="66" width="13.44140625" style="99" bestFit="1"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73" width="14.6640625" style="99" bestFit="1" customWidth="1"/>
    <col min="74" max="74" width="15.5546875" style="99" bestFit="1" customWidth="1"/>
    <col min="75" max="75" width="14.44140625" style="99" bestFit="1" customWidth="1"/>
    <col min="76" max="76" width="15.5546875" style="99" bestFit="1" customWidth="1"/>
    <col min="77" max="78" width="13.44140625" style="99" bestFit="1" customWidth="1"/>
    <col min="79" max="79" width="15.5546875" style="99" bestFit="1" customWidth="1"/>
    <col min="80" max="80" width="13.44140625" style="99" bestFit="1" customWidth="1"/>
    <col min="81" max="16384" width="9.109375" style="99"/>
  </cols>
  <sheetData>
    <row r="1" spans="1:80" s="418" customFormat="1" ht="100.8" x14ac:dyDescent="0.3">
      <c r="A1" s="1049"/>
      <c r="B1" s="1053" t="s">
        <v>1766</v>
      </c>
      <c r="C1" s="1054"/>
      <c r="D1" s="1055" t="s">
        <v>1767</v>
      </c>
      <c r="E1" s="1055" t="s">
        <v>1767</v>
      </c>
      <c r="F1" s="1056" t="s">
        <v>1691</v>
      </c>
      <c r="G1" s="1056" t="s">
        <v>1692</v>
      </c>
      <c r="H1" s="1056" t="s">
        <v>1693</v>
      </c>
      <c r="I1" s="1056" t="s">
        <v>1694</v>
      </c>
      <c r="J1" s="1056" t="s">
        <v>1695</v>
      </c>
      <c r="K1" s="1056" t="s">
        <v>1697</v>
      </c>
      <c r="L1" s="1056" t="s">
        <v>1699</v>
      </c>
      <c r="M1" s="1056" t="s">
        <v>1701</v>
      </c>
      <c r="N1" s="1056" t="s">
        <v>1702</v>
      </c>
      <c r="O1" s="1056" t="s">
        <v>1703</v>
      </c>
      <c r="P1" s="1056" t="s">
        <v>1768</v>
      </c>
      <c r="Q1" s="1056" t="s">
        <v>1706</v>
      </c>
      <c r="R1" s="1056" t="s">
        <v>1707</v>
      </c>
      <c r="S1" s="1056" t="s">
        <v>1708</v>
      </c>
      <c r="T1" s="1056" t="s">
        <v>1709</v>
      </c>
      <c r="U1" s="1056" t="s">
        <v>1712</v>
      </c>
      <c r="V1" s="1056"/>
      <c r="W1" s="1049"/>
      <c r="X1" s="1049"/>
      <c r="Y1" s="1049"/>
      <c r="Z1" s="1049"/>
      <c r="AA1" s="1049"/>
      <c r="AB1" s="1049"/>
      <c r="AC1" s="1049"/>
      <c r="AD1" s="1049"/>
      <c r="AE1" s="1049"/>
      <c r="AF1" s="1049"/>
      <c r="AG1" s="1049"/>
      <c r="AH1" s="1049"/>
      <c r="AI1" s="1049"/>
      <c r="AJ1" s="1049"/>
      <c r="AK1" s="1049"/>
      <c r="AL1" s="1049"/>
      <c r="AM1" s="1049"/>
      <c r="AN1" s="1049"/>
      <c r="AO1" s="1049"/>
      <c r="AP1" s="1049"/>
      <c r="AQ1" s="1049"/>
      <c r="AR1" s="1049"/>
      <c r="AS1" s="1049"/>
      <c r="AT1" s="418" t="s">
        <v>811</v>
      </c>
      <c r="AU1" s="418" t="s">
        <v>812</v>
      </c>
      <c r="AV1" s="418" t="s">
        <v>813</v>
      </c>
      <c r="AW1" s="418" t="s">
        <v>814</v>
      </c>
      <c r="AX1" s="418" t="s">
        <v>815</v>
      </c>
      <c r="AY1" s="418" t="s">
        <v>816</v>
      </c>
      <c r="AZ1" s="418" t="s">
        <v>817</v>
      </c>
      <c r="BA1" s="418" t="s">
        <v>818</v>
      </c>
      <c r="BB1" s="418" t="s">
        <v>819</v>
      </c>
      <c r="BC1" s="418" t="e">
        <v>#N/A</v>
      </c>
      <c r="BD1" s="418" t="e">
        <v>#N/A</v>
      </c>
      <c r="BE1" s="418" t="s">
        <v>821</v>
      </c>
      <c r="BF1" s="418" t="s">
        <v>822</v>
      </c>
      <c r="BG1" s="418" t="s">
        <v>823</v>
      </c>
      <c r="BH1" s="418" t="s">
        <v>737</v>
      </c>
      <c r="BI1" s="418" t="s">
        <v>824</v>
      </c>
      <c r="BJ1" s="418" t="s">
        <v>825</v>
      </c>
      <c r="BK1" s="418" t="e">
        <v>#N/A</v>
      </c>
      <c r="BL1" s="418" t="s">
        <v>827</v>
      </c>
      <c r="BM1" s="418" t="s">
        <v>828</v>
      </c>
      <c r="BN1" s="418" t="s">
        <v>829</v>
      </c>
      <c r="BO1" s="418" t="s">
        <v>830</v>
      </c>
      <c r="BP1" s="418" t="s">
        <v>831</v>
      </c>
      <c r="BQ1" s="418" t="s">
        <v>832</v>
      </c>
      <c r="BR1" s="418" t="s">
        <v>833</v>
      </c>
      <c r="BS1" s="418" t="s">
        <v>834</v>
      </c>
      <c r="BT1" s="418" t="s">
        <v>835</v>
      </c>
      <c r="BU1" s="418" t="s">
        <v>836</v>
      </c>
      <c r="BV1" s="418" t="s">
        <v>837</v>
      </c>
      <c r="BW1" s="418" t="s">
        <v>838</v>
      </c>
      <c r="BX1" s="418" t="s">
        <v>839</v>
      </c>
      <c r="BY1" s="418" t="s">
        <v>840</v>
      </c>
      <c r="BZ1" s="418" t="s">
        <v>841</v>
      </c>
      <c r="CA1" s="418" t="s">
        <v>842</v>
      </c>
      <c r="CB1" s="418" t="s">
        <v>843</v>
      </c>
    </row>
    <row r="2" spans="1:80" s="418" customFormat="1" x14ac:dyDescent="0.3">
      <c r="A2" s="1052"/>
      <c r="B2" s="1053"/>
      <c r="C2" s="1057"/>
      <c r="D2" s="1057"/>
      <c r="E2" s="1058"/>
      <c r="F2" s="1059" t="s">
        <v>1906</v>
      </c>
      <c r="G2" s="1059" t="s">
        <v>1907</v>
      </c>
      <c r="H2" s="1059" t="s">
        <v>1908</v>
      </c>
      <c r="I2" s="1059" t="s">
        <v>1909</v>
      </c>
      <c r="J2" s="1059" t="s">
        <v>1910</v>
      </c>
      <c r="K2" s="1059" t="s">
        <v>1911</v>
      </c>
      <c r="L2" s="1059" t="s">
        <v>1912</v>
      </c>
      <c r="M2" s="1059" t="s">
        <v>1913</v>
      </c>
      <c r="N2" s="1059" t="s">
        <v>1914</v>
      </c>
      <c r="O2" s="1059" t="s">
        <v>1915</v>
      </c>
      <c r="P2" s="1059" t="s">
        <v>1769</v>
      </c>
      <c r="Q2" s="1059" t="s">
        <v>1916</v>
      </c>
      <c r="R2" s="1059" t="s">
        <v>1917</v>
      </c>
      <c r="S2" s="1059" t="s">
        <v>1918</v>
      </c>
      <c r="T2" s="1059" t="s">
        <v>1919</v>
      </c>
      <c r="U2" s="1059" t="s">
        <v>1920</v>
      </c>
      <c r="V2" s="1059"/>
      <c r="W2" s="1059"/>
      <c r="X2" s="1059"/>
      <c r="Y2" s="1059"/>
      <c r="Z2" s="1059"/>
      <c r="AA2" s="1059"/>
      <c r="AB2" s="1059"/>
      <c r="AC2" s="1059"/>
      <c r="AD2" s="1059"/>
      <c r="AE2" s="1059"/>
      <c r="AF2" s="1059"/>
      <c r="AG2" s="1059"/>
      <c r="AH2" s="1059"/>
      <c r="AI2" s="1059"/>
      <c r="AJ2" s="1059"/>
      <c r="AK2" s="1059"/>
      <c r="AL2" s="1059"/>
      <c r="AM2" s="1059"/>
      <c r="AN2" s="1059"/>
      <c r="AO2" s="1059"/>
      <c r="AP2" s="1059"/>
      <c r="AQ2" s="1059"/>
      <c r="AR2" s="1059"/>
      <c r="AS2" s="1059"/>
      <c r="AT2" s="418">
        <v>50223</v>
      </c>
      <c r="AU2" s="418">
        <v>50224</v>
      </c>
      <c r="AV2" s="418">
        <v>50225</v>
      </c>
      <c r="AW2" s="418">
        <v>50226</v>
      </c>
      <c r="AX2" s="418">
        <v>50227</v>
      </c>
      <c r="AY2" s="418">
        <v>50455</v>
      </c>
      <c r="AZ2" s="418">
        <v>50229</v>
      </c>
      <c r="BA2" s="418">
        <v>50230</v>
      </c>
      <c r="BB2" s="418">
        <v>50231</v>
      </c>
      <c r="BC2" s="418">
        <v>0</v>
      </c>
      <c r="BD2" s="418">
        <v>0</v>
      </c>
      <c r="BE2" s="418">
        <v>50234</v>
      </c>
      <c r="BF2" s="418">
        <v>50235</v>
      </c>
      <c r="BG2" s="418">
        <v>50236</v>
      </c>
      <c r="BH2" s="418">
        <v>50237</v>
      </c>
      <c r="BI2" s="418">
        <v>50238</v>
      </c>
      <c r="BJ2" s="418">
        <v>50444</v>
      </c>
      <c r="BK2" s="418">
        <v>0</v>
      </c>
      <c r="BL2" s="418">
        <v>50240</v>
      </c>
      <c r="BM2" s="418">
        <v>50241</v>
      </c>
      <c r="BN2" s="418">
        <v>50521</v>
      </c>
      <c r="BO2" s="418">
        <v>50242</v>
      </c>
      <c r="BP2" s="418">
        <v>50244</v>
      </c>
      <c r="BQ2" s="418">
        <v>50243</v>
      </c>
      <c r="BR2" s="418">
        <v>50245</v>
      </c>
      <c r="BS2" s="418">
        <v>50522</v>
      </c>
      <c r="BT2" s="418">
        <v>50246</v>
      </c>
      <c r="BU2" s="418">
        <v>50247</v>
      </c>
      <c r="BV2" s="418">
        <v>50248</v>
      </c>
      <c r="BW2" s="418">
        <v>50249</v>
      </c>
      <c r="BX2" s="418">
        <v>50250</v>
      </c>
      <c r="BY2" s="418">
        <v>50251</v>
      </c>
      <c r="BZ2" s="418">
        <v>50252</v>
      </c>
      <c r="CA2" s="418">
        <v>50253</v>
      </c>
      <c r="CB2" s="418">
        <v>50454</v>
      </c>
    </row>
    <row r="3" spans="1:80" s="418" customFormat="1" ht="15.6" x14ac:dyDescent="0.3">
      <c r="A3" s="1052">
        <v>4</v>
      </c>
      <c r="B3" s="1049"/>
      <c r="C3" s="1060" t="s">
        <v>1921</v>
      </c>
      <c r="D3" s="1061" t="s">
        <v>119</v>
      </c>
      <c r="E3" s="1062" t="s">
        <v>298</v>
      </c>
      <c r="F3" s="1063">
        <v>0</v>
      </c>
      <c r="G3" s="1063">
        <v>0</v>
      </c>
      <c r="H3" s="1063">
        <v>0</v>
      </c>
      <c r="I3" s="1063">
        <v>0</v>
      </c>
      <c r="J3" s="1063">
        <v>0</v>
      </c>
      <c r="K3" s="1063">
        <v>0</v>
      </c>
      <c r="L3" s="1063">
        <v>0</v>
      </c>
      <c r="M3" s="1063">
        <v>0</v>
      </c>
      <c r="N3" s="1063">
        <v>0</v>
      </c>
      <c r="O3" s="1063">
        <v>0</v>
      </c>
      <c r="P3" s="1063">
        <v>0</v>
      </c>
      <c r="Q3" s="1063">
        <v>0</v>
      </c>
      <c r="R3" s="1063">
        <v>0</v>
      </c>
      <c r="S3" s="1063">
        <v>0</v>
      </c>
      <c r="T3" s="1063">
        <v>0</v>
      </c>
      <c r="U3" s="1063">
        <v>0</v>
      </c>
      <c r="V3" s="1063"/>
      <c r="W3" s="1063"/>
      <c r="X3" s="1063"/>
      <c r="Y3" s="1063"/>
      <c r="Z3" s="1063"/>
      <c r="AA3" s="1063"/>
      <c r="AB3" s="1063"/>
      <c r="AC3" s="1063"/>
      <c r="AD3" s="1063"/>
      <c r="AE3" s="1063"/>
      <c r="AF3" s="1063"/>
      <c r="AG3" s="1063"/>
      <c r="AH3" s="1063"/>
      <c r="AI3" s="1063"/>
      <c r="AJ3" s="1063"/>
      <c r="AK3" s="1063"/>
      <c r="AL3" s="1063"/>
      <c r="AM3" s="1063"/>
      <c r="AN3" s="1063"/>
      <c r="AO3" s="1063"/>
      <c r="AP3" s="1063"/>
      <c r="AQ3" s="1063"/>
      <c r="AR3" s="1063"/>
      <c r="AS3" s="1063"/>
      <c r="AT3" s="418">
        <v>8529</v>
      </c>
      <c r="AU3" s="418">
        <v>201080</v>
      </c>
      <c r="AV3" s="418">
        <v>1102616</v>
      </c>
      <c r="AW3" s="418">
        <v>48067</v>
      </c>
      <c r="AX3" s="418">
        <v>24845</v>
      </c>
      <c r="AY3" s="418">
        <v>188634</v>
      </c>
      <c r="AZ3" s="418">
        <v>63340</v>
      </c>
      <c r="BA3" s="418">
        <v>461708</v>
      </c>
      <c r="BB3" s="418">
        <v>0</v>
      </c>
      <c r="BC3" s="418">
        <v>23094</v>
      </c>
      <c r="BD3" s="418">
        <v>0</v>
      </c>
      <c r="BE3" s="418">
        <v>3368</v>
      </c>
      <c r="BF3" s="418">
        <v>1535215</v>
      </c>
      <c r="BG3" s="418">
        <v>0</v>
      </c>
      <c r="BH3" s="418">
        <v>2267</v>
      </c>
      <c r="BI3" s="418">
        <v>29021</v>
      </c>
      <c r="BJ3" s="418">
        <v>101123</v>
      </c>
      <c r="BK3" s="418">
        <v>0</v>
      </c>
      <c r="BL3" s="418">
        <v>119203</v>
      </c>
      <c r="BM3" s="418">
        <v>93803</v>
      </c>
      <c r="BN3" s="418">
        <v>0</v>
      </c>
      <c r="BO3" s="418">
        <v>216042</v>
      </c>
      <c r="BP3" s="418">
        <v>142073</v>
      </c>
      <c r="BQ3" s="418">
        <v>9392</v>
      </c>
      <c r="BR3" s="418">
        <v>8180</v>
      </c>
      <c r="BS3" s="418">
        <v>43947</v>
      </c>
      <c r="BT3" s="418">
        <v>2444961</v>
      </c>
      <c r="BU3" s="418">
        <v>77427</v>
      </c>
      <c r="BV3" s="418">
        <v>86828</v>
      </c>
      <c r="BW3" s="418">
        <v>56807</v>
      </c>
      <c r="BX3" s="418">
        <v>11908</v>
      </c>
      <c r="BY3" s="418">
        <v>0</v>
      </c>
      <c r="BZ3" s="418">
        <v>0</v>
      </c>
      <c r="CA3" s="418">
        <v>1837544</v>
      </c>
      <c r="CB3" s="418">
        <v>0</v>
      </c>
    </row>
    <row r="4" spans="1:80" s="418" customFormat="1" ht="27.6" x14ac:dyDescent="0.3">
      <c r="A4" s="1052">
        <v>5</v>
      </c>
      <c r="B4" s="1049"/>
      <c r="C4" s="1060" t="s">
        <v>1922</v>
      </c>
      <c r="D4" s="1061" t="s">
        <v>120</v>
      </c>
      <c r="E4" s="1062" t="s">
        <v>299</v>
      </c>
      <c r="F4" s="1063">
        <v>0</v>
      </c>
      <c r="G4" s="1063">
        <v>0</v>
      </c>
      <c r="H4" s="1063">
        <v>0</v>
      </c>
      <c r="I4" s="1063">
        <v>0</v>
      </c>
      <c r="J4" s="1063">
        <v>0</v>
      </c>
      <c r="K4" s="1063">
        <v>0</v>
      </c>
      <c r="L4" s="1063">
        <v>0</v>
      </c>
      <c r="M4" s="1063">
        <v>0</v>
      </c>
      <c r="N4" s="1063">
        <v>0</v>
      </c>
      <c r="O4" s="1063">
        <v>0</v>
      </c>
      <c r="P4" s="1063">
        <v>0</v>
      </c>
      <c r="Q4" s="1063">
        <v>0</v>
      </c>
      <c r="R4" s="1063">
        <v>0</v>
      </c>
      <c r="S4" s="1063">
        <v>0</v>
      </c>
      <c r="T4" s="1063">
        <v>0</v>
      </c>
      <c r="U4" s="1063">
        <v>0</v>
      </c>
      <c r="V4" s="1063"/>
      <c r="W4" s="1063"/>
      <c r="X4" s="1063"/>
      <c r="Y4" s="1063"/>
      <c r="Z4" s="1063"/>
      <c r="AA4" s="1063"/>
      <c r="AB4" s="1063"/>
      <c r="AC4" s="1063"/>
      <c r="AD4" s="1063"/>
      <c r="AE4" s="1063"/>
      <c r="AF4" s="1063"/>
      <c r="AG4" s="1063"/>
      <c r="AH4" s="1063"/>
      <c r="AI4" s="1063"/>
      <c r="AJ4" s="1063"/>
      <c r="AK4" s="1063"/>
      <c r="AL4" s="1063"/>
      <c r="AM4" s="1063"/>
      <c r="AN4" s="1063"/>
      <c r="AO4" s="1063"/>
      <c r="AP4" s="1063"/>
      <c r="AQ4" s="1063"/>
      <c r="AR4" s="1063"/>
      <c r="AS4" s="1063"/>
      <c r="AT4" s="418">
        <v>0</v>
      </c>
      <c r="AU4" s="418">
        <v>3198</v>
      </c>
      <c r="AV4" s="418">
        <v>1176</v>
      </c>
      <c r="AW4" s="418">
        <v>0</v>
      </c>
      <c r="AX4" s="418">
        <v>0</v>
      </c>
      <c r="AY4" s="418">
        <v>1003</v>
      </c>
      <c r="AZ4" s="418">
        <v>0</v>
      </c>
      <c r="BA4" s="418">
        <v>0</v>
      </c>
      <c r="BB4" s="418">
        <v>0</v>
      </c>
      <c r="BC4" s="418">
        <v>0</v>
      </c>
      <c r="BD4" s="418">
        <v>0</v>
      </c>
      <c r="BE4" s="418">
        <v>0</v>
      </c>
      <c r="BF4" s="418">
        <v>9801</v>
      </c>
      <c r="BG4" s="418">
        <v>0</v>
      </c>
      <c r="BH4" s="418">
        <v>0</v>
      </c>
      <c r="BI4" s="418">
        <v>0</v>
      </c>
      <c r="BJ4" s="418">
        <v>947</v>
      </c>
      <c r="BK4" s="418">
        <v>0</v>
      </c>
      <c r="BL4" s="418">
        <v>2978</v>
      </c>
      <c r="BM4" s="418">
        <v>0</v>
      </c>
      <c r="BN4" s="418">
        <v>0</v>
      </c>
      <c r="BO4" s="418">
        <v>9835</v>
      </c>
      <c r="BP4" s="418">
        <v>160</v>
      </c>
      <c r="BQ4" s="418">
        <v>0</v>
      </c>
      <c r="BR4" s="418">
        <v>0</v>
      </c>
      <c r="BS4" s="418">
        <v>0</v>
      </c>
      <c r="BT4" s="418">
        <v>0</v>
      </c>
      <c r="BU4" s="418">
        <v>0</v>
      </c>
      <c r="BV4" s="418">
        <v>0</v>
      </c>
      <c r="BW4" s="418">
        <v>0</v>
      </c>
      <c r="BX4" s="418">
        <v>0</v>
      </c>
      <c r="BY4" s="418">
        <v>0</v>
      </c>
      <c r="BZ4" s="418">
        <v>0</v>
      </c>
      <c r="CA4" s="418">
        <v>0</v>
      </c>
      <c r="CB4" s="418">
        <v>0</v>
      </c>
    </row>
    <row r="5" spans="1:80" s="418" customFormat="1" ht="15.6" x14ac:dyDescent="0.3">
      <c r="A5" s="1052">
        <v>6</v>
      </c>
      <c r="B5" s="1049"/>
      <c r="C5" s="1060" t="s">
        <v>1923</v>
      </c>
      <c r="D5" s="1061" t="s">
        <v>265</v>
      </c>
      <c r="E5" s="1062" t="s">
        <v>300</v>
      </c>
      <c r="F5" s="1063">
        <v>0</v>
      </c>
      <c r="G5" s="1063">
        <v>0</v>
      </c>
      <c r="H5" s="1063">
        <v>0</v>
      </c>
      <c r="I5" s="1063">
        <v>0</v>
      </c>
      <c r="J5" s="1063">
        <v>0</v>
      </c>
      <c r="K5" s="1063">
        <v>0</v>
      </c>
      <c r="L5" s="1063">
        <v>0</v>
      </c>
      <c r="M5" s="1063">
        <v>0</v>
      </c>
      <c r="N5" s="1063">
        <v>0</v>
      </c>
      <c r="O5" s="1063">
        <v>0</v>
      </c>
      <c r="P5" s="1063">
        <v>0</v>
      </c>
      <c r="Q5" s="1063">
        <v>0</v>
      </c>
      <c r="R5" s="1063">
        <v>0</v>
      </c>
      <c r="S5" s="1063">
        <v>0</v>
      </c>
      <c r="T5" s="1063">
        <v>0</v>
      </c>
      <c r="U5" s="1063">
        <v>0</v>
      </c>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c r="AT5" s="418">
        <v>0</v>
      </c>
      <c r="AU5" s="418">
        <v>0</v>
      </c>
      <c r="AV5" s="418">
        <v>0</v>
      </c>
      <c r="AW5" s="418">
        <v>0</v>
      </c>
      <c r="AX5" s="418">
        <v>0</v>
      </c>
      <c r="AY5" s="418">
        <v>19953</v>
      </c>
      <c r="AZ5" s="418">
        <v>0</v>
      </c>
      <c r="BA5" s="418">
        <v>0</v>
      </c>
      <c r="BB5" s="418">
        <v>0</v>
      </c>
      <c r="BC5" s="418">
        <v>0</v>
      </c>
      <c r="BD5" s="418">
        <v>0</v>
      </c>
      <c r="BE5" s="418">
        <v>0</v>
      </c>
      <c r="BF5" s="418">
        <v>0</v>
      </c>
      <c r="BG5" s="418">
        <v>0</v>
      </c>
      <c r="BH5" s="418">
        <v>0</v>
      </c>
      <c r="BI5" s="418">
        <v>0</v>
      </c>
      <c r="BJ5" s="418">
        <v>133531</v>
      </c>
      <c r="BK5" s="418">
        <v>0</v>
      </c>
      <c r="BL5" s="418">
        <v>141268</v>
      </c>
      <c r="BM5" s="418">
        <v>0</v>
      </c>
      <c r="BN5" s="418">
        <v>0</v>
      </c>
      <c r="BO5" s="418">
        <v>0</v>
      </c>
      <c r="BP5" s="418">
        <v>0</v>
      </c>
      <c r="BQ5" s="418">
        <v>0</v>
      </c>
      <c r="BR5" s="418">
        <v>0</v>
      </c>
      <c r="BS5" s="418">
        <v>0</v>
      </c>
      <c r="BT5" s="418">
        <v>0</v>
      </c>
      <c r="BU5" s="418">
        <v>0</v>
      </c>
      <c r="BV5" s="418">
        <v>0</v>
      </c>
      <c r="BW5" s="418">
        <v>0</v>
      </c>
      <c r="BX5" s="418">
        <v>335000</v>
      </c>
      <c r="BY5" s="418">
        <v>0</v>
      </c>
      <c r="BZ5" s="418">
        <v>0</v>
      </c>
      <c r="CA5" s="418">
        <v>276871</v>
      </c>
      <c r="CB5" s="418">
        <v>0</v>
      </c>
    </row>
    <row r="6" spans="1:80" s="418" customFormat="1" ht="15.6" x14ac:dyDescent="0.3">
      <c r="A6" s="1052">
        <v>7</v>
      </c>
      <c r="B6" s="1049"/>
      <c r="C6" s="1060" t="s">
        <v>1924</v>
      </c>
      <c r="D6" s="1061" t="s">
        <v>202</v>
      </c>
      <c r="E6" s="1062" t="s">
        <v>301</v>
      </c>
      <c r="F6" s="1063">
        <v>0</v>
      </c>
      <c r="G6" s="1063">
        <v>0</v>
      </c>
      <c r="H6" s="1063">
        <v>0</v>
      </c>
      <c r="I6" s="1063">
        <v>0</v>
      </c>
      <c r="J6" s="1063">
        <v>0</v>
      </c>
      <c r="K6" s="1063">
        <v>0</v>
      </c>
      <c r="L6" s="1063">
        <v>0</v>
      </c>
      <c r="M6" s="1063">
        <v>0</v>
      </c>
      <c r="N6" s="1063">
        <v>0</v>
      </c>
      <c r="O6" s="1063">
        <v>0</v>
      </c>
      <c r="P6" s="1063">
        <v>0</v>
      </c>
      <c r="Q6" s="1063">
        <v>0</v>
      </c>
      <c r="R6" s="1063">
        <v>0</v>
      </c>
      <c r="S6" s="1063">
        <v>0</v>
      </c>
      <c r="T6" s="1063">
        <v>0</v>
      </c>
      <c r="U6" s="1063">
        <v>0</v>
      </c>
      <c r="V6" s="1063"/>
      <c r="W6" s="1063"/>
      <c r="X6" s="1063"/>
      <c r="Y6" s="1063"/>
      <c r="Z6" s="1063"/>
      <c r="AA6" s="1063"/>
      <c r="AB6" s="1063"/>
      <c r="AC6" s="1063"/>
      <c r="AD6" s="1063"/>
      <c r="AE6" s="1063"/>
      <c r="AF6" s="1063"/>
      <c r="AG6" s="1063"/>
      <c r="AH6" s="1063"/>
      <c r="AI6" s="1063"/>
      <c r="AJ6" s="1063"/>
      <c r="AK6" s="1063"/>
      <c r="AL6" s="1063"/>
      <c r="AM6" s="1063"/>
      <c r="AN6" s="1063"/>
      <c r="AO6" s="1063"/>
      <c r="AP6" s="1063"/>
      <c r="AQ6" s="1063"/>
      <c r="AR6" s="1063"/>
      <c r="AS6" s="1063"/>
      <c r="AT6" s="418">
        <v>0</v>
      </c>
      <c r="AU6" s="418">
        <v>16791</v>
      </c>
      <c r="AV6" s="418">
        <v>19455</v>
      </c>
      <c r="AW6" s="418">
        <v>0</v>
      </c>
      <c r="AX6" s="418">
        <v>0</v>
      </c>
      <c r="AY6" s="418">
        <v>160156</v>
      </c>
      <c r="AZ6" s="418">
        <v>14953</v>
      </c>
      <c r="BA6" s="418">
        <v>0</v>
      </c>
      <c r="BB6" s="418">
        <v>0</v>
      </c>
      <c r="BC6" s="418">
        <v>0</v>
      </c>
      <c r="BD6" s="418">
        <v>0</v>
      </c>
      <c r="BE6" s="418">
        <v>0</v>
      </c>
      <c r="BF6" s="418">
        <v>125926</v>
      </c>
      <c r="BG6" s="418">
        <v>0</v>
      </c>
      <c r="BH6" s="418">
        <v>0</v>
      </c>
      <c r="BI6" s="418">
        <v>0</v>
      </c>
      <c r="BJ6" s="418">
        <v>28935</v>
      </c>
      <c r="BK6" s="418">
        <v>0</v>
      </c>
      <c r="BL6" s="418">
        <v>5100</v>
      </c>
      <c r="BM6" s="418">
        <v>18</v>
      </c>
      <c r="BN6" s="418">
        <v>0</v>
      </c>
      <c r="BO6" s="418">
        <v>28663</v>
      </c>
      <c r="BP6" s="418">
        <v>0</v>
      </c>
      <c r="BQ6" s="418">
        <v>4000</v>
      </c>
      <c r="BR6" s="418">
        <v>0</v>
      </c>
      <c r="BS6" s="418">
        <v>900</v>
      </c>
      <c r="BT6" s="418">
        <v>114980</v>
      </c>
      <c r="BU6" s="418">
        <v>0</v>
      </c>
      <c r="BV6" s="418">
        <v>0</v>
      </c>
      <c r="BW6" s="418">
        <v>0</v>
      </c>
      <c r="BX6" s="418">
        <v>0</v>
      </c>
      <c r="BY6" s="418">
        <v>0</v>
      </c>
      <c r="BZ6" s="418">
        <v>0</v>
      </c>
      <c r="CA6" s="418">
        <v>168052</v>
      </c>
      <c r="CB6" s="418">
        <v>0</v>
      </c>
    </row>
    <row r="7" spans="1:80" s="418" customFormat="1" ht="27.6" x14ac:dyDescent="0.3">
      <c r="A7" s="1052">
        <v>9</v>
      </c>
      <c r="B7" s="1049"/>
      <c r="C7" s="1060" t="s">
        <v>1925</v>
      </c>
      <c r="D7" s="1061" t="s">
        <v>204</v>
      </c>
      <c r="E7" s="1062" t="s">
        <v>302</v>
      </c>
      <c r="F7" s="1063">
        <v>0</v>
      </c>
      <c r="G7" s="1063">
        <v>0</v>
      </c>
      <c r="H7" s="1063">
        <v>0</v>
      </c>
      <c r="I7" s="1063">
        <v>0</v>
      </c>
      <c r="J7" s="1063">
        <v>0</v>
      </c>
      <c r="K7" s="1063">
        <v>0</v>
      </c>
      <c r="L7" s="1063">
        <v>0</v>
      </c>
      <c r="M7" s="1063">
        <v>0</v>
      </c>
      <c r="N7" s="1063">
        <v>0</v>
      </c>
      <c r="O7" s="1063">
        <v>0</v>
      </c>
      <c r="P7" s="1063">
        <v>0</v>
      </c>
      <c r="Q7" s="1063">
        <v>0</v>
      </c>
      <c r="R7" s="1063">
        <v>0</v>
      </c>
      <c r="S7" s="1063">
        <v>0</v>
      </c>
      <c r="T7" s="1063">
        <v>0</v>
      </c>
      <c r="U7" s="1063">
        <v>0</v>
      </c>
      <c r="V7" s="1063"/>
      <c r="W7" s="1063"/>
      <c r="X7" s="1063"/>
      <c r="Y7" s="1063"/>
      <c r="Z7" s="1063"/>
      <c r="AA7" s="1063"/>
      <c r="AB7" s="1063"/>
      <c r="AC7" s="1063"/>
      <c r="AD7" s="1063"/>
      <c r="AE7" s="1063"/>
      <c r="AF7" s="1063"/>
      <c r="AG7" s="1063"/>
      <c r="AH7" s="1063"/>
      <c r="AI7" s="1063"/>
      <c r="AJ7" s="1063"/>
      <c r="AK7" s="1063"/>
      <c r="AL7" s="1063"/>
      <c r="AM7" s="1063"/>
      <c r="AN7" s="1063"/>
      <c r="AO7" s="1063"/>
      <c r="AP7" s="1063"/>
      <c r="AQ7" s="1063"/>
      <c r="AR7" s="1063"/>
      <c r="AS7" s="1063"/>
      <c r="AT7" s="418">
        <v>485484</v>
      </c>
      <c r="AU7" s="418">
        <v>3106649</v>
      </c>
      <c r="AV7" s="418">
        <v>6848623</v>
      </c>
      <c r="AW7" s="418">
        <v>157363</v>
      </c>
      <c r="AX7" s="418">
        <v>546024</v>
      </c>
      <c r="AY7" s="418">
        <v>3528591</v>
      </c>
      <c r="AZ7" s="418">
        <v>3056307</v>
      </c>
      <c r="BA7" s="418">
        <v>2171109</v>
      </c>
      <c r="BB7" s="418">
        <v>120196</v>
      </c>
      <c r="BC7" s="418">
        <v>1888089</v>
      </c>
      <c r="BD7" s="418">
        <v>0</v>
      </c>
      <c r="BE7" s="418">
        <v>396404</v>
      </c>
      <c r="BF7" s="418">
        <v>5383411</v>
      </c>
      <c r="BG7" s="418">
        <v>0</v>
      </c>
      <c r="BH7" s="418">
        <v>181450</v>
      </c>
      <c r="BI7" s="418">
        <v>2960874</v>
      </c>
      <c r="BJ7" s="418">
        <v>3702072</v>
      </c>
      <c r="BK7" s="418">
        <v>0</v>
      </c>
      <c r="BL7" s="418">
        <v>3326834</v>
      </c>
      <c r="BM7" s="418">
        <v>6097828</v>
      </c>
      <c r="BN7" s="418">
        <v>141989</v>
      </c>
      <c r="BO7" s="418">
        <v>4478753</v>
      </c>
      <c r="BP7" s="418">
        <v>3695204</v>
      </c>
      <c r="BQ7" s="418">
        <v>1690464</v>
      </c>
      <c r="BR7" s="418">
        <v>3032233</v>
      </c>
      <c r="BS7" s="418">
        <v>2116025</v>
      </c>
      <c r="BT7" s="418">
        <v>11000469</v>
      </c>
      <c r="BU7" s="418">
        <v>2441166</v>
      </c>
      <c r="BV7" s="418">
        <v>1969129</v>
      </c>
      <c r="BW7" s="418">
        <v>543137</v>
      </c>
      <c r="BX7" s="418">
        <v>1314817</v>
      </c>
      <c r="BY7" s="418">
        <v>186628</v>
      </c>
      <c r="BZ7" s="418">
        <v>216749</v>
      </c>
      <c r="CA7" s="418">
        <v>14842317</v>
      </c>
      <c r="CB7" s="418">
        <v>102882</v>
      </c>
    </row>
    <row r="8" spans="1:80" s="418" customFormat="1" ht="15.6" x14ac:dyDescent="0.3">
      <c r="A8" s="1052">
        <v>11</v>
      </c>
      <c r="B8" s="1049"/>
      <c r="C8" s="1060" t="s">
        <v>1926</v>
      </c>
      <c r="D8" s="1061" t="s">
        <v>203</v>
      </c>
      <c r="E8" s="1062" t="s">
        <v>303</v>
      </c>
      <c r="F8" s="1063">
        <v>0</v>
      </c>
      <c r="G8" s="1063">
        <v>0</v>
      </c>
      <c r="H8" s="1063">
        <v>0</v>
      </c>
      <c r="I8" s="1063">
        <v>0</v>
      </c>
      <c r="J8" s="1063">
        <v>0</v>
      </c>
      <c r="K8" s="1063">
        <v>0</v>
      </c>
      <c r="L8" s="1063">
        <v>0</v>
      </c>
      <c r="M8" s="1063">
        <v>0</v>
      </c>
      <c r="N8" s="1063">
        <v>0</v>
      </c>
      <c r="O8" s="1063">
        <v>0</v>
      </c>
      <c r="P8" s="1063">
        <v>0</v>
      </c>
      <c r="Q8" s="1063">
        <v>0</v>
      </c>
      <c r="R8" s="1063">
        <v>0</v>
      </c>
      <c r="S8" s="1063">
        <v>0</v>
      </c>
      <c r="T8" s="1063">
        <v>0</v>
      </c>
      <c r="U8" s="1063">
        <v>0</v>
      </c>
      <c r="V8" s="1063"/>
      <c r="W8" s="1063"/>
      <c r="X8" s="1063"/>
      <c r="Y8" s="1063"/>
      <c r="Z8" s="1063"/>
      <c r="AA8" s="1049"/>
      <c r="AB8" s="1049"/>
      <c r="AC8" s="1063"/>
      <c r="AD8" s="1063"/>
      <c r="AE8" s="1063"/>
      <c r="AF8" s="1063"/>
      <c r="AG8" s="1063"/>
      <c r="AH8" s="1063"/>
      <c r="AI8" s="1063"/>
      <c r="AJ8" s="1063"/>
      <c r="AK8" s="1063"/>
      <c r="AL8" s="1063"/>
      <c r="AM8" s="1063"/>
      <c r="AN8" s="1063"/>
      <c r="AO8" s="1063"/>
      <c r="AP8" s="1063"/>
      <c r="AQ8" s="1063"/>
      <c r="AR8" s="1063"/>
      <c r="AS8" s="1063"/>
      <c r="AT8" s="418">
        <v>27462</v>
      </c>
      <c r="AU8" s="418">
        <v>112874</v>
      </c>
      <c r="AV8" s="418">
        <v>369558</v>
      </c>
      <c r="AW8" s="418">
        <v>3181</v>
      </c>
      <c r="AX8" s="418">
        <v>101260</v>
      </c>
      <c r="AY8" s="418">
        <v>67380</v>
      </c>
      <c r="AZ8" s="418">
        <v>564647</v>
      </c>
      <c r="BA8" s="418">
        <v>67700</v>
      </c>
      <c r="BB8" s="418">
        <v>0</v>
      </c>
      <c r="BC8" s="418">
        <v>476510</v>
      </c>
      <c r="BD8" s="418">
        <v>0</v>
      </c>
      <c r="BE8" s="418">
        <v>8482</v>
      </c>
      <c r="BF8" s="418">
        <v>32518</v>
      </c>
      <c r="BG8" s="418">
        <v>0</v>
      </c>
      <c r="BH8" s="418">
        <v>23601</v>
      </c>
      <c r="BI8" s="418">
        <v>7771</v>
      </c>
      <c r="BJ8" s="418">
        <v>123884</v>
      </c>
      <c r="BK8" s="418">
        <v>0</v>
      </c>
      <c r="BL8" s="418">
        <v>165121</v>
      </c>
      <c r="BM8" s="418">
        <v>61161</v>
      </c>
      <c r="BN8" s="418">
        <v>0</v>
      </c>
      <c r="BO8" s="418">
        <v>214857</v>
      </c>
      <c r="BP8" s="418">
        <v>141279</v>
      </c>
      <c r="BQ8" s="418">
        <v>147781</v>
      </c>
      <c r="BR8" s="418">
        <v>170778</v>
      </c>
      <c r="BS8" s="418">
        <v>18341</v>
      </c>
      <c r="BT8" s="418">
        <v>482455</v>
      </c>
      <c r="BU8" s="418">
        <v>28016</v>
      </c>
      <c r="BV8" s="418">
        <v>121554</v>
      </c>
      <c r="BW8" s="418">
        <v>0</v>
      </c>
      <c r="BX8" s="418">
        <v>52790</v>
      </c>
      <c r="BY8" s="418">
        <v>20509</v>
      </c>
      <c r="BZ8" s="418">
        <v>18656</v>
      </c>
      <c r="CA8" s="418">
        <v>0</v>
      </c>
      <c r="CB8" s="418">
        <v>5028</v>
      </c>
    </row>
    <row r="9" spans="1:80" s="418" customFormat="1" ht="27.6" x14ac:dyDescent="0.3">
      <c r="A9" s="1052">
        <v>12</v>
      </c>
      <c r="B9" s="1049"/>
      <c r="C9" s="1060" t="s">
        <v>1927</v>
      </c>
      <c r="D9" s="1061" t="s">
        <v>1770</v>
      </c>
      <c r="E9" s="1062" t="s">
        <v>304</v>
      </c>
      <c r="F9" s="1063">
        <v>0</v>
      </c>
      <c r="G9" s="1063">
        <v>0</v>
      </c>
      <c r="H9" s="1063">
        <v>0</v>
      </c>
      <c r="I9" s="1063">
        <v>0</v>
      </c>
      <c r="J9" s="1063">
        <v>0</v>
      </c>
      <c r="K9" s="1063">
        <v>0</v>
      </c>
      <c r="L9" s="1063">
        <v>0</v>
      </c>
      <c r="M9" s="1063">
        <v>0</v>
      </c>
      <c r="N9" s="1063">
        <v>0</v>
      </c>
      <c r="O9" s="1063">
        <v>0</v>
      </c>
      <c r="P9" s="1063">
        <v>0</v>
      </c>
      <c r="Q9" s="1063">
        <v>0</v>
      </c>
      <c r="R9" s="1063">
        <v>0</v>
      </c>
      <c r="S9" s="1063">
        <v>0</v>
      </c>
      <c r="T9" s="1063">
        <v>0</v>
      </c>
      <c r="U9" s="1063">
        <v>0</v>
      </c>
      <c r="V9" s="1063"/>
      <c r="W9" s="1063"/>
      <c r="X9" s="1063"/>
      <c r="Y9" s="1064"/>
      <c r="Z9" s="1065"/>
      <c r="AA9" s="1066"/>
      <c r="AB9" s="1049"/>
      <c r="AC9" s="1063"/>
      <c r="AD9" s="1063"/>
      <c r="AE9" s="1063"/>
      <c r="AF9" s="1063"/>
      <c r="AG9" s="1063"/>
      <c r="AH9" s="1063"/>
      <c r="AI9" s="1063"/>
      <c r="AJ9" s="1063"/>
      <c r="AK9" s="1063"/>
      <c r="AL9" s="1063"/>
      <c r="AM9" s="1063"/>
      <c r="AN9" s="1063"/>
      <c r="AO9" s="1063"/>
      <c r="AP9" s="1063"/>
      <c r="AQ9" s="1063"/>
      <c r="AR9" s="1063"/>
      <c r="AS9" s="1063"/>
    </row>
    <row r="10" spans="1:80" s="418" customFormat="1" ht="27.6" x14ac:dyDescent="0.3">
      <c r="A10" s="1052">
        <v>13</v>
      </c>
      <c r="B10" s="1053">
        <v>13</v>
      </c>
      <c r="C10" s="1060" t="s">
        <v>1928</v>
      </c>
      <c r="D10" s="1061" t="s">
        <v>1719</v>
      </c>
      <c r="E10" s="1062" t="s">
        <v>305</v>
      </c>
      <c r="F10" s="1063">
        <v>0</v>
      </c>
      <c r="G10" s="1063">
        <v>168008259</v>
      </c>
      <c r="H10" s="1063">
        <v>92730390</v>
      </c>
      <c r="I10" s="1063">
        <v>222907780</v>
      </c>
      <c r="J10" s="1063">
        <v>0</v>
      </c>
      <c r="K10" s="1063">
        <v>0</v>
      </c>
      <c r="L10" s="1063">
        <v>0</v>
      </c>
      <c r="M10" s="1063">
        <v>0</v>
      </c>
      <c r="N10" s="1063">
        <v>101614411</v>
      </c>
      <c r="O10" s="1063">
        <v>22313404</v>
      </c>
      <c r="P10" s="1063">
        <v>125159581</v>
      </c>
      <c r="Q10" s="1063">
        <v>0</v>
      </c>
      <c r="R10" s="1063">
        <v>23276821</v>
      </c>
      <c r="S10" s="1063">
        <v>44101290</v>
      </c>
      <c r="T10" s="1063">
        <v>17025513</v>
      </c>
      <c r="U10" s="1063">
        <v>164622996</v>
      </c>
      <c r="V10" s="1063"/>
      <c r="W10" s="1063"/>
      <c r="X10" s="1063"/>
      <c r="Y10" s="1064"/>
      <c r="Z10" s="1065"/>
      <c r="AA10" s="1066"/>
      <c r="AB10" s="1049"/>
      <c r="AC10" s="1063"/>
      <c r="AD10" s="1063"/>
      <c r="AE10" s="1063"/>
      <c r="AF10" s="1063"/>
      <c r="AG10" s="1063"/>
      <c r="AH10" s="1063"/>
      <c r="AI10" s="1063"/>
      <c r="AJ10" s="1063"/>
      <c r="AK10" s="1063"/>
      <c r="AL10" s="1063"/>
      <c r="AM10" s="1063"/>
      <c r="AN10" s="1063"/>
      <c r="AO10" s="1063"/>
      <c r="AP10" s="1063"/>
      <c r="AQ10" s="1063"/>
      <c r="AR10" s="1063"/>
      <c r="AS10" s="1063"/>
    </row>
    <row r="11" spans="1:80" s="418" customFormat="1" ht="27.6" x14ac:dyDescent="0.3">
      <c r="A11" s="1052">
        <v>14</v>
      </c>
      <c r="B11" s="1053">
        <v>14</v>
      </c>
      <c r="C11" s="1060" t="s">
        <v>1929</v>
      </c>
      <c r="D11" s="1061" t="s">
        <v>306</v>
      </c>
      <c r="E11" s="1062" t="s">
        <v>307</v>
      </c>
      <c r="F11" s="1063">
        <v>0</v>
      </c>
      <c r="G11" s="1063">
        <v>68609896</v>
      </c>
      <c r="H11" s="1063">
        <v>41991098</v>
      </c>
      <c r="I11" s="1063">
        <v>81629164</v>
      </c>
      <c r="J11" s="1063">
        <v>0</v>
      </c>
      <c r="K11" s="1063">
        <v>0</v>
      </c>
      <c r="L11" s="1063">
        <v>0</v>
      </c>
      <c r="M11" s="1063">
        <v>0</v>
      </c>
      <c r="N11" s="1063">
        <v>65893744</v>
      </c>
      <c r="O11" s="1063">
        <v>13685632</v>
      </c>
      <c r="P11" s="1063">
        <v>76554026</v>
      </c>
      <c r="Q11" s="1063">
        <v>0</v>
      </c>
      <c r="R11" s="1063">
        <v>29242019</v>
      </c>
      <c r="S11" s="1063">
        <v>49390273</v>
      </c>
      <c r="T11" s="1063">
        <v>19450471</v>
      </c>
      <c r="U11" s="1063">
        <v>64766820</v>
      </c>
      <c r="V11" s="1063"/>
      <c r="W11" s="1063"/>
      <c r="X11" s="1063"/>
      <c r="Y11" s="1064"/>
      <c r="Z11" s="1065"/>
      <c r="AA11" s="1066"/>
      <c r="AB11" s="1049"/>
      <c r="AC11" s="1063"/>
      <c r="AD11" s="1063"/>
      <c r="AE11" s="1063"/>
      <c r="AF11" s="1063"/>
      <c r="AG11" s="1063"/>
      <c r="AH11" s="1063"/>
      <c r="AI11" s="1063"/>
      <c r="AJ11" s="1063"/>
      <c r="AK11" s="1063"/>
      <c r="AL11" s="1063"/>
      <c r="AM11" s="1063"/>
      <c r="AN11" s="1063"/>
      <c r="AO11" s="1063"/>
      <c r="AP11" s="1063"/>
      <c r="AQ11" s="1063"/>
      <c r="AR11" s="1063"/>
      <c r="AS11" s="1063"/>
    </row>
    <row r="12" spans="1:80" s="418" customFormat="1" ht="15.6" x14ac:dyDescent="0.3">
      <c r="A12" s="1052">
        <v>16</v>
      </c>
      <c r="B12" s="1049"/>
      <c r="C12" s="1060" t="s">
        <v>1930</v>
      </c>
      <c r="D12" s="1061" t="s">
        <v>206</v>
      </c>
      <c r="E12" s="1062" t="s">
        <v>308</v>
      </c>
      <c r="F12" s="1063">
        <v>0</v>
      </c>
      <c r="G12" s="1063">
        <v>0</v>
      </c>
      <c r="H12" s="1063">
        <v>0</v>
      </c>
      <c r="I12" s="1063">
        <v>0</v>
      </c>
      <c r="J12" s="1063">
        <v>0</v>
      </c>
      <c r="K12" s="1063">
        <v>0</v>
      </c>
      <c r="L12" s="1063">
        <v>0</v>
      </c>
      <c r="M12" s="1063">
        <v>0</v>
      </c>
      <c r="N12" s="1063">
        <v>0</v>
      </c>
      <c r="O12" s="1063">
        <v>0</v>
      </c>
      <c r="P12" s="1063">
        <v>0</v>
      </c>
      <c r="Q12" s="1063">
        <v>0</v>
      </c>
      <c r="R12" s="1063">
        <v>0</v>
      </c>
      <c r="S12" s="1063">
        <v>0</v>
      </c>
      <c r="T12" s="1063">
        <v>0</v>
      </c>
      <c r="U12" s="1063">
        <v>0</v>
      </c>
      <c r="V12" s="1063"/>
      <c r="W12" s="1063"/>
      <c r="X12" s="1063"/>
      <c r="Y12" s="1064"/>
      <c r="Z12" s="1065"/>
      <c r="AA12" s="1066"/>
      <c r="AB12" s="1049"/>
      <c r="AC12" s="1063"/>
      <c r="AD12" s="1063"/>
      <c r="AE12" s="1063"/>
      <c r="AF12" s="1063"/>
      <c r="AG12" s="1063"/>
      <c r="AH12" s="1063"/>
      <c r="AI12" s="1063"/>
      <c r="AJ12" s="1063"/>
      <c r="AK12" s="1063"/>
      <c r="AL12" s="1063"/>
      <c r="AM12" s="1063"/>
      <c r="AN12" s="1063"/>
      <c r="AO12" s="1063"/>
      <c r="AP12" s="1063"/>
      <c r="AQ12" s="1063"/>
      <c r="AR12" s="1063"/>
      <c r="AS12" s="1063"/>
      <c r="AT12" s="418">
        <v>678746</v>
      </c>
      <c r="AU12" s="418">
        <v>4859861</v>
      </c>
      <c r="AV12" s="418">
        <v>12109855</v>
      </c>
      <c r="AW12" s="418">
        <v>106072</v>
      </c>
      <c r="AX12" s="418">
        <v>778926</v>
      </c>
      <c r="AY12" s="418">
        <v>3410780</v>
      </c>
      <c r="AZ12" s="418">
        <v>4379291</v>
      </c>
      <c r="BA12" s="418">
        <v>3472693</v>
      </c>
      <c r="BB12" s="418">
        <v>81223</v>
      </c>
      <c r="BC12" s="418">
        <v>2631094</v>
      </c>
      <c r="BD12" s="418">
        <v>0</v>
      </c>
      <c r="BE12" s="418">
        <v>84302</v>
      </c>
      <c r="BF12" s="418">
        <v>26494470</v>
      </c>
      <c r="BG12" s="418">
        <v>0</v>
      </c>
      <c r="BH12" s="418">
        <v>70120</v>
      </c>
      <c r="BI12" s="418">
        <v>3219607</v>
      </c>
      <c r="BJ12" s="418">
        <v>2949536</v>
      </c>
      <c r="BK12" s="418">
        <v>0</v>
      </c>
      <c r="BL12" s="418">
        <v>9118916</v>
      </c>
      <c r="BM12" s="418">
        <v>4349680</v>
      </c>
      <c r="BN12" s="418">
        <v>50974</v>
      </c>
      <c r="BO12" s="418">
        <v>7173239</v>
      </c>
      <c r="BP12" s="418">
        <v>2093171</v>
      </c>
      <c r="BQ12" s="418">
        <v>1057933</v>
      </c>
      <c r="BR12" s="418">
        <v>2029840</v>
      </c>
      <c r="BS12" s="418">
        <v>1604987</v>
      </c>
      <c r="BT12" s="418">
        <v>23576257</v>
      </c>
      <c r="BU12" s="418">
        <v>2098257</v>
      </c>
      <c r="BV12" s="418">
        <v>2995906</v>
      </c>
      <c r="BW12" s="418">
        <v>1426098</v>
      </c>
      <c r="BX12" s="418">
        <v>1025718</v>
      </c>
      <c r="BY12" s="418">
        <v>40420</v>
      </c>
      <c r="BZ12" s="418">
        <v>47916</v>
      </c>
      <c r="CA12" s="418">
        <v>19644365</v>
      </c>
      <c r="CB12" s="418">
        <v>98097</v>
      </c>
    </row>
    <row r="13" spans="1:80" s="418" customFormat="1" ht="15.6" x14ac:dyDescent="0.3">
      <c r="A13" s="1052">
        <v>17</v>
      </c>
      <c r="B13" s="1049"/>
      <c r="C13" s="1060" t="s">
        <v>1931</v>
      </c>
      <c r="D13" s="1061" t="s">
        <v>209</v>
      </c>
      <c r="E13" s="1062" t="s">
        <v>309</v>
      </c>
      <c r="F13" s="1063">
        <v>0</v>
      </c>
      <c r="G13" s="1063">
        <v>0</v>
      </c>
      <c r="H13" s="1063">
        <v>0</v>
      </c>
      <c r="I13" s="1063">
        <v>0</v>
      </c>
      <c r="J13" s="1063">
        <v>0</v>
      </c>
      <c r="K13" s="1063">
        <v>0</v>
      </c>
      <c r="L13" s="1063">
        <v>0</v>
      </c>
      <c r="M13" s="1063">
        <v>0</v>
      </c>
      <c r="N13" s="1063">
        <v>0</v>
      </c>
      <c r="O13" s="1063">
        <v>0</v>
      </c>
      <c r="P13" s="1063">
        <v>0</v>
      </c>
      <c r="Q13" s="1063">
        <v>0</v>
      </c>
      <c r="R13" s="1063">
        <v>0</v>
      </c>
      <c r="S13" s="1063">
        <v>0</v>
      </c>
      <c r="T13" s="1063">
        <v>0</v>
      </c>
      <c r="U13" s="1063">
        <v>0</v>
      </c>
      <c r="V13" s="1063"/>
      <c r="W13" s="1063"/>
      <c r="X13" s="1063"/>
      <c r="Y13" s="1064"/>
      <c r="Z13" s="1065"/>
      <c r="AA13" s="1066"/>
      <c r="AB13" s="1049"/>
      <c r="AC13" s="1063"/>
      <c r="AD13" s="1063"/>
      <c r="AE13" s="1063"/>
      <c r="AF13" s="1063"/>
      <c r="AG13" s="1063"/>
      <c r="AH13" s="1063"/>
      <c r="AI13" s="1063"/>
      <c r="AJ13" s="1063"/>
      <c r="AK13" s="1063"/>
      <c r="AL13" s="1063"/>
      <c r="AM13" s="1063"/>
      <c r="AN13" s="1063"/>
      <c r="AO13" s="1063"/>
      <c r="AP13" s="1063"/>
      <c r="AQ13" s="1063"/>
      <c r="AR13" s="1063"/>
      <c r="AS13" s="1063"/>
      <c r="AT13" s="418">
        <v>0</v>
      </c>
      <c r="AU13" s="418">
        <v>0</v>
      </c>
      <c r="AV13" s="418">
        <v>405071</v>
      </c>
      <c r="AW13" s="418">
        <v>20000</v>
      </c>
      <c r="AX13" s="418">
        <v>0</v>
      </c>
      <c r="AY13" s="418">
        <v>0</v>
      </c>
      <c r="AZ13" s="418">
        <v>60000</v>
      </c>
      <c r="BA13" s="418">
        <v>377370</v>
      </c>
      <c r="BB13" s="418">
        <v>0</v>
      </c>
      <c r="BC13" s="418">
        <v>0</v>
      </c>
      <c r="BD13" s="418">
        <v>0</v>
      </c>
      <c r="BE13" s="418">
        <v>0</v>
      </c>
      <c r="BF13" s="418">
        <v>662245</v>
      </c>
      <c r="BG13" s="418">
        <v>0</v>
      </c>
      <c r="BH13" s="418">
        <v>0</v>
      </c>
      <c r="BI13" s="418">
        <v>22</v>
      </c>
      <c r="BJ13" s="418">
        <v>4546</v>
      </c>
      <c r="BK13" s="418">
        <v>0</v>
      </c>
      <c r="BL13" s="418">
        <v>27650</v>
      </c>
      <c r="BM13" s="418">
        <v>0</v>
      </c>
      <c r="BN13" s="418">
        <v>0</v>
      </c>
      <c r="BO13" s="418">
        <v>173000</v>
      </c>
      <c r="BP13" s="418">
        <v>0</v>
      </c>
      <c r="BQ13" s="418">
        <v>0</v>
      </c>
      <c r="BR13" s="418">
        <v>1495868</v>
      </c>
      <c r="BS13" s="418">
        <v>0</v>
      </c>
      <c r="BT13" s="418">
        <v>977378</v>
      </c>
      <c r="BU13" s="418">
        <v>0</v>
      </c>
      <c r="BV13" s="418">
        <v>0</v>
      </c>
      <c r="BW13" s="418">
        <v>0</v>
      </c>
      <c r="BX13" s="418">
        <v>0</v>
      </c>
      <c r="BY13" s="418">
        <v>0</v>
      </c>
      <c r="BZ13" s="418">
        <v>0</v>
      </c>
      <c r="CA13" s="418">
        <v>0</v>
      </c>
      <c r="CB13" s="418">
        <v>0</v>
      </c>
    </row>
    <row r="14" spans="1:80" s="418" customFormat="1" ht="15.6" x14ac:dyDescent="0.3">
      <c r="A14" s="1052">
        <v>19</v>
      </c>
      <c r="B14" s="1049"/>
      <c r="C14" s="1060" t="s">
        <v>1932</v>
      </c>
      <c r="D14" s="1061" t="s">
        <v>567</v>
      </c>
      <c r="E14" s="1062" t="s">
        <v>310</v>
      </c>
      <c r="F14" s="1063">
        <v>0</v>
      </c>
      <c r="G14" s="1063">
        <v>0</v>
      </c>
      <c r="H14" s="1063">
        <v>0</v>
      </c>
      <c r="I14" s="1063">
        <v>0</v>
      </c>
      <c r="J14" s="1063">
        <v>0</v>
      </c>
      <c r="K14" s="1063">
        <v>0</v>
      </c>
      <c r="L14" s="1063">
        <v>0</v>
      </c>
      <c r="M14" s="1063">
        <v>0</v>
      </c>
      <c r="N14" s="1063">
        <v>0</v>
      </c>
      <c r="O14" s="1063">
        <v>0</v>
      </c>
      <c r="P14" s="1063">
        <v>0</v>
      </c>
      <c r="Q14" s="1063">
        <v>0</v>
      </c>
      <c r="R14" s="1063">
        <v>0</v>
      </c>
      <c r="S14" s="1063">
        <v>0</v>
      </c>
      <c r="T14" s="1063">
        <v>0</v>
      </c>
      <c r="U14" s="1063">
        <v>0</v>
      </c>
      <c r="V14" s="1063"/>
      <c r="W14" s="1063"/>
      <c r="X14" s="1063"/>
      <c r="Y14" s="1064"/>
      <c r="Z14" s="1065"/>
      <c r="AA14" s="1066"/>
      <c r="AB14" s="1049"/>
      <c r="AC14" s="1063"/>
      <c r="AD14" s="1063"/>
      <c r="AE14" s="1063"/>
      <c r="AF14" s="1063"/>
      <c r="AG14" s="1063"/>
      <c r="AH14" s="1063"/>
      <c r="AI14" s="1063"/>
      <c r="AJ14" s="1063"/>
      <c r="AK14" s="1063"/>
      <c r="AL14" s="1063"/>
      <c r="AM14" s="1063"/>
      <c r="AN14" s="1063"/>
      <c r="AO14" s="1063"/>
      <c r="AP14" s="1063"/>
      <c r="AQ14" s="1063"/>
      <c r="AR14" s="1063"/>
      <c r="AS14" s="1063"/>
    </row>
    <row r="15" spans="1:80" s="418" customFormat="1" ht="15.6" x14ac:dyDescent="0.3">
      <c r="A15" s="1052">
        <v>20</v>
      </c>
      <c r="B15" s="1049"/>
      <c r="C15" s="1060" t="s">
        <v>1933</v>
      </c>
      <c r="D15" s="1061" t="s">
        <v>210</v>
      </c>
      <c r="E15" s="1062" t="s">
        <v>311</v>
      </c>
      <c r="F15" s="1063">
        <v>0</v>
      </c>
      <c r="G15" s="1063">
        <v>0</v>
      </c>
      <c r="H15" s="1063">
        <v>0</v>
      </c>
      <c r="I15" s="1063">
        <v>0</v>
      </c>
      <c r="J15" s="1063">
        <v>0</v>
      </c>
      <c r="K15" s="1063">
        <v>0</v>
      </c>
      <c r="L15" s="1063">
        <v>0</v>
      </c>
      <c r="M15" s="1063">
        <v>0</v>
      </c>
      <c r="N15" s="1063">
        <v>0</v>
      </c>
      <c r="O15" s="1063">
        <v>0</v>
      </c>
      <c r="P15" s="1063">
        <v>0</v>
      </c>
      <c r="Q15" s="1063">
        <v>0</v>
      </c>
      <c r="R15" s="1063">
        <v>0</v>
      </c>
      <c r="S15" s="1063">
        <v>0</v>
      </c>
      <c r="T15" s="1063">
        <v>0</v>
      </c>
      <c r="U15" s="1063">
        <v>0</v>
      </c>
      <c r="V15" s="1063"/>
      <c r="W15" s="1063"/>
      <c r="X15" s="1063"/>
      <c r="Y15" s="1063"/>
      <c r="Z15" s="1063"/>
      <c r="AA15" s="1066"/>
      <c r="AB15" s="1049"/>
      <c r="AC15" s="1063"/>
      <c r="AD15" s="1063"/>
      <c r="AE15" s="1063"/>
      <c r="AF15" s="1063"/>
      <c r="AG15" s="1063"/>
      <c r="AH15" s="1063"/>
      <c r="AI15" s="1063"/>
      <c r="AJ15" s="1063"/>
      <c r="AK15" s="1063"/>
      <c r="AL15" s="1063"/>
      <c r="AM15" s="1063"/>
      <c r="AN15" s="1063"/>
      <c r="AO15" s="1063"/>
      <c r="AP15" s="1063"/>
      <c r="AQ15" s="1063"/>
      <c r="AR15" s="1063"/>
      <c r="AS15" s="1063"/>
      <c r="AT15" s="418">
        <v>0</v>
      </c>
      <c r="AU15" s="418">
        <v>0</v>
      </c>
      <c r="AV15" s="418">
        <v>0</v>
      </c>
      <c r="AW15" s="418">
        <v>0</v>
      </c>
      <c r="AX15" s="418">
        <v>0</v>
      </c>
      <c r="AY15" s="418">
        <v>0</v>
      </c>
      <c r="AZ15" s="418">
        <v>0</v>
      </c>
      <c r="BA15" s="418">
        <v>205488</v>
      </c>
      <c r="BB15" s="418">
        <v>0</v>
      </c>
      <c r="BC15" s="418">
        <v>0</v>
      </c>
      <c r="BD15" s="418">
        <v>0</v>
      </c>
      <c r="BE15" s="418">
        <v>0</v>
      </c>
      <c r="BF15" s="418">
        <v>0</v>
      </c>
      <c r="BG15" s="418">
        <v>0</v>
      </c>
      <c r="BH15" s="418">
        <v>0</v>
      </c>
      <c r="BI15" s="418">
        <v>0</v>
      </c>
      <c r="BJ15" s="418">
        <v>0</v>
      </c>
      <c r="BK15" s="418">
        <v>0</v>
      </c>
      <c r="BL15" s="418">
        <v>0</v>
      </c>
      <c r="BM15" s="418">
        <v>193542</v>
      </c>
      <c r="BN15" s="418">
        <v>0</v>
      </c>
      <c r="BO15" s="418">
        <v>58589</v>
      </c>
      <c r="BP15" s="418">
        <v>0</v>
      </c>
      <c r="BQ15" s="418">
        <v>0</v>
      </c>
      <c r="BR15" s="418">
        <v>0</v>
      </c>
      <c r="BS15" s="418">
        <v>11000</v>
      </c>
      <c r="BT15" s="418">
        <v>987757</v>
      </c>
      <c r="BU15" s="418">
        <v>6211</v>
      </c>
      <c r="BV15" s="418">
        <v>56072</v>
      </c>
      <c r="BW15" s="418">
        <v>129596</v>
      </c>
      <c r="BX15" s="418">
        <v>0</v>
      </c>
      <c r="BY15" s="418">
        <v>0</v>
      </c>
      <c r="BZ15" s="418">
        <v>0</v>
      </c>
      <c r="CA15" s="418">
        <v>1183857</v>
      </c>
      <c r="CB15" s="418">
        <v>0</v>
      </c>
    </row>
    <row r="16" spans="1:80" s="418" customFormat="1" ht="15.6" x14ac:dyDescent="0.3">
      <c r="A16" s="1052">
        <v>21</v>
      </c>
      <c r="B16" s="1049"/>
      <c r="C16" s="1060" t="s">
        <v>1934</v>
      </c>
      <c r="D16" s="1061" t="s">
        <v>568</v>
      </c>
      <c r="E16" s="1062" t="s">
        <v>312</v>
      </c>
      <c r="F16" s="1063">
        <v>0</v>
      </c>
      <c r="G16" s="1063">
        <v>0</v>
      </c>
      <c r="H16" s="1063">
        <v>0</v>
      </c>
      <c r="I16" s="1063">
        <v>0</v>
      </c>
      <c r="J16" s="1063">
        <v>0</v>
      </c>
      <c r="K16" s="1063">
        <v>0</v>
      </c>
      <c r="L16" s="1063">
        <v>0</v>
      </c>
      <c r="M16" s="1063">
        <v>0</v>
      </c>
      <c r="N16" s="1063">
        <v>0</v>
      </c>
      <c r="O16" s="1063">
        <v>0</v>
      </c>
      <c r="P16" s="1063">
        <v>0</v>
      </c>
      <c r="Q16" s="1063">
        <v>0</v>
      </c>
      <c r="R16" s="1063">
        <v>0</v>
      </c>
      <c r="S16" s="1063">
        <v>0</v>
      </c>
      <c r="T16" s="1063">
        <v>0</v>
      </c>
      <c r="U16" s="1063">
        <v>0</v>
      </c>
      <c r="V16" s="1063"/>
      <c r="W16" s="1063"/>
      <c r="X16" s="1063"/>
      <c r="Y16" s="1063"/>
      <c r="Z16" s="1063"/>
      <c r="AA16" s="1066"/>
      <c r="AB16" s="1049"/>
      <c r="AC16" s="1063"/>
      <c r="AD16" s="1063"/>
      <c r="AE16" s="1063"/>
      <c r="AF16" s="1063"/>
      <c r="AG16" s="1063"/>
      <c r="AH16" s="1063"/>
      <c r="AI16" s="1063"/>
      <c r="AJ16" s="1063"/>
      <c r="AK16" s="1063"/>
      <c r="AL16" s="1063"/>
      <c r="AM16" s="1063"/>
      <c r="AN16" s="1063"/>
      <c r="AO16" s="1063"/>
      <c r="AP16" s="1063"/>
      <c r="AQ16" s="1063"/>
      <c r="AR16" s="1063"/>
      <c r="AS16" s="1063"/>
    </row>
    <row r="17" spans="1:80" s="418" customFormat="1" ht="15.6" x14ac:dyDescent="0.3">
      <c r="A17" s="1052">
        <v>22</v>
      </c>
      <c r="B17" s="1049"/>
      <c r="C17" s="1060" t="s">
        <v>1935</v>
      </c>
      <c r="D17" s="1061" t="s">
        <v>212</v>
      </c>
      <c r="E17" s="1062" t="s">
        <v>313</v>
      </c>
      <c r="F17" s="1063">
        <v>0</v>
      </c>
      <c r="G17" s="1063">
        <v>0</v>
      </c>
      <c r="H17" s="1063">
        <v>0</v>
      </c>
      <c r="I17" s="1063">
        <v>0</v>
      </c>
      <c r="J17" s="1063">
        <v>0</v>
      </c>
      <c r="K17" s="1063">
        <v>0</v>
      </c>
      <c r="L17" s="1063">
        <v>0</v>
      </c>
      <c r="M17" s="1063">
        <v>0</v>
      </c>
      <c r="N17" s="1063">
        <v>0</v>
      </c>
      <c r="O17" s="1063">
        <v>0</v>
      </c>
      <c r="P17" s="1063">
        <v>0</v>
      </c>
      <c r="Q17" s="1063">
        <v>0</v>
      </c>
      <c r="R17" s="1063">
        <v>0</v>
      </c>
      <c r="S17" s="1063">
        <v>0</v>
      </c>
      <c r="T17" s="1063">
        <v>0</v>
      </c>
      <c r="U17" s="1063">
        <v>0</v>
      </c>
      <c r="V17" s="1063"/>
      <c r="W17" s="1063"/>
      <c r="X17" s="1063"/>
      <c r="Y17" s="1063"/>
      <c r="Z17" s="1063"/>
      <c r="AA17" s="1066"/>
      <c r="AB17" s="1049"/>
      <c r="AC17" s="1063"/>
      <c r="AD17" s="1063"/>
      <c r="AE17" s="1063"/>
      <c r="AF17" s="1063"/>
      <c r="AG17" s="1063"/>
      <c r="AH17" s="1063"/>
      <c r="AI17" s="1063"/>
      <c r="AJ17" s="1063"/>
      <c r="AK17" s="1063"/>
      <c r="AL17" s="1063"/>
      <c r="AM17" s="1063"/>
      <c r="AN17" s="1063"/>
      <c r="AO17" s="1063"/>
      <c r="AP17" s="1063"/>
      <c r="AQ17" s="1063"/>
      <c r="AR17" s="1063"/>
      <c r="AS17" s="1063"/>
      <c r="AT17" s="418">
        <v>35000</v>
      </c>
      <c r="AU17" s="418">
        <v>30680</v>
      </c>
      <c r="AV17" s="418">
        <v>-2644</v>
      </c>
      <c r="AW17" s="418">
        <v>29257</v>
      </c>
      <c r="AX17" s="418">
        <v>166000</v>
      </c>
      <c r="AY17" s="418">
        <v>0</v>
      </c>
      <c r="AZ17" s="418">
        <v>0</v>
      </c>
      <c r="BA17" s="418">
        <v>213078</v>
      </c>
      <c r="BB17" s="418">
        <v>0</v>
      </c>
      <c r="BC17" s="418">
        <v>15608</v>
      </c>
      <c r="BD17" s="418">
        <v>0</v>
      </c>
      <c r="BE17" s="418">
        <v>0</v>
      </c>
      <c r="BF17" s="418">
        <v>0</v>
      </c>
      <c r="BG17" s="418">
        <v>0</v>
      </c>
      <c r="BH17" s="418">
        <v>0</v>
      </c>
      <c r="BI17" s="418">
        <v>0</v>
      </c>
      <c r="BJ17" s="418">
        <v>40750</v>
      </c>
      <c r="BK17" s="418">
        <v>0</v>
      </c>
      <c r="BL17" s="418">
        <v>716747</v>
      </c>
      <c r="BM17" s="418">
        <v>0</v>
      </c>
      <c r="BN17" s="418">
        <v>0</v>
      </c>
      <c r="BO17" s="418">
        <v>66978</v>
      </c>
      <c r="BP17" s="418">
        <v>0</v>
      </c>
      <c r="BQ17" s="418">
        <v>0</v>
      </c>
      <c r="BR17" s="418">
        <v>9943</v>
      </c>
      <c r="BS17" s="418">
        <v>0</v>
      </c>
      <c r="BT17" s="418">
        <v>15338</v>
      </c>
      <c r="BU17" s="418">
        <v>0</v>
      </c>
      <c r="BV17" s="418">
        <v>0</v>
      </c>
      <c r="BW17" s="418">
        <v>897</v>
      </c>
      <c r="BX17" s="418">
        <v>-197576</v>
      </c>
      <c r="BY17" s="418">
        <v>0</v>
      </c>
      <c r="BZ17" s="418">
        <v>0</v>
      </c>
      <c r="CA17" s="418">
        <v>0</v>
      </c>
      <c r="CB17" s="418">
        <v>0</v>
      </c>
    </row>
    <row r="18" spans="1:80" s="418" customFormat="1" ht="15.6" x14ac:dyDescent="0.3">
      <c r="A18" s="1052">
        <v>23</v>
      </c>
      <c r="B18" s="1049"/>
      <c r="C18" s="1060" t="s">
        <v>1936</v>
      </c>
      <c r="D18" s="1061" t="s">
        <v>215</v>
      </c>
      <c r="E18" s="1062" t="s">
        <v>314</v>
      </c>
      <c r="F18" s="1063">
        <v>0</v>
      </c>
      <c r="G18" s="1063">
        <v>0</v>
      </c>
      <c r="H18" s="1063">
        <v>0</v>
      </c>
      <c r="I18" s="1063">
        <v>0</v>
      </c>
      <c r="J18" s="1063">
        <v>0</v>
      </c>
      <c r="K18" s="1063">
        <v>0</v>
      </c>
      <c r="L18" s="1063">
        <v>0</v>
      </c>
      <c r="M18" s="1063">
        <v>0</v>
      </c>
      <c r="N18" s="1063">
        <v>0</v>
      </c>
      <c r="O18" s="1063">
        <v>0</v>
      </c>
      <c r="P18" s="1063">
        <v>0</v>
      </c>
      <c r="Q18" s="1063">
        <v>0</v>
      </c>
      <c r="R18" s="1063">
        <v>0</v>
      </c>
      <c r="S18" s="1063">
        <v>0</v>
      </c>
      <c r="T18" s="1063">
        <v>0</v>
      </c>
      <c r="U18" s="1063">
        <v>0</v>
      </c>
      <c r="V18" s="1063"/>
      <c r="W18" s="1063"/>
      <c r="X18" s="1063"/>
      <c r="Y18" s="1063"/>
      <c r="Z18" s="1063"/>
      <c r="AA18" s="1066"/>
      <c r="AB18" s="1049"/>
      <c r="AC18" s="1063"/>
      <c r="AD18" s="1063"/>
      <c r="AE18" s="1063"/>
      <c r="AF18" s="1063"/>
      <c r="AG18" s="1063"/>
      <c r="AH18" s="1063"/>
      <c r="AI18" s="1063"/>
      <c r="AJ18" s="1063"/>
      <c r="AK18" s="1063"/>
      <c r="AL18" s="1063"/>
      <c r="AM18" s="1063"/>
      <c r="AN18" s="1063"/>
      <c r="AO18" s="1063"/>
      <c r="AP18" s="1063"/>
      <c r="AQ18" s="1063"/>
      <c r="AR18" s="1063"/>
      <c r="AS18" s="1063"/>
      <c r="AT18" s="418">
        <v>58905</v>
      </c>
      <c r="AU18" s="418">
        <v>108881</v>
      </c>
      <c r="AV18" s="418">
        <v>1648282</v>
      </c>
      <c r="AW18" s="418">
        <v>39590</v>
      </c>
      <c r="AX18" s="418">
        <v>104046</v>
      </c>
      <c r="AY18" s="418">
        <v>495063</v>
      </c>
      <c r="AZ18" s="418">
        <v>366212</v>
      </c>
      <c r="BA18" s="418">
        <v>-50296</v>
      </c>
      <c r="BB18" s="418">
        <v>29195</v>
      </c>
      <c r="BC18" s="418">
        <v>152101</v>
      </c>
      <c r="BD18" s="418">
        <v>0</v>
      </c>
      <c r="BE18" s="418">
        <v>16749</v>
      </c>
      <c r="BF18" s="418">
        <v>-551627</v>
      </c>
      <c r="BG18" s="418">
        <v>0</v>
      </c>
      <c r="BH18" s="418">
        <v>22435</v>
      </c>
      <c r="BI18" s="418">
        <v>209900</v>
      </c>
      <c r="BJ18" s="418">
        <v>509128</v>
      </c>
      <c r="BK18" s="418">
        <v>0</v>
      </c>
      <c r="BL18" s="418">
        <v>408944</v>
      </c>
      <c r="BM18" s="418">
        <v>186474</v>
      </c>
      <c r="BN18" s="418">
        <v>10423</v>
      </c>
      <c r="BO18" s="418">
        <v>544258</v>
      </c>
      <c r="BP18" s="418">
        <v>527810</v>
      </c>
      <c r="BQ18" s="418">
        <v>14381</v>
      </c>
      <c r="BR18" s="418">
        <v>1552353</v>
      </c>
      <c r="BS18" s="418">
        <v>500009</v>
      </c>
      <c r="BT18" s="418">
        <v>-884316</v>
      </c>
      <c r="BU18" s="418">
        <v>78170</v>
      </c>
      <c r="BV18" s="418">
        <v>219473</v>
      </c>
      <c r="BW18" s="418">
        <v>-8488</v>
      </c>
      <c r="BX18" s="418">
        <v>45700</v>
      </c>
      <c r="BY18" s="418">
        <v>9139</v>
      </c>
      <c r="BZ18" s="418">
        <v>7397</v>
      </c>
      <c r="CA18" s="418">
        <v>1450623</v>
      </c>
      <c r="CB18" s="418">
        <v>-58957</v>
      </c>
    </row>
    <row r="19" spans="1:80" s="418" customFormat="1" ht="27.6" x14ac:dyDescent="0.3">
      <c r="A19" s="1052">
        <v>31</v>
      </c>
      <c r="B19" s="1049"/>
      <c r="C19" s="1060" t="s">
        <v>1937</v>
      </c>
      <c r="D19" s="1061" t="s">
        <v>1771</v>
      </c>
      <c r="E19" s="1062" t="s">
        <v>315</v>
      </c>
      <c r="F19" s="1063">
        <v>0</v>
      </c>
      <c r="G19" s="1063">
        <v>0</v>
      </c>
      <c r="H19" s="1063">
        <v>0</v>
      </c>
      <c r="I19" s="1063">
        <v>0</v>
      </c>
      <c r="J19" s="1063">
        <v>0</v>
      </c>
      <c r="K19" s="1063">
        <v>0</v>
      </c>
      <c r="L19" s="1063">
        <v>0</v>
      </c>
      <c r="M19" s="1063">
        <v>0</v>
      </c>
      <c r="N19" s="1063">
        <v>0</v>
      </c>
      <c r="O19" s="1063">
        <v>0</v>
      </c>
      <c r="P19" s="1063">
        <v>0</v>
      </c>
      <c r="Q19" s="1063">
        <v>0</v>
      </c>
      <c r="R19" s="1063">
        <v>0</v>
      </c>
      <c r="S19" s="1063">
        <v>0</v>
      </c>
      <c r="T19" s="1063">
        <v>0</v>
      </c>
      <c r="U19" s="1063">
        <v>0</v>
      </c>
      <c r="V19" s="1063"/>
      <c r="W19" s="1063"/>
      <c r="X19" s="1063"/>
      <c r="Y19" s="1063"/>
      <c r="Z19" s="1063"/>
      <c r="AA19" s="1066"/>
      <c r="AB19" s="1065"/>
      <c r="AC19" s="1063"/>
      <c r="AD19" s="1063"/>
      <c r="AE19" s="1063"/>
      <c r="AF19" s="1063"/>
      <c r="AG19" s="1063"/>
      <c r="AH19" s="1063"/>
      <c r="AI19" s="1063"/>
      <c r="AJ19" s="1063"/>
      <c r="AK19" s="1063"/>
      <c r="AL19" s="1063"/>
      <c r="AM19" s="1063"/>
      <c r="AN19" s="1063"/>
      <c r="AO19" s="1063"/>
      <c r="AP19" s="1063"/>
      <c r="AQ19" s="1063"/>
      <c r="AR19" s="1063"/>
      <c r="AS19" s="1063"/>
    </row>
    <row r="20" spans="1:80" s="418" customFormat="1" ht="41.4" x14ac:dyDescent="0.3">
      <c r="A20" s="1052">
        <v>32</v>
      </c>
      <c r="B20" s="1053">
        <v>32</v>
      </c>
      <c r="C20" s="1060" t="s">
        <v>1938</v>
      </c>
      <c r="D20" s="1061" t="s">
        <v>316</v>
      </c>
      <c r="E20" s="1062" t="s">
        <v>317</v>
      </c>
      <c r="F20" s="1063">
        <v>0</v>
      </c>
      <c r="G20" s="1063">
        <v>24207571</v>
      </c>
      <c r="H20" s="1063">
        <v>7996070</v>
      </c>
      <c r="I20" s="1063">
        <v>15377676</v>
      </c>
      <c r="J20" s="1063">
        <v>0</v>
      </c>
      <c r="K20" s="1063">
        <v>0</v>
      </c>
      <c r="L20" s="1063">
        <v>0</v>
      </c>
      <c r="M20" s="1063">
        <v>0</v>
      </c>
      <c r="N20" s="1063">
        <v>11395825</v>
      </c>
      <c r="O20" s="1063">
        <v>2808675</v>
      </c>
      <c r="P20" s="1063">
        <v>14117128</v>
      </c>
      <c r="Q20" s="1063">
        <v>0</v>
      </c>
      <c r="R20" s="1063">
        <v>5009424</v>
      </c>
      <c r="S20" s="1063">
        <v>7123894</v>
      </c>
      <c r="T20" s="1063">
        <v>3640155</v>
      </c>
      <c r="U20" s="1063">
        <v>11354234</v>
      </c>
      <c r="V20" s="1063"/>
      <c r="W20" s="1063"/>
      <c r="X20" s="1063"/>
      <c r="Y20" s="1064"/>
      <c r="Z20" s="1065"/>
      <c r="AA20" s="1066"/>
      <c r="AB20" s="1065"/>
      <c r="AC20" s="1063"/>
      <c r="AD20" s="1063"/>
      <c r="AE20" s="1063"/>
      <c r="AF20" s="1063"/>
      <c r="AG20" s="1063"/>
      <c r="AH20" s="1063"/>
      <c r="AI20" s="1063"/>
      <c r="AJ20" s="1063"/>
      <c r="AK20" s="1063"/>
      <c r="AL20" s="1063"/>
      <c r="AM20" s="1063"/>
      <c r="AN20" s="1063"/>
      <c r="AO20" s="1063"/>
      <c r="AP20" s="1063"/>
      <c r="AQ20" s="1063"/>
      <c r="AR20" s="1063"/>
      <c r="AS20" s="1063"/>
    </row>
    <row r="21" spans="1:80" s="418" customFormat="1" ht="27.6" x14ac:dyDescent="0.3">
      <c r="A21" s="1052">
        <v>33</v>
      </c>
      <c r="B21" s="1053">
        <v>33</v>
      </c>
      <c r="C21" s="1060" t="s">
        <v>1939</v>
      </c>
      <c r="D21" s="1061" t="s">
        <v>318</v>
      </c>
      <c r="E21" s="1062" t="s">
        <v>319</v>
      </c>
      <c r="F21" s="1063">
        <v>-398662</v>
      </c>
      <c r="G21" s="1063">
        <v>-101864</v>
      </c>
      <c r="H21" s="1063">
        <v>25641503</v>
      </c>
      <c r="I21" s="1063">
        <v>75885387</v>
      </c>
      <c r="J21" s="1063">
        <v>0</v>
      </c>
      <c r="K21" s="1063">
        <v>0</v>
      </c>
      <c r="L21" s="1063">
        <v>0</v>
      </c>
      <c r="M21" s="1063">
        <v>0</v>
      </c>
      <c r="N21" s="1063">
        <v>61245997</v>
      </c>
      <c r="O21" s="1063">
        <v>11821629</v>
      </c>
      <c r="P21" s="1063">
        <v>26010146</v>
      </c>
      <c r="Q21" s="1063">
        <v>0</v>
      </c>
      <c r="R21" s="1063">
        <v>12705754</v>
      </c>
      <c r="S21" s="1063">
        <v>5621566</v>
      </c>
      <c r="T21" s="1063">
        <v>14600816</v>
      </c>
      <c r="U21" s="1063">
        <v>49701648</v>
      </c>
      <c r="V21" s="1063"/>
      <c r="W21" s="1063"/>
      <c r="X21" s="1063"/>
      <c r="Y21" s="1064"/>
      <c r="Z21" s="1065"/>
      <c r="AA21" s="1066"/>
      <c r="AB21" s="1065"/>
      <c r="AC21" s="1063"/>
      <c r="AD21" s="1063"/>
      <c r="AE21" s="1063"/>
      <c r="AF21" s="1063"/>
      <c r="AG21" s="1063"/>
      <c r="AH21" s="1063"/>
      <c r="AI21" s="1063"/>
      <c r="AJ21" s="1063"/>
      <c r="AK21" s="1063"/>
      <c r="AL21" s="1063"/>
      <c r="AM21" s="1063"/>
      <c r="AN21" s="1063"/>
      <c r="AO21" s="1063"/>
      <c r="AP21" s="1063"/>
      <c r="AQ21" s="1063"/>
      <c r="AR21" s="1063"/>
      <c r="AS21" s="1063"/>
    </row>
    <row r="22" spans="1:80" s="418" customFormat="1" ht="26.4" x14ac:dyDescent="0.3">
      <c r="A22" s="1052">
        <v>34</v>
      </c>
      <c r="B22" s="1053">
        <v>34</v>
      </c>
      <c r="C22" s="1067">
        <v>34</v>
      </c>
      <c r="D22" s="1068" t="s">
        <v>320</v>
      </c>
      <c r="E22" s="1062" t="s">
        <v>321</v>
      </c>
      <c r="F22" s="1063">
        <v>0</v>
      </c>
      <c r="G22" s="1063">
        <v>411408292</v>
      </c>
      <c r="H22" s="1063">
        <v>207574234</v>
      </c>
      <c r="I22" s="1063">
        <v>183711156</v>
      </c>
      <c r="J22" s="1063">
        <v>0</v>
      </c>
      <c r="K22" s="1063">
        <v>0</v>
      </c>
      <c r="L22" s="1063">
        <v>0</v>
      </c>
      <c r="M22" s="1063">
        <v>0</v>
      </c>
      <c r="N22" s="1063">
        <v>92102892</v>
      </c>
      <c r="O22" s="1063">
        <v>16072084</v>
      </c>
      <c r="P22" s="1063">
        <v>88582986</v>
      </c>
      <c r="Q22" s="1063">
        <v>0</v>
      </c>
      <c r="R22" s="1063">
        <v>6147576</v>
      </c>
      <c r="S22" s="1063">
        <v>18806733</v>
      </c>
      <c r="T22" s="1063">
        <v>9006782</v>
      </c>
      <c r="U22" s="1063">
        <v>131730053</v>
      </c>
      <c r="V22" s="1063"/>
      <c r="W22" s="1063"/>
      <c r="X22" s="1063"/>
      <c r="Y22" s="1064"/>
      <c r="Z22" s="1065"/>
      <c r="AA22" s="1066"/>
      <c r="AB22" s="1065"/>
      <c r="AC22" s="1063"/>
      <c r="AD22" s="1063"/>
      <c r="AE22" s="1063"/>
      <c r="AF22" s="1063"/>
      <c r="AG22" s="1063"/>
      <c r="AH22" s="1063"/>
      <c r="AI22" s="1063"/>
      <c r="AJ22" s="1063"/>
      <c r="AK22" s="1063"/>
      <c r="AL22" s="1063"/>
      <c r="AM22" s="1063"/>
      <c r="AN22" s="1063"/>
      <c r="AO22" s="1063"/>
      <c r="AP22" s="1063"/>
      <c r="AQ22" s="1063"/>
      <c r="AR22" s="1063"/>
      <c r="AS22" s="1063"/>
    </row>
    <row r="23" spans="1:80" s="418" customFormat="1" ht="15" x14ac:dyDescent="0.3">
      <c r="A23" s="1052">
        <v>35</v>
      </c>
      <c r="B23" s="1053">
        <v>35</v>
      </c>
      <c r="C23" s="1067">
        <v>35</v>
      </c>
      <c r="D23" s="1068" t="s">
        <v>1721</v>
      </c>
      <c r="E23" s="1062" t="s">
        <v>322</v>
      </c>
      <c r="F23" s="1063">
        <v>0</v>
      </c>
      <c r="G23" s="1063">
        <v>57659848</v>
      </c>
      <c r="H23" s="1063">
        <v>26838815</v>
      </c>
      <c r="I23" s="1063">
        <v>25297621</v>
      </c>
      <c r="J23" s="1063">
        <v>0</v>
      </c>
      <c r="K23" s="1063">
        <v>0</v>
      </c>
      <c r="L23" s="1063">
        <v>0</v>
      </c>
      <c r="M23" s="1063">
        <v>0</v>
      </c>
      <c r="N23" s="1063">
        <v>24538311</v>
      </c>
      <c r="O23" s="1063">
        <v>2624132</v>
      </c>
      <c r="P23" s="1063">
        <v>21400755</v>
      </c>
      <c r="Q23" s="1063">
        <v>0</v>
      </c>
      <c r="R23" s="1063">
        <v>10259280</v>
      </c>
      <c r="S23" s="1063">
        <v>17563369</v>
      </c>
      <c r="T23" s="1063">
        <v>5012882</v>
      </c>
      <c r="U23" s="1063">
        <v>21807523</v>
      </c>
      <c r="V23" s="1063"/>
      <c r="W23" s="1063"/>
      <c r="X23" s="1063"/>
      <c r="Y23" s="1064"/>
      <c r="Z23" s="1065"/>
      <c r="AA23" s="1066"/>
      <c r="AB23" s="1065"/>
      <c r="AC23" s="1063"/>
      <c r="AD23" s="1063"/>
      <c r="AE23" s="1063"/>
      <c r="AF23" s="1063"/>
      <c r="AG23" s="1063"/>
      <c r="AH23" s="1063"/>
      <c r="AI23" s="1063"/>
      <c r="AJ23" s="1063"/>
      <c r="AK23" s="1063"/>
      <c r="AL23" s="1063"/>
      <c r="AM23" s="1063"/>
      <c r="AN23" s="1063"/>
      <c r="AO23" s="1063"/>
      <c r="AP23" s="1063"/>
      <c r="AQ23" s="1063"/>
      <c r="AR23" s="1063"/>
      <c r="AS23" s="1063"/>
    </row>
    <row r="24" spans="1:80" s="418" customFormat="1" ht="26.4" x14ac:dyDescent="0.3">
      <c r="A24" s="1052">
        <v>36</v>
      </c>
      <c r="B24" s="1053">
        <v>36</v>
      </c>
      <c r="C24" s="1067">
        <v>36</v>
      </c>
      <c r="D24" s="1068" t="s">
        <v>1444</v>
      </c>
      <c r="E24" s="1062" t="s">
        <v>323</v>
      </c>
      <c r="F24" s="1063">
        <v>0</v>
      </c>
      <c r="G24" s="1063">
        <v>529617994</v>
      </c>
      <c r="H24" s="1063">
        <v>194602960</v>
      </c>
      <c r="I24" s="1063">
        <v>343138341</v>
      </c>
      <c r="J24" s="1063">
        <v>0</v>
      </c>
      <c r="K24" s="1063">
        <v>0</v>
      </c>
      <c r="L24" s="1063">
        <v>0</v>
      </c>
      <c r="M24" s="1063">
        <v>0</v>
      </c>
      <c r="N24" s="1063">
        <v>269643174</v>
      </c>
      <c r="O24" s="1063">
        <v>72437308</v>
      </c>
      <c r="P24" s="1063">
        <v>399131290</v>
      </c>
      <c r="Q24" s="1063">
        <v>0</v>
      </c>
      <c r="R24" s="1063">
        <v>125760930</v>
      </c>
      <c r="S24" s="1063">
        <v>182186669</v>
      </c>
      <c r="T24" s="1063">
        <v>107168460</v>
      </c>
      <c r="U24" s="1063">
        <v>267142522</v>
      </c>
      <c r="V24" s="1063"/>
      <c r="W24" s="1063"/>
      <c r="X24" s="1063"/>
      <c r="Y24" s="1064"/>
      <c r="Z24" s="1065"/>
      <c r="AA24" s="1066"/>
      <c r="AB24" s="1065"/>
      <c r="AC24" s="1063"/>
      <c r="AD24" s="1063"/>
      <c r="AE24" s="1063"/>
      <c r="AF24" s="1063"/>
      <c r="AG24" s="1063"/>
      <c r="AH24" s="1063"/>
      <c r="AI24" s="1063"/>
      <c r="AJ24" s="1063"/>
      <c r="AK24" s="1063"/>
      <c r="AL24" s="1063"/>
      <c r="AM24" s="1063"/>
      <c r="AN24" s="1063"/>
      <c r="AO24" s="1063"/>
      <c r="AP24" s="1063"/>
      <c r="AQ24" s="1063"/>
      <c r="AR24" s="1063"/>
      <c r="AS24" s="1063"/>
    </row>
    <row r="25" spans="1:80" s="418" customFormat="1" ht="26.4" x14ac:dyDescent="0.3">
      <c r="A25" s="1052">
        <v>37</v>
      </c>
      <c r="B25" s="1053">
        <v>37</v>
      </c>
      <c r="C25" s="1069" t="s">
        <v>1772</v>
      </c>
      <c r="D25" s="1068" t="s">
        <v>324</v>
      </c>
      <c r="E25" s="1062" t="s">
        <v>325</v>
      </c>
      <c r="F25" s="1063">
        <v>0</v>
      </c>
      <c r="G25" s="1063">
        <v>53980000</v>
      </c>
      <c r="H25" s="1063">
        <v>0</v>
      </c>
      <c r="I25" s="1063">
        <v>32512744</v>
      </c>
      <c r="J25" s="1063">
        <v>0</v>
      </c>
      <c r="K25" s="1063">
        <v>0</v>
      </c>
      <c r="L25" s="1063">
        <v>0</v>
      </c>
      <c r="M25" s="1063">
        <v>0</v>
      </c>
      <c r="N25" s="1063">
        <v>16361848</v>
      </c>
      <c r="O25" s="1063">
        <v>12068042</v>
      </c>
      <c r="P25" s="1063">
        <v>94014302</v>
      </c>
      <c r="Q25" s="1063">
        <v>0</v>
      </c>
      <c r="R25" s="1063">
        <v>26678378</v>
      </c>
      <c r="S25" s="1063">
        <v>31550661</v>
      </c>
      <c r="T25" s="1063">
        <v>3668423</v>
      </c>
      <c r="U25" s="1063">
        <v>41341135</v>
      </c>
      <c r="V25" s="1063"/>
      <c r="W25" s="1063"/>
      <c r="X25" s="1063"/>
      <c r="Y25" s="1064"/>
      <c r="Z25" s="1065"/>
      <c r="AA25" s="1066"/>
      <c r="AB25" s="1065"/>
      <c r="AC25" s="1063"/>
      <c r="AD25" s="1063"/>
      <c r="AE25" s="1063"/>
      <c r="AF25" s="1063"/>
      <c r="AG25" s="1063"/>
      <c r="AH25" s="1063"/>
      <c r="AI25" s="1063"/>
      <c r="AJ25" s="1063"/>
      <c r="AK25" s="1063"/>
      <c r="AL25" s="1063"/>
      <c r="AM25" s="1063"/>
      <c r="AN25" s="1063"/>
      <c r="AO25" s="1063"/>
      <c r="AP25" s="1063"/>
      <c r="AQ25" s="1063"/>
      <c r="AR25" s="1063"/>
      <c r="AS25" s="1063"/>
    </row>
    <row r="26" spans="1:80" s="418" customFormat="1" ht="26.4" x14ac:dyDescent="0.3">
      <c r="A26" s="1052">
        <v>38</v>
      </c>
      <c r="B26" s="1053">
        <v>38</v>
      </c>
      <c r="C26" s="1069" t="s">
        <v>1773</v>
      </c>
      <c r="D26" s="1068" t="s">
        <v>1722</v>
      </c>
      <c r="E26" s="1062" t="s">
        <v>326</v>
      </c>
      <c r="F26" s="1063">
        <v>509166</v>
      </c>
      <c r="G26" s="1063">
        <v>427575186</v>
      </c>
      <c r="H26" s="1063">
        <v>203159582</v>
      </c>
      <c r="I26" s="1063">
        <v>137577780</v>
      </c>
      <c r="J26" s="1063">
        <v>0</v>
      </c>
      <c r="K26" s="1063">
        <v>0</v>
      </c>
      <c r="L26" s="1063">
        <v>0</v>
      </c>
      <c r="M26" s="1063">
        <v>0</v>
      </c>
      <c r="N26" s="1063">
        <v>75379826</v>
      </c>
      <c r="O26" s="1063">
        <v>16030722</v>
      </c>
      <c r="P26" s="1063">
        <v>234347712</v>
      </c>
      <c r="Q26" s="1063">
        <v>0</v>
      </c>
      <c r="R26" s="1063">
        <v>85600615</v>
      </c>
      <c r="S26" s="1063">
        <v>21560409</v>
      </c>
      <c r="T26" s="1063">
        <v>15488492</v>
      </c>
      <c r="U26" s="1063">
        <v>102081531</v>
      </c>
      <c r="V26" s="1063"/>
      <c r="W26" s="1063"/>
      <c r="X26" s="1063"/>
      <c r="Y26" s="1064"/>
      <c r="Z26" s="1065"/>
      <c r="AA26" s="1066"/>
      <c r="AB26" s="1065"/>
      <c r="AC26" s="1063"/>
      <c r="AD26" s="1063"/>
      <c r="AE26" s="1063"/>
      <c r="AF26" s="1063"/>
      <c r="AG26" s="1063"/>
      <c r="AH26" s="1063"/>
      <c r="AI26" s="1063"/>
      <c r="AJ26" s="1063"/>
      <c r="AK26" s="1063"/>
      <c r="AL26" s="1063"/>
      <c r="AM26" s="1063"/>
      <c r="AN26" s="1063"/>
      <c r="AO26" s="1063"/>
      <c r="AP26" s="1063"/>
      <c r="AQ26" s="1063"/>
      <c r="AR26" s="1063"/>
      <c r="AS26" s="1063"/>
    </row>
    <row r="27" spans="1:80" s="418" customFormat="1" ht="26.4" x14ac:dyDescent="0.3">
      <c r="A27" s="1052">
        <v>39</v>
      </c>
      <c r="B27" s="1053">
        <v>39</v>
      </c>
      <c r="C27" s="1069" t="s">
        <v>1774</v>
      </c>
      <c r="D27" s="1068" t="s">
        <v>327</v>
      </c>
      <c r="E27" s="1062" t="s">
        <v>328</v>
      </c>
      <c r="F27" s="1063">
        <v>0</v>
      </c>
      <c r="G27" s="1063">
        <v>1520000</v>
      </c>
      <c r="H27" s="1063">
        <v>0</v>
      </c>
      <c r="I27" s="1063">
        <v>2647431</v>
      </c>
      <c r="J27" s="1063">
        <v>0</v>
      </c>
      <c r="K27" s="1063">
        <v>0</v>
      </c>
      <c r="L27" s="1063">
        <v>0</v>
      </c>
      <c r="M27" s="1063">
        <v>0</v>
      </c>
      <c r="N27" s="1063">
        <v>3368865</v>
      </c>
      <c r="O27" s="1063">
        <v>655268</v>
      </c>
      <c r="P27" s="1063">
        <v>2520000</v>
      </c>
      <c r="Q27" s="1063">
        <v>0</v>
      </c>
      <c r="R27" s="1063">
        <v>3462010</v>
      </c>
      <c r="S27" s="1063">
        <v>2841113</v>
      </c>
      <c r="T27" s="1063">
        <v>1108001</v>
      </c>
      <c r="U27" s="1063">
        <v>-5085541</v>
      </c>
      <c r="V27" s="1063"/>
      <c r="W27" s="1063"/>
      <c r="X27" s="1063"/>
      <c r="Y27" s="1064"/>
      <c r="Z27" s="1065"/>
      <c r="AA27" s="1066"/>
      <c r="AB27" s="1065"/>
      <c r="AC27" s="1063"/>
      <c r="AD27" s="1063"/>
      <c r="AE27" s="1063"/>
      <c r="AF27" s="1063"/>
      <c r="AG27" s="1063"/>
      <c r="AH27" s="1063"/>
      <c r="AI27" s="1063"/>
      <c r="AJ27" s="1063"/>
      <c r="AK27" s="1063"/>
      <c r="AL27" s="1063"/>
      <c r="AM27" s="1063"/>
      <c r="AN27" s="1063"/>
      <c r="AO27" s="1063"/>
      <c r="AP27" s="1063"/>
      <c r="AQ27" s="1063"/>
      <c r="AR27" s="1063"/>
      <c r="AS27" s="1063"/>
    </row>
    <row r="28" spans="1:80" s="418" customFormat="1" ht="15" x14ac:dyDescent="0.3">
      <c r="A28" s="1052">
        <v>40</v>
      </c>
      <c r="B28" s="1053">
        <v>40</v>
      </c>
      <c r="C28" s="1069" t="s">
        <v>1775</v>
      </c>
      <c r="D28" s="1068" t="s">
        <v>329</v>
      </c>
      <c r="E28" s="1062" t="s">
        <v>330</v>
      </c>
      <c r="F28" s="1063">
        <v>0</v>
      </c>
      <c r="G28" s="1063">
        <v>417836767</v>
      </c>
      <c r="H28" s="1063">
        <v>165969258</v>
      </c>
      <c r="I28" s="1063">
        <v>306039244</v>
      </c>
      <c r="J28" s="1063">
        <v>0</v>
      </c>
      <c r="K28" s="1063">
        <v>0</v>
      </c>
      <c r="L28" s="1063">
        <v>0</v>
      </c>
      <c r="M28" s="1063">
        <v>0</v>
      </c>
      <c r="N28" s="1063">
        <v>249969490</v>
      </c>
      <c r="O28" s="1063">
        <v>35601207</v>
      </c>
      <c r="P28" s="1063">
        <v>229307521</v>
      </c>
      <c r="Q28" s="1063">
        <v>0</v>
      </c>
      <c r="R28" s="1063">
        <v>89630196</v>
      </c>
      <c r="S28" s="1063">
        <v>134416403</v>
      </c>
      <c r="T28" s="1063">
        <v>62359722</v>
      </c>
      <c r="U28" s="1063">
        <v>192012185</v>
      </c>
      <c r="V28" s="1063"/>
      <c r="W28" s="1063"/>
      <c r="X28" s="1063"/>
      <c r="Y28" s="1064"/>
      <c r="Z28" s="1065"/>
      <c r="AA28" s="1066"/>
      <c r="AB28" s="1065"/>
      <c r="AC28" s="1063"/>
      <c r="AD28" s="1063"/>
      <c r="AE28" s="1063"/>
      <c r="AF28" s="1063"/>
      <c r="AG28" s="1063"/>
      <c r="AH28" s="1063"/>
      <c r="AI28" s="1063"/>
      <c r="AJ28" s="1063"/>
      <c r="AK28" s="1063"/>
      <c r="AL28" s="1063"/>
      <c r="AM28" s="1063"/>
      <c r="AN28" s="1063"/>
      <c r="AO28" s="1063"/>
      <c r="AP28" s="1063"/>
      <c r="AQ28" s="1063"/>
      <c r="AR28" s="1063"/>
      <c r="AS28" s="1063"/>
    </row>
    <row r="29" spans="1:80" s="418" customFormat="1" ht="15" x14ac:dyDescent="0.3">
      <c r="A29" s="1052">
        <v>41</v>
      </c>
      <c r="B29" s="1053">
        <v>41</v>
      </c>
      <c r="C29" s="1069" t="s">
        <v>1776</v>
      </c>
      <c r="D29" s="1068" t="s">
        <v>331</v>
      </c>
      <c r="E29" s="1062" t="s">
        <v>332</v>
      </c>
      <c r="F29" s="1063">
        <v>0</v>
      </c>
      <c r="G29" s="1063">
        <v>1513218</v>
      </c>
      <c r="H29" s="1063">
        <v>37564</v>
      </c>
      <c r="I29" s="1063">
        <v>1102922</v>
      </c>
      <c r="J29" s="1063">
        <v>0</v>
      </c>
      <c r="K29" s="1063">
        <v>0</v>
      </c>
      <c r="L29" s="1063">
        <v>0</v>
      </c>
      <c r="M29" s="1063">
        <v>0</v>
      </c>
      <c r="N29" s="1063">
        <v>601697</v>
      </c>
      <c r="O29" s="1063">
        <v>263929</v>
      </c>
      <c r="P29" s="1063">
        <v>4674931</v>
      </c>
      <c r="Q29" s="1063">
        <v>0</v>
      </c>
      <c r="R29" s="1063">
        <v>1228898</v>
      </c>
      <c r="S29" s="1063">
        <v>1139782</v>
      </c>
      <c r="T29" s="1063">
        <v>137629</v>
      </c>
      <c r="U29" s="1063">
        <v>1911533</v>
      </c>
      <c r="V29" s="1063"/>
      <c r="W29" s="1063"/>
      <c r="X29" s="1063"/>
      <c r="Y29" s="1064"/>
      <c r="Z29" s="1065"/>
      <c r="AA29" s="1066"/>
      <c r="AB29" s="1065"/>
      <c r="AC29" s="1063"/>
      <c r="AD29" s="1063"/>
      <c r="AE29" s="1063"/>
      <c r="AF29" s="1063"/>
      <c r="AG29" s="1063"/>
      <c r="AH29" s="1063"/>
      <c r="AI29" s="1063"/>
      <c r="AJ29" s="1063"/>
      <c r="AK29" s="1063"/>
      <c r="AL29" s="1063"/>
      <c r="AM29" s="1063"/>
      <c r="AN29" s="1063"/>
      <c r="AO29" s="1063"/>
      <c r="AP29" s="1063"/>
      <c r="AQ29" s="1063"/>
      <c r="AR29" s="1063"/>
      <c r="AS29" s="1063"/>
    </row>
    <row r="30" spans="1:80" s="418" customFormat="1" ht="26.4" x14ac:dyDescent="0.3">
      <c r="A30" s="1052">
        <v>43</v>
      </c>
      <c r="B30" s="1049"/>
      <c r="C30" s="1069" t="s">
        <v>1777</v>
      </c>
      <c r="D30" s="1068" t="s">
        <v>333</v>
      </c>
      <c r="E30" s="1062" t="s">
        <v>334</v>
      </c>
      <c r="F30" s="1063">
        <v>0</v>
      </c>
      <c r="G30" s="1063">
        <v>0</v>
      </c>
      <c r="H30" s="1063">
        <v>0</v>
      </c>
      <c r="I30" s="1063">
        <v>0</v>
      </c>
      <c r="J30" s="1063">
        <v>0</v>
      </c>
      <c r="K30" s="1063">
        <v>0</v>
      </c>
      <c r="L30" s="1063">
        <v>0</v>
      </c>
      <c r="M30" s="1063">
        <v>0</v>
      </c>
      <c r="N30" s="1063">
        <v>0</v>
      </c>
      <c r="O30" s="1063">
        <v>0</v>
      </c>
      <c r="P30" s="1063">
        <v>0</v>
      </c>
      <c r="Q30" s="1063">
        <v>0</v>
      </c>
      <c r="R30" s="1063">
        <v>0</v>
      </c>
      <c r="S30" s="1063">
        <v>0</v>
      </c>
      <c r="T30" s="1063">
        <v>0</v>
      </c>
      <c r="U30" s="1063">
        <v>0</v>
      </c>
      <c r="V30" s="1063"/>
      <c r="W30" s="1063"/>
      <c r="X30" s="1063"/>
      <c r="Y30" s="1063"/>
      <c r="Z30" s="1063"/>
      <c r="AA30" s="1066"/>
      <c r="AB30" s="1065"/>
      <c r="AC30" s="1063"/>
      <c r="AD30" s="1063"/>
      <c r="AE30" s="1063"/>
      <c r="AF30" s="1063"/>
      <c r="AG30" s="1063"/>
      <c r="AH30" s="1063"/>
      <c r="AI30" s="1063"/>
      <c r="AJ30" s="1063"/>
      <c r="AK30" s="1063"/>
      <c r="AL30" s="1063"/>
      <c r="AM30" s="1063"/>
      <c r="AN30" s="1063"/>
      <c r="AO30" s="1063"/>
      <c r="AP30" s="1063"/>
      <c r="AQ30" s="1063"/>
      <c r="AR30" s="1063"/>
      <c r="AS30" s="1063"/>
    </row>
    <row r="31" spans="1:80" s="418" customFormat="1" ht="15.6" x14ac:dyDescent="0.3">
      <c r="A31" s="1052">
        <v>44</v>
      </c>
      <c r="B31" s="1049"/>
      <c r="C31" s="1060" t="s">
        <v>1940</v>
      </c>
      <c r="D31" s="1061" t="s">
        <v>1316</v>
      </c>
      <c r="E31" s="1062" t="s">
        <v>335</v>
      </c>
      <c r="F31" s="1063">
        <v>0</v>
      </c>
      <c r="G31" s="1063">
        <v>0</v>
      </c>
      <c r="H31" s="1063">
        <v>0</v>
      </c>
      <c r="I31" s="1063">
        <v>0</v>
      </c>
      <c r="J31" s="1063">
        <v>0</v>
      </c>
      <c r="K31" s="1063">
        <v>0</v>
      </c>
      <c r="L31" s="1063">
        <v>0</v>
      </c>
      <c r="M31" s="1063">
        <v>0</v>
      </c>
      <c r="N31" s="1063">
        <v>0</v>
      </c>
      <c r="O31" s="1063">
        <v>0</v>
      </c>
      <c r="P31" s="1063">
        <v>0</v>
      </c>
      <c r="Q31" s="1063">
        <v>0</v>
      </c>
      <c r="R31" s="1063">
        <v>0</v>
      </c>
      <c r="S31" s="1063">
        <v>0</v>
      </c>
      <c r="T31" s="1063">
        <v>0</v>
      </c>
      <c r="U31" s="1063">
        <v>0</v>
      </c>
      <c r="V31" s="1063"/>
      <c r="W31" s="1063"/>
      <c r="X31" s="1063"/>
      <c r="Y31" s="1063"/>
      <c r="Z31" s="1063"/>
      <c r="AA31" s="1066"/>
      <c r="AB31" s="1049"/>
      <c r="AC31" s="1063"/>
      <c r="AD31" s="1063"/>
      <c r="AE31" s="1063"/>
      <c r="AF31" s="1063"/>
      <c r="AG31" s="1063"/>
      <c r="AH31" s="1063"/>
      <c r="AI31" s="1063"/>
      <c r="AJ31" s="1063"/>
      <c r="AK31" s="1063"/>
      <c r="AL31" s="1063"/>
      <c r="AM31" s="1063"/>
      <c r="AN31" s="1063"/>
      <c r="AO31" s="1063"/>
      <c r="AP31" s="1063"/>
      <c r="AQ31" s="1063"/>
      <c r="AR31" s="1063"/>
      <c r="AS31" s="1063"/>
      <c r="AT31" s="418">
        <v>0</v>
      </c>
      <c r="AU31" s="418">
        <v>0</v>
      </c>
      <c r="AV31" s="418">
        <v>0</v>
      </c>
      <c r="AW31" s="418">
        <v>0</v>
      </c>
      <c r="AX31" s="418">
        <v>0</v>
      </c>
      <c r="AY31" s="418">
        <v>0</v>
      </c>
      <c r="AZ31" s="418">
        <v>0</v>
      </c>
      <c r="BA31" s="418">
        <v>0</v>
      </c>
      <c r="BB31" s="418">
        <v>0</v>
      </c>
      <c r="BC31" s="418">
        <v>0</v>
      </c>
      <c r="BD31" s="418">
        <v>0</v>
      </c>
      <c r="BE31" s="418">
        <v>0</v>
      </c>
      <c r="BF31" s="418">
        <v>0</v>
      </c>
      <c r="BG31" s="418">
        <v>0</v>
      </c>
      <c r="BH31" s="418">
        <v>0</v>
      </c>
      <c r="BI31" s="418">
        <v>0</v>
      </c>
      <c r="BJ31" s="418">
        <v>0</v>
      </c>
      <c r="BK31" s="418">
        <v>0</v>
      </c>
      <c r="BL31" s="418">
        <v>0</v>
      </c>
      <c r="BM31" s="418">
        <v>0</v>
      </c>
      <c r="BN31" s="418">
        <v>0</v>
      </c>
      <c r="BO31" s="418">
        <v>0</v>
      </c>
      <c r="BP31" s="418">
        <v>0</v>
      </c>
      <c r="BQ31" s="418">
        <v>0</v>
      </c>
      <c r="BR31" s="418">
        <v>0</v>
      </c>
      <c r="BS31" s="418">
        <v>0</v>
      </c>
      <c r="BT31" s="418">
        <v>0</v>
      </c>
      <c r="BU31" s="418">
        <v>0</v>
      </c>
      <c r="BV31" s="418">
        <v>0</v>
      </c>
      <c r="BW31" s="418">
        <v>0</v>
      </c>
      <c r="BX31" s="418">
        <v>0</v>
      </c>
      <c r="BY31" s="418">
        <v>0</v>
      </c>
      <c r="BZ31" s="418">
        <v>0</v>
      </c>
      <c r="CA31" s="418">
        <v>0</v>
      </c>
      <c r="CB31" s="418">
        <v>0</v>
      </c>
    </row>
    <row r="32" spans="1:80" s="418" customFormat="1" ht="15.6" x14ac:dyDescent="0.3">
      <c r="A32" s="1052">
        <v>45</v>
      </c>
      <c r="B32" s="1049"/>
      <c r="C32" s="1060" t="s">
        <v>1941</v>
      </c>
      <c r="D32" s="1061" t="s">
        <v>1317</v>
      </c>
      <c r="E32" s="1062" t="s">
        <v>336</v>
      </c>
      <c r="F32" s="1063">
        <v>0</v>
      </c>
      <c r="G32" s="1063">
        <v>0</v>
      </c>
      <c r="H32" s="1063">
        <v>0</v>
      </c>
      <c r="I32" s="1063">
        <v>0</v>
      </c>
      <c r="J32" s="1063">
        <v>0</v>
      </c>
      <c r="K32" s="1063">
        <v>0</v>
      </c>
      <c r="L32" s="1063">
        <v>0</v>
      </c>
      <c r="M32" s="1063">
        <v>0</v>
      </c>
      <c r="N32" s="1063">
        <v>0</v>
      </c>
      <c r="O32" s="1063">
        <v>0</v>
      </c>
      <c r="P32" s="1063">
        <v>0</v>
      </c>
      <c r="Q32" s="1063">
        <v>0</v>
      </c>
      <c r="R32" s="1063">
        <v>0</v>
      </c>
      <c r="S32" s="1063">
        <v>0</v>
      </c>
      <c r="T32" s="1063">
        <v>0</v>
      </c>
      <c r="U32" s="1063">
        <v>0</v>
      </c>
      <c r="V32" s="1063"/>
      <c r="W32" s="1063"/>
      <c r="X32" s="1063"/>
      <c r="Y32" s="1063"/>
      <c r="Z32" s="1063"/>
      <c r="AA32" s="1066"/>
      <c r="AB32" s="1065"/>
      <c r="AC32" s="1063"/>
      <c r="AD32" s="1063"/>
      <c r="AE32" s="1063"/>
      <c r="AF32" s="1063"/>
      <c r="AG32" s="1063"/>
      <c r="AH32" s="1063"/>
      <c r="AI32" s="1063"/>
      <c r="AJ32" s="1063"/>
      <c r="AK32" s="1063"/>
      <c r="AL32" s="1063"/>
      <c r="AM32" s="1063"/>
      <c r="AN32" s="1063"/>
      <c r="AO32" s="1063"/>
      <c r="AP32" s="1063"/>
      <c r="AQ32" s="1063"/>
      <c r="AR32" s="1063"/>
      <c r="AS32" s="1063"/>
      <c r="AT32" s="418">
        <v>0</v>
      </c>
      <c r="AU32" s="418">
        <v>0</v>
      </c>
      <c r="AV32" s="418">
        <v>0</v>
      </c>
      <c r="AW32" s="418">
        <v>0</v>
      </c>
      <c r="AX32" s="418">
        <v>0</v>
      </c>
      <c r="AY32" s="418">
        <v>0</v>
      </c>
      <c r="AZ32" s="418">
        <v>0</v>
      </c>
      <c r="BA32" s="418">
        <v>0</v>
      </c>
      <c r="BB32" s="418">
        <v>0</v>
      </c>
      <c r="BC32" s="418">
        <v>0</v>
      </c>
      <c r="BD32" s="418">
        <v>0</v>
      </c>
      <c r="BE32" s="418">
        <v>0</v>
      </c>
      <c r="BF32" s="418">
        <v>0</v>
      </c>
      <c r="BG32" s="418">
        <v>0</v>
      </c>
      <c r="BH32" s="418">
        <v>0</v>
      </c>
      <c r="BI32" s="418">
        <v>0</v>
      </c>
      <c r="BJ32" s="418">
        <v>0</v>
      </c>
      <c r="BK32" s="418">
        <v>0</v>
      </c>
      <c r="BL32" s="418">
        <v>0</v>
      </c>
      <c r="BM32" s="418">
        <v>0</v>
      </c>
      <c r="BN32" s="418">
        <v>0</v>
      </c>
      <c r="BO32" s="418">
        <v>0</v>
      </c>
      <c r="BP32" s="418">
        <v>0</v>
      </c>
      <c r="BQ32" s="418">
        <v>0</v>
      </c>
      <c r="BR32" s="418">
        <v>0</v>
      </c>
      <c r="BS32" s="418">
        <v>0</v>
      </c>
      <c r="BT32" s="418">
        <v>0</v>
      </c>
      <c r="BU32" s="418">
        <v>0</v>
      </c>
      <c r="BV32" s="418">
        <v>0</v>
      </c>
      <c r="BW32" s="418">
        <v>0</v>
      </c>
      <c r="BX32" s="418">
        <v>0</v>
      </c>
      <c r="BY32" s="418">
        <v>0</v>
      </c>
      <c r="BZ32" s="418">
        <v>0</v>
      </c>
      <c r="CA32" s="418">
        <v>0</v>
      </c>
      <c r="CB32" s="418">
        <v>0</v>
      </c>
    </row>
    <row r="33" spans="1:80" s="418" customFormat="1" ht="39.6" x14ac:dyDescent="0.3">
      <c r="A33" s="1052">
        <v>46</v>
      </c>
      <c r="B33" s="1049"/>
      <c r="C33" s="1067">
        <v>46</v>
      </c>
      <c r="D33" s="1068" t="s">
        <v>1778</v>
      </c>
      <c r="E33" s="1062" t="s">
        <v>337</v>
      </c>
      <c r="F33" s="1063">
        <v>0</v>
      </c>
      <c r="G33" s="1063">
        <v>0</v>
      </c>
      <c r="H33" s="1063">
        <v>0</v>
      </c>
      <c r="I33" s="1063">
        <v>0</v>
      </c>
      <c r="J33" s="1063">
        <v>0</v>
      </c>
      <c r="K33" s="1063">
        <v>0</v>
      </c>
      <c r="L33" s="1063">
        <v>0</v>
      </c>
      <c r="M33" s="1063">
        <v>0</v>
      </c>
      <c r="N33" s="1063">
        <v>0</v>
      </c>
      <c r="O33" s="1063">
        <v>0</v>
      </c>
      <c r="P33" s="1063">
        <v>0</v>
      </c>
      <c r="Q33" s="1063">
        <v>0</v>
      </c>
      <c r="R33" s="1063">
        <v>0</v>
      </c>
      <c r="S33" s="1063">
        <v>0</v>
      </c>
      <c r="T33" s="1063">
        <v>0</v>
      </c>
      <c r="U33" s="1063">
        <v>0</v>
      </c>
      <c r="V33" s="1063"/>
      <c r="W33" s="1063"/>
      <c r="X33" s="1063"/>
      <c r="Y33" s="1063"/>
      <c r="Z33" s="1063"/>
      <c r="AA33" s="1066"/>
      <c r="AB33" s="1049"/>
      <c r="AC33" s="1063"/>
      <c r="AD33" s="1063"/>
      <c r="AE33" s="1063"/>
      <c r="AF33" s="1063"/>
      <c r="AG33" s="1063"/>
      <c r="AH33" s="1063"/>
      <c r="AI33" s="1063"/>
      <c r="AJ33" s="1063"/>
      <c r="AK33" s="1063"/>
      <c r="AL33" s="1063"/>
      <c r="AM33" s="1063"/>
      <c r="AN33" s="1063"/>
      <c r="AO33" s="1063"/>
      <c r="AP33" s="1063"/>
      <c r="AQ33" s="1063"/>
      <c r="AR33" s="1063"/>
      <c r="AS33" s="1063"/>
    </row>
    <row r="34" spans="1:80" s="418" customFormat="1" ht="15.6" x14ac:dyDescent="0.3">
      <c r="A34" s="1052">
        <v>47</v>
      </c>
      <c r="B34" s="1049"/>
      <c r="C34" s="1060" t="s">
        <v>1942</v>
      </c>
      <c r="D34" s="1061" t="s">
        <v>1318</v>
      </c>
      <c r="E34" s="1062" t="s">
        <v>338</v>
      </c>
      <c r="F34" s="1063">
        <v>0</v>
      </c>
      <c r="G34" s="1063">
        <v>0</v>
      </c>
      <c r="H34" s="1063">
        <v>0</v>
      </c>
      <c r="I34" s="1063">
        <v>0</v>
      </c>
      <c r="J34" s="1063">
        <v>0</v>
      </c>
      <c r="K34" s="1063">
        <v>0</v>
      </c>
      <c r="L34" s="1063">
        <v>0</v>
      </c>
      <c r="M34" s="1063">
        <v>0</v>
      </c>
      <c r="N34" s="1063">
        <v>0</v>
      </c>
      <c r="O34" s="1063">
        <v>0</v>
      </c>
      <c r="P34" s="1063">
        <v>0</v>
      </c>
      <c r="Q34" s="1063">
        <v>0</v>
      </c>
      <c r="R34" s="1063">
        <v>0</v>
      </c>
      <c r="S34" s="1063">
        <v>0</v>
      </c>
      <c r="T34" s="1063">
        <v>0</v>
      </c>
      <c r="U34" s="1063">
        <v>0</v>
      </c>
      <c r="V34" s="1063"/>
      <c r="W34" s="1063"/>
      <c r="X34" s="1063"/>
      <c r="Y34" s="1063"/>
      <c r="Z34" s="1063"/>
      <c r="AA34" s="1066"/>
      <c r="AB34" s="1065"/>
      <c r="AC34" s="1063"/>
      <c r="AD34" s="1063"/>
      <c r="AE34" s="1063"/>
      <c r="AF34" s="1063"/>
      <c r="AG34" s="1063"/>
      <c r="AH34" s="1063"/>
      <c r="AI34" s="1063"/>
      <c r="AJ34" s="1063"/>
      <c r="AK34" s="1063"/>
      <c r="AL34" s="1063"/>
      <c r="AM34" s="1063"/>
      <c r="AN34" s="1063"/>
      <c r="AO34" s="1063"/>
      <c r="AP34" s="1063"/>
      <c r="AQ34" s="1063"/>
      <c r="AR34" s="1063"/>
      <c r="AS34" s="1063"/>
      <c r="AT34" s="418">
        <v>0</v>
      </c>
      <c r="AU34" s="418">
        <v>0</v>
      </c>
      <c r="AV34" s="418">
        <v>0</v>
      </c>
      <c r="AW34" s="418">
        <v>0</v>
      </c>
      <c r="AX34" s="418">
        <v>0</v>
      </c>
      <c r="AY34" s="418">
        <v>0</v>
      </c>
      <c r="AZ34" s="418">
        <v>0</v>
      </c>
      <c r="BA34" s="418">
        <v>0</v>
      </c>
      <c r="BB34" s="418">
        <v>0</v>
      </c>
      <c r="BC34" s="418">
        <v>0</v>
      </c>
      <c r="BD34" s="418">
        <v>0</v>
      </c>
      <c r="BE34" s="418">
        <v>0</v>
      </c>
      <c r="BF34" s="418">
        <v>0</v>
      </c>
      <c r="BG34" s="418">
        <v>0</v>
      </c>
      <c r="BH34" s="418">
        <v>0</v>
      </c>
      <c r="BI34" s="418">
        <v>0</v>
      </c>
      <c r="BJ34" s="418">
        <v>0</v>
      </c>
      <c r="BK34" s="418">
        <v>0</v>
      </c>
      <c r="BL34" s="418">
        <v>0</v>
      </c>
      <c r="BM34" s="418">
        <v>0</v>
      </c>
      <c r="BN34" s="418">
        <v>0</v>
      </c>
      <c r="BO34" s="418">
        <v>0</v>
      </c>
      <c r="BP34" s="418">
        <v>0</v>
      </c>
      <c r="BQ34" s="418">
        <v>0</v>
      </c>
      <c r="BR34" s="418">
        <v>0</v>
      </c>
      <c r="BS34" s="418">
        <v>0</v>
      </c>
      <c r="BT34" s="418">
        <v>0</v>
      </c>
      <c r="BU34" s="418">
        <v>0</v>
      </c>
      <c r="BV34" s="418">
        <v>0</v>
      </c>
      <c r="BW34" s="418">
        <v>0</v>
      </c>
      <c r="BX34" s="418">
        <v>0</v>
      </c>
      <c r="BY34" s="418">
        <v>0</v>
      </c>
      <c r="BZ34" s="418">
        <v>0</v>
      </c>
      <c r="CA34" s="418">
        <v>0</v>
      </c>
      <c r="CB34" s="418">
        <v>0</v>
      </c>
    </row>
    <row r="35" spans="1:80" s="418" customFormat="1" ht="15.6" x14ac:dyDescent="0.3">
      <c r="A35" s="1052">
        <v>48</v>
      </c>
      <c r="B35" s="1049"/>
      <c r="C35" s="1060" t="s">
        <v>1943</v>
      </c>
      <c r="D35" s="1061" t="s">
        <v>123</v>
      </c>
      <c r="E35" s="1062" t="s">
        <v>339</v>
      </c>
      <c r="F35" s="1063">
        <v>0</v>
      </c>
      <c r="G35" s="1063">
        <v>0</v>
      </c>
      <c r="H35" s="1063">
        <v>0</v>
      </c>
      <c r="I35" s="1063">
        <v>0</v>
      </c>
      <c r="J35" s="1063">
        <v>0</v>
      </c>
      <c r="K35" s="1063">
        <v>0</v>
      </c>
      <c r="L35" s="1063">
        <v>0</v>
      </c>
      <c r="M35" s="1063">
        <v>0</v>
      </c>
      <c r="N35" s="1063">
        <v>0</v>
      </c>
      <c r="O35" s="1063">
        <v>0</v>
      </c>
      <c r="P35" s="1063">
        <v>0</v>
      </c>
      <c r="Q35" s="1063">
        <v>0</v>
      </c>
      <c r="R35" s="1063">
        <v>0</v>
      </c>
      <c r="S35" s="1063">
        <v>0</v>
      </c>
      <c r="T35" s="1063">
        <v>0</v>
      </c>
      <c r="U35" s="1063">
        <v>0</v>
      </c>
      <c r="V35" s="1063"/>
      <c r="W35" s="1063"/>
      <c r="X35" s="1063"/>
      <c r="Y35" s="1063"/>
      <c r="Z35" s="1063"/>
      <c r="AA35" s="1066"/>
      <c r="AB35" s="1065"/>
      <c r="AC35" s="1063"/>
      <c r="AD35" s="1063"/>
      <c r="AE35" s="1063"/>
      <c r="AF35" s="1063"/>
      <c r="AG35" s="1063"/>
      <c r="AH35" s="1063"/>
      <c r="AI35" s="1063"/>
      <c r="AJ35" s="1063"/>
      <c r="AK35" s="1063"/>
      <c r="AL35" s="1063"/>
      <c r="AM35" s="1063"/>
      <c r="AN35" s="1063"/>
      <c r="AO35" s="1063"/>
      <c r="AP35" s="1063"/>
      <c r="AQ35" s="1063"/>
      <c r="AR35" s="1063"/>
      <c r="AS35" s="1063"/>
      <c r="AT35" s="418">
        <v>0</v>
      </c>
      <c r="AU35" s="418">
        <v>0</v>
      </c>
      <c r="AV35" s="418">
        <v>0</v>
      </c>
      <c r="AW35" s="418">
        <v>0</v>
      </c>
      <c r="AX35" s="418">
        <v>0</v>
      </c>
      <c r="AY35" s="418">
        <v>0</v>
      </c>
      <c r="AZ35" s="418">
        <v>0</v>
      </c>
      <c r="BA35" s="418">
        <v>0</v>
      </c>
      <c r="BB35" s="418">
        <v>0</v>
      </c>
      <c r="BC35" s="418">
        <v>0</v>
      </c>
      <c r="BD35" s="418">
        <v>0</v>
      </c>
      <c r="BE35" s="418">
        <v>0</v>
      </c>
      <c r="BF35" s="418">
        <v>0</v>
      </c>
      <c r="BG35" s="418">
        <v>0</v>
      </c>
      <c r="BH35" s="418">
        <v>0</v>
      </c>
      <c r="BI35" s="418">
        <v>0</v>
      </c>
      <c r="BJ35" s="418">
        <v>0</v>
      </c>
      <c r="BK35" s="418">
        <v>0</v>
      </c>
      <c r="BL35" s="418">
        <v>0</v>
      </c>
      <c r="BM35" s="418">
        <v>0</v>
      </c>
      <c r="BN35" s="418">
        <v>0</v>
      </c>
      <c r="BO35" s="418">
        <v>0</v>
      </c>
      <c r="BP35" s="418">
        <v>0</v>
      </c>
      <c r="BQ35" s="418">
        <v>0</v>
      </c>
      <c r="BR35" s="418">
        <v>0</v>
      </c>
      <c r="BS35" s="418">
        <v>0</v>
      </c>
      <c r="BT35" s="418">
        <v>0</v>
      </c>
      <c r="BU35" s="418">
        <v>0</v>
      </c>
      <c r="BV35" s="418">
        <v>0</v>
      </c>
      <c r="BW35" s="418">
        <v>0</v>
      </c>
      <c r="BX35" s="418">
        <v>0</v>
      </c>
      <c r="BY35" s="418">
        <v>0</v>
      </c>
      <c r="BZ35" s="418">
        <v>0</v>
      </c>
      <c r="CA35" s="418">
        <v>0</v>
      </c>
      <c r="CB35" s="418">
        <v>0</v>
      </c>
    </row>
    <row r="36" spans="1:80" s="418" customFormat="1" ht="27.6" x14ac:dyDescent="0.3">
      <c r="A36" s="1052">
        <v>49</v>
      </c>
      <c r="B36" s="1049"/>
      <c r="C36" s="1060" t="s">
        <v>1944</v>
      </c>
      <c r="D36" s="1061" t="s">
        <v>228</v>
      </c>
      <c r="E36" s="1062" t="s">
        <v>340</v>
      </c>
      <c r="F36" s="1063">
        <v>0</v>
      </c>
      <c r="G36" s="1063">
        <v>0</v>
      </c>
      <c r="H36" s="1063">
        <v>0</v>
      </c>
      <c r="I36" s="1063">
        <v>0</v>
      </c>
      <c r="J36" s="1063">
        <v>0</v>
      </c>
      <c r="K36" s="1063">
        <v>0</v>
      </c>
      <c r="L36" s="1063">
        <v>0</v>
      </c>
      <c r="M36" s="1063">
        <v>0</v>
      </c>
      <c r="N36" s="1063">
        <v>0</v>
      </c>
      <c r="O36" s="1063">
        <v>0</v>
      </c>
      <c r="P36" s="1063">
        <v>0</v>
      </c>
      <c r="Q36" s="1063">
        <v>0</v>
      </c>
      <c r="R36" s="1063">
        <v>0</v>
      </c>
      <c r="S36" s="1063">
        <v>0</v>
      </c>
      <c r="T36" s="1063">
        <v>0</v>
      </c>
      <c r="U36" s="1063">
        <v>0</v>
      </c>
      <c r="V36" s="1063"/>
      <c r="W36" s="1063"/>
      <c r="X36" s="1063"/>
      <c r="Y36" s="1063"/>
      <c r="Z36" s="1063"/>
      <c r="AA36" s="1066"/>
      <c r="AB36" s="1065"/>
      <c r="AC36" s="1063"/>
      <c r="AD36" s="1063"/>
      <c r="AE36" s="1063"/>
      <c r="AF36" s="1063"/>
      <c r="AG36" s="1063"/>
      <c r="AH36" s="1063"/>
      <c r="AI36" s="1063"/>
      <c r="AJ36" s="1063"/>
      <c r="AK36" s="1063"/>
      <c r="AL36" s="1063"/>
      <c r="AM36" s="1063"/>
      <c r="AN36" s="1063"/>
      <c r="AO36" s="1063"/>
      <c r="AP36" s="1063"/>
      <c r="AQ36" s="1063"/>
      <c r="AR36" s="1063"/>
      <c r="AS36" s="1063"/>
      <c r="AT36" s="418">
        <v>120311</v>
      </c>
      <c r="AU36" s="418">
        <v>260639</v>
      </c>
      <c r="AV36" s="418">
        <v>1695166</v>
      </c>
      <c r="AW36" s="418">
        <v>60968</v>
      </c>
      <c r="AX36" s="418">
        <v>175643</v>
      </c>
      <c r="AY36" s="418">
        <v>294430</v>
      </c>
      <c r="AZ36" s="418">
        <v>384632</v>
      </c>
      <c r="BA36" s="418">
        <v>584323</v>
      </c>
      <c r="BB36" s="418">
        <v>0</v>
      </c>
      <c r="BC36" s="418">
        <v>142574</v>
      </c>
      <c r="BD36" s="418">
        <v>0</v>
      </c>
      <c r="BE36" s="418">
        <v>0</v>
      </c>
      <c r="BF36" s="418">
        <v>1969711</v>
      </c>
      <c r="BG36" s="418">
        <v>0</v>
      </c>
      <c r="BH36" s="418">
        <v>0</v>
      </c>
      <c r="BI36" s="418">
        <v>292962</v>
      </c>
      <c r="BJ36" s="418">
        <v>189870</v>
      </c>
      <c r="BK36" s="418">
        <v>0</v>
      </c>
      <c r="BL36" s="418">
        <v>365807</v>
      </c>
      <c r="BM36" s="418">
        <v>324170</v>
      </c>
      <c r="BN36" s="418">
        <v>0</v>
      </c>
      <c r="BO36" s="418">
        <v>909491</v>
      </c>
      <c r="BP36" s="418">
        <v>276639</v>
      </c>
      <c r="BQ36" s="418">
        <v>319635</v>
      </c>
      <c r="BR36" s="418">
        <v>176712</v>
      </c>
      <c r="BS36" s="418">
        <v>0</v>
      </c>
      <c r="BT36" s="418">
        <v>0</v>
      </c>
      <c r="BU36" s="418">
        <v>253074</v>
      </c>
      <c r="BV36" s="418">
        <v>545811</v>
      </c>
      <c r="BW36" s="418">
        <v>149166</v>
      </c>
      <c r="BX36" s="418">
        <v>452547</v>
      </c>
      <c r="BY36" s="418">
        <v>0</v>
      </c>
      <c r="BZ36" s="418">
        <v>0</v>
      </c>
      <c r="CA36" s="418">
        <v>1551766</v>
      </c>
      <c r="CB36" s="418">
        <v>0</v>
      </c>
    </row>
    <row r="37" spans="1:80" s="418" customFormat="1" ht="15.6" x14ac:dyDescent="0.3">
      <c r="A37" s="1052">
        <v>50</v>
      </c>
      <c r="B37" s="1049"/>
      <c r="C37" s="1060" t="s">
        <v>1945</v>
      </c>
      <c r="D37" s="1061" t="s">
        <v>100</v>
      </c>
      <c r="E37" s="1062" t="s">
        <v>341</v>
      </c>
      <c r="F37" s="1063">
        <v>0</v>
      </c>
      <c r="G37" s="1063">
        <v>0</v>
      </c>
      <c r="H37" s="1063">
        <v>0</v>
      </c>
      <c r="I37" s="1063">
        <v>0</v>
      </c>
      <c r="J37" s="1063">
        <v>0</v>
      </c>
      <c r="K37" s="1063">
        <v>0</v>
      </c>
      <c r="L37" s="1063">
        <v>0</v>
      </c>
      <c r="M37" s="1063">
        <v>0</v>
      </c>
      <c r="N37" s="1063">
        <v>0</v>
      </c>
      <c r="O37" s="1063">
        <v>0</v>
      </c>
      <c r="P37" s="1063">
        <v>0</v>
      </c>
      <c r="Q37" s="1063">
        <v>0</v>
      </c>
      <c r="R37" s="1063">
        <v>0</v>
      </c>
      <c r="S37" s="1063">
        <v>0</v>
      </c>
      <c r="T37" s="1063">
        <v>0</v>
      </c>
      <c r="U37" s="1063">
        <v>0</v>
      </c>
      <c r="V37" s="1063"/>
      <c r="W37" s="1063"/>
      <c r="X37" s="1063"/>
      <c r="Y37" s="1063"/>
      <c r="Z37" s="1063"/>
      <c r="AA37" s="1066"/>
      <c r="AB37" s="1065"/>
      <c r="AC37" s="1063"/>
      <c r="AD37" s="1063"/>
      <c r="AE37" s="1063"/>
      <c r="AF37" s="1063"/>
      <c r="AG37" s="1063"/>
      <c r="AH37" s="1063"/>
      <c r="AI37" s="1063"/>
      <c r="AJ37" s="1063"/>
      <c r="AK37" s="1063"/>
      <c r="AL37" s="1063"/>
      <c r="AM37" s="1063"/>
      <c r="AN37" s="1063"/>
      <c r="AO37" s="1063"/>
      <c r="AP37" s="1063"/>
      <c r="AQ37" s="1063"/>
      <c r="AR37" s="1063"/>
      <c r="AS37" s="1063"/>
      <c r="AT37" s="418">
        <v>-94826</v>
      </c>
      <c r="AU37" s="418">
        <v>60387</v>
      </c>
      <c r="AV37" s="418">
        <v>668325</v>
      </c>
      <c r="AW37" s="418">
        <v>50432</v>
      </c>
      <c r="AX37" s="418">
        <v>338783</v>
      </c>
      <c r="AY37" s="418">
        <v>609195</v>
      </c>
      <c r="AZ37" s="418">
        <v>-88837</v>
      </c>
      <c r="BA37" s="418">
        <v>4461</v>
      </c>
      <c r="BB37" s="418">
        <v>-14536</v>
      </c>
      <c r="BC37" s="418">
        <v>3398</v>
      </c>
      <c r="BD37" s="418">
        <v>0</v>
      </c>
      <c r="BE37" s="418">
        <v>0</v>
      </c>
      <c r="BF37" s="418">
        <v>1544466</v>
      </c>
      <c r="BG37" s="418">
        <v>0</v>
      </c>
      <c r="BH37" s="418">
        <v>0</v>
      </c>
      <c r="BI37" s="418">
        <v>217225</v>
      </c>
      <c r="BJ37" s="418">
        <v>131142</v>
      </c>
      <c r="BK37" s="418">
        <v>0</v>
      </c>
      <c r="BL37" s="418">
        <v>-32085</v>
      </c>
      <c r="BM37" s="418">
        <v>223201</v>
      </c>
      <c r="BN37" s="418">
        <v>0</v>
      </c>
      <c r="BO37" s="418">
        <v>-361105</v>
      </c>
      <c r="BP37" s="418">
        <v>249720</v>
      </c>
      <c r="BQ37" s="418">
        <v>-136759</v>
      </c>
      <c r="BR37" s="418">
        <v>-1475914</v>
      </c>
      <c r="BS37" s="418">
        <v>0</v>
      </c>
      <c r="BT37" s="418">
        <v>0</v>
      </c>
      <c r="BU37" s="418">
        <v>-164984</v>
      </c>
      <c r="BV37" s="418">
        <v>-21399</v>
      </c>
      <c r="BW37" s="418">
        <v>866377</v>
      </c>
      <c r="BX37" s="418">
        <v>-856853</v>
      </c>
      <c r="BY37" s="418">
        <v>0</v>
      </c>
      <c r="BZ37" s="418">
        <v>0</v>
      </c>
      <c r="CA37" s="418">
        <v>5854413</v>
      </c>
      <c r="CB37" s="418">
        <v>0</v>
      </c>
    </row>
    <row r="38" spans="1:80" s="418" customFormat="1" ht="27.6" x14ac:dyDescent="0.3">
      <c r="A38" s="1052">
        <v>51</v>
      </c>
      <c r="B38" s="1049"/>
      <c r="C38" s="1060" t="s">
        <v>1946</v>
      </c>
      <c r="D38" s="1061" t="s">
        <v>246</v>
      </c>
      <c r="E38" s="1062" t="s">
        <v>342</v>
      </c>
      <c r="F38" s="1063">
        <v>0</v>
      </c>
      <c r="G38" s="1063">
        <v>0</v>
      </c>
      <c r="H38" s="1063">
        <v>0</v>
      </c>
      <c r="I38" s="1063">
        <v>0</v>
      </c>
      <c r="J38" s="1063">
        <v>0</v>
      </c>
      <c r="K38" s="1063">
        <v>0</v>
      </c>
      <c r="L38" s="1063">
        <v>0</v>
      </c>
      <c r="M38" s="1063">
        <v>0</v>
      </c>
      <c r="N38" s="1063">
        <v>0</v>
      </c>
      <c r="O38" s="1063">
        <v>0</v>
      </c>
      <c r="P38" s="1063">
        <v>0</v>
      </c>
      <c r="Q38" s="1063">
        <v>0</v>
      </c>
      <c r="R38" s="1063">
        <v>0</v>
      </c>
      <c r="S38" s="1063">
        <v>0</v>
      </c>
      <c r="T38" s="1063">
        <v>0</v>
      </c>
      <c r="U38" s="1063">
        <v>0</v>
      </c>
      <c r="V38" s="1063"/>
      <c r="W38" s="1063"/>
      <c r="X38" s="1063"/>
      <c r="Y38" s="1063"/>
      <c r="Z38" s="1063"/>
      <c r="AA38" s="1066"/>
      <c r="AB38" s="1065"/>
      <c r="AC38" s="1063"/>
      <c r="AD38" s="1063"/>
      <c r="AE38" s="1063"/>
      <c r="AF38" s="1063"/>
      <c r="AG38" s="1063"/>
      <c r="AH38" s="1063"/>
      <c r="AI38" s="1063"/>
      <c r="AJ38" s="1063"/>
      <c r="AK38" s="1063"/>
      <c r="AL38" s="1063"/>
      <c r="AM38" s="1063"/>
      <c r="AN38" s="1063"/>
      <c r="AO38" s="1063"/>
      <c r="AP38" s="1063"/>
      <c r="AQ38" s="1063"/>
      <c r="AR38" s="1063"/>
      <c r="AS38" s="1063"/>
      <c r="AT38" s="418">
        <v>15698</v>
      </c>
      <c r="AU38" s="418">
        <v>12304</v>
      </c>
      <c r="AV38" s="418">
        <v>2824949</v>
      </c>
      <c r="AW38" s="418">
        <v>141892</v>
      </c>
      <c r="AX38" s="418">
        <v>-30776</v>
      </c>
      <c r="AY38" s="418">
        <v>952068</v>
      </c>
      <c r="AZ38" s="418">
        <v>367844</v>
      </c>
      <c r="BA38" s="418">
        <v>351769</v>
      </c>
      <c r="BB38" s="418">
        <v>-89650</v>
      </c>
      <c r="BC38" s="418">
        <v>144505</v>
      </c>
      <c r="BD38" s="418">
        <v>0</v>
      </c>
      <c r="BE38" s="418">
        <v>0</v>
      </c>
      <c r="BF38" s="418">
        <v>1790295</v>
      </c>
      <c r="BG38" s="418">
        <v>0</v>
      </c>
      <c r="BH38" s="418">
        <v>0</v>
      </c>
      <c r="BI38" s="418">
        <v>138040</v>
      </c>
      <c r="BJ38" s="418">
        <v>377679</v>
      </c>
      <c r="BK38" s="418">
        <v>0</v>
      </c>
      <c r="BL38" s="418">
        <v>298735</v>
      </c>
      <c r="BM38" s="418">
        <v>593186</v>
      </c>
      <c r="BN38" s="418">
        <v>0</v>
      </c>
      <c r="BO38" s="418">
        <v>766093</v>
      </c>
      <c r="BP38" s="418">
        <v>721130</v>
      </c>
      <c r="BQ38" s="418">
        <v>224681</v>
      </c>
      <c r="BR38" s="418">
        <v>244949</v>
      </c>
      <c r="BS38" s="418">
        <v>0</v>
      </c>
      <c r="BT38" s="418">
        <v>0</v>
      </c>
      <c r="BU38" s="418">
        <v>39498</v>
      </c>
      <c r="BV38" s="418">
        <v>526379</v>
      </c>
      <c r="BW38" s="418">
        <v>84534</v>
      </c>
      <c r="BX38" s="418">
        <v>231899</v>
      </c>
      <c r="BY38" s="418">
        <v>0</v>
      </c>
      <c r="BZ38" s="418">
        <v>0</v>
      </c>
      <c r="CA38" s="418">
        <v>2517092</v>
      </c>
      <c r="CB38" s="418">
        <v>0</v>
      </c>
    </row>
    <row r="39" spans="1:80" s="418" customFormat="1" ht="27.6" x14ac:dyDescent="0.3">
      <c r="A39" s="1052">
        <v>52</v>
      </c>
      <c r="B39" s="1049"/>
      <c r="C39" s="1060" t="s">
        <v>1947</v>
      </c>
      <c r="D39" s="1061" t="s">
        <v>239</v>
      </c>
      <c r="E39" s="1062" t="s">
        <v>343</v>
      </c>
      <c r="F39" s="1063">
        <v>0</v>
      </c>
      <c r="G39" s="1063">
        <v>0</v>
      </c>
      <c r="H39" s="1063">
        <v>0</v>
      </c>
      <c r="I39" s="1063">
        <v>0</v>
      </c>
      <c r="J39" s="1063">
        <v>0</v>
      </c>
      <c r="K39" s="1063">
        <v>0</v>
      </c>
      <c r="L39" s="1063">
        <v>0</v>
      </c>
      <c r="M39" s="1063">
        <v>0</v>
      </c>
      <c r="N39" s="1063">
        <v>0</v>
      </c>
      <c r="O39" s="1063">
        <v>0</v>
      </c>
      <c r="P39" s="1063">
        <v>0</v>
      </c>
      <c r="Q39" s="1063">
        <v>0</v>
      </c>
      <c r="R39" s="1063">
        <v>0</v>
      </c>
      <c r="S39" s="1063">
        <v>0</v>
      </c>
      <c r="T39" s="1063">
        <v>0</v>
      </c>
      <c r="U39" s="1063">
        <v>0</v>
      </c>
      <c r="V39" s="1063"/>
      <c r="W39" s="1063"/>
      <c r="X39" s="1063"/>
      <c r="Y39" s="1063"/>
      <c r="Z39" s="1063"/>
      <c r="AA39" s="1066"/>
      <c r="AB39" s="1065"/>
      <c r="AC39" s="1063"/>
      <c r="AD39" s="1063"/>
      <c r="AE39" s="1063"/>
      <c r="AF39" s="1063"/>
      <c r="AG39" s="1063"/>
      <c r="AH39" s="1063"/>
      <c r="AI39" s="1063"/>
      <c r="AJ39" s="1063"/>
      <c r="AK39" s="1063"/>
      <c r="AL39" s="1063"/>
      <c r="AM39" s="1063"/>
      <c r="AN39" s="1063"/>
      <c r="AO39" s="1063"/>
      <c r="AP39" s="1063"/>
      <c r="AQ39" s="1063"/>
      <c r="AR39" s="1063"/>
      <c r="AS39" s="1063"/>
      <c r="AT39" s="418">
        <v>0</v>
      </c>
      <c r="AU39" s="418">
        <v>0</v>
      </c>
      <c r="AV39" s="418">
        <v>162528</v>
      </c>
      <c r="AW39" s="418">
        <v>0</v>
      </c>
      <c r="AX39" s="418">
        <v>0</v>
      </c>
      <c r="AY39" s="418">
        <v>0</v>
      </c>
      <c r="AZ39" s="418">
        <v>0</v>
      </c>
      <c r="BA39" s="418">
        <v>236152</v>
      </c>
      <c r="BB39" s="418">
        <v>0</v>
      </c>
      <c r="BC39" s="418">
        <v>0</v>
      </c>
      <c r="BD39" s="418">
        <v>0</v>
      </c>
      <c r="BE39" s="418">
        <v>0</v>
      </c>
      <c r="BF39" s="418">
        <v>849783</v>
      </c>
      <c r="BG39" s="418">
        <v>0</v>
      </c>
      <c r="BH39" s="418">
        <v>0</v>
      </c>
      <c r="BI39" s="418">
        <v>0</v>
      </c>
      <c r="BJ39" s="418">
        <v>0</v>
      </c>
      <c r="BK39" s="418">
        <v>0</v>
      </c>
      <c r="BL39" s="418">
        <v>164876</v>
      </c>
      <c r="BM39" s="418">
        <v>0</v>
      </c>
      <c r="BN39" s="418">
        <v>0</v>
      </c>
      <c r="BO39" s="418">
        <v>0</v>
      </c>
      <c r="BP39" s="418">
        <v>0</v>
      </c>
      <c r="BQ39" s="418">
        <v>0</v>
      </c>
      <c r="BR39" s="418">
        <v>0</v>
      </c>
      <c r="BS39" s="418">
        <v>0</v>
      </c>
      <c r="BT39" s="418">
        <v>0</v>
      </c>
      <c r="BU39" s="418">
        <v>0</v>
      </c>
      <c r="BV39" s="418">
        <v>0</v>
      </c>
      <c r="BW39" s="418">
        <v>0</v>
      </c>
      <c r="BX39" s="418">
        <v>0</v>
      </c>
      <c r="BY39" s="418">
        <v>0</v>
      </c>
      <c r="BZ39" s="418">
        <v>0</v>
      </c>
      <c r="CA39" s="418">
        <v>0</v>
      </c>
      <c r="CB39" s="418">
        <v>0</v>
      </c>
    </row>
    <row r="40" spans="1:80" s="418" customFormat="1" ht="15.6" x14ac:dyDescent="0.3">
      <c r="A40" s="1052">
        <v>53</v>
      </c>
      <c r="B40" s="1049"/>
      <c r="C40" s="1060" t="s">
        <v>1948</v>
      </c>
      <c r="D40" s="1061" t="s">
        <v>101</v>
      </c>
      <c r="E40" s="1062" t="s">
        <v>344</v>
      </c>
      <c r="F40" s="1063">
        <v>0</v>
      </c>
      <c r="G40" s="1063">
        <v>0</v>
      </c>
      <c r="H40" s="1063">
        <v>0</v>
      </c>
      <c r="I40" s="1063">
        <v>0</v>
      </c>
      <c r="J40" s="1063">
        <v>0</v>
      </c>
      <c r="K40" s="1063">
        <v>0</v>
      </c>
      <c r="L40" s="1063">
        <v>0</v>
      </c>
      <c r="M40" s="1063">
        <v>0</v>
      </c>
      <c r="N40" s="1063">
        <v>0</v>
      </c>
      <c r="O40" s="1063">
        <v>0</v>
      </c>
      <c r="P40" s="1063">
        <v>0</v>
      </c>
      <c r="Q40" s="1063">
        <v>0</v>
      </c>
      <c r="R40" s="1063">
        <v>0</v>
      </c>
      <c r="S40" s="1063">
        <v>0</v>
      </c>
      <c r="T40" s="1063">
        <v>0</v>
      </c>
      <c r="U40" s="1063">
        <v>0</v>
      </c>
      <c r="V40" s="1063"/>
      <c r="W40" s="1063"/>
      <c r="X40" s="1063"/>
      <c r="Y40" s="1063"/>
      <c r="Z40" s="1063"/>
      <c r="AA40" s="1066"/>
      <c r="AB40" s="1049"/>
      <c r="AC40" s="1063"/>
      <c r="AD40" s="1063"/>
      <c r="AE40" s="1063"/>
      <c r="AF40" s="1063"/>
      <c r="AG40" s="1063"/>
      <c r="AH40" s="1063"/>
      <c r="AI40" s="1063"/>
      <c r="AJ40" s="1063"/>
      <c r="AK40" s="1063"/>
      <c r="AL40" s="1063"/>
      <c r="AM40" s="1063"/>
      <c r="AN40" s="1063"/>
      <c r="AO40" s="1063"/>
      <c r="AP40" s="1063"/>
      <c r="AQ40" s="1063"/>
      <c r="AR40" s="1063"/>
      <c r="AS40" s="1063"/>
      <c r="AT40" s="418">
        <v>0</v>
      </c>
      <c r="AU40" s="418">
        <v>0</v>
      </c>
      <c r="AV40" s="418">
        <v>1107026</v>
      </c>
      <c r="AW40" s="418">
        <v>0</v>
      </c>
      <c r="AX40" s="418">
        <v>0</v>
      </c>
      <c r="AY40" s="418">
        <v>0</v>
      </c>
      <c r="AZ40" s="418">
        <v>0</v>
      </c>
      <c r="BA40" s="418">
        <v>-203934</v>
      </c>
      <c r="BB40" s="418">
        <v>0</v>
      </c>
      <c r="BC40" s="418">
        <v>0</v>
      </c>
      <c r="BD40" s="418">
        <v>0</v>
      </c>
      <c r="BE40" s="418">
        <v>0</v>
      </c>
      <c r="BF40" s="418">
        <v>619333</v>
      </c>
      <c r="BG40" s="418">
        <v>0</v>
      </c>
      <c r="BH40" s="418">
        <v>0</v>
      </c>
      <c r="BI40" s="418">
        <v>0</v>
      </c>
      <c r="BJ40" s="418">
        <v>0</v>
      </c>
      <c r="BK40" s="418">
        <v>0</v>
      </c>
      <c r="BL40" s="418">
        <v>959534</v>
      </c>
      <c r="BM40" s="418">
        <v>0</v>
      </c>
      <c r="BN40" s="418">
        <v>0</v>
      </c>
      <c r="BO40" s="418">
        <v>0</v>
      </c>
      <c r="BP40" s="418">
        <v>0</v>
      </c>
      <c r="BQ40" s="418">
        <v>0</v>
      </c>
      <c r="BR40" s="418">
        <v>0</v>
      </c>
      <c r="BS40" s="418">
        <v>0</v>
      </c>
      <c r="BT40" s="418">
        <v>0</v>
      </c>
      <c r="BU40" s="418">
        <v>0</v>
      </c>
      <c r="BV40" s="418">
        <v>0</v>
      </c>
      <c r="BW40" s="418">
        <v>0</v>
      </c>
      <c r="BX40" s="418">
        <v>0</v>
      </c>
      <c r="BY40" s="418">
        <v>0</v>
      </c>
      <c r="BZ40" s="418">
        <v>0</v>
      </c>
      <c r="CA40" s="418">
        <v>0</v>
      </c>
      <c r="CB40" s="418">
        <v>0</v>
      </c>
    </row>
    <row r="41" spans="1:80" s="418" customFormat="1" ht="15.6" x14ac:dyDescent="0.3">
      <c r="A41" s="1052">
        <v>54</v>
      </c>
      <c r="B41" s="1049"/>
      <c r="C41" s="1060" t="s">
        <v>1779</v>
      </c>
      <c r="D41" s="1061" t="s">
        <v>1780</v>
      </c>
      <c r="E41" s="1062" t="s">
        <v>345</v>
      </c>
      <c r="F41" s="1063">
        <v>0</v>
      </c>
      <c r="G41" s="1063">
        <v>0</v>
      </c>
      <c r="H41" s="1063">
        <v>0</v>
      </c>
      <c r="I41" s="1063">
        <v>0</v>
      </c>
      <c r="J41" s="1063">
        <v>0</v>
      </c>
      <c r="K41" s="1063">
        <v>0</v>
      </c>
      <c r="L41" s="1063">
        <v>0</v>
      </c>
      <c r="M41" s="1063">
        <v>0</v>
      </c>
      <c r="N41" s="1063">
        <v>0</v>
      </c>
      <c r="O41" s="1063">
        <v>0</v>
      </c>
      <c r="P41" s="1063">
        <v>0</v>
      </c>
      <c r="Q41" s="1063">
        <v>0</v>
      </c>
      <c r="R41" s="1063">
        <v>0</v>
      </c>
      <c r="S41" s="1063">
        <v>0</v>
      </c>
      <c r="T41" s="1063">
        <v>0</v>
      </c>
      <c r="U41" s="1063">
        <v>0</v>
      </c>
      <c r="V41" s="1063"/>
      <c r="W41" s="1063"/>
      <c r="X41" s="1063"/>
      <c r="Y41" s="1063"/>
      <c r="Z41" s="1063"/>
      <c r="AA41" s="1066"/>
      <c r="AB41" s="1065"/>
      <c r="AC41" s="1063"/>
      <c r="AD41" s="1063"/>
      <c r="AE41" s="1063"/>
      <c r="AF41" s="1063"/>
      <c r="AG41" s="1063"/>
      <c r="AH41" s="1063"/>
      <c r="AI41" s="1063"/>
      <c r="AJ41" s="1063"/>
      <c r="AK41" s="1063"/>
      <c r="AL41" s="1063"/>
      <c r="AM41" s="1063"/>
      <c r="AN41" s="1063"/>
      <c r="AO41" s="1063"/>
      <c r="AP41" s="1063"/>
      <c r="AQ41" s="1063"/>
      <c r="AR41" s="1063"/>
      <c r="AS41" s="1063"/>
    </row>
    <row r="42" spans="1:80" s="418" customFormat="1" ht="27.6" x14ac:dyDescent="0.3">
      <c r="A42" s="1052">
        <v>55</v>
      </c>
      <c r="B42" s="1049"/>
      <c r="C42" s="1060" t="s">
        <v>1949</v>
      </c>
      <c r="D42" s="1061" t="s">
        <v>249</v>
      </c>
      <c r="E42" s="1062" t="s">
        <v>346</v>
      </c>
      <c r="F42" s="1063">
        <v>0</v>
      </c>
      <c r="G42" s="1063">
        <v>0</v>
      </c>
      <c r="H42" s="1063">
        <v>0</v>
      </c>
      <c r="I42" s="1063">
        <v>0</v>
      </c>
      <c r="J42" s="1063">
        <v>0</v>
      </c>
      <c r="K42" s="1063">
        <v>0</v>
      </c>
      <c r="L42" s="1063">
        <v>0</v>
      </c>
      <c r="M42" s="1063">
        <v>0</v>
      </c>
      <c r="N42" s="1063">
        <v>0</v>
      </c>
      <c r="O42" s="1063">
        <v>0</v>
      </c>
      <c r="P42" s="1063">
        <v>0</v>
      </c>
      <c r="Q42" s="1063">
        <v>0</v>
      </c>
      <c r="R42" s="1063">
        <v>0</v>
      </c>
      <c r="S42" s="1063">
        <v>0</v>
      </c>
      <c r="T42" s="1063">
        <v>0</v>
      </c>
      <c r="U42" s="1063">
        <v>0</v>
      </c>
      <c r="V42" s="1063"/>
      <c r="W42" s="1063"/>
      <c r="X42" s="1063"/>
      <c r="Y42" s="1063"/>
      <c r="Z42" s="1063"/>
      <c r="AA42" s="1066"/>
      <c r="AB42" s="1065"/>
      <c r="AC42" s="1063"/>
      <c r="AD42" s="1063"/>
      <c r="AE42" s="1063"/>
      <c r="AF42" s="1063"/>
      <c r="AG42" s="1063"/>
      <c r="AH42" s="1063"/>
      <c r="AI42" s="1063"/>
      <c r="AJ42" s="1063"/>
      <c r="AK42" s="1063"/>
      <c r="AL42" s="1063"/>
      <c r="AM42" s="1063"/>
      <c r="AN42" s="1063"/>
      <c r="AO42" s="1063"/>
      <c r="AP42" s="1063"/>
      <c r="AQ42" s="1063"/>
      <c r="AR42" s="1063"/>
      <c r="AS42" s="1063"/>
      <c r="AT42" s="418">
        <v>0</v>
      </c>
      <c r="AU42" s="418">
        <v>0</v>
      </c>
      <c r="AV42" s="418">
        <v>1295545</v>
      </c>
      <c r="AW42" s="418">
        <v>0</v>
      </c>
      <c r="AX42" s="418">
        <v>0</v>
      </c>
      <c r="AY42" s="418">
        <v>0</v>
      </c>
      <c r="AZ42" s="418">
        <v>0</v>
      </c>
      <c r="BA42" s="418">
        <v>299194</v>
      </c>
      <c r="BB42" s="418">
        <v>0</v>
      </c>
      <c r="BC42" s="418">
        <v>0</v>
      </c>
      <c r="BD42" s="418">
        <v>0</v>
      </c>
      <c r="BE42" s="418">
        <v>0</v>
      </c>
      <c r="BF42" s="418">
        <v>2547456</v>
      </c>
      <c r="BG42" s="418">
        <v>0</v>
      </c>
      <c r="BH42" s="418">
        <v>0</v>
      </c>
      <c r="BI42" s="418">
        <v>0</v>
      </c>
      <c r="BJ42" s="418">
        <v>0</v>
      </c>
      <c r="BK42" s="418">
        <v>0</v>
      </c>
      <c r="BL42" s="418">
        <v>1374630</v>
      </c>
      <c r="BM42" s="418">
        <v>0</v>
      </c>
      <c r="BN42" s="418">
        <v>0</v>
      </c>
      <c r="BO42" s="418">
        <v>0</v>
      </c>
      <c r="BP42" s="418">
        <v>0</v>
      </c>
      <c r="BQ42" s="418">
        <v>0</v>
      </c>
      <c r="BR42" s="418">
        <v>0</v>
      </c>
      <c r="BS42" s="418">
        <v>0</v>
      </c>
      <c r="BT42" s="418">
        <v>0</v>
      </c>
      <c r="BU42" s="418">
        <v>0</v>
      </c>
      <c r="BV42" s="418">
        <v>0</v>
      </c>
      <c r="BW42" s="418">
        <v>0</v>
      </c>
      <c r="BX42" s="418">
        <v>0</v>
      </c>
      <c r="BY42" s="418">
        <v>0</v>
      </c>
      <c r="BZ42" s="418">
        <v>0</v>
      </c>
      <c r="CA42" s="418">
        <v>0</v>
      </c>
      <c r="CB42" s="418">
        <v>0</v>
      </c>
    </row>
    <row r="43" spans="1:80" s="419" customFormat="1" ht="15.6" x14ac:dyDescent="0.3">
      <c r="A43" s="1052">
        <v>61</v>
      </c>
      <c r="B43" s="1049"/>
      <c r="C43" s="1060" t="s">
        <v>1950</v>
      </c>
      <c r="D43" s="1061" t="s">
        <v>268</v>
      </c>
      <c r="E43" s="1062" t="s">
        <v>347</v>
      </c>
      <c r="F43" s="1063">
        <v>0</v>
      </c>
      <c r="G43" s="1063">
        <v>0</v>
      </c>
      <c r="H43" s="1063">
        <v>0</v>
      </c>
      <c r="I43" s="1063">
        <v>0</v>
      </c>
      <c r="J43" s="1063">
        <v>0</v>
      </c>
      <c r="K43" s="1063">
        <v>0</v>
      </c>
      <c r="L43" s="1063">
        <v>0</v>
      </c>
      <c r="M43" s="1063">
        <v>0</v>
      </c>
      <c r="N43" s="1063">
        <v>0</v>
      </c>
      <c r="O43" s="1063">
        <v>0</v>
      </c>
      <c r="P43" s="1063">
        <v>0</v>
      </c>
      <c r="Q43" s="1063">
        <v>0</v>
      </c>
      <c r="R43" s="1063">
        <v>0</v>
      </c>
      <c r="S43" s="1063">
        <v>0</v>
      </c>
      <c r="T43" s="1063">
        <v>0</v>
      </c>
      <c r="U43" s="1063">
        <v>0</v>
      </c>
      <c r="V43" s="1063"/>
      <c r="W43" s="1063"/>
      <c r="X43" s="1063"/>
      <c r="Y43" s="1063"/>
      <c r="Z43" s="1063"/>
      <c r="AA43" s="1066"/>
      <c r="AB43" s="1065"/>
      <c r="AC43" s="1063"/>
      <c r="AD43" s="1063"/>
      <c r="AE43" s="1063"/>
      <c r="AF43" s="1063"/>
      <c r="AG43" s="1063"/>
      <c r="AH43" s="1063"/>
      <c r="AI43" s="1063"/>
      <c r="AJ43" s="1063"/>
      <c r="AK43" s="1063"/>
      <c r="AL43" s="1063"/>
      <c r="AM43" s="1063"/>
      <c r="AN43" s="1063"/>
      <c r="AO43" s="1063"/>
      <c r="AP43" s="1063"/>
      <c r="AQ43" s="1063"/>
      <c r="AR43" s="1063"/>
      <c r="AS43" s="1063"/>
      <c r="AT43" s="419">
        <v>95.77</v>
      </c>
      <c r="AU43" s="419">
        <v>99.61</v>
      </c>
      <c r="AV43" s="419">
        <v>98.38</v>
      </c>
      <c r="AW43" s="419">
        <v>97.6</v>
      </c>
      <c r="AX43" s="419">
        <v>94.35</v>
      </c>
      <c r="AY43" s="419">
        <v>98.62</v>
      </c>
      <c r="AZ43" s="419">
        <v>96.9</v>
      </c>
      <c r="BA43" s="419">
        <v>97.79</v>
      </c>
      <c r="BB43" s="419">
        <v>91.14</v>
      </c>
      <c r="BC43" s="419">
        <v>98.93</v>
      </c>
      <c r="BD43" s="419">
        <v>0</v>
      </c>
      <c r="BE43" s="419">
        <v>96.89</v>
      </c>
      <c r="BF43" s="419">
        <v>94.48</v>
      </c>
      <c r="BG43" s="419">
        <v>0</v>
      </c>
      <c r="BH43" s="419">
        <v>92.02</v>
      </c>
      <c r="BI43" s="419">
        <v>99.11</v>
      </c>
      <c r="BJ43" s="419">
        <v>97.38</v>
      </c>
      <c r="BK43" s="419">
        <v>0</v>
      </c>
      <c r="BL43" s="419">
        <v>99.76</v>
      </c>
      <c r="BM43" s="419">
        <v>98.74</v>
      </c>
      <c r="BN43" s="419">
        <v>0</v>
      </c>
      <c r="BO43" s="419">
        <v>98.94</v>
      </c>
      <c r="BP43" s="419">
        <v>97.04</v>
      </c>
      <c r="BQ43" s="419">
        <v>97.05</v>
      </c>
      <c r="BR43" s="419">
        <v>98.64</v>
      </c>
      <c r="BS43" s="419">
        <v>99.6</v>
      </c>
      <c r="BT43" s="419">
        <v>99.14</v>
      </c>
      <c r="BU43" s="419">
        <v>85.91</v>
      </c>
      <c r="BV43" s="419">
        <v>99.23</v>
      </c>
      <c r="BW43" s="419">
        <v>94.91</v>
      </c>
      <c r="BX43" s="419">
        <v>99.42</v>
      </c>
      <c r="BY43" s="419">
        <v>95.49</v>
      </c>
      <c r="BZ43" s="419">
        <v>97.83</v>
      </c>
      <c r="CA43" s="419">
        <v>99.66</v>
      </c>
      <c r="CB43" s="419">
        <v>90.87</v>
      </c>
    </row>
    <row r="44" spans="1:80" s="418" customFormat="1" ht="27.6" x14ac:dyDescent="0.3">
      <c r="A44" s="1052">
        <v>80</v>
      </c>
      <c r="B44" s="1049"/>
      <c r="C44" s="1060" t="s">
        <v>1951</v>
      </c>
      <c r="D44" s="1061" t="s">
        <v>218</v>
      </c>
      <c r="E44" s="1062" t="s">
        <v>348</v>
      </c>
      <c r="F44" s="1063">
        <v>0</v>
      </c>
      <c r="G44" s="1063">
        <v>0</v>
      </c>
      <c r="H44" s="1063">
        <v>0</v>
      </c>
      <c r="I44" s="1063">
        <v>0</v>
      </c>
      <c r="J44" s="1063">
        <v>0</v>
      </c>
      <c r="K44" s="1063">
        <v>0</v>
      </c>
      <c r="L44" s="1063">
        <v>0</v>
      </c>
      <c r="M44" s="1063">
        <v>0</v>
      </c>
      <c r="N44" s="1063">
        <v>0</v>
      </c>
      <c r="O44" s="1063">
        <v>0</v>
      </c>
      <c r="P44" s="1063">
        <v>0</v>
      </c>
      <c r="Q44" s="1063">
        <v>0</v>
      </c>
      <c r="R44" s="1063">
        <v>0</v>
      </c>
      <c r="S44" s="1063">
        <v>0</v>
      </c>
      <c r="T44" s="1063">
        <v>0</v>
      </c>
      <c r="U44" s="1063">
        <v>0</v>
      </c>
      <c r="V44" s="1063"/>
      <c r="W44" s="1063"/>
      <c r="X44" s="1063"/>
      <c r="Y44" s="1063"/>
      <c r="Z44" s="1063"/>
      <c r="AA44" s="1066"/>
      <c r="AB44" s="1065"/>
      <c r="AC44" s="1063"/>
      <c r="AD44" s="1063"/>
      <c r="AE44" s="1063"/>
      <c r="AF44" s="1063"/>
      <c r="AG44" s="1063"/>
      <c r="AH44" s="1063"/>
      <c r="AI44" s="1063"/>
      <c r="AJ44" s="1063"/>
      <c r="AK44" s="1063"/>
      <c r="AL44" s="1063"/>
      <c r="AM44" s="1063"/>
      <c r="AN44" s="1063"/>
      <c r="AO44" s="1063"/>
      <c r="AP44" s="1063"/>
      <c r="AQ44" s="1063"/>
      <c r="AR44" s="1063"/>
      <c r="AS44" s="1063"/>
      <c r="AT44" s="418">
        <v>226559</v>
      </c>
      <c r="AU44" s="418">
        <v>1378755</v>
      </c>
      <c r="AV44" s="418">
        <v>7905864</v>
      </c>
      <c r="AW44" s="418">
        <v>1102695</v>
      </c>
      <c r="AX44" s="418">
        <v>705565</v>
      </c>
      <c r="AY44" s="418">
        <v>956683</v>
      </c>
      <c r="AZ44" s="418">
        <v>797331</v>
      </c>
      <c r="BA44" s="418">
        <v>1406768</v>
      </c>
      <c r="BB44" s="418">
        <v>1587</v>
      </c>
      <c r="BC44" s="418">
        <v>592119</v>
      </c>
      <c r="BD44" s="418">
        <v>0</v>
      </c>
      <c r="BE44" s="418">
        <v>0</v>
      </c>
      <c r="BF44" s="418">
        <v>1143952</v>
      </c>
      <c r="BG44" s="418">
        <v>0</v>
      </c>
      <c r="BH44" s="418">
        <v>0</v>
      </c>
      <c r="BI44" s="418">
        <v>629957</v>
      </c>
      <c r="BJ44" s="418">
        <v>1950576</v>
      </c>
      <c r="BK44" s="418">
        <v>0</v>
      </c>
      <c r="BL44" s="418">
        <v>4667608</v>
      </c>
      <c r="BM44" s="418">
        <v>2736585</v>
      </c>
      <c r="BN44" s="418">
        <v>0</v>
      </c>
      <c r="BO44" s="418">
        <v>1676370</v>
      </c>
      <c r="BP44" s="418">
        <v>3215759</v>
      </c>
      <c r="BQ44" s="418">
        <v>997878</v>
      </c>
      <c r="BR44" s="418">
        <v>1748084</v>
      </c>
      <c r="BS44" s="418">
        <v>0</v>
      </c>
      <c r="BT44" s="418">
        <v>0</v>
      </c>
      <c r="BU44" s="418">
        <v>1039245</v>
      </c>
      <c r="BV44" s="418">
        <v>1684666</v>
      </c>
      <c r="BW44" s="418">
        <v>170669</v>
      </c>
      <c r="BX44" s="418">
        <v>1208339</v>
      </c>
      <c r="BY44" s="418">
        <v>0</v>
      </c>
      <c r="BZ44" s="418">
        <v>0</v>
      </c>
      <c r="CA44" s="418">
        <v>7586901</v>
      </c>
      <c r="CB44" s="418">
        <v>0</v>
      </c>
    </row>
    <row r="45" spans="1:80" s="418" customFormat="1" ht="15.6" x14ac:dyDescent="0.3">
      <c r="A45" s="1052">
        <v>81</v>
      </c>
      <c r="B45" s="1049"/>
      <c r="C45" s="1060" t="s">
        <v>1952</v>
      </c>
      <c r="D45" s="1061" t="s">
        <v>219</v>
      </c>
      <c r="E45" s="1062" t="s">
        <v>349</v>
      </c>
      <c r="F45" s="1063">
        <v>0</v>
      </c>
      <c r="G45" s="1063">
        <v>0</v>
      </c>
      <c r="H45" s="1063">
        <v>0</v>
      </c>
      <c r="I45" s="1063">
        <v>0</v>
      </c>
      <c r="J45" s="1063">
        <v>0</v>
      </c>
      <c r="K45" s="1063">
        <v>0</v>
      </c>
      <c r="L45" s="1063">
        <v>0</v>
      </c>
      <c r="M45" s="1063">
        <v>0</v>
      </c>
      <c r="N45" s="1063">
        <v>0</v>
      </c>
      <c r="O45" s="1063">
        <v>0</v>
      </c>
      <c r="P45" s="1063">
        <v>0</v>
      </c>
      <c r="Q45" s="1063">
        <v>0</v>
      </c>
      <c r="R45" s="1063">
        <v>0</v>
      </c>
      <c r="S45" s="1063">
        <v>0</v>
      </c>
      <c r="T45" s="1063">
        <v>0</v>
      </c>
      <c r="U45" s="1063">
        <v>0</v>
      </c>
      <c r="V45" s="1063"/>
      <c r="W45" s="1049"/>
      <c r="X45" s="1049"/>
      <c r="Y45" s="1049"/>
      <c r="Z45" s="1049"/>
      <c r="AA45" s="1066"/>
      <c r="AB45" s="1065"/>
      <c r="AC45" s="1049"/>
      <c r="AD45" s="1049"/>
      <c r="AE45" s="1049"/>
      <c r="AF45" s="1049"/>
      <c r="AG45" s="1049"/>
      <c r="AH45" s="1049"/>
      <c r="AI45" s="1049"/>
      <c r="AJ45" s="1049"/>
      <c r="AK45" s="1049"/>
      <c r="AL45" s="1049"/>
      <c r="AM45" s="1049"/>
      <c r="AN45" s="1049"/>
      <c r="AO45" s="1049"/>
      <c r="AP45" s="1049"/>
      <c r="AQ45" s="1049"/>
      <c r="AR45" s="1049"/>
      <c r="AS45" s="1049"/>
      <c r="AT45" s="418">
        <v>52879</v>
      </c>
      <c r="AU45" s="418">
        <v>278969</v>
      </c>
      <c r="AV45" s="418">
        <v>696240</v>
      </c>
      <c r="AW45" s="418">
        <v>32583</v>
      </c>
      <c r="AX45" s="418">
        <v>30824</v>
      </c>
      <c r="AY45" s="418">
        <v>131699</v>
      </c>
      <c r="AZ45" s="418">
        <v>175652</v>
      </c>
      <c r="BA45" s="418">
        <v>316734</v>
      </c>
      <c r="BB45" s="418">
        <v>0</v>
      </c>
      <c r="BC45" s="418">
        <v>116859</v>
      </c>
      <c r="BD45" s="418">
        <v>0</v>
      </c>
      <c r="BE45" s="418">
        <v>0</v>
      </c>
      <c r="BF45" s="418">
        <v>4039003</v>
      </c>
      <c r="BG45" s="418">
        <v>0</v>
      </c>
      <c r="BH45" s="418">
        <v>0</v>
      </c>
      <c r="BI45" s="418">
        <v>140069</v>
      </c>
      <c r="BJ45" s="418">
        <v>132347</v>
      </c>
      <c r="BK45" s="418">
        <v>0</v>
      </c>
      <c r="BL45" s="418">
        <v>165764</v>
      </c>
      <c r="BM45" s="418">
        <v>302224</v>
      </c>
      <c r="BN45" s="418">
        <v>0</v>
      </c>
      <c r="BO45" s="418">
        <v>524605</v>
      </c>
      <c r="BP45" s="418">
        <v>94384</v>
      </c>
      <c r="BQ45" s="418">
        <v>76731</v>
      </c>
      <c r="BR45" s="418">
        <v>69150</v>
      </c>
      <c r="BS45" s="418">
        <v>0</v>
      </c>
      <c r="BT45" s="418">
        <v>0</v>
      </c>
      <c r="BU45" s="418">
        <v>157592</v>
      </c>
      <c r="BV45" s="418">
        <v>235820</v>
      </c>
      <c r="BW45" s="418">
        <v>89631</v>
      </c>
      <c r="BX45" s="418">
        <v>74242</v>
      </c>
      <c r="BY45" s="418">
        <v>0</v>
      </c>
      <c r="BZ45" s="418">
        <v>0</v>
      </c>
      <c r="CA45" s="418">
        <v>832878</v>
      </c>
      <c r="CB45" s="418">
        <v>0</v>
      </c>
    </row>
    <row r="46" spans="1:80" s="418" customFormat="1" ht="41.4" x14ac:dyDescent="0.3">
      <c r="A46" s="1052">
        <v>82</v>
      </c>
      <c r="B46" s="1049"/>
      <c r="C46" s="1060" t="s">
        <v>1953</v>
      </c>
      <c r="D46" s="1070" t="s">
        <v>1781</v>
      </c>
      <c r="E46" s="1062" t="s">
        <v>350</v>
      </c>
      <c r="F46" s="1063">
        <v>0</v>
      </c>
      <c r="G46" s="1063">
        <v>0</v>
      </c>
      <c r="H46" s="1063">
        <v>0</v>
      </c>
      <c r="I46" s="1063">
        <v>0</v>
      </c>
      <c r="J46" s="1063">
        <v>0</v>
      </c>
      <c r="K46" s="1063">
        <v>0</v>
      </c>
      <c r="L46" s="1063">
        <v>0</v>
      </c>
      <c r="M46" s="1063">
        <v>0</v>
      </c>
      <c r="N46" s="1063">
        <v>0</v>
      </c>
      <c r="O46" s="1063">
        <v>0</v>
      </c>
      <c r="P46" s="1063">
        <v>0</v>
      </c>
      <c r="Q46" s="1063">
        <v>0</v>
      </c>
      <c r="R46" s="1063">
        <v>0</v>
      </c>
      <c r="S46" s="1063">
        <v>0</v>
      </c>
      <c r="T46" s="1063">
        <v>0</v>
      </c>
      <c r="U46" s="1063">
        <v>0</v>
      </c>
      <c r="V46" s="1063"/>
      <c r="W46" s="1049"/>
      <c r="X46" s="1049"/>
      <c r="Y46" s="1049"/>
      <c r="Z46" s="1049"/>
      <c r="AA46" s="1066"/>
      <c r="AB46" s="1065"/>
      <c r="AC46" s="1049"/>
      <c r="AD46" s="1049"/>
      <c r="AE46" s="1049"/>
      <c r="AF46" s="1049"/>
      <c r="AG46" s="1049"/>
      <c r="AH46" s="1049"/>
      <c r="AI46" s="1049"/>
      <c r="AJ46" s="1049"/>
      <c r="AK46" s="1049"/>
      <c r="AL46" s="1049"/>
      <c r="AM46" s="1049"/>
      <c r="AN46" s="1049"/>
      <c r="AO46" s="1049"/>
      <c r="AP46" s="1049"/>
      <c r="AQ46" s="1049"/>
      <c r="AR46" s="1049"/>
      <c r="AS46" s="1049"/>
      <c r="AT46" s="418">
        <v>242000</v>
      </c>
      <c r="AU46" s="418">
        <v>0</v>
      </c>
      <c r="AV46" s="418">
        <v>5892113</v>
      </c>
      <c r="AW46" s="418">
        <v>163222</v>
      </c>
      <c r="AX46" s="418">
        <v>214253</v>
      </c>
      <c r="AY46" s="418">
        <v>0</v>
      </c>
      <c r="AZ46" s="418">
        <v>154605</v>
      </c>
      <c r="BA46" s="418">
        <v>3299636</v>
      </c>
      <c r="BB46" s="418">
        <v>0</v>
      </c>
      <c r="BC46" s="418">
        <v>468388</v>
      </c>
      <c r="BD46" s="418">
        <v>0</v>
      </c>
      <c r="BE46" s="418">
        <v>0</v>
      </c>
      <c r="BF46" s="418">
        <v>5967399</v>
      </c>
      <c r="BG46" s="418">
        <v>0</v>
      </c>
      <c r="BH46" s="418">
        <v>0</v>
      </c>
      <c r="BI46" s="418">
        <v>1220284</v>
      </c>
      <c r="BJ46" s="418">
        <v>1303686</v>
      </c>
      <c r="BK46" s="418">
        <v>0</v>
      </c>
      <c r="BL46" s="418">
        <v>539709</v>
      </c>
      <c r="BM46" s="418">
        <v>293312</v>
      </c>
      <c r="BN46" s="418">
        <v>0</v>
      </c>
      <c r="BO46" s="418">
        <v>1287514</v>
      </c>
      <c r="BP46" s="418">
        <v>697926</v>
      </c>
      <c r="BQ46" s="418">
        <v>667714</v>
      </c>
      <c r="BR46" s="418">
        <v>1061306</v>
      </c>
      <c r="BS46" s="418">
        <v>0</v>
      </c>
      <c r="BT46" s="418">
        <v>0</v>
      </c>
      <c r="BU46" s="418">
        <v>265584</v>
      </c>
      <c r="BV46" s="418">
        <v>1419627</v>
      </c>
      <c r="BW46" s="418">
        <v>664583</v>
      </c>
      <c r="BX46" s="418">
        <v>0</v>
      </c>
      <c r="BY46" s="418">
        <v>0</v>
      </c>
      <c r="BZ46" s="418">
        <v>0</v>
      </c>
      <c r="CA46" s="418">
        <v>7484033</v>
      </c>
      <c r="CB46" s="418">
        <v>0</v>
      </c>
    </row>
    <row r="47" spans="1:80" s="418" customFormat="1" ht="15.6" x14ac:dyDescent="0.3">
      <c r="A47" s="1052">
        <v>83</v>
      </c>
      <c r="B47" s="1049"/>
      <c r="C47" s="1060" t="s">
        <v>1954</v>
      </c>
      <c r="D47" s="1061" t="s">
        <v>102</v>
      </c>
      <c r="E47" s="1062" t="s">
        <v>351</v>
      </c>
      <c r="F47" s="1063">
        <v>0</v>
      </c>
      <c r="G47" s="1063">
        <v>0</v>
      </c>
      <c r="H47" s="1063">
        <v>0</v>
      </c>
      <c r="I47" s="1063">
        <v>0</v>
      </c>
      <c r="J47" s="1063">
        <v>0</v>
      </c>
      <c r="K47" s="1063">
        <v>0</v>
      </c>
      <c r="L47" s="1063">
        <v>0</v>
      </c>
      <c r="M47" s="1063">
        <v>0</v>
      </c>
      <c r="N47" s="1063">
        <v>0</v>
      </c>
      <c r="O47" s="1063">
        <v>0</v>
      </c>
      <c r="P47" s="1063">
        <v>0</v>
      </c>
      <c r="Q47" s="1063">
        <v>0</v>
      </c>
      <c r="R47" s="1063">
        <v>0</v>
      </c>
      <c r="S47" s="1063">
        <v>0</v>
      </c>
      <c r="T47" s="1063">
        <v>0</v>
      </c>
      <c r="U47" s="1063">
        <v>0</v>
      </c>
      <c r="V47" s="1063"/>
      <c r="W47" s="1049"/>
      <c r="X47" s="1049"/>
      <c r="Y47" s="1049"/>
      <c r="Z47" s="1049"/>
      <c r="AA47" s="1066"/>
      <c r="AB47" s="1065"/>
      <c r="AC47" s="1049"/>
      <c r="AD47" s="1049"/>
      <c r="AE47" s="1049"/>
      <c r="AF47" s="1049"/>
      <c r="AG47" s="1049"/>
      <c r="AH47" s="1049"/>
      <c r="AI47" s="1049"/>
      <c r="AJ47" s="1049"/>
      <c r="AK47" s="1049"/>
      <c r="AL47" s="1049"/>
      <c r="AM47" s="1049"/>
      <c r="AN47" s="1049"/>
      <c r="AO47" s="1049"/>
      <c r="AP47" s="1049"/>
      <c r="AQ47" s="1049"/>
      <c r="AR47" s="1049"/>
      <c r="AS47" s="1049"/>
      <c r="AT47" s="418">
        <v>4290596</v>
      </c>
      <c r="AU47" s="418">
        <v>5451529</v>
      </c>
      <c r="AV47" s="418">
        <v>27689774</v>
      </c>
      <c r="AW47" s="418">
        <v>1600622</v>
      </c>
      <c r="AX47" s="418">
        <v>5092569</v>
      </c>
      <c r="AY47" s="418">
        <v>10907173</v>
      </c>
      <c r="AZ47" s="418">
        <v>8947817</v>
      </c>
      <c r="BA47" s="418">
        <v>12792798</v>
      </c>
      <c r="BB47" s="418">
        <v>-14536</v>
      </c>
      <c r="BC47" s="418">
        <v>2904077</v>
      </c>
      <c r="BD47" s="418">
        <v>0</v>
      </c>
      <c r="BE47" s="418">
        <v>0</v>
      </c>
      <c r="BF47" s="418">
        <v>47035619</v>
      </c>
      <c r="BG47" s="418">
        <v>0</v>
      </c>
      <c r="BH47" s="418">
        <v>0</v>
      </c>
      <c r="BI47" s="418">
        <v>5575542</v>
      </c>
      <c r="BJ47" s="418">
        <v>6156770</v>
      </c>
      <c r="BK47" s="418">
        <v>0</v>
      </c>
      <c r="BL47" s="418">
        <v>12787813</v>
      </c>
      <c r="BM47" s="418">
        <v>7046574</v>
      </c>
      <c r="BN47" s="418">
        <v>0</v>
      </c>
      <c r="BO47" s="418">
        <v>19371468</v>
      </c>
      <c r="BP47" s="418">
        <v>11690997</v>
      </c>
      <c r="BQ47" s="418">
        <v>8169833</v>
      </c>
      <c r="BR47" s="418">
        <v>5212569</v>
      </c>
      <c r="BS47" s="418">
        <v>0</v>
      </c>
      <c r="BT47" s="418">
        <v>0</v>
      </c>
      <c r="BU47" s="418">
        <v>6593091</v>
      </c>
      <c r="BV47" s="418">
        <v>12505423</v>
      </c>
      <c r="BW47" s="418">
        <v>4851336</v>
      </c>
      <c r="BX47" s="418">
        <v>2608958</v>
      </c>
      <c r="BY47" s="418">
        <v>0</v>
      </c>
      <c r="BZ47" s="418">
        <v>0</v>
      </c>
      <c r="CA47" s="418">
        <v>53045884</v>
      </c>
      <c r="CB47" s="418">
        <v>0</v>
      </c>
    </row>
    <row r="48" spans="1:80" s="418" customFormat="1" ht="15.6" x14ac:dyDescent="0.3">
      <c r="A48" s="1052">
        <v>84</v>
      </c>
      <c r="B48" s="1049"/>
      <c r="C48" s="1060" t="s">
        <v>1955</v>
      </c>
      <c r="D48" s="1061" t="s">
        <v>227</v>
      </c>
      <c r="E48" s="1062" t="s">
        <v>352</v>
      </c>
      <c r="F48" s="1063">
        <v>0</v>
      </c>
      <c r="G48" s="1063">
        <v>0</v>
      </c>
      <c r="H48" s="1063">
        <v>0</v>
      </c>
      <c r="I48" s="1063">
        <v>0</v>
      </c>
      <c r="J48" s="1063">
        <v>0</v>
      </c>
      <c r="K48" s="1063">
        <v>0</v>
      </c>
      <c r="L48" s="1063">
        <v>0</v>
      </c>
      <c r="M48" s="1063">
        <v>0</v>
      </c>
      <c r="N48" s="1063">
        <v>0</v>
      </c>
      <c r="O48" s="1063">
        <v>0</v>
      </c>
      <c r="P48" s="1063">
        <v>0</v>
      </c>
      <c r="Q48" s="1063">
        <v>0</v>
      </c>
      <c r="R48" s="1063">
        <v>0</v>
      </c>
      <c r="S48" s="1063">
        <v>0</v>
      </c>
      <c r="T48" s="1063">
        <v>0</v>
      </c>
      <c r="U48" s="1063">
        <v>0</v>
      </c>
      <c r="V48" s="1063"/>
      <c r="W48" s="1049"/>
      <c r="X48" s="1049"/>
      <c r="Y48" s="1049"/>
      <c r="Z48" s="1049"/>
      <c r="AA48" s="1066"/>
      <c r="AB48" s="1049"/>
      <c r="AC48" s="1049"/>
      <c r="AD48" s="1049"/>
      <c r="AE48" s="1049"/>
      <c r="AF48" s="1049"/>
      <c r="AG48" s="1049"/>
      <c r="AH48" s="1049"/>
      <c r="AI48" s="1049"/>
      <c r="AJ48" s="1049"/>
      <c r="AK48" s="1049"/>
      <c r="AL48" s="1049"/>
      <c r="AM48" s="1049"/>
      <c r="AN48" s="1049"/>
      <c r="AO48" s="1049"/>
      <c r="AP48" s="1049"/>
      <c r="AQ48" s="1049"/>
      <c r="AR48" s="1049"/>
      <c r="AS48" s="1049"/>
      <c r="AT48" s="418">
        <v>311871</v>
      </c>
      <c r="AU48" s="418">
        <v>2416960</v>
      </c>
      <c r="AV48" s="418">
        <v>7598164</v>
      </c>
      <c r="AW48" s="418">
        <v>417506</v>
      </c>
      <c r="AX48" s="418">
        <v>348670</v>
      </c>
      <c r="AY48" s="418">
        <v>1790206</v>
      </c>
      <c r="AZ48" s="418">
        <v>2036003</v>
      </c>
      <c r="BA48" s="418">
        <v>2750571</v>
      </c>
      <c r="BB48" s="418">
        <v>12707</v>
      </c>
      <c r="BC48" s="418">
        <v>1270373</v>
      </c>
      <c r="BD48" s="418">
        <v>0</v>
      </c>
      <c r="BE48" s="418">
        <v>0</v>
      </c>
      <c r="BF48" s="418">
        <v>10622771</v>
      </c>
      <c r="BG48" s="418">
        <v>0</v>
      </c>
      <c r="BH48" s="418">
        <v>0</v>
      </c>
      <c r="BI48" s="418">
        <v>1440671</v>
      </c>
      <c r="BJ48" s="418">
        <v>978566</v>
      </c>
      <c r="BK48" s="418">
        <v>0</v>
      </c>
      <c r="BL48" s="418">
        <v>2303743</v>
      </c>
      <c r="BM48" s="418">
        <v>2002022</v>
      </c>
      <c r="BN48" s="418">
        <v>0</v>
      </c>
      <c r="BO48" s="418">
        <v>3681230</v>
      </c>
      <c r="BP48" s="418">
        <v>1016494</v>
      </c>
      <c r="BQ48" s="418">
        <v>713253</v>
      </c>
      <c r="BR48" s="418">
        <v>1340788</v>
      </c>
      <c r="BS48" s="418">
        <v>0</v>
      </c>
      <c r="BT48" s="418">
        <v>0</v>
      </c>
      <c r="BU48" s="418">
        <v>699634</v>
      </c>
      <c r="BV48" s="418">
        <v>2569029</v>
      </c>
      <c r="BW48" s="418">
        <v>511016</v>
      </c>
      <c r="BX48" s="418">
        <v>647727</v>
      </c>
      <c r="BY48" s="418">
        <v>0</v>
      </c>
      <c r="BZ48" s="418">
        <v>0</v>
      </c>
      <c r="CA48" s="418">
        <v>7644617</v>
      </c>
      <c r="CB48" s="418">
        <v>0</v>
      </c>
    </row>
    <row r="49" spans="1:80" s="418" customFormat="1" ht="15.6" x14ac:dyDescent="0.3">
      <c r="A49" s="1052">
        <v>85</v>
      </c>
      <c r="B49" s="1049"/>
      <c r="C49" s="1060" t="s">
        <v>1956</v>
      </c>
      <c r="D49" s="1061" t="s">
        <v>229</v>
      </c>
      <c r="E49" s="1062" t="s">
        <v>353</v>
      </c>
      <c r="F49" s="1063">
        <v>0</v>
      </c>
      <c r="G49" s="1063">
        <v>0</v>
      </c>
      <c r="H49" s="1063">
        <v>0</v>
      </c>
      <c r="I49" s="1063">
        <v>0</v>
      </c>
      <c r="J49" s="1063">
        <v>0</v>
      </c>
      <c r="K49" s="1063">
        <v>0</v>
      </c>
      <c r="L49" s="1063">
        <v>0</v>
      </c>
      <c r="M49" s="1063">
        <v>0</v>
      </c>
      <c r="N49" s="1063">
        <v>0</v>
      </c>
      <c r="O49" s="1063">
        <v>0</v>
      </c>
      <c r="P49" s="1063">
        <v>0</v>
      </c>
      <c r="Q49" s="1063">
        <v>0</v>
      </c>
      <c r="R49" s="1063">
        <v>0</v>
      </c>
      <c r="S49" s="1063">
        <v>0</v>
      </c>
      <c r="T49" s="1063">
        <v>0</v>
      </c>
      <c r="U49" s="1063">
        <v>0</v>
      </c>
      <c r="V49" s="1063"/>
      <c r="W49" s="1049"/>
      <c r="X49" s="1049"/>
      <c r="Y49" s="1049"/>
      <c r="Z49" s="1049"/>
      <c r="AA49" s="1066"/>
      <c r="AB49" s="1065"/>
      <c r="AT49" s="418">
        <v>399044</v>
      </c>
      <c r="AU49" s="418">
        <v>2380042</v>
      </c>
      <c r="AV49" s="418">
        <v>6522861</v>
      </c>
      <c r="AW49" s="418">
        <v>347312</v>
      </c>
      <c r="AX49" s="418">
        <v>588406</v>
      </c>
      <c r="AY49" s="418">
        <v>1176359</v>
      </c>
      <c r="AZ49" s="418">
        <v>2073402</v>
      </c>
      <c r="BA49" s="418">
        <v>2940879</v>
      </c>
      <c r="BB49" s="418">
        <v>102357</v>
      </c>
      <c r="BC49" s="418">
        <v>1312988</v>
      </c>
      <c r="BD49" s="418">
        <v>0</v>
      </c>
      <c r="BE49" s="418">
        <v>0</v>
      </c>
      <c r="BF49" s="418">
        <v>10714128</v>
      </c>
      <c r="BG49" s="418">
        <v>0</v>
      </c>
      <c r="BH49" s="418">
        <v>0</v>
      </c>
      <c r="BI49" s="418">
        <v>1384889</v>
      </c>
      <c r="BJ49" s="418">
        <v>862346</v>
      </c>
      <c r="BK49" s="418">
        <v>0</v>
      </c>
      <c r="BL49" s="418">
        <v>2393470</v>
      </c>
      <c r="BM49" s="418">
        <v>1810466</v>
      </c>
      <c r="BN49" s="418">
        <v>0</v>
      </c>
      <c r="BO49" s="418">
        <v>3957135</v>
      </c>
      <c r="BP49" s="418">
        <v>947789</v>
      </c>
      <c r="BQ49" s="418">
        <v>815766</v>
      </c>
      <c r="BR49" s="418">
        <v>1326355</v>
      </c>
      <c r="BS49" s="418">
        <v>0</v>
      </c>
      <c r="BT49" s="418">
        <v>0</v>
      </c>
      <c r="BU49" s="418">
        <v>965834</v>
      </c>
      <c r="BV49" s="418">
        <v>2608646</v>
      </c>
      <c r="BW49" s="418">
        <v>590683</v>
      </c>
      <c r="BX49" s="418">
        <v>438851</v>
      </c>
      <c r="BY49" s="418">
        <v>0</v>
      </c>
      <c r="BZ49" s="418">
        <v>0</v>
      </c>
      <c r="CA49" s="418">
        <v>7198130</v>
      </c>
      <c r="CB49" s="418">
        <v>0</v>
      </c>
    </row>
    <row r="50" spans="1:80" s="418" customFormat="1" ht="15.6" x14ac:dyDescent="0.3">
      <c r="A50" s="1052">
        <v>88</v>
      </c>
      <c r="B50" s="1049"/>
      <c r="C50" s="1060" t="s">
        <v>1957</v>
      </c>
      <c r="D50" s="1061" t="s">
        <v>226</v>
      </c>
      <c r="E50" s="1062" t="s">
        <v>354</v>
      </c>
      <c r="F50" s="1063">
        <v>0</v>
      </c>
      <c r="G50" s="1063">
        <v>0</v>
      </c>
      <c r="H50" s="1063">
        <v>0</v>
      </c>
      <c r="I50" s="1063">
        <v>0</v>
      </c>
      <c r="J50" s="1063">
        <v>0</v>
      </c>
      <c r="K50" s="1063">
        <v>0</v>
      </c>
      <c r="L50" s="1063">
        <v>0</v>
      </c>
      <c r="M50" s="1063">
        <v>0</v>
      </c>
      <c r="N50" s="1063">
        <v>0</v>
      </c>
      <c r="O50" s="1063">
        <v>0</v>
      </c>
      <c r="P50" s="1063">
        <v>0</v>
      </c>
      <c r="Q50" s="1063">
        <v>0</v>
      </c>
      <c r="R50" s="1063">
        <v>0</v>
      </c>
      <c r="S50" s="1063">
        <v>0</v>
      </c>
      <c r="T50" s="1063">
        <v>0</v>
      </c>
      <c r="U50" s="1063">
        <v>0</v>
      </c>
      <c r="V50" s="1063"/>
      <c r="W50" s="1049"/>
      <c r="X50" s="1049"/>
      <c r="Y50" s="1049"/>
      <c r="Z50" s="1049"/>
      <c r="AA50" s="1066"/>
      <c r="AB50" s="1065"/>
      <c r="AT50" s="418">
        <v>311871</v>
      </c>
      <c r="AU50" s="418">
        <v>2380401</v>
      </c>
      <c r="AV50" s="418">
        <v>7399071</v>
      </c>
      <c r="AW50" s="418">
        <v>409024</v>
      </c>
      <c r="AX50" s="418">
        <v>348015</v>
      </c>
      <c r="AY50" s="418">
        <v>1178267</v>
      </c>
      <c r="AZ50" s="418">
        <v>2036003</v>
      </c>
      <c r="BA50" s="418">
        <v>2714477</v>
      </c>
      <c r="BB50" s="418">
        <v>12707</v>
      </c>
      <c r="BC50" s="418">
        <v>1213931</v>
      </c>
      <c r="BD50" s="418">
        <v>0</v>
      </c>
      <c r="BE50" s="418">
        <v>0</v>
      </c>
      <c r="BF50" s="418">
        <v>8878089</v>
      </c>
      <c r="BG50" s="418">
        <v>0</v>
      </c>
      <c r="BH50" s="418">
        <v>0</v>
      </c>
      <c r="BI50" s="418">
        <v>1394975</v>
      </c>
      <c r="BJ50" s="418">
        <v>792392</v>
      </c>
      <c r="BK50" s="418">
        <v>0</v>
      </c>
      <c r="BL50" s="418">
        <v>2303743</v>
      </c>
      <c r="BM50" s="418">
        <v>1866679</v>
      </c>
      <c r="BN50" s="418">
        <v>0</v>
      </c>
      <c r="BO50" s="418">
        <v>3510623</v>
      </c>
      <c r="BP50" s="418">
        <v>1010585</v>
      </c>
      <c r="BQ50" s="418">
        <v>694333</v>
      </c>
      <c r="BR50" s="418">
        <v>1315039</v>
      </c>
      <c r="BS50" s="418">
        <v>0</v>
      </c>
      <c r="BT50" s="418">
        <v>0</v>
      </c>
      <c r="BU50" s="418">
        <v>699634</v>
      </c>
      <c r="BV50" s="418">
        <v>2308663</v>
      </c>
      <c r="BW50" s="418">
        <v>507893</v>
      </c>
      <c r="BX50" s="418">
        <v>644474</v>
      </c>
      <c r="BY50" s="418">
        <v>0</v>
      </c>
      <c r="BZ50" s="418">
        <v>0</v>
      </c>
      <c r="CA50" s="418">
        <v>6119414</v>
      </c>
      <c r="CB50" s="418">
        <v>0</v>
      </c>
    </row>
    <row r="51" spans="1:80" s="418" customFormat="1" ht="15.6" x14ac:dyDescent="0.3">
      <c r="A51" s="1052">
        <v>89</v>
      </c>
      <c r="B51" s="1049"/>
      <c r="C51" s="1060" t="s">
        <v>1958</v>
      </c>
      <c r="D51" s="1061" t="s">
        <v>230</v>
      </c>
      <c r="E51" s="1062" t="s">
        <v>355</v>
      </c>
      <c r="F51" s="1063">
        <v>0</v>
      </c>
      <c r="G51" s="1063">
        <v>0</v>
      </c>
      <c r="H51" s="1063">
        <v>0</v>
      </c>
      <c r="I51" s="1063">
        <v>0</v>
      </c>
      <c r="J51" s="1063">
        <v>0</v>
      </c>
      <c r="K51" s="1063">
        <v>0</v>
      </c>
      <c r="L51" s="1063">
        <v>0</v>
      </c>
      <c r="M51" s="1063">
        <v>0</v>
      </c>
      <c r="N51" s="1063">
        <v>0</v>
      </c>
      <c r="O51" s="1063">
        <v>0</v>
      </c>
      <c r="P51" s="1063">
        <v>0</v>
      </c>
      <c r="Q51" s="1063">
        <v>0</v>
      </c>
      <c r="R51" s="1063">
        <v>0</v>
      </c>
      <c r="S51" s="1063">
        <v>0</v>
      </c>
      <c r="T51" s="1063">
        <v>0</v>
      </c>
      <c r="U51" s="1063">
        <v>0</v>
      </c>
      <c r="V51" s="1063"/>
      <c r="W51" s="1049"/>
      <c r="X51" s="1049"/>
      <c r="Y51" s="1049"/>
      <c r="Z51" s="1049"/>
      <c r="AA51" s="1066"/>
      <c r="AB51" s="1065"/>
      <c r="AT51" s="418">
        <v>6765</v>
      </c>
      <c r="AU51" s="418">
        <v>0</v>
      </c>
      <c r="AV51" s="418">
        <v>148028</v>
      </c>
      <c r="AW51" s="418">
        <v>3060</v>
      </c>
      <c r="AX51" s="418">
        <v>9939</v>
      </c>
      <c r="AY51" s="418">
        <v>4652</v>
      </c>
      <c r="AZ51" s="418">
        <v>4124</v>
      </c>
      <c r="BA51" s="418">
        <v>102194</v>
      </c>
      <c r="BB51" s="418">
        <v>0</v>
      </c>
      <c r="BC51" s="418">
        <v>787</v>
      </c>
      <c r="BD51" s="418">
        <v>0</v>
      </c>
      <c r="BE51" s="418">
        <v>0</v>
      </c>
      <c r="BF51" s="418">
        <v>36713</v>
      </c>
      <c r="BG51" s="418">
        <v>0</v>
      </c>
      <c r="BH51" s="418">
        <v>0</v>
      </c>
      <c r="BI51" s="418">
        <v>50191</v>
      </c>
      <c r="BJ51" s="418">
        <v>30800</v>
      </c>
      <c r="BK51" s="418">
        <v>0</v>
      </c>
      <c r="BL51" s="418">
        <v>0</v>
      </c>
      <c r="BM51" s="418">
        <v>7474</v>
      </c>
      <c r="BN51" s="418">
        <v>0</v>
      </c>
      <c r="BO51" s="418">
        <v>18358</v>
      </c>
      <c r="BP51" s="418">
        <v>23427</v>
      </c>
      <c r="BQ51" s="418">
        <v>24607</v>
      </c>
      <c r="BR51" s="418">
        <v>0</v>
      </c>
      <c r="BS51" s="418">
        <v>0</v>
      </c>
      <c r="BT51" s="418">
        <v>0</v>
      </c>
      <c r="BU51" s="418">
        <v>9443</v>
      </c>
      <c r="BV51" s="418">
        <v>47228</v>
      </c>
      <c r="BW51" s="418">
        <v>0</v>
      </c>
      <c r="BX51" s="418">
        <v>0</v>
      </c>
      <c r="BY51" s="418">
        <v>0</v>
      </c>
      <c r="BZ51" s="418">
        <v>0</v>
      </c>
      <c r="CA51" s="418">
        <v>100206</v>
      </c>
      <c r="CB51" s="418">
        <v>0</v>
      </c>
    </row>
    <row r="52" spans="1:80" s="418" customFormat="1" ht="27.6" x14ac:dyDescent="0.3">
      <c r="A52" s="1052">
        <v>90</v>
      </c>
      <c r="B52" s="1049"/>
      <c r="C52" s="1060" t="s">
        <v>1959</v>
      </c>
      <c r="D52" s="1061" t="s">
        <v>223</v>
      </c>
      <c r="E52" s="1062" t="s">
        <v>356</v>
      </c>
      <c r="F52" s="1063">
        <v>0</v>
      </c>
      <c r="G52" s="1063">
        <v>0</v>
      </c>
      <c r="H52" s="1063">
        <v>0</v>
      </c>
      <c r="I52" s="1063">
        <v>0</v>
      </c>
      <c r="J52" s="1063">
        <v>0</v>
      </c>
      <c r="K52" s="1063">
        <v>0</v>
      </c>
      <c r="L52" s="1063">
        <v>0</v>
      </c>
      <c r="M52" s="1063">
        <v>0</v>
      </c>
      <c r="N52" s="1063">
        <v>0</v>
      </c>
      <c r="O52" s="1063">
        <v>0</v>
      </c>
      <c r="P52" s="1063">
        <v>0</v>
      </c>
      <c r="Q52" s="1063">
        <v>0</v>
      </c>
      <c r="R52" s="1063">
        <v>0</v>
      </c>
      <c r="S52" s="1063">
        <v>0</v>
      </c>
      <c r="T52" s="1063">
        <v>0</v>
      </c>
      <c r="U52" s="1063">
        <v>0</v>
      </c>
      <c r="V52" s="1063"/>
      <c r="W52" s="1049"/>
      <c r="X52" s="1049"/>
      <c r="Y52" s="1049"/>
      <c r="Z52" s="1049"/>
      <c r="AA52" s="1066"/>
      <c r="AB52" s="1065"/>
      <c r="AT52" s="418">
        <v>0</v>
      </c>
      <c r="AU52" s="418">
        <v>0</v>
      </c>
      <c r="AV52" s="418">
        <v>2853785</v>
      </c>
      <c r="AW52" s="418">
        <v>0</v>
      </c>
      <c r="AX52" s="418">
        <v>0</v>
      </c>
      <c r="AY52" s="418">
        <v>0</v>
      </c>
      <c r="AZ52" s="418">
        <v>0</v>
      </c>
      <c r="BA52" s="418">
        <v>1510387</v>
      </c>
      <c r="BB52" s="418">
        <v>0</v>
      </c>
      <c r="BC52" s="418">
        <v>0</v>
      </c>
      <c r="BD52" s="418">
        <v>0</v>
      </c>
      <c r="BE52" s="418">
        <v>0</v>
      </c>
      <c r="BF52" s="418">
        <v>5346067</v>
      </c>
      <c r="BG52" s="418">
        <v>0</v>
      </c>
      <c r="BH52" s="418">
        <v>0</v>
      </c>
      <c r="BI52" s="418">
        <v>0</v>
      </c>
      <c r="BJ52" s="418">
        <v>0</v>
      </c>
      <c r="BK52" s="418">
        <v>0</v>
      </c>
      <c r="BL52" s="418">
        <v>2555802</v>
      </c>
      <c r="BM52" s="418">
        <v>0</v>
      </c>
      <c r="BN52" s="418">
        <v>0</v>
      </c>
      <c r="BO52" s="418">
        <v>0</v>
      </c>
      <c r="BP52" s="418">
        <v>0</v>
      </c>
      <c r="BQ52" s="418">
        <v>0</v>
      </c>
      <c r="BR52" s="418">
        <v>0</v>
      </c>
      <c r="BS52" s="418">
        <v>0</v>
      </c>
      <c r="BT52" s="418">
        <v>0</v>
      </c>
      <c r="BU52" s="418">
        <v>0</v>
      </c>
      <c r="BV52" s="418">
        <v>0</v>
      </c>
      <c r="BW52" s="418">
        <v>0</v>
      </c>
      <c r="BX52" s="418">
        <v>0</v>
      </c>
      <c r="BY52" s="418">
        <v>0</v>
      </c>
      <c r="BZ52" s="418">
        <v>0</v>
      </c>
      <c r="CA52" s="418">
        <v>0</v>
      </c>
      <c r="CB52" s="418">
        <v>0</v>
      </c>
    </row>
    <row r="53" spans="1:80" s="418" customFormat="1" ht="15.6" x14ac:dyDescent="0.3">
      <c r="A53" s="1052">
        <v>91</v>
      </c>
      <c r="B53" s="1049"/>
      <c r="C53" s="1060" t="s">
        <v>1960</v>
      </c>
      <c r="D53" s="1061" t="s">
        <v>224</v>
      </c>
      <c r="E53" s="1062" t="s">
        <v>357</v>
      </c>
      <c r="F53" s="1063">
        <v>0</v>
      </c>
      <c r="G53" s="1063">
        <v>0</v>
      </c>
      <c r="H53" s="1063">
        <v>0</v>
      </c>
      <c r="I53" s="1063">
        <v>0</v>
      </c>
      <c r="J53" s="1063">
        <v>0</v>
      </c>
      <c r="K53" s="1063">
        <v>0</v>
      </c>
      <c r="L53" s="1063">
        <v>0</v>
      </c>
      <c r="M53" s="1063">
        <v>0</v>
      </c>
      <c r="N53" s="1063">
        <v>0</v>
      </c>
      <c r="O53" s="1063">
        <v>0</v>
      </c>
      <c r="P53" s="1063">
        <v>0</v>
      </c>
      <c r="Q53" s="1063">
        <v>0</v>
      </c>
      <c r="R53" s="1063">
        <v>0</v>
      </c>
      <c r="S53" s="1063">
        <v>0</v>
      </c>
      <c r="T53" s="1063">
        <v>0</v>
      </c>
      <c r="U53" s="1063">
        <v>0</v>
      </c>
      <c r="V53" s="1063"/>
      <c r="W53" s="1049"/>
      <c r="X53" s="1049"/>
      <c r="Y53" s="1049"/>
      <c r="Z53" s="1049"/>
      <c r="AA53" s="1066"/>
      <c r="AB53" s="1065"/>
      <c r="AT53" s="418">
        <v>0</v>
      </c>
      <c r="AU53" s="418">
        <v>0</v>
      </c>
      <c r="AV53" s="418">
        <v>575490</v>
      </c>
      <c r="AW53" s="418">
        <v>0</v>
      </c>
      <c r="AX53" s="418">
        <v>0</v>
      </c>
      <c r="AY53" s="418">
        <v>0</v>
      </c>
      <c r="AZ53" s="418">
        <v>0</v>
      </c>
      <c r="BA53" s="418">
        <v>683359</v>
      </c>
      <c r="BB53" s="418">
        <v>0</v>
      </c>
      <c r="BC53" s="418">
        <v>0</v>
      </c>
      <c r="BD53" s="418">
        <v>0</v>
      </c>
      <c r="BE53" s="418">
        <v>0</v>
      </c>
      <c r="BF53" s="418">
        <v>5921417</v>
      </c>
      <c r="BG53" s="418">
        <v>0</v>
      </c>
      <c r="BH53" s="418">
        <v>0</v>
      </c>
      <c r="BI53" s="418">
        <v>0</v>
      </c>
      <c r="BJ53" s="418">
        <v>0</v>
      </c>
      <c r="BK53" s="418">
        <v>0</v>
      </c>
      <c r="BL53" s="418">
        <v>448342</v>
      </c>
      <c r="BM53" s="418">
        <v>0</v>
      </c>
      <c r="BN53" s="418">
        <v>0</v>
      </c>
      <c r="BO53" s="418">
        <v>0</v>
      </c>
      <c r="BP53" s="418">
        <v>0</v>
      </c>
      <c r="BQ53" s="418">
        <v>0</v>
      </c>
      <c r="BR53" s="418">
        <v>0</v>
      </c>
      <c r="BS53" s="418">
        <v>0</v>
      </c>
      <c r="BT53" s="418">
        <v>0</v>
      </c>
      <c r="BU53" s="418">
        <v>0</v>
      </c>
      <c r="BV53" s="418">
        <v>0</v>
      </c>
      <c r="BW53" s="418">
        <v>0</v>
      </c>
      <c r="BX53" s="418">
        <v>0</v>
      </c>
      <c r="BY53" s="418">
        <v>0</v>
      </c>
      <c r="BZ53" s="418">
        <v>0</v>
      </c>
      <c r="CA53" s="418">
        <v>0</v>
      </c>
      <c r="CB53" s="418">
        <v>0</v>
      </c>
    </row>
    <row r="54" spans="1:80" s="418" customFormat="1" ht="15.6" x14ac:dyDescent="0.3">
      <c r="A54" s="1052">
        <v>92</v>
      </c>
      <c r="B54" s="1049"/>
      <c r="C54" s="1060" t="s">
        <v>1782</v>
      </c>
      <c r="D54" s="1061" t="s">
        <v>1783</v>
      </c>
      <c r="E54" s="1062" t="s">
        <v>358</v>
      </c>
      <c r="F54" s="1063">
        <v>0</v>
      </c>
      <c r="G54" s="1063">
        <v>0</v>
      </c>
      <c r="H54" s="1063">
        <v>0</v>
      </c>
      <c r="I54" s="1063">
        <v>0</v>
      </c>
      <c r="J54" s="1063">
        <v>0</v>
      </c>
      <c r="K54" s="1063">
        <v>0</v>
      </c>
      <c r="L54" s="1063">
        <v>0</v>
      </c>
      <c r="M54" s="1063">
        <v>0</v>
      </c>
      <c r="N54" s="1063">
        <v>0</v>
      </c>
      <c r="O54" s="1063">
        <v>0</v>
      </c>
      <c r="P54" s="1063">
        <v>0</v>
      </c>
      <c r="Q54" s="1063">
        <v>0</v>
      </c>
      <c r="R54" s="1063">
        <v>0</v>
      </c>
      <c r="S54" s="1063">
        <v>0</v>
      </c>
      <c r="T54" s="1063">
        <v>0</v>
      </c>
      <c r="U54" s="1063">
        <v>0</v>
      </c>
      <c r="V54" s="1063"/>
      <c r="W54" s="1049"/>
      <c r="X54" s="1049"/>
      <c r="Y54" s="1049"/>
      <c r="Z54" s="1049"/>
      <c r="AA54" s="1066"/>
      <c r="AB54" s="1049"/>
    </row>
    <row r="55" spans="1:80" s="418" customFormat="1" ht="15.6" x14ac:dyDescent="0.3">
      <c r="A55" s="1052">
        <v>93</v>
      </c>
      <c r="B55" s="1049"/>
      <c r="C55" s="1060" t="s">
        <v>1961</v>
      </c>
      <c r="D55" s="1061" t="s">
        <v>237</v>
      </c>
      <c r="E55" s="1062" t="s">
        <v>359</v>
      </c>
      <c r="F55" s="1063">
        <v>0</v>
      </c>
      <c r="G55" s="1063">
        <v>0</v>
      </c>
      <c r="H55" s="1063">
        <v>0</v>
      </c>
      <c r="I55" s="1063">
        <v>0</v>
      </c>
      <c r="J55" s="1063">
        <v>0</v>
      </c>
      <c r="K55" s="1063">
        <v>0</v>
      </c>
      <c r="L55" s="1063">
        <v>0</v>
      </c>
      <c r="M55" s="1063">
        <v>0</v>
      </c>
      <c r="N55" s="1063">
        <v>0</v>
      </c>
      <c r="O55" s="1063">
        <v>0</v>
      </c>
      <c r="P55" s="1063">
        <v>0</v>
      </c>
      <c r="Q55" s="1063">
        <v>0</v>
      </c>
      <c r="R55" s="1063">
        <v>0</v>
      </c>
      <c r="S55" s="1063">
        <v>0</v>
      </c>
      <c r="T55" s="1063">
        <v>0</v>
      </c>
      <c r="U55" s="1063">
        <v>0</v>
      </c>
      <c r="V55" s="1063"/>
      <c r="W55" s="1049"/>
      <c r="X55" s="1049"/>
      <c r="Y55" s="1049"/>
      <c r="Z55" s="1049"/>
      <c r="AA55" s="1066"/>
      <c r="AB55" s="1049"/>
      <c r="AT55" s="418">
        <v>0</v>
      </c>
      <c r="AU55" s="418">
        <v>0</v>
      </c>
      <c r="AV55" s="418">
        <v>7838694</v>
      </c>
      <c r="AW55" s="418">
        <v>0</v>
      </c>
      <c r="AX55" s="418">
        <v>0</v>
      </c>
      <c r="AY55" s="418">
        <v>0</v>
      </c>
      <c r="AZ55" s="418">
        <v>0</v>
      </c>
      <c r="BA55" s="418">
        <v>6587772</v>
      </c>
      <c r="BB55" s="418">
        <v>0</v>
      </c>
      <c r="BC55" s="418">
        <v>0</v>
      </c>
      <c r="BD55" s="418">
        <v>0</v>
      </c>
      <c r="BE55" s="418">
        <v>0</v>
      </c>
      <c r="BF55" s="418">
        <v>31037334</v>
      </c>
      <c r="BG55" s="418">
        <v>0</v>
      </c>
      <c r="BH55" s="418">
        <v>0</v>
      </c>
      <c r="BI55" s="418">
        <v>0</v>
      </c>
      <c r="BJ55" s="418">
        <v>0</v>
      </c>
      <c r="BK55" s="418">
        <v>0</v>
      </c>
      <c r="BL55" s="418">
        <v>8028086</v>
      </c>
      <c r="BM55" s="418">
        <v>0</v>
      </c>
      <c r="BN55" s="418">
        <v>0</v>
      </c>
      <c r="BO55" s="418">
        <v>0</v>
      </c>
      <c r="BP55" s="418">
        <v>0</v>
      </c>
      <c r="BQ55" s="418">
        <v>0</v>
      </c>
      <c r="BR55" s="418">
        <v>0</v>
      </c>
      <c r="BS55" s="418">
        <v>0</v>
      </c>
      <c r="BT55" s="418">
        <v>0</v>
      </c>
      <c r="BU55" s="418">
        <v>0</v>
      </c>
      <c r="BV55" s="418">
        <v>0</v>
      </c>
      <c r="BW55" s="418">
        <v>0</v>
      </c>
      <c r="BX55" s="418">
        <v>0</v>
      </c>
      <c r="BY55" s="418">
        <v>0</v>
      </c>
      <c r="BZ55" s="418">
        <v>0</v>
      </c>
      <c r="CA55" s="418">
        <v>0</v>
      </c>
      <c r="CB55" s="418">
        <v>0</v>
      </c>
    </row>
    <row r="56" spans="1:80" s="418" customFormat="1" ht="15.6" x14ac:dyDescent="0.3">
      <c r="A56" s="1052">
        <v>94</v>
      </c>
      <c r="B56" s="1049"/>
      <c r="C56" s="1060" t="s">
        <v>1962</v>
      </c>
      <c r="D56" s="1061" t="s">
        <v>240</v>
      </c>
      <c r="E56" s="1062" t="s">
        <v>360</v>
      </c>
      <c r="F56" s="1063">
        <v>0</v>
      </c>
      <c r="G56" s="1063">
        <v>0</v>
      </c>
      <c r="H56" s="1063">
        <v>0</v>
      </c>
      <c r="I56" s="1063">
        <v>0</v>
      </c>
      <c r="J56" s="1063">
        <v>0</v>
      </c>
      <c r="K56" s="1063">
        <v>0</v>
      </c>
      <c r="L56" s="1063">
        <v>0</v>
      </c>
      <c r="M56" s="1063">
        <v>0</v>
      </c>
      <c r="N56" s="1063">
        <v>0</v>
      </c>
      <c r="O56" s="1063">
        <v>0</v>
      </c>
      <c r="P56" s="1063">
        <v>0</v>
      </c>
      <c r="Q56" s="1063">
        <v>0</v>
      </c>
      <c r="R56" s="1063">
        <v>0</v>
      </c>
      <c r="S56" s="1063">
        <v>0</v>
      </c>
      <c r="T56" s="1063">
        <v>0</v>
      </c>
      <c r="U56" s="1063">
        <v>0</v>
      </c>
      <c r="V56" s="1063"/>
      <c r="W56" s="1049"/>
      <c r="X56" s="1049"/>
      <c r="Y56" s="1049"/>
      <c r="Z56" s="1049"/>
      <c r="AA56" s="1066"/>
      <c r="AB56" s="1065"/>
      <c r="AT56" s="418">
        <v>0</v>
      </c>
      <c r="AU56" s="418">
        <v>0</v>
      </c>
      <c r="AV56" s="418">
        <v>6773377</v>
      </c>
      <c r="AW56" s="418">
        <v>0</v>
      </c>
      <c r="AX56" s="418">
        <v>0</v>
      </c>
      <c r="AY56" s="418">
        <v>0</v>
      </c>
      <c r="AZ56" s="418">
        <v>0</v>
      </c>
      <c r="BA56" s="418">
        <v>6595934</v>
      </c>
      <c r="BB56" s="418">
        <v>0</v>
      </c>
      <c r="BC56" s="418">
        <v>0</v>
      </c>
      <c r="BD56" s="418">
        <v>0</v>
      </c>
      <c r="BE56" s="418">
        <v>0</v>
      </c>
      <c r="BF56" s="418">
        <v>29748161</v>
      </c>
      <c r="BG56" s="418">
        <v>0</v>
      </c>
      <c r="BH56" s="418">
        <v>0</v>
      </c>
      <c r="BI56" s="418">
        <v>0</v>
      </c>
      <c r="BJ56" s="418">
        <v>0</v>
      </c>
      <c r="BK56" s="418">
        <v>0</v>
      </c>
      <c r="BL56" s="418">
        <v>7097870</v>
      </c>
      <c r="BM56" s="418">
        <v>0</v>
      </c>
      <c r="BN56" s="418">
        <v>0</v>
      </c>
      <c r="BO56" s="418">
        <v>0</v>
      </c>
      <c r="BP56" s="418">
        <v>0</v>
      </c>
      <c r="BQ56" s="418">
        <v>0</v>
      </c>
      <c r="BR56" s="418">
        <v>0</v>
      </c>
      <c r="BS56" s="418">
        <v>0</v>
      </c>
      <c r="BT56" s="418">
        <v>0</v>
      </c>
      <c r="BU56" s="418">
        <v>0</v>
      </c>
      <c r="BV56" s="418">
        <v>0</v>
      </c>
      <c r="BW56" s="418">
        <v>0</v>
      </c>
      <c r="BX56" s="418">
        <v>0</v>
      </c>
      <c r="BY56" s="418">
        <v>0</v>
      </c>
      <c r="BZ56" s="418">
        <v>0</v>
      </c>
      <c r="CA56" s="418">
        <v>0</v>
      </c>
      <c r="CB56" s="418">
        <v>0</v>
      </c>
    </row>
    <row r="57" spans="1:80" s="418" customFormat="1" ht="15.6" x14ac:dyDescent="0.3">
      <c r="A57" s="1052">
        <v>97</v>
      </c>
      <c r="B57" s="1049"/>
      <c r="C57" s="1060" t="s">
        <v>1963</v>
      </c>
      <c r="D57" s="1061" t="s">
        <v>236</v>
      </c>
      <c r="E57" s="1062" t="s">
        <v>361</v>
      </c>
      <c r="F57" s="1063">
        <v>0</v>
      </c>
      <c r="G57" s="1063">
        <v>0</v>
      </c>
      <c r="H57" s="1063">
        <v>0</v>
      </c>
      <c r="I57" s="1063">
        <v>0</v>
      </c>
      <c r="J57" s="1063">
        <v>0</v>
      </c>
      <c r="K57" s="1063">
        <v>0</v>
      </c>
      <c r="L57" s="1063">
        <v>0</v>
      </c>
      <c r="M57" s="1063">
        <v>0</v>
      </c>
      <c r="N57" s="1063">
        <v>0</v>
      </c>
      <c r="O57" s="1063">
        <v>0</v>
      </c>
      <c r="P57" s="1063">
        <v>0</v>
      </c>
      <c r="Q57" s="1063">
        <v>0</v>
      </c>
      <c r="R57" s="1063">
        <v>0</v>
      </c>
      <c r="S57" s="1063">
        <v>0</v>
      </c>
      <c r="T57" s="1063">
        <v>0</v>
      </c>
      <c r="U57" s="1063">
        <v>0</v>
      </c>
      <c r="V57" s="1063"/>
      <c r="W57" s="1049"/>
      <c r="X57" s="1049"/>
      <c r="Y57" s="1049"/>
      <c r="Z57" s="1049"/>
      <c r="AA57" s="1066"/>
      <c r="AB57" s="1065"/>
      <c r="AT57" s="418">
        <v>0</v>
      </c>
      <c r="AU57" s="418">
        <v>0</v>
      </c>
      <c r="AV57" s="418">
        <v>6489145</v>
      </c>
      <c r="AW57" s="418">
        <v>0</v>
      </c>
      <c r="AX57" s="418">
        <v>0</v>
      </c>
      <c r="AY57" s="418">
        <v>0</v>
      </c>
      <c r="AZ57" s="418">
        <v>0</v>
      </c>
      <c r="BA57" s="418">
        <v>6514785</v>
      </c>
      <c r="BB57" s="418">
        <v>0</v>
      </c>
      <c r="BC57" s="418">
        <v>0</v>
      </c>
      <c r="BD57" s="418">
        <v>0</v>
      </c>
      <c r="BE57" s="418">
        <v>0</v>
      </c>
      <c r="BF57" s="418">
        <v>27998736</v>
      </c>
      <c r="BG57" s="418">
        <v>0</v>
      </c>
      <c r="BH57" s="418">
        <v>0</v>
      </c>
      <c r="BI57" s="418">
        <v>0</v>
      </c>
      <c r="BJ57" s="418">
        <v>0</v>
      </c>
      <c r="BK57" s="418">
        <v>0</v>
      </c>
      <c r="BL57" s="418">
        <v>8028086</v>
      </c>
      <c r="BM57" s="418">
        <v>0</v>
      </c>
      <c r="BN57" s="418">
        <v>0</v>
      </c>
      <c r="BO57" s="418">
        <v>0</v>
      </c>
      <c r="BP57" s="418">
        <v>0</v>
      </c>
      <c r="BQ57" s="418">
        <v>0</v>
      </c>
      <c r="BR57" s="418">
        <v>0</v>
      </c>
      <c r="BS57" s="418">
        <v>0</v>
      </c>
      <c r="BT57" s="418">
        <v>0</v>
      </c>
      <c r="BU57" s="418">
        <v>0</v>
      </c>
      <c r="BV57" s="418">
        <v>0</v>
      </c>
      <c r="BW57" s="418">
        <v>0</v>
      </c>
      <c r="BX57" s="418">
        <v>0</v>
      </c>
      <c r="BY57" s="418">
        <v>0</v>
      </c>
      <c r="BZ57" s="418">
        <v>0</v>
      </c>
      <c r="CA57" s="418">
        <v>0</v>
      </c>
      <c r="CB57" s="418">
        <v>0</v>
      </c>
    </row>
    <row r="58" spans="1:80" s="418" customFormat="1" ht="15.6" x14ac:dyDescent="0.3">
      <c r="A58" s="1052">
        <v>98</v>
      </c>
      <c r="B58" s="1049"/>
      <c r="C58" s="1060" t="s">
        <v>1964</v>
      </c>
      <c r="D58" s="1061" t="s">
        <v>241</v>
      </c>
      <c r="E58" s="1062" t="s">
        <v>362</v>
      </c>
      <c r="F58" s="1063">
        <v>0</v>
      </c>
      <c r="G58" s="1063">
        <v>0</v>
      </c>
      <c r="H58" s="1063">
        <v>0</v>
      </c>
      <c r="I58" s="1063">
        <v>0</v>
      </c>
      <c r="J58" s="1063">
        <v>0</v>
      </c>
      <c r="K58" s="1063">
        <v>0</v>
      </c>
      <c r="L58" s="1063">
        <v>0</v>
      </c>
      <c r="M58" s="1063">
        <v>0</v>
      </c>
      <c r="N58" s="1063">
        <v>0</v>
      </c>
      <c r="O58" s="1063">
        <v>0</v>
      </c>
      <c r="P58" s="1063">
        <v>0</v>
      </c>
      <c r="Q58" s="1063">
        <v>0</v>
      </c>
      <c r="R58" s="1063">
        <v>0</v>
      </c>
      <c r="S58" s="1063">
        <v>0</v>
      </c>
      <c r="T58" s="1063">
        <v>0</v>
      </c>
      <c r="U58" s="1063">
        <v>0</v>
      </c>
      <c r="V58" s="1063"/>
      <c r="W58" s="1049"/>
      <c r="X58" s="1049"/>
      <c r="Y58" s="1049"/>
      <c r="Z58" s="1049"/>
      <c r="AA58" s="1066"/>
      <c r="AB58" s="1065"/>
      <c r="AT58" s="418">
        <v>0</v>
      </c>
      <c r="AU58" s="418">
        <v>0</v>
      </c>
      <c r="AV58" s="418">
        <v>0</v>
      </c>
      <c r="AW58" s="418">
        <v>0</v>
      </c>
      <c r="AX58" s="418">
        <v>0</v>
      </c>
      <c r="AY58" s="418">
        <v>0</v>
      </c>
      <c r="AZ58" s="418">
        <v>0</v>
      </c>
      <c r="BA58" s="418">
        <v>11196</v>
      </c>
      <c r="BB58" s="418">
        <v>0</v>
      </c>
      <c r="BC58" s="418">
        <v>0</v>
      </c>
      <c r="BD58" s="418">
        <v>0</v>
      </c>
      <c r="BE58" s="418">
        <v>0</v>
      </c>
      <c r="BF58" s="418">
        <v>6030</v>
      </c>
      <c r="BG58" s="418">
        <v>0</v>
      </c>
      <c r="BH58" s="418">
        <v>0</v>
      </c>
      <c r="BI58" s="418">
        <v>0</v>
      </c>
      <c r="BJ58" s="418">
        <v>0</v>
      </c>
      <c r="BK58" s="418">
        <v>0</v>
      </c>
      <c r="BL58" s="418">
        <v>0</v>
      </c>
      <c r="BM58" s="418">
        <v>0</v>
      </c>
      <c r="BN58" s="418">
        <v>0</v>
      </c>
      <c r="BO58" s="418">
        <v>0</v>
      </c>
      <c r="BP58" s="418">
        <v>0</v>
      </c>
      <c r="BQ58" s="418">
        <v>0</v>
      </c>
      <c r="BR58" s="418">
        <v>0</v>
      </c>
      <c r="BS58" s="418">
        <v>0</v>
      </c>
      <c r="BT58" s="418">
        <v>0</v>
      </c>
      <c r="BU58" s="418">
        <v>0</v>
      </c>
      <c r="BV58" s="418">
        <v>0</v>
      </c>
      <c r="BW58" s="418">
        <v>0</v>
      </c>
      <c r="BX58" s="418">
        <v>0</v>
      </c>
      <c r="BY58" s="418">
        <v>0</v>
      </c>
      <c r="BZ58" s="418">
        <v>0</v>
      </c>
      <c r="CA58" s="418">
        <v>0</v>
      </c>
      <c r="CB58" s="418">
        <v>0</v>
      </c>
    </row>
    <row r="59" spans="1:80" s="418" customFormat="1" ht="15.6" x14ac:dyDescent="0.3">
      <c r="A59" s="1052">
        <v>99</v>
      </c>
      <c r="B59" s="1049"/>
      <c r="C59" s="1060" t="s">
        <v>1965</v>
      </c>
      <c r="D59" s="1061" t="s">
        <v>238</v>
      </c>
      <c r="E59" s="1062" t="s">
        <v>363</v>
      </c>
      <c r="F59" s="1063">
        <v>0</v>
      </c>
      <c r="G59" s="1063">
        <v>0</v>
      </c>
      <c r="H59" s="1063">
        <v>0</v>
      </c>
      <c r="I59" s="1063">
        <v>0</v>
      </c>
      <c r="J59" s="1063">
        <v>0</v>
      </c>
      <c r="K59" s="1063">
        <v>0</v>
      </c>
      <c r="L59" s="1063">
        <v>0</v>
      </c>
      <c r="M59" s="1063">
        <v>0</v>
      </c>
      <c r="N59" s="1063">
        <v>0</v>
      </c>
      <c r="O59" s="1063">
        <v>0</v>
      </c>
      <c r="P59" s="1063">
        <v>0</v>
      </c>
      <c r="Q59" s="1063">
        <v>0</v>
      </c>
      <c r="R59" s="1063">
        <v>0</v>
      </c>
      <c r="S59" s="1063">
        <v>0</v>
      </c>
      <c r="T59" s="1063">
        <v>0</v>
      </c>
      <c r="U59" s="1063">
        <v>0</v>
      </c>
      <c r="V59" s="1063"/>
      <c r="W59" s="1049"/>
      <c r="X59" s="1049"/>
      <c r="Y59" s="1049"/>
      <c r="Z59" s="1049"/>
      <c r="AA59" s="1066"/>
      <c r="AB59" s="1049"/>
      <c r="AT59" s="418">
        <v>0</v>
      </c>
      <c r="AU59" s="418">
        <v>0</v>
      </c>
      <c r="AV59" s="418">
        <v>4505513</v>
      </c>
      <c r="AW59" s="418">
        <v>0</v>
      </c>
      <c r="AX59" s="418">
        <v>0</v>
      </c>
      <c r="AY59" s="418">
        <v>0</v>
      </c>
      <c r="AZ59" s="418">
        <v>0</v>
      </c>
      <c r="BA59" s="418">
        <v>4099796</v>
      </c>
      <c r="BB59" s="418">
        <v>0</v>
      </c>
      <c r="BC59" s="418">
        <v>0</v>
      </c>
      <c r="BD59" s="418">
        <v>0</v>
      </c>
      <c r="BE59" s="418">
        <v>0</v>
      </c>
      <c r="BF59" s="418">
        <v>0</v>
      </c>
      <c r="BG59" s="418">
        <v>0</v>
      </c>
      <c r="BH59" s="418">
        <v>0</v>
      </c>
      <c r="BI59" s="418">
        <v>0</v>
      </c>
      <c r="BJ59" s="418">
        <v>0</v>
      </c>
      <c r="BK59" s="418">
        <v>0</v>
      </c>
      <c r="BL59" s="418">
        <v>6932994</v>
      </c>
      <c r="BM59" s="418">
        <v>0</v>
      </c>
      <c r="BN59" s="418">
        <v>0</v>
      </c>
      <c r="BO59" s="418">
        <v>0</v>
      </c>
      <c r="BP59" s="418">
        <v>0</v>
      </c>
      <c r="BQ59" s="418">
        <v>0</v>
      </c>
      <c r="BR59" s="418">
        <v>0</v>
      </c>
      <c r="BS59" s="418">
        <v>0</v>
      </c>
      <c r="BT59" s="418">
        <v>0</v>
      </c>
      <c r="BU59" s="418">
        <v>0</v>
      </c>
      <c r="BV59" s="418">
        <v>0</v>
      </c>
      <c r="BW59" s="418">
        <v>0</v>
      </c>
      <c r="BX59" s="418">
        <v>0</v>
      </c>
      <c r="BY59" s="418">
        <v>0</v>
      </c>
      <c r="BZ59" s="418">
        <v>0</v>
      </c>
      <c r="CA59" s="418">
        <v>0</v>
      </c>
      <c r="CB59" s="418">
        <v>0</v>
      </c>
    </row>
    <row r="60" spans="1:80" s="418" customFormat="1" ht="15.6" x14ac:dyDescent="0.3">
      <c r="A60" s="1052">
        <v>100</v>
      </c>
      <c r="B60" s="1049"/>
      <c r="C60" s="1060" t="s">
        <v>1966</v>
      </c>
      <c r="D60" s="1061" t="s">
        <v>251</v>
      </c>
      <c r="E60" s="1062" t="s">
        <v>364</v>
      </c>
      <c r="F60" s="1063">
        <v>0</v>
      </c>
      <c r="G60" s="1063">
        <v>0</v>
      </c>
      <c r="H60" s="1063">
        <v>0</v>
      </c>
      <c r="I60" s="1063">
        <v>0</v>
      </c>
      <c r="J60" s="1063">
        <v>0</v>
      </c>
      <c r="K60" s="1063">
        <v>0</v>
      </c>
      <c r="L60" s="1063">
        <v>0</v>
      </c>
      <c r="M60" s="1063">
        <v>0</v>
      </c>
      <c r="N60" s="1063">
        <v>0</v>
      </c>
      <c r="O60" s="1063">
        <v>0</v>
      </c>
      <c r="P60" s="1063">
        <v>0</v>
      </c>
      <c r="Q60" s="1063">
        <v>0</v>
      </c>
      <c r="R60" s="1063">
        <v>0</v>
      </c>
      <c r="S60" s="1063">
        <v>0</v>
      </c>
      <c r="T60" s="1063">
        <v>0</v>
      </c>
      <c r="U60" s="1063">
        <v>0</v>
      </c>
      <c r="V60" s="1063"/>
      <c r="W60" s="1049"/>
      <c r="X60" s="1049"/>
      <c r="Y60" s="1049"/>
      <c r="Z60" s="1049"/>
      <c r="AA60" s="1066"/>
      <c r="AB60" s="1065"/>
      <c r="AT60" s="418">
        <v>0</v>
      </c>
      <c r="AU60" s="418">
        <v>0</v>
      </c>
      <c r="AV60" s="418">
        <v>0</v>
      </c>
      <c r="AW60" s="418">
        <v>0</v>
      </c>
      <c r="AX60" s="418">
        <v>0</v>
      </c>
      <c r="AY60" s="418">
        <v>0</v>
      </c>
      <c r="AZ60" s="418">
        <v>0</v>
      </c>
      <c r="BA60" s="418">
        <v>107593</v>
      </c>
      <c r="BB60" s="418">
        <v>0</v>
      </c>
      <c r="BC60" s="418">
        <v>0</v>
      </c>
      <c r="BD60" s="418">
        <v>0</v>
      </c>
      <c r="BE60" s="418">
        <v>0</v>
      </c>
      <c r="BF60" s="418">
        <v>91132</v>
      </c>
      <c r="BG60" s="418">
        <v>0</v>
      </c>
      <c r="BH60" s="418">
        <v>0</v>
      </c>
      <c r="BI60" s="418">
        <v>0</v>
      </c>
      <c r="BJ60" s="418">
        <v>0</v>
      </c>
      <c r="BK60" s="418">
        <v>0</v>
      </c>
      <c r="BL60" s="418">
        <v>0</v>
      </c>
      <c r="BM60" s="418">
        <v>0</v>
      </c>
      <c r="BN60" s="418">
        <v>0</v>
      </c>
      <c r="BO60" s="418">
        <v>0</v>
      </c>
      <c r="BP60" s="418">
        <v>0</v>
      </c>
      <c r="BQ60" s="418">
        <v>0</v>
      </c>
      <c r="BR60" s="418">
        <v>0</v>
      </c>
      <c r="BS60" s="418">
        <v>0</v>
      </c>
      <c r="BT60" s="418">
        <v>0</v>
      </c>
      <c r="BU60" s="418">
        <v>0</v>
      </c>
      <c r="BV60" s="418">
        <v>0</v>
      </c>
      <c r="BW60" s="418">
        <v>0</v>
      </c>
      <c r="BX60" s="418">
        <v>0</v>
      </c>
      <c r="BY60" s="418">
        <v>0</v>
      </c>
      <c r="BZ60" s="418">
        <v>0</v>
      </c>
      <c r="CA60" s="418">
        <v>0</v>
      </c>
      <c r="CB60" s="418">
        <v>0</v>
      </c>
    </row>
    <row r="61" spans="1:80" s="418" customFormat="1" ht="15.6" x14ac:dyDescent="0.3">
      <c r="A61" s="1052">
        <v>101</v>
      </c>
      <c r="B61" s="1049"/>
      <c r="C61" s="1060" t="s">
        <v>1967</v>
      </c>
      <c r="D61" s="1061" t="s">
        <v>250</v>
      </c>
      <c r="E61" s="1062" t="s">
        <v>365</v>
      </c>
      <c r="F61" s="1063">
        <v>0</v>
      </c>
      <c r="G61" s="1063">
        <v>0</v>
      </c>
      <c r="H61" s="1063">
        <v>0</v>
      </c>
      <c r="I61" s="1063">
        <v>0</v>
      </c>
      <c r="J61" s="1063">
        <v>0</v>
      </c>
      <c r="K61" s="1063">
        <v>0</v>
      </c>
      <c r="L61" s="1063">
        <v>0</v>
      </c>
      <c r="M61" s="1063">
        <v>0</v>
      </c>
      <c r="N61" s="1063">
        <v>0</v>
      </c>
      <c r="O61" s="1063">
        <v>0</v>
      </c>
      <c r="P61" s="1063">
        <v>0</v>
      </c>
      <c r="Q61" s="1063">
        <v>0</v>
      </c>
      <c r="R61" s="1063">
        <v>0</v>
      </c>
      <c r="S61" s="1063">
        <v>0</v>
      </c>
      <c r="T61" s="1063">
        <v>0</v>
      </c>
      <c r="U61" s="1063">
        <v>0</v>
      </c>
      <c r="V61" s="1063"/>
      <c r="W61" s="1049"/>
      <c r="X61" s="1049"/>
      <c r="Y61" s="1049"/>
      <c r="Z61" s="1049"/>
      <c r="AA61" s="1066"/>
      <c r="AB61" s="1065"/>
      <c r="AT61" s="418">
        <v>0</v>
      </c>
      <c r="AU61" s="418">
        <v>0</v>
      </c>
      <c r="AV61" s="418">
        <v>1986621</v>
      </c>
      <c r="AW61" s="418">
        <v>0</v>
      </c>
      <c r="AX61" s="418">
        <v>0</v>
      </c>
      <c r="AY61" s="418">
        <v>0</v>
      </c>
      <c r="AZ61" s="418">
        <v>0</v>
      </c>
      <c r="BA61" s="418">
        <v>405288</v>
      </c>
      <c r="BB61" s="418">
        <v>0</v>
      </c>
      <c r="BC61" s="418">
        <v>0</v>
      </c>
      <c r="BD61" s="418">
        <v>0</v>
      </c>
      <c r="BE61" s="418">
        <v>0</v>
      </c>
      <c r="BF61" s="418">
        <v>2079992</v>
      </c>
      <c r="BG61" s="418">
        <v>0</v>
      </c>
      <c r="BH61" s="418">
        <v>0</v>
      </c>
      <c r="BI61" s="418">
        <v>0</v>
      </c>
      <c r="BJ61" s="418">
        <v>0</v>
      </c>
      <c r="BK61" s="418">
        <v>0</v>
      </c>
      <c r="BL61" s="418">
        <v>112950</v>
      </c>
      <c r="BM61" s="418">
        <v>0</v>
      </c>
      <c r="BN61" s="418">
        <v>0</v>
      </c>
      <c r="BO61" s="418">
        <v>0</v>
      </c>
      <c r="BP61" s="418">
        <v>0</v>
      </c>
      <c r="BQ61" s="418">
        <v>0</v>
      </c>
      <c r="BR61" s="418">
        <v>0</v>
      </c>
      <c r="BS61" s="418">
        <v>0</v>
      </c>
      <c r="BT61" s="418">
        <v>0</v>
      </c>
      <c r="BU61" s="418">
        <v>0</v>
      </c>
      <c r="BV61" s="418">
        <v>0</v>
      </c>
      <c r="BW61" s="418">
        <v>0</v>
      </c>
      <c r="BX61" s="418">
        <v>0</v>
      </c>
      <c r="BY61" s="418">
        <v>0</v>
      </c>
      <c r="BZ61" s="418">
        <v>0</v>
      </c>
      <c r="CA61" s="418">
        <v>0</v>
      </c>
      <c r="CB61" s="418">
        <v>0</v>
      </c>
    </row>
    <row r="62" spans="1:80" s="420" customFormat="1" ht="27.6" x14ac:dyDescent="0.3">
      <c r="A62" s="1052">
        <v>102</v>
      </c>
      <c r="B62" s="1049"/>
      <c r="C62" s="1060" t="s">
        <v>1968</v>
      </c>
      <c r="D62" s="1061" t="s">
        <v>269</v>
      </c>
      <c r="E62" s="1062" t="s">
        <v>366</v>
      </c>
      <c r="F62" s="1063">
        <v>0</v>
      </c>
      <c r="G62" s="1063">
        <v>0</v>
      </c>
      <c r="H62" s="1063">
        <v>0</v>
      </c>
      <c r="I62" s="1063">
        <v>0</v>
      </c>
      <c r="J62" s="1063">
        <v>0</v>
      </c>
      <c r="K62" s="1063">
        <v>0</v>
      </c>
      <c r="L62" s="1063">
        <v>0</v>
      </c>
      <c r="M62" s="1063">
        <v>0</v>
      </c>
      <c r="N62" s="1063">
        <v>0</v>
      </c>
      <c r="O62" s="1063">
        <v>0</v>
      </c>
      <c r="P62" s="1063">
        <v>0</v>
      </c>
      <c r="Q62" s="1063">
        <v>0</v>
      </c>
      <c r="R62" s="1063">
        <v>0</v>
      </c>
      <c r="S62" s="1063">
        <v>0</v>
      </c>
      <c r="T62" s="1063">
        <v>0</v>
      </c>
      <c r="U62" s="1063">
        <v>0</v>
      </c>
      <c r="V62" s="1063"/>
      <c r="W62" s="1049"/>
      <c r="X62" s="1049"/>
      <c r="Y62" s="1049"/>
      <c r="Z62" s="1049"/>
      <c r="AA62" s="1066"/>
      <c r="AB62" s="1065"/>
      <c r="AT62" s="420">
        <v>95</v>
      </c>
      <c r="AU62" s="420">
        <v>99.56</v>
      </c>
      <c r="AV62" s="420">
        <v>98.24</v>
      </c>
      <c r="AW62" s="420">
        <v>97.25</v>
      </c>
      <c r="AX62" s="420">
        <v>93.41</v>
      </c>
      <c r="AY62" s="420">
        <v>98.48</v>
      </c>
      <c r="AZ62" s="420">
        <v>96.55</v>
      </c>
      <c r="BA62" s="420">
        <v>97.64</v>
      </c>
      <c r="BB62" s="420">
        <v>89.81</v>
      </c>
      <c r="BC62" s="420">
        <v>98.83</v>
      </c>
      <c r="BD62" s="420">
        <v>0</v>
      </c>
      <c r="BE62" s="420">
        <v>96.56</v>
      </c>
      <c r="BF62" s="420">
        <v>93.96</v>
      </c>
      <c r="BG62" s="420">
        <v>0</v>
      </c>
      <c r="BH62" s="420">
        <v>90.88</v>
      </c>
      <c r="BI62" s="420">
        <v>99.05</v>
      </c>
      <c r="BJ62" s="420">
        <v>97.3</v>
      </c>
      <c r="BK62" s="420">
        <v>0</v>
      </c>
      <c r="BL62" s="420">
        <v>99.75</v>
      </c>
      <c r="BM62" s="420">
        <v>98.69</v>
      </c>
      <c r="BN62" s="420">
        <v>0</v>
      </c>
      <c r="BO62" s="420">
        <v>98.85</v>
      </c>
      <c r="BP62" s="420">
        <v>96.74</v>
      </c>
      <c r="BQ62" s="420">
        <v>96.88</v>
      </c>
      <c r="BR62" s="420">
        <v>98.5</v>
      </c>
      <c r="BS62" s="420">
        <v>99.56</v>
      </c>
      <c r="BT62" s="420">
        <v>99.04</v>
      </c>
      <c r="BU62" s="420">
        <v>83.82</v>
      </c>
      <c r="BV62" s="420">
        <v>99.18</v>
      </c>
      <c r="BW62" s="420">
        <v>94.07</v>
      </c>
      <c r="BX62" s="420">
        <v>99.38</v>
      </c>
      <c r="BY62" s="420">
        <v>95.03</v>
      </c>
      <c r="BZ62" s="420">
        <v>97.44</v>
      </c>
      <c r="CA62" s="420">
        <v>99.67</v>
      </c>
      <c r="CB62" s="420">
        <v>88.75</v>
      </c>
    </row>
    <row r="63" spans="1:80" s="420" customFormat="1" ht="15.6" x14ac:dyDescent="0.3">
      <c r="A63" s="1052">
        <v>103</v>
      </c>
      <c r="B63" s="1049"/>
      <c r="C63" s="1060" t="s">
        <v>1969</v>
      </c>
      <c r="D63" s="1061" t="s">
        <v>270</v>
      </c>
      <c r="E63" s="1062" t="s">
        <v>367</v>
      </c>
      <c r="F63" s="1063">
        <v>0</v>
      </c>
      <c r="G63" s="1063">
        <v>0</v>
      </c>
      <c r="H63" s="1063">
        <v>0</v>
      </c>
      <c r="I63" s="1063">
        <v>0</v>
      </c>
      <c r="J63" s="1063">
        <v>0</v>
      </c>
      <c r="K63" s="1063">
        <v>0</v>
      </c>
      <c r="L63" s="1063">
        <v>0</v>
      </c>
      <c r="M63" s="1063">
        <v>0</v>
      </c>
      <c r="N63" s="1063">
        <v>0</v>
      </c>
      <c r="O63" s="1063">
        <v>0</v>
      </c>
      <c r="P63" s="1063">
        <v>0</v>
      </c>
      <c r="Q63" s="1063">
        <v>0</v>
      </c>
      <c r="R63" s="1063">
        <v>0</v>
      </c>
      <c r="S63" s="1063">
        <v>0</v>
      </c>
      <c r="T63" s="1063">
        <v>0</v>
      </c>
      <c r="U63" s="1063">
        <v>0</v>
      </c>
      <c r="V63" s="1063"/>
      <c r="W63" s="1049"/>
      <c r="X63" s="1049"/>
      <c r="Y63" s="1049"/>
      <c r="Z63" s="1049"/>
      <c r="AA63" s="1066"/>
      <c r="AB63" s="1065"/>
      <c r="AT63" s="420">
        <v>100</v>
      </c>
      <c r="AU63" s="420">
        <v>100</v>
      </c>
      <c r="AV63" s="420">
        <v>100</v>
      </c>
      <c r="AW63" s="420">
        <v>99.88</v>
      </c>
      <c r="AX63" s="420">
        <v>100</v>
      </c>
      <c r="AY63" s="420">
        <v>100</v>
      </c>
      <c r="AZ63" s="420">
        <v>100</v>
      </c>
      <c r="BA63" s="420">
        <v>100</v>
      </c>
      <c r="BB63" s="420">
        <v>100</v>
      </c>
      <c r="BC63" s="420">
        <v>100</v>
      </c>
      <c r="BD63" s="420">
        <v>0</v>
      </c>
      <c r="BE63" s="420">
        <v>100</v>
      </c>
      <c r="BF63" s="420">
        <v>100</v>
      </c>
      <c r="BG63" s="420">
        <v>0</v>
      </c>
      <c r="BH63" s="420">
        <v>100</v>
      </c>
      <c r="BI63" s="420">
        <v>100</v>
      </c>
      <c r="BJ63" s="420">
        <v>98.79</v>
      </c>
      <c r="BK63" s="420">
        <v>0</v>
      </c>
      <c r="BL63" s="420">
        <v>100</v>
      </c>
      <c r="BM63" s="420">
        <v>100</v>
      </c>
      <c r="BN63" s="420">
        <v>0</v>
      </c>
      <c r="BO63" s="420">
        <v>100</v>
      </c>
      <c r="BP63" s="420">
        <v>100</v>
      </c>
      <c r="BQ63" s="420">
        <v>100</v>
      </c>
      <c r="BR63" s="420">
        <v>100</v>
      </c>
      <c r="BS63" s="420">
        <v>100</v>
      </c>
      <c r="BT63" s="420">
        <v>100</v>
      </c>
      <c r="BU63" s="420">
        <v>99.17</v>
      </c>
      <c r="BV63" s="420">
        <v>100</v>
      </c>
      <c r="BW63" s="420">
        <v>100</v>
      </c>
      <c r="BX63" s="420">
        <v>100</v>
      </c>
      <c r="BY63" s="420">
        <v>100</v>
      </c>
      <c r="BZ63" s="420">
        <v>100</v>
      </c>
      <c r="CA63" s="420">
        <v>99.61</v>
      </c>
      <c r="CB63" s="420">
        <v>100</v>
      </c>
    </row>
    <row r="64" spans="1:80" s="418" customFormat="1" ht="15" x14ac:dyDescent="0.3">
      <c r="A64" s="1052">
        <v>104</v>
      </c>
      <c r="B64" s="1053">
        <v>104</v>
      </c>
      <c r="C64" s="1069" t="s">
        <v>1784</v>
      </c>
      <c r="D64" s="1068" t="s">
        <v>368</v>
      </c>
      <c r="E64" s="1062" t="s">
        <v>369</v>
      </c>
      <c r="F64" s="1063">
        <v>0</v>
      </c>
      <c r="G64" s="1063">
        <v>37943823</v>
      </c>
      <c r="H64" s="1063">
        <v>8751282</v>
      </c>
      <c r="I64" s="1063">
        <v>16454731</v>
      </c>
      <c r="J64" s="1063">
        <v>0</v>
      </c>
      <c r="K64" s="1063">
        <v>0</v>
      </c>
      <c r="L64" s="1063">
        <v>0</v>
      </c>
      <c r="M64" s="1063">
        <v>0</v>
      </c>
      <c r="N64" s="1063">
        <v>10532912</v>
      </c>
      <c r="O64" s="1063">
        <v>2103443</v>
      </c>
      <c r="P64" s="1063">
        <v>1902442</v>
      </c>
      <c r="Q64" s="1063">
        <v>0</v>
      </c>
      <c r="R64" s="1063">
        <v>4508688</v>
      </c>
      <c r="S64" s="1063">
        <v>2328881</v>
      </c>
      <c r="T64" s="1063">
        <v>2868027</v>
      </c>
      <c r="U64" s="1063">
        <v>-6777603</v>
      </c>
      <c r="V64" s="1063"/>
      <c r="W64" s="1049"/>
      <c r="X64" s="1049"/>
      <c r="Y64" s="1064"/>
      <c r="Z64" s="1065"/>
      <c r="AA64" s="1066"/>
      <c r="AB64" s="1065"/>
    </row>
    <row r="65" spans="1:80" s="418" customFormat="1" ht="26.4" x14ac:dyDescent="0.3">
      <c r="A65" s="1052">
        <v>107</v>
      </c>
      <c r="B65" s="1053">
        <v>107</v>
      </c>
      <c r="C65" s="1069" t="s">
        <v>1785</v>
      </c>
      <c r="D65" s="1068" t="s">
        <v>1723</v>
      </c>
      <c r="E65" s="1062" t="s">
        <v>370</v>
      </c>
      <c r="F65" s="1063">
        <v>543</v>
      </c>
      <c r="G65" s="1063">
        <v>424762027</v>
      </c>
      <c r="H65" s="1063">
        <v>169127576</v>
      </c>
      <c r="I65" s="1063">
        <v>313390166</v>
      </c>
      <c r="J65" s="1063">
        <v>0</v>
      </c>
      <c r="K65" s="1063">
        <v>0</v>
      </c>
      <c r="L65" s="1063">
        <v>0</v>
      </c>
      <c r="M65" s="1063">
        <v>0</v>
      </c>
      <c r="N65" s="1063">
        <v>255818283</v>
      </c>
      <c r="O65" s="1063">
        <v>38282461</v>
      </c>
      <c r="P65" s="1063">
        <v>234202700</v>
      </c>
      <c r="Q65" s="1063">
        <v>0</v>
      </c>
      <c r="R65" s="1063">
        <v>96843418</v>
      </c>
      <c r="S65" s="1063">
        <v>137462689</v>
      </c>
      <c r="T65" s="1063">
        <v>63598190</v>
      </c>
      <c r="U65" s="1063">
        <v>195759812</v>
      </c>
      <c r="V65" s="1063"/>
      <c r="W65" s="1049"/>
      <c r="X65" s="1049"/>
      <c r="Y65" s="1064"/>
      <c r="Z65" s="1065"/>
      <c r="AA65" s="1066"/>
      <c r="AB65" s="1049"/>
      <c r="AC65" s="1049"/>
      <c r="AD65" s="1049"/>
      <c r="AE65" s="1049"/>
      <c r="AF65" s="1064"/>
      <c r="AG65" s="1065"/>
    </row>
    <row r="66" spans="1:80" s="418" customFormat="1" ht="26.4" x14ac:dyDescent="0.3">
      <c r="A66" s="1052">
        <v>108</v>
      </c>
      <c r="B66" s="1053">
        <v>108</v>
      </c>
      <c r="C66" s="1069" t="s">
        <v>1786</v>
      </c>
      <c r="D66" s="1068" t="s">
        <v>1724</v>
      </c>
      <c r="E66" s="1062" t="s">
        <v>371</v>
      </c>
      <c r="F66" s="1063">
        <v>209377</v>
      </c>
      <c r="G66" s="1063">
        <v>431677457</v>
      </c>
      <c r="H66" s="1063">
        <v>153865519</v>
      </c>
      <c r="I66" s="1063">
        <v>301836986</v>
      </c>
      <c r="J66" s="1063">
        <v>0</v>
      </c>
      <c r="K66" s="1063">
        <v>0</v>
      </c>
      <c r="L66" s="1063">
        <v>0</v>
      </c>
      <c r="M66" s="1063">
        <v>0</v>
      </c>
      <c r="N66" s="1063">
        <v>256746247</v>
      </c>
      <c r="O66" s="1063">
        <v>44212094</v>
      </c>
      <c r="P66" s="1063">
        <v>241168139</v>
      </c>
      <c r="Q66" s="1063">
        <v>0</v>
      </c>
      <c r="R66" s="1063">
        <v>102640507</v>
      </c>
      <c r="S66" s="1063">
        <v>141902425</v>
      </c>
      <c r="T66" s="1063">
        <v>64311063</v>
      </c>
      <c r="U66" s="1063">
        <v>199380472</v>
      </c>
      <c r="V66" s="1063"/>
      <c r="W66" s="1049"/>
      <c r="X66" s="1049"/>
      <c r="Y66" s="1064"/>
      <c r="Z66" s="1065"/>
      <c r="AA66" s="1066"/>
      <c r="AB66" s="1065"/>
      <c r="AC66" s="1049"/>
      <c r="AD66" s="1049"/>
      <c r="AE66" s="1049"/>
      <c r="AF66" s="1049"/>
      <c r="AG66" s="1049"/>
    </row>
    <row r="67" spans="1:80" s="418" customFormat="1" ht="26.4" x14ac:dyDescent="0.3">
      <c r="A67" s="1052">
        <v>147</v>
      </c>
      <c r="B67" s="1049"/>
      <c r="C67" s="1067">
        <v>147</v>
      </c>
      <c r="D67" s="1068" t="s">
        <v>372</v>
      </c>
      <c r="E67" s="1062" t="s">
        <v>373</v>
      </c>
      <c r="F67" s="1063">
        <v>0</v>
      </c>
      <c r="G67" s="1063">
        <v>0</v>
      </c>
      <c r="H67" s="1063">
        <v>0</v>
      </c>
      <c r="I67" s="1063">
        <v>0</v>
      </c>
      <c r="J67" s="1063">
        <v>0</v>
      </c>
      <c r="K67" s="1063">
        <v>0</v>
      </c>
      <c r="L67" s="1063">
        <v>0</v>
      </c>
      <c r="M67" s="1063">
        <v>0</v>
      </c>
      <c r="N67" s="1063">
        <v>0</v>
      </c>
      <c r="O67" s="1063">
        <v>0</v>
      </c>
      <c r="P67" s="1063">
        <v>0</v>
      </c>
      <c r="Q67" s="1063">
        <v>0</v>
      </c>
      <c r="R67" s="1063">
        <v>0</v>
      </c>
      <c r="S67" s="1063">
        <v>0</v>
      </c>
      <c r="T67" s="1063">
        <v>0</v>
      </c>
      <c r="U67" s="1063">
        <v>0</v>
      </c>
      <c r="V67" s="1063"/>
      <c r="W67" s="1049"/>
      <c r="X67" s="1049"/>
      <c r="Y67" s="1049"/>
      <c r="Z67" s="1049"/>
      <c r="AA67" s="1066"/>
      <c r="AB67" s="1065"/>
      <c r="AC67" s="1049"/>
      <c r="AD67" s="1049"/>
      <c r="AE67" s="1049"/>
      <c r="AF67" s="1049"/>
      <c r="AG67" s="1049"/>
    </row>
    <row r="68" spans="1:80" s="418" customFormat="1" ht="26.4" x14ac:dyDescent="0.3">
      <c r="A68" s="1052">
        <v>148</v>
      </c>
      <c r="B68" s="1049"/>
      <c r="C68" s="1067">
        <v>148</v>
      </c>
      <c r="D68" s="1068" t="s">
        <v>374</v>
      </c>
      <c r="E68" s="1062" t="s">
        <v>375</v>
      </c>
      <c r="F68" s="1063">
        <v>0</v>
      </c>
      <c r="G68" s="1063">
        <v>0</v>
      </c>
      <c r="H68" s="1063">
        <v>0</v>
      </c>
      <c r="I68" s="1063">
        <v>0</v>
      </c>
      <c r="J68" s="1063">
        <v>0</v>
      </c>
      <c r="K68" s="1063">
        <v>0</v>
      </c>
      <c r="L68" s="1063">
        <v>0</v>
      </c>
      <c r="M68" s="1063">
        <v>0</v>
      </c>
      <c r="N68" s="1063">
        <v>0</v>
      </c>
      <c r="O68" s="1063">
        <v>0</v>
      </c>
      <c r="P68" s="1063">
        <v>0</v>
      </c>
      <c r="Q68" s="1063">
        <v>0</v>
      </c>
      <c r="R68" s="1063">
        <v>0</v>
      </c>
      <c r="S68" s="1063">
        <v>0</v>
      </c>
      <c r="T68" s="1063">
        <v>0</v>
      </c>
      <c r="U68" s="1063">
        <v>0</v>
      </c>
      <c r="V68" s="1063"/>
      <c r="W68" s="1049"/>
      <c r="X68" s="1049"/>
      <c r="Y68" s="1049"/>
      <c r="Z68" s="1049"/>
      <c r="AA68" s="1066"/>
      <c r="AB68" s="1065"/>
      <c r="AC68" s="1049"/>
      <c r="AD68" s="1049"/>
      <c r="AE68" s="1049"/>
      <c r="AF68" s="1049"/>
      <c r="AG68" s="1049"/>
    </row>
    <row r="69" spans="1:80" s="418" customFormat="1" ht="26.4" x14ac:dyDescent="0.3">
      <c r="A69" s="1052">
        <v>149</v>
      </c>
      <c r="B69" s="1049"/>
      <c r="C69" s="1067">
        <v>149</v>
      </c>
      <c r="D69" s="1068" t="s">
        <v>376</v>
      </c>
      <c r="E69" s="1062" t="s">
        <v>377</v>
      </c>
      <c r="F69" s="1063">
        <v>0</v>
      </c>
      <c r="G69" s="1063">
        <v>0</v>
      </c>
      <c r="H69" s="1063">
        <v>0</v>
      </c>
      <c r="I69" s="1063">
        <v>0</v>
      </c>
      <c r="J69" s="1063">
        <v>0</v>
      </c>
      <c r="K69" s="1063">
        <v>0</v>
      </c>
      <c r="L69" s="1063">
        <v>0</v>
      </c>
      <c r="M69" s="1063">
        <v>0</v>
      </c>
      <c r="N69" s="1063">
        <v>0</v>
      </c>
      <c r="O69" s="1063">
        <v>0</v>
      </c>
      <c r="P69" s="1063">
        <v>0</v>
      </c>
      <c r="Q69" s="1063">
        <v>0</v>
      </c>
      <c r="R69" s="1063">
        <v>0</v>
      </c>
      <c r="S69" s="1063">
        <v>0</v>
      </c>
      <c r="T69" s="1063">
        <v>0</v>
      </c>
      <c r="U69" s="1063">
        <v>0</v>
      </c>
      <c r="V69" s="1063"/>
      <c r="W69" s="1049"/>
      <c r="X69" s="1049"/>
      <c r="Y69" s="1049"/>
      <c r="Z69" s="1049"/>
      <c r="AA69" s="1066"/>
      <c r="AB69" s="1065"/>
      <c r="AC69" s="1049"/>
      <c r="AD69" s="1049"/>
      <c r="AE69" s="1049"/>
      <c r="AF69" s="1049"/>
      <c r="AG69" s="1049"/>
    </row>
    <row r="70" spans="1:80" s="418" customFormat="1" ht="26.4" x14ac:dyDescent="0.3">
      <c r="A70" s="1052">
        <v>150</v>
      </c>
      <c r="B70" s="1049"/>
      <c r="C70" s="1067">
        <v>150</v>
      </c>
      <c r="D70" s="1068" t="s">
        <v>378</v>
      </c>
      <c r="E70" s="1062" t="s">
        <v>379</v>
      </c>
      <c r="F70" s="1063">
        <v>0</v>
      </c>
      <c r="G70" s="1063">
        <v>0</v>
      </c>
      <c r="H70" s="1063">
        <v>0</v>
      </c>
      <c r="I70" s="1063">
        <v>0</v>
      </c>
      <c r="J70" s="1063">
        <v>0</v>
      </c>
      <c r="K70" s="1063">
        <v>0</v>
      </c>
      <c r="L70" s="1063">
        <v>0</v>
      </c>
      <c r="M70" s="1063">
        <v>0</v>
      </c>
      <c r="N70" s="1063">
        <v>0</v>
      </c>
      <c r="O70" s="1063">
        <v>0</v>
      </c>
      <c r="P70" s="1063">
        <v>0</v>
      </c>
      <c r="Q70" s="1063">
        <v>0</v>
      </c>
      <c r="R70" s="1063">
        <v>0</v>
      </c>
      <c r="S70" s="1063">
        <v>0</v>
      </c>
      <c r="T70" s="1063">
        <v>0</v>
      </c>
      <c r="U70" s="1063">
        <v>0</v>
      </c>
      <c r="V70" s="1063"/>
      <c r="W70" s="1049"/>
      <c r="X70" s="1049"/>
      <c r="Y70" s="1049"/>
      <c r="Z70" s="1049"/>
      <c r="AA70" s="1066"/>
      <c r="AB70" s="1065"/>
      <c r="AC70" s="1049"/>
      <c r="AD70" s="1049"/>
      <c r="AE70" s="1049"/>
      <c r="AF70" s="1049"/>
      <c r="AG70" s="1049"/>
    </row>
    <row r="71" spans="1:80" s="418" customFormat="1" ht="15.6" x14ac:dyDescent="0.3">
      <c r="A71" s="1052">
        <v>171</v>
      </c>
      <c r="B71" s="1049"/>
      <c r="C71" s="1060" t="s">
        <v>1970</v>
      </c>
      <c r="D71" s="1061" t="s">
        <v>217</v>
      </c>
      <c r="E71" s="1062" t="s">
        <v>380</v>
      </c>
      <c r="F71" s="1063">
        <v>0</v>
      </c>
      <c r="G71" s="1063">
        <v>0</v>
      </c>
      <c r="H71" s="1063">
        <v>0</v>
      </c>
      <c r="I71" s="1063">
        <v>0</v>
      </c>
      <c r="J71" s="1063">
        <v>0</v>
      </c>
      <c r="K71" s="1063">
        <v>0</v>
      </c>
      <c r="L71" s="1063">
        <v>0</v>
      </c>
      <c r="M71" s="1063">
        <v>0</v>
      </c>
      <c r="N71" s="1063">
        <v>0</v>
      </c>
      <c r="O71" s="1063">
        <v>0</v>
      </c>
      <c r="P71" s="1063">
        <v>0</v>
      </c>
      <c r="Q71" s="1063">
        <v>0</v>
      </c>
      <c r="R71" s="1063">
        <v>0</v>
      </c>
      <c r="S71" s="1063">
        <v>0</v>
      </c>
      <c r="T71" s="1063">
        <v>0</v>
      </c>
      <c r="U71" s="1063">
        <v>0</v>
      </c>
      <c r="V71" s="1063"/>
      <c r="W71" s="1049"/>
      <c r="X71" s="1049"/>
      <c r="Y71" s="1049"/>
      <c r="Z71" s="1049"/>
      <c r="AA71" s="1066"/>
      <c r="AB71" s="1065"/>
      <c r="AC71" s="1049"/>
      <c r="AD71" s="1049"/>
      <c r="AE71" s="1049"/>
      <c r="AF71" s="1049"/>
      <c r="AG71" s="1049"/>
      <c r="AT71" s="418">
        <v>95440</v>
      </c>
      <c r="AU71" s="418">
        <v>313561</v>
      </c>
      <c r="AV71" s="418">
        <v>79398</v>
      </c>
      <c r="AW71" s="418">
        <v>0</v>
      </c>
      <c r="AX71" s="418">
        <v>3514</v>
      </c>
      <c r="AY71" s="418">
        <v>223692</v>
      </c>
      <c r="AZ71" s="418">
        <v>88346</v>
      </c>
      <c r="BA71" s="418">
        <v>167605</v>
      </c>
      <c r="BB71" s="418">
        <v>0</v>
      </c>
      <c r="BC71" s="418">
        <v>60429</v>
      </c>
      <c r="BD71" s="418">
        <v>0</v>
      </c>
      <c r="BE71" s="418">
        <v>0</v>
      </c>
      <c r="BF71" s="418">
        <v>1539320</v>
      </c>
      <c r="BG71" s="418">
        <v>0</v>
      </c>
      <c r="BH71" s="418">
        <v>0</v>
      </c>
      <c r="BI71" s="418">
        <v>23467</v>
      </c>
      <c r="BJ71" s="418">
        <v>61184</v>
      </c>
      <c r="BK71" s="418">
        <v>0</v>
      </c>
      <c r="BL71" s="418">
        <v>297196</v>
      </c>
      <c r="BM71" s="418">
        <v>0</v>
      </c>
      <c r="BN71" s="418">
        <v>0</v>
      </c>
      <c r="BO71" s="418">
        <v>220529</v>
      </c>
      <c r="BP71" s="418">
        <v>0</v>
      </c>
      <c r="BQ71" s="418">
        <v>12288</v>
      </c>
      <c r="BR71" s="418">
        <v>0</v>
      </c>
      <c r="BS71" s="418">
        <v>0</v>
      </c>
      <c r="BT71" s="418">
        <v>1268956</v>
      </c>
      <c r="BU71" s="418">
        <v>59295</v>
      </c>
      <c r="BV71" s="418">
        <v>76999</v>
      </c>
      <c r="BW71" s="418">
        <v>82104</v>
      </c>
      <c r="BX71" s="418">
        <v>0</v>
      </c>
      <c r="BY71" s="418">
        <v>0</v>
      </c>
      <c r="BZ71" s="418">
        <v>0</v>
      </c>
      <c r="CA71" s="418">
        <v>1536937</v>
      </c>
      <c r="CB71" s="418">
        <v>4956</v>
      </c>
    </row>
    <row r="72" spans="1:80" s="418" customFormat="1" ht="15.6" x14ac:dyDescent="0.3">
      <c r="A72" s="1052">
        <v>191</v>
      </c>
      <c r="B72" s="1049"/>
      <c r="C72" s="1060" t="s">
        <v>1971</v>
      </c>
      <c r="D72" s="1071" t="s">
        <v>233</v>
      </c>
      <c r="E72" s="1062" t="s">
        <v>381</v>
      </c>
      <c r="F72" s="1063">
        <v>0</v>
      </c>
      <c r="G72" s="1063">
        <v>0</v>
      </c>
      <c r="H72" s="1063">
        <v>0</v>
      </c>
      <c r="I72" s="1063">
        <v>0</v>
      </c>
      <c r="J72" s="1063">
        <v>0</v>
      </c>
      <c r="K72" s="1063">
        <v>0</v>
      </c>
      <c r="L72" s="1063">
        <v>0</v>
      </c>
      <c r="M72" s="1063">
        <v>0</v>
      </c>
      <c r="N72" s="1063">
        <v>0</v>
      </c>
      <c r="O72" s="1063">
        <v>0</v>
      </c>
      <c r="P72" s="1063">
        <v>0</v>
      </c>
      <c r="Q72" s="1063">
        <v>0</v>
      </c>
      <c r="R72" s="1063">
        <v>0</v>
      </c>
      <c r="S72" s="1063">
        <v>0</v>
      </c>
      <c r="T72" s="1063">
        <v>0</v>
      </c>
      <c r="U72" s="1063">
        <v>0</v>
      </c>
      <c r="V72" s="1063"/>
      <c r="W72" s="1049"/>
      <c r="X72" s="1049"/>
      <c r="Y72" s="1049"/>
      <c r="Z72" s="1049"/>
      <c r="AA72" s="1066"/>
      <c r="AB72" s="1049"/>
      <c r="AC72" s="1049"/>
      <c r="AD72" s="1049"/>
      <c r="AE72" s="1049"/>
      <c r="AF72" s="1049"/>
      <c r="AG72" s="1049"/>
      <c r="AT72" s="418">
        <v>0</v>
      </c>
      <c r="AU72" s="418">
        <v>0</v>
      </c>
      <c r="AV72" s="418">
        <v>0</v>
      </c>
      <c r="AW72" s="418">
        <v>0</v>
      </c>
      <c r="AX72" s="418">
        <v>0</v>
      </c>
      <c r="AY72" s="418">
        <v>0</v>
      </c>
      <c r="AZ72" s="418">
        <v>0</v>
      </c>
      <c r="BA72" s="418">
        <v>274278</v>
      </c>
      <c r="BB72" s="418">
        <v>75114</v>
      </c>
      <c r="BC72" s="418">
        <v>46795</v>
      </c>
      <c r="BD72" s="418">
        <v>0</v>
      </c>
      <c r="BE72" s="418">
        <v>0</v>
      </c>
      <c r="BF72" s="418">
        <v>0</v>
      </c>
      <c r="BG72" s="418">
        <v>0</v>
      </c>
      <c r="BH72" s="418">
        <v>0</v>
      </c>
      <c r="BI72" s="418">
        <v>207600</v>
      </c>
      <c r="BJ72" s="418">
        <v>0</v>
      </c>
      <c r="BK72" s="418">
        <v>0</v>
      </c>
      <c r="BL72" s="418">
        <v>10149</v>
      </c>
      <c r="BM72" s="418">
        <v>0</v>
      </c>
      <c r="BN72" s="418">
        <v>0</v>
      </c>
      <c r="BO72" s="418">
        <v>12317</v>
      </c>
      <c r="BP72" s="418">
        <v>165124</v>
      </c>
      <c r="BQ72" s="418">
        <v>0</v>
      </c>
      <c r="BR72" s="418">
        <v>0</v>
      </c>
      <c r="BS72" s="418">
        <v>0</v>
      </c>
      <c r="BT72" s="418">
        <v>0</v>
      </c>
      <c r="BU72" s="418">
        <v>71976</v>
      </c>
      <c r="BV72" s="418">
        <v>0</v>
      </c>
      <c r="BW72" s="418">
        <v>806402</v>
      </c>
      <c r="BX72" s="418">
        <v>13400</v>
      </c>
      <c r="BY72" s="418">
        <v>0</v>
      </c>
      <c r="BZ72" s="418">
        <v>0</v>
      </c>
      <c r="CA72" s="418">
        <v>5400880</v>
      </c>
      <c r="CB72" s="418">
        <v>0</v>
      </c>
    </row>
    <row r="73" spans="1:80" s="418" customFormat="1" ht="15.6" x14ac:dyDescent="0.3">
      <c r="A73" s="1052">
        <v>192</v>
      </c>
      <c r="B73" s="1049"/>
      <c r="C73" s="1060" t="s">
        <v>1972</v>
      </c>
      <c r="D73" s="1061" t="s">
        <v>244</v>
      </c>
      <c r="E73" s="1062" t="s">
        <v>382</v>
      </c>
      <c r="F73" s="1063">
        <v>0</v>
      </c>
      <c r="G73" s="1063">
        <v>0</v>
      </c>
      <c r="H73" s="1063">
        <v>0</v>
      </c>
      <c r="I73" s="1063">
        <v>0</v>
      </c>
      <c r="J73" s="1063">
        <v>0</v>
      </c>
      <c r="K73" s="1063">
        <v>0</v>
      </c>
      <c r="L73" s="1063">
        <v>0</v>
      </c>
      <c r="M73" s="1063">
        <v>0</v>
      </c>
      <c r="N73" s="1063">
        <v>0</v>
      </c>
      <c r="O73" s="1063">
        <v>0</v>
      </c>
      <c r="P73" s="1063">
        <v>0</v>
      </c>
      <c r="Q73" s="1063">
        <v>0</v>
      </c>
      <c r="R73" s="1063">
        <v>0</v>
      </c>
      <c r="S73" s="1063">
        <v>0</v>
      </c>
      <c r="T73" s="1063">
        <v>0</v>
      </c>
      <c r="U73" s="1063">
        <v>0</v>
      </c>
      <c r="V73" s="1063"/>
      <c r="W73" s="1049"/>
      <c r="X73" s="1049"/>
      <c r="Y73" s="1049"/>
      <c r="Z73" s="1049"/>
      <c r="AA73" s="1066"/>
      <c r="AB73" s="1065"/>
      <c r="AC73" s="1049"/>
      <c r="AD73" s="1049"/>
      <c r="AE73" s="1049"/>
      <c r="AF73" s="1049"/>
      <c r="AG73" s="1049"/>
      <c r="AT73" s="418">
        <v>0</v>
      </c>
      <c r="AU73" s="418">
        <v>0</v>
      </c>
      <c r="AV73" s="418">
        <v>0</v>
      </c>
      <c r="AW73" s="418">
        <v>0</v>
      </c>
      <c r="AX73" s="418">
        <v>0</v>
      </c>
      <c r="AY73" s="418">
        <v>0</v>
      </c>
      <c r="AZ73" s="418">
        <v>0</v>
      </c>
      <c r="BA73" s="418">
        <v>0</v>
      </c>
      <c r="BB73" s="418">
        <v>0</v>
      </c>
      <c r="BC73" s="418">
        <v>0</v>
      </c>
      <c r="BD73" s="418">
        <v>0</v>
      </c>
      <c r="BE73" s="418">
        <v>0</v>
      </c>
      <c r="BF73" s="418">
        <v>0</v>
      </c>
      <c r="BG73" s="418">
        <v>0</v>
      </c>
      <c r="BH73" s="418">
        <v>0</v>
      </c>
      <c r="BI73" s="418">
        <v>0</v>
      </c>
      <c r="BJ73" s="418">
        <v>0</v>
      </c>
      <c r="BK73" s="418">
        <v>0</v>
      </c>
      <c r="BL73" s="418">
        <v>20620</v>
      </c>
      <c r="BM73" s="418">
        <v>0</v>
      </c>
      <c r="BN73" s="418">
        <v>0</v>
      </c>
      <c r="BO73" s="418">
        <v>0</v>
      </c>
      <c r="BP73" s="418">
        <v>0</v>
      </c>
      <c r="BQ73" s="418">
        <v>0</v>
      </c>
      <c r="BR73" s="418">
        <v>0</v>
      </c>
      <c r="BS73" s="418">
        <v>0</v>
      </c>
      <c r="BT73" s="418">
        <v>0</v>
      </c>
      <c r="BU73" s="418">
        <v>0</v>
      </c>
      <c r="BV73" s="418">
        <v>0</v>
      </c>
      <c r="BW73" s="418">
        <v>0</v>
      </c>
      <c r="BX73" s="418">
        <v>0</v>
      </c>
      <c r="BY73" s="418">
        <v>0</v>
      </c>
      <c r="BZ73" s="418">
        <v>0</v>
      </c>
      <c r="CA73" s="418">
        <v>0</v>
      </c>
      <c r="CB73" s="418">
        <v>0</v>
      </c>
    </row>
    <row r="74" spans="1:80" s="418" customFormat="1" ht="27.6" x14ac:dyDescent="0.3">
      <c r="A74" s="1052">
        <v>193</v>
      </c>
      <c r="B74" s="1049"/>
      <c r="C74" s="1060" t="s">
        <v>1381</v>
      </c>
      <c r="D74" s="1061" t="s">
        <v>383</v>
      </c>
      <c r="E74" s="1062" t="s">
        <v>384</v>
      </c>
      <c r="F74" s="1063">
        <v>0</v>
      </c>
      <c r="G74" s="1063">
        <v>0</v>
      </c>
      <c r="H74" s="1063">
        <v>0</v>
      </c>
      <c r="I74" s="1063">
        <v>0</v>
      </c>
      <c r="J74" s="1063">
        <v>0</v>
      </c>
      <c r="K74" s="1063">
        <v>0</v>
      </c>
      <c r="L74" s="1063">
        <v>0</v>
      </c>
      <c r="M74" s="1063">
        <v>0</v>
      </c>
      <c r="N74" s="1063">
        <v>0</v>
      </c>
      <c r="O74" s="1063">
        <v>0</v>
      </c>
      <c r="P74" s="1063">
        <v>0</v>
      </c>
      <c r="Q74" s="1063">
        <v>0</v>
      </c>
      <c r="R74" s="1063">
        <v>0</v>
      </c>
      <c r="S74" s="1063">
        <v>0</v>
      </c>
      <c r="T74" s="1063">
        <v>0</v>
      </c>
      <c r="U74" s="1063">
        <v>0</v>
      </c>
      <c r="V74" s="1063"/>
      <c r="W74" s="1049"/>
      <c r="X74" s="1049"/>
      <c r="Y74" s="1049"/>
      <c r="Z74" s="1049"/>
      <c r="AA74" s="1066"/>
      <c r="AB74" s="1049"/>
      <c r="AC74" s="1049"/>
      <c r="AD74" s="1049"/>
      <c r="AE74" s="1049"/>
      <c r="AF74" s="1049"/>
      <c r="AG74" s="1049"/>
    </row>
    <row r="75" spans="1:80" s="418" customFormat="1" ht="26.4" x14ac:dyDescent="0.3">
      <c r="A75" s="1052">
        <v>194</v>
      </c>
      <c r="B75" s="1053">
        <v>194</v>
      </c>
      <c r="C75" s="1069" t="s">
        <v>1787</v>
      </c>
      <c r="D75" s="1068" t="s">
        <v>385</v>
      </c>
      <c r="E75" s="1062" t="s">
        <v>386</v>
      </c>
      <c r="F75" s="1063">
        <v>0</v>
      </c>
      <c r="G75" s="1063">
        <v>0</v>
      </c>
      <c r="H75" s="1063">
        <v>0</v>
      </c>
      <c r="I75" s="1063">
        <v>471703</v>
      </c>
      <c r="J75" s="1063">
        <v>0</v>
      </c>
      <c r="K75" s="1063">
        <v>0</v>
      </c>
      <c r="L75" s="1063">
        <v>0</v>
      </c>
      <c r="M75" s="1063">
        <v>0</v>
      </c>
      <c r="N75" s="1063">
        <v>0</v>
      </c>
      <c r="O75" s="1063">
        <v>227049</v>
      </c>
      <c r="P75" s="1063">
        <v>0</v>
      </c>
      <c r="Q75" s="1063">
        <v>0</v>
      </c>
      <c r="R75" s="1063">
        <v>0</v>
      </c>
      <c r="S75" s="1063">
        <v>1229385</v>
      </c>
      <c r="T75" s="1063">
        <v>0</v>
      </c>
      <c r="U75" s="1063">
        <v>2435611</v>
      </c>
      <c r="V75" s="1063"/>
      <c r="W75" s="1049"/>
      <c r="X75" s="1049"/>
      <c r="Y75" s="1064"/>
      <c r="Z75" s="1065"/>
      <c r="AA75" s="1066"/>
      <c r="AB75" s="1049"/>
      <c r="AC75" s="1049"/>
      <c r="AD75" s="1049"/>
      <c r="AE75" s="1049"/>
      <c r="AF75" s="1049"/>
      <c r="AG75" s="1049"/>
    </row>
    <row r="76" spans="1:80" s="418" customFormat="1" ht="26.4" x14ac:dyDescent="0.3">
      <c r="A76" s="1052">
        <v>231</v>
      </c>
      <c r="B76" s="1049"/>
      <c r="C76" s="1069" t="s">
        <v>1788</v>
      </c>
      <c r="D76" s="1068" t="s">
        <v>387</v>
      </c>
      <c r="E76" s="1062" t="s">
        <v>388</v>
      </c>
      <c r="F76" s="1063">
        <v>0</v>
      </c>
      <c r="G76" s="1063">
        <v>0</v>
      </c>
      <c r="H76" s="1063">
        <v>0</v>
      </c>
      <c r="I76" s="1063">
        <v>0</v>
      </c>
      <c r="J76" s="1063">
        <v>0</v>
      </c>
      <c r="K76" s="1063">
        <v>0</v>
      </c>
      <c r="L76" s="1063">
        <v>0</v>
      </c>
      <c r="M76" s="1063">
        <v>0</v>
      </c>
      <c r="N76" s="1063">
        <v>0</v>
      </c>
      <c r="O76" s="1063">
        <v>0</v>
      </c>
      <c r="P76" s="1063">
        <v>0</v>
      </c>
      <c r="Q76" s="1063">
        <v>0</v>
      </c>
      <c r="R76" s="1063">
        <v>0</v>
      </c>
      <c r="S76" s="1063">
        <v>0</v>
      </c>
      <c r="T76" s="1063">
        <v>0</v>
      </c>
      <c r="U76" s="1063">
        <v>0</v>
      </c>
      <c r="V76" s="1063"/>
      <c r="W76" s="1049"/>
      <c r="X76" s="1049"/>
      <c r="Y76" s="1049"/>
      <c r="Z76" s="1049"/>
      <c r="AA76" s="1066"/>
      <c r="AB76" s="1065"/>
      <c r="AC76" s="1049"/>
      <c r="AD76" s="1049"/>
      <c r="AE76" s="1049"/>
      <c r="AF76" s="1049"/>
      <c r="AG76" s="1049"/>
    </row>
    <row r="77" spans="1:80" s="418" customFormat="1" ht="26.4" x14ac:dyDescent="0.3">
      <c r="A77" s="1052">
        <v>251</v>
      </c>
      <c r="B77" s="1049"/>
      <c r="C77" s="1067">
        <v>251</v>
      </c>
      <c r="D77" s="1068" t="s">
        <v>389</v>
      </c>
      <c r="E77" s="1062" t="s">
        <v>390</v>
      </c>
      <c r="F77" s="1063">
        <v>0</v>
      </c>
      <c r="G77" s="1063">
        <v>0</v>
      </c>
      <c r="H77" s="1063">
        <v>0</v>
      </c>
      <c r="I77" s="1063">
        <v>0</v>
      </c>
      <c r="J77" s="1063">
        <v>0</v>
      </c>
      <c r="K77" s="1063">
        <v>0</v>
      </c>
      <c r="L77" s="1063">
        <v>0</v>
      </c>
      <c r="M77" s="1063">
        <v>0</v>
      </c>
      <c r="N77" s="1063">
        <v>0</v>
      </c>
      <c r="O77" s="1063">
        <v>0</v>
      </c>
      <c r="P77" s="1063">
        <v>0</v>
      </c>
      <c r="Q77" s="1063">
        <v>0</v>
      </c>
      <c r="R77" s="1063">
        <v>0</v>
      </c>
      <c r="S77" s="1063">
        <v>0</v>
      </c>
      <c r="T77" s="1063">
        <v>0</v>
      </c>
      <c r="U77" s="1063">
        <v>0</v>
      </c>
      <c r="V77" s="1063"/>
      <c r="W77" s="1049"/>
      <c r="X77" s="1049"/>
      <c r="Y77" s="1049"/>
      <c r="Z77" s="1049"/>
      <c r="AA77" s="1066"/>
      <c r="AB77" s="1065"/>
      <c r="AC77" s="1049"/>
      <c r="AD77" s="1049"/>
      <c r="AE77" s="1049"/>
      <c r="AF77" s="1049"/>
      <c r="AG77" s="1049"/>
    </row>
    <row r="78" spans="1:80" s="418" customFormat="1" ht="27.6" x14ac:dyDescent="0.3">
      <c r="A78" s="1052">
        <v>252</v>
      </c>
      <c r="B78" s="1049"/>
      <c r="C78" s="1060" t="s">
        <v>1973</v>
      </c>
      <c r="D78" s="1061" t="s">
        <v>103</v>
      </c>
      <c r="E78" s="1062" t="s">
        <v>391</v>
      </c>
      <c r="F78" s="1063">
        <v>0</v>
      </c>
      <c r="G78" s="1063">
        <v>0</v>
      </c>
      <c r="H78" s="1063">
        <v>0</v>
      </c>
      <c r="I78" s="1063">
        <v>0</v>
      </c>
      <c r="J78" s="1063">
        <v>0</v>
      </c>
      <c r="K78" s="1063">
        <v>0</v>
      </c>
      <c r="L78" s="1063">
        <v>0</v>
      </c>
      <c r="M78" s="1063">
        <v>0</v>
      </c>
      <c r="N78" s="1063">
        <v>0</v>
      </c>
      <c r="O78" s="1063">
        <v>0</v>
      </c>
      <c r="P78" s="1063">
        <v>0</v>
      </c>
      <c r="Q78" s="1063">
        <v>0</v>
      </c>
      <c r="R78" s="1063">
        <v>0</v>
      </c>
      <c r="S78" s="1063">
        <v>0</v>
      </c>
      <c r="T78" s="1063">
        <v>0</v>
      </c>
      <c r="U78" s="1063">
        <v>0</v>
      </c>
      <c r="V78" s="1063"/>
      <c r="W78" s="1049"/>
      <c r="X78" s="1049"/>
      <c r="Y78" s="1049"/>
      <c r="Z78" s="1049"/>
      <c r="AA78" s="1066"/>
      <c r="AB78" s="1065"/>
      <c r="AC78" s="1049"/>
      <c r="AD78" s="1049"/>
      <c r="AE78" s="1049"/>
      <c r="AF78" s="1049"/>
      <c r="AG78" s="1049"/>
      <c r="AT78" s="418">
        <v>1240527</v>
      </c>
      <c r="AU78" s="418">
        <v>3967172</v>
      </c>
      <c r="AV78" s="418">
        <v>18104701</v>
      </c>
      <c r="AW78" s="418">
        <v>848692</v>
      </c>
      <c r="AX78" s="418">
        <v>894270</v>
      </c>
      <c r="AY78" s="418">
        <v>12445622</v>
      </c>
      <c r="AZ78" s="418">
        <v>1960296</v>
      </c>
      <c r="BA78" s="418">
        <v>5688984</v>
      </c>
      <c r="BB78" s="418">
        <v>21936</v>
      </c>
      <c r="BC78" s="418">
        <v>1274516</v>
      </c>
      <c r="BD78" s="418">
        <v>0</v>
      </c>
      <c r="BE78" s="418">
        <v>18401</v>
      </c>
      <c r="BF78" s="418">
        <v>25936691</v>
      </c>
      <c r="BG78" s="418">
        <v>0</v>
      </c>
      <c r="BH78" s="418">
        <v>51249</v>
      </c>
      <c r="BI78" s="418">
        <v>2011472</v>
      </c>
      <c r="BJ78" s="418">
        <v>7591841</v>
      </c>
      <c r="BK78" s="418">
        <v>0</v>
      </c>
      <c r="BL78" s="418">
        <v>8774417</v>
      </c>
      <c r="BM78" s="418">
        <v>7330548</v>
      </c>
      <c r="BN78" s="418">
        <v>47440</v>
      </c>
      <c r="BO78" s="418">
        <v>7995695</v>
      </c>
      <c r="BP78" s="418">
        <v>4068031</v>
      </c>
      <c r="BQ78" s="418">
        <v>565322</v>
      </c>
      <c r="BR78" s="418">
        <v>1432425</v>
      </c>
      <c r="BS78" s="418">
        <v>8650791</v>
      </c>
      <c r="BT78" s="418">
        <v>251567133</v>
      </c>
      <c r="BU78" s="418">
        <v>1696284</v>
      </c>
      <c r="BV78" s="418">
        <v>2536762</v>
      </c>
      <c r="BW78" s="418">
        <v>884660</v>
      </c>
      <c r="BX78" s="418">
        <v>3420578</v>
      </c>
      <c r="BY78" s="418">
        <v>7793</v>
      </c>
      <c r="BZ78" s="418">
        <v>5739</v>
      </c>
      <c r="CA78" s="418">
        <v>48932506</v>
      </c>
      <c r="CB78" s="418">
        <v>198855</v>
      </c>
    </row>
    <row r="79" spans="1:80" s="418" customFormat="1" ht="15.6" x14ac:dyDescent="0.3">
      <c r="A79" s="1052">
        <v>253</v>
      </c>
      <c r="B79" s="1049"/>
      <c r="C79" s="1060" t="s">
        <v>1974</v>
      </c>
      <c r="D79" s="1061" t="s">
        <v>104</v>
      </c>
      <c r="E79" s="1062" t="s">
        <v>392</v>
      </c>
      <c r="F79" s="1063">
        <v>0</v>
      </c>
      <c r="G79" s="1063">
        <v>0</v>
      </c>
      <c r="H79" s="1063">
        <v>0</v>
      </c>
      <c r="I79" s="1063">
        <v>0</v>
      </c>
      <c r="J79" s="1063">
        <v>0</v>
      </c>
      <c r="K79" s="1063">
        <v>0</v>
      </c>
      <c r="L79" s="1063">
        <v>0</v>
      </c>
      <c r="M79" s="1063">
        <v>0</v>
      </c>
      <c r="N79" s="1063">
        <v>0</v>
      </c>
      <c r="O79" s="1063">
        <v>0</v>
      </c>
      <c r="P79" s="1063">
        <v>0</v>
      </c>
      <c r="Q79" s="1063">
        <v>0</v>
      </c>
      <c r="R79" s="1063">
        <v>0</v>
      </c>
      <c r="S79" s="1063">
        <v>0</v>
      </c>
      <c r="T79" s="1063">
        <v>0</v>
      </c>
      <c r="U79" s="1063">
        <v>0</v>
      </c>
      <c r="V79" s="1063"/>
      <c r="W79" s="1049"/>
      <c r="X79" s="1049"/>
      <c r="Y79" s="1049"/>
      <c r="Z79" s="1049"/>
      <c r="AA79" s="1066"/>
      <c r="AB79" s="1049"/>
      <c r="AC79" s="1049"/>
      <c r="AD79" s="1049"/>
      <c r="AE79" s="1049"/>
      <c r="AF79" s="1049"/>
      <c r="AG79" s="1049"/>
      <c r="AT79" s="418">
        <v>73003</v>
      </c>
      <c r="AU79" s="418">
        <v>926288</v>
      </c>
      <c r="AV79" s="418">
        <v>2127871</v>
      </c>
      <c r="AW79" s="418">
        <v>10826</v>
      </c>
      <c r="AX79" s="418">
        <v>225361</v>
      </c>
      <c r="AY79" s="418">
        <v>285386</v>
      </c>
      <c r="AZ79" s="418">
        <v>922408</v>
      </c>
      <c r="BA79" s="418">
        <v>1517207</v>
      </c>
      <c r="BB79" s="418">
        <v>49684</v>
      </c>
      <c r="BC79" s="418">
        <v>662337</v>
      </c>
      <c r="BD79" s="418">
        <v>0</v>
      </c>
      <c r="BE79" s="418">
        <v>15860</v>
      </c>
      <c r="BF79" s="418">
        <v>3213489</v>
      </c>
      <c r="BG79" s="418">
        <v>0</v>
      </c>
      <c r="BH79" s="418">
        <v>29512</v>
      </c>
      <c r="BI79" s="418">
        <v>445952</v>
      </c>
      <c r="BJ79" s="418">
        <v>453580</v>
      </c>
      <c r="BK79" s="418">
        <v>0</v>
      </c>
      <c r="BL79" s="418">
        <v>952637</v>
      </c>
      <c r="BM79" s="418">
        <v>432469</v>
      </c>
      <c r="BN79" s="418">
        <v>5800</v>
      </c>
      <c r="BO79" s="418">
        <v>1529703</v>
      </c>
      <c r="BP79" s="418">
        <v>343060</v>
      </c>
      <c r="BQ79" s="418">
        <v>226345</v>
      </c>
      <c r="BR79" s="418">
        <v>506246</v>
      </c>
      <c r="BS79" s="418">
        <v>79976</v>
      </c>
      <c r="BT79" s="418">
        <v>7149641</v>
      </c>
      <c r="BU79" s="418">
        <v>333682</v>
      </c>
      <c r="BV79" s="418">
        <v>456897</v>
      </c>
      <c r="BW79" s="418">
        <v>142338</v>
      </c>
      <c r="BX79" s="418">
        <v>553493</v>
      </c>
      <c r="BY79" s="418">
        <v>21475</v>
      </c>
      <c r="BZ79" s="418">
        <v>23979</v>
      </c>
      <c r="CA79" s="418">
        <v>2535935</v>
      </c>
      <c r="CB79" s="418">
        <v>8569</v>
      </c>
    </row>
    <row r="80" spans="1:80" s="418" customFormat="1" ht="15.6" x14ac:dyDescent="0.3">
      <c r="A80" s="1052">
        <v>254</v>
      </c>
      <c r="B80" s="1049"/>
      <c r="C80" s="1060" t="s">
        <v>1975</v>
      </c>
      <c r="D80" s="1061" t="s">
        <v>105</v>
      </c>
      <c r="E80" s="1062" t="s">
        <v>393</v>
      </c>
      <c r="F80" s="1063">
        <v>0</v>
      </c>
      <c r="G80" s="1063">
        <v>0</v>
      </c>
      <c r="H80" s="1063">
        <v>0</v>
      </c>
      <c r="I80" s="1063">
        <v>0</v>
      </c>
      <c r="J80" s="1063">
        <v>0</v>
      </c>
      <c r="K80" s="1063">
        <v>0</v>
      </c>
      <c r="L80" s="1063">
        <v>0</v>
      </c>
      <c r="M80" s="1063">
        <v>0</v>
      </c>
      <c r="N80" s="1063">
        <v>0</v>
      </c>
      <c r="O80" s="1063">
        <v>0</v>
      </c>
      <c r="P80" s="1063">
        <v>0</v>
      </c>
      <c r="Q80" s="1063">
        <v>0</v>
      </c>
      <c r="R80" s="1063">
        <v>0</v>
      </c>
      <c r="S80" s="1063">
        <v>0</v>
      </c>
      <c r="T80" s="1063">
        <v>0</v>
      </c>
      <c r="U80" s="1063">
        <v>0</v>
      </c>
      <c r="V80" s="1063"/>
      <c r="W80" s="1049"/>
      <c r="X80" s="1049"/>
      <c r="Y80" s="1049"/>
      <c r="Z80" s="1049"/>
      <c r="AA80" s="1066"/>
      <c r="AB80" s="1049"/>
      <c r="AC80" s="1049"/>
      <c r="AD80" s="1049"/>
      <c r="AE80" s="1049"/>
      <c r="AF80" s="1049"/>
      <c r="AG80" s="1049"/>
      <c r="AT80" s="418">
        <v>157669</v>
      </c>
      <c r="AU80" s="418">
        <v>168393</v>
      </c>
      <c r="AV80" s="418">
        <v>-6051578</v>
      </c>
      <c r="AW80" s="418">
        <v>146800</v>
      </c>
      <c r="AX80" s="418">
        <v>310480</v>
      </c>
      <c r="AY80" s="418">
        <v>935109</v>
      </c>
      <c r="AZ80" s="418">
        <v>1374318</v>
      </c>
      <c r="BA80" s="418">
        <v>-556067</v>
      </c>
      <c r="BB80" s="418">
        <v>76569</v>
      </c>
      <c r="BC80" s="418">
        <v>673131</v>
      </c>
      <c r="BD80" s="418">
        <v>0</v>
      </c>
      <c r="BE80" s="418">
        <v>384872</v>
      </c>
      <c r="BF80" s="418">
        <v>-30208987</v>
      </c>
      <c r="BG80" s="418">
        <v>0</v>
      </c>
      <c r="BH80" s="418">
        <v>153727</v>
      </c>
      <c r="BI80" s="418">
        <v>-992453</v>
      </c>
      <c r="BJ80" s="418">
        <v>2494348</v>
      </c>
      <c r="BK80" s="418">
        <v>0</v>
      </c>
      <c r="BL80" s="418">
        <v>1783466</v>
      </c>
      <c r="BM80" s="418">
        <v>3652165</v>
      </c>
      <c r="BN80" s="418">
        <v>136189</v>
      </c>
      <c r="BO80" s="418">
        <v>1880575</v>
      </c>
      <c r="BP80" s="418">
        <v>3131400</v>
      </c>
      <c r="BQ80" s="418">
        <v>1361244</v>
      </c>
      <c r="BR80" s="418">
        <v>2141629</v>
      </c>
      <c r="BS80" s="418">
        <v>3002283</v>
      </c>
      <c r="BT80" s="418">
        <v>2926238</v>
      </c>
      <c r="BU80" s="418">
        <v>2327954</v>
      </c>
      <c r="BV80" s="418">
        <v>-1998234</v>
      </c>
      <c r="BW80" s="418">
        <v>549799</v>
      </c>
      <c r="BX80" s="418">
        <v>751260</v>
      </c>
      <c r="BY80" s="418">
        <v>165573</v>
      </c>
      <c r="BZ80" s="418">
        <v>193444</v>
      </c>
      <c r="CA80" s="418">
        <v>6215856</v>
      </c>
      <c r="CB80" s="418">
        <v>106377</v>
      </c>
    </row>
    <row r="81" spans="1:80" s="418" customFormat="1" ht="15.6" x14ac:dyDescent="0.3">
      <c r="A81" s="1052">
        <v>255</v>
      </c>
      <c r="B81" s="1049"/>
      <c r="C81" s="1060" t="s">
        <v>1976</v>
      </c>
      <c r="D81" s="1061" t="s">
        <v>197</v>
      </c>
      <c r="E81" s="1062" t="s">
        <v>394</v>
      </c>
      <c r="F81" s="1063">
        <v>0</v>
      </c>
      <c r="G81" s="1063">
        <v>0</v>
      </c>
      <c r="H81" s="1063">
        <v>0</v>
      </c>
      <c r="I81" s="1063">
        <v>0</v>
      </c>
      <c r="J81" s="1063">
        <v>0</v>
      </c>
      <c r="K81" s="1063">
        <v>0</v>
      </c>
      <c r="L81" s="1063">
        <v>0</v>
      </c>
      <c r="M81" s="1063">
        <v>0</v>
      </c>
      <c r="N81" s="1063">
        <v>0</v>
      </c>
      <c r="O81" s="1063">
        <v>0</v>
      </c>
      <c r="P81" s="1063">
        <v>0</v>
      </c>
      <c r="Q81" s="1063">
        <v>0</v>
      </c>
      <c r="R81" s="1063">
        <v>0</v>
      </c>
      <c r="S81" s="1063">
        <v>0</v>
      </c>
      <c r="T81" s="1063">
        <v>0</v>
      </c>
      <c r="U81" s="1063">
        <v>0</v>
      </c>
      <c r="V81" s="1063"/>
      <c r="W81" s="1049"/>
      <c r="X81" s="1049"/>
      <c r="Y81" s="1049"/>
      <c r="Z81" s="1049"/>
      <c r="AA81" s="1066"/>
      <c r="AB81" s="1065"/>
      <c r="AT81" s="418">
        <v>141939</v>
      </c>
      <c r="AU81" s="418">
        <v>-117987</v>
      </c>
      <c r="AV81" s="418">
        <v>1461836</v>
      </c>
      <c r="AW81" s="418">
        <v>36686</v>
      </c>
      <c r="AX81" s="418">
        <v>29678</v>
      </c>
      <c r="AY81" s="418">
        <v>2667087</v>
      </c>
      <c r="AZ81" s="418">
        <v>85172</v>
      </c>
      <c r="BA81" s="418">
        <v>63460</v>
      </c>
      <c r="BB81" s="418">
        <v>22321</v>
      </c>
      <c r="BC81" s="418">
        <v>40420</v>
      </c>
      <c r="BD81" s="418">
        <v>0</v>
      </c>
      <c r="BE81" s="418">
        <v>14439</v>
      </c>
      <c r="BF81" s="418">
        <v>-1010183</v>
      </c>
      <c r="BG81" s="418">
        <v>0</v>
      </c>
      <c r="BH81" s="418">
        <v>16715</v>
      </c>
      <c r="BI81" s="418">
        <v>-376516</v>
      </c>
      <c r="BJ81" s="418">
        <v>471463</v>
      </c>
      <c r="BK81" s="418">
        <v>0</v>
      </c>
      <c r="BL81" s="418">
        <v>87778</v>
      </c>
      <c r="BM81" s="418">
        <v>-133539</v>
      </c>
      <c r="BN81" s="418">
        <v>6387</v>
      </c>
      <c r="BO81" s="418">
        <v>-876725</v>
      </c>
      <c r="BP81" s="418">
        <v>258453</v>
      </c>
      <c r="BQ81" s="418">
        <v>-70937</v>
      </c>
      <c r="BR81" s="418">
        <v>1403235</v>
      </c>
      <c r="BS81" s="418">
        <v>5228882</v>
      </c>
      <c r="BT81" s="418">
        <v>-292047</v>
      </c>
      <c r="BU81" s="418">
        <v>-5973</v>
      </c>
      <c r="BV81" s="418">
        <v>211489</v>
      </c>
      <c r="BW81" s="418">
        <v>-25043</v>
      </c>
      <c r="BX81" s="418">
        <v>406106</v>
      </c>
      <c r="BY81" s="418">
        <v>8253</v>
      </c>
      <c r="BZ81" s="418">
        <v>6444</v>
      </c>
      <c r="CA81" s="418">
        <v>3971837</v>
      </c>
      <c r="CB81" s="418">
        <v>12487</v>
      </c>
    </row>
    <row r="82" spans="1:80" s="418" customFormat="1" ht="15.6" x14ac:dyDescent="0.3">
      <c r="A82" s="1052">
        <v>274</v>
      </c>
      <c r="B82" s="1049"/>
      <c r="C82" s="1060" t="s">
        <v>1789</v>
      </c>
      <c r="D82" s="1061" t="s">
        <v>395</v>
      </c>
      <c r="E82" s="1062" t="s">
        <v>396</v>
      </c>
      <c r="F82" s="1063">
        <v>0</v>
      </c>
      <c r="G82" s="1063">
        <v>0</v>
      </c>
      <c r="H82" s="1063">
        <v>0</v>
      </c>
      <c r="I82" s="1063">
        <v>0</v>
      </c>
      <c r="J82" s="1063">
        <v>0</v>
      </c>
      <c r="K82" s="1063">
        <v>0</v>
      </c>
      <c r="L82" s="1063">
        <v>0</v>
      </c>
      <c r="M82" s="1063">
        <v>0</v>
      </c>
      <c r="N82" s="1063">
        <v>0</v>
      </c>
      <c r="O82" s="1063">
        <v>0</v>
      </c>
      <c r="P82" s="1063">
        <v>0</v>
      </c>
      <c r="Q82" s="1063">
        <v>0</v>
      </c>
      <c r="R82" s="1063">
        <v>0</v>
      </c>
      <c r="S82" s="1063">
        <v>0</v>
      </c>
      <c r="T82" s="1063">
        <v>0</v>
      </c>
      <c r="U82" s="1063">
        <v>0</v>
      </c>
      <c r="V82" s="1063"/>
      <c r="W82" s="1049"/>
      <c r="X82" s="1049"/>
      <c r="Y82" s="1049"/>
      <c r="Z82" s="1049"/>
      <c r="AA82" s="1066"/>
      <c r="AB82" s="1065"/>
    </row>
    <row r="83" spans="1:80" s="418" customFormat="1" ht="15.6" x14ac:dyDescent="0.3">
      <c r="A83" s="1052">
        <v>294</v>
      </c>
      <c r="B83" s="1053">
        <v>294</v>
      </c>
      <c r="C83" s="1060" t="s">
        <v>1790</v>
      </c>
      <c r="D83" s="1068" t="s">
        <v>1725</v>
      </c>
      <c r="E83" s="1062" t="s">
        <v>397</v>
      </c>
      <c r="F83" s="1063">
        <v>-509166</v>
      </c>
      <c r="G83" s="1063">
        <v>45487764</v>
      </c>
      <c r="H83" s="1063">
        <v>22151466</v>
      </c>
      <c r="I83" s="1063">
        <v>14248712</v>
      </c>
      <c r="J83" s="1063">
        <v>0</v>
      </c>
      <c r="K83" s="1063">
        <v>0</v>
      </c>
      <c r="L83" s="1063">
        <v>0</v>
      </c>
      <c r="M83" s="1063">
        <v>0</v>
      </c>
      <c r="N83" s="1063">
        <v>6150782</v>
      </c>
      <c r="O83" s="1063">
        <v>-1261008</v>
      </c>
      <c r="P83" s="1063">
        <v>-1322033</v>
      </c>
      <c r="Q83" s="1063">
        <v>0</v>
      </c>
      <c r="R83" s="1063">
        <v>4800310</v>
      </c>
      <c r="S83" s="1063">
        <v>6880864</v>
      </c>
      <c r="T83" s="1063">
        <v>1196385</v>
      </c>
      <c r="U83" s="1063">
        <v>4807542</v>
      </c>
      <c r="V83" s="1063"/>
      <c r="W83" s="1049"/>
      <c r="X83" s="1049"/>
      <c r="Y83" s="1064"/>
      <c r="Z83" s="1065"/>
      <c r="AA83" s="1066"/>
      <c r="AB83" s="1065"/>
    </row>
    <row r="84" spans="1:80" s="418" customFormat="1" ht="39.6" x14ac:dyDescent="0.3">
      <c r="A84" s="1052">
        <v>314</v>
      </c>
      <c r="B84" s="1049"/>
      <c r="C84" s="1067">
        <v>314</v>
      </c>
      <c r="D84" s="1068" t="s">
        <v>398</v>
      </c>
      <c r="E84" s="1062" t="s">
        <v>399</v>
      </c>
      <c r="F84" s="1063">
        <v>0</v>
      </c>
      <c r="G84" s="1063">
        <v>0</v>
      </c>
      <c r="H84" s="1063">
        <v>0</v>
      </c>
      <c r="I84" s="1063">
        <v>0</v>
      </c>
      <c r="J84" s="1063">
        <v>0</v>
      </c>
      <c r="K84" s="1063">
        <v>0</v>
      </c>
      <c r="L84" s="1063">
        <v>0</v>
      </c>
      <c r="M84" s="1063">
        <v>0</v>
      </c>
      <c r="N84" s="1063">
        <v>0</v>
      </c>
      <c r="O84" s="1063">
        <v>0</v>
      </c>
      <c r="P84" s="1063">
        <v>0</v>
      </c>
      <c r="Q84" s="1063">
        <v>0</v>
      </c>
      <c r="R84" s="1063">
        <v>0</v>
      </c>
      <c r="S84" s="1063">
        <v>0</v>
      </c>
      <c r="T84" s="1063">
        <v>0</v>
      </c>
      <c r="U84" s="1063">
        <v>0</v>
      </c>
      <c r="V84" s="1063"/>
      <c r="W84" s="1049"/>
      <c r="X84" s="1049"/>
      <c r="Y84" s="1049"/>
      <c r="Z84" s="1049"/>
      <c r="AA84" s="1066"/>
      <c r="AB84" s="1065"/>
    </row>
    <row r="85" spans="1:80" s="418" customFormat="1" ht="26.4" x14ac:dyDescent="0.3">
      <c r="A85" s="1052">
        <v>315</v>
      </c>
      <c r="B85" s="1049"/>
      <c r="C85" s="1067">
        <v>315</v>
      </c>
      <c r="D85" s="1068" t="s">
        <v>400</v>
      </c>
      <c r="E85" s="1062" t="s">
        <v>401</v>
      </c>
      <c r="F85" s="1063">
        <v>0</v>
      </c>
      <c r="G85" s="1063">
        <v>0</v>
      </c>
      <c r="H85" s="1063">
        <v>0</v>
      </c>
      <c r="I85" s="1063">
        <v>0</v>
      </c>
      <c r="J85" s="1063">
        <v>0</v>
      </c>
      <c r="K85" s="1063">
        <v>0</v>
      </c>
      <c r="L85" s="1063">
        <v>0</v>
      </c>
      <c r="M85" s="1063">
        <v>0</v>
      </c>
      <c r="N85" s="1063">
        <v>0</v>
      </c>
      <c r="O85" s="1063">
        <v>0</v>
      </c>
      <c r="P85" s="1063">
        <v>0</v>
      </c>
      <c r="Q85" s="1063">
        <v>0</v>
      </c>
      <c r="R85" s="1063">
        <v>0</v>
      </c>
      <c r="S85" s="1063">
        <v>0</v>
      </c>
      <c r="T85" s="1063">
        <v>0</v>
      </c>
      <c r="U85" s="1063">
        <v>0</v>
      </c>
      <c r="V85" s="1063"/>
      <c r="W85" s="1049"/>
      <c r="X85" s="1049"/>
      <c r="Y85" s="1049"/>
      <c r="Z85" s="1049"/>
      <c r="AA85" s="1066"/>
      <c r="AB85" s="1065"/>
    </row>
    <row r="86" spans="1:80" s="418" customFormat="1" ht="26.4" x14ac:dyDescent="0.3">
      <c r="A86" s="1052">
        <v>316</v>
      </c>
      <c r="B86" s="1049"/>
      <c r="C86" s="1067">
        <v>316</v>
      </c>
      <c r="D86" s="1068" t="s">
        <v>402</v>
      </c>
      <c r="E86" s="1062" t="s">
        <v>403</v>
      </c>
      <c r="F86" s="1063">
        <v>0</v>
      </c>
      <c r="G86" s="1063">
        <v>0</v>
      </c>
      <c r="H86" s="1063">
        <v>0</v>
      </c>
      <c r="I86" s="1063">
        <v>0</v>
      </c>
      <c r="J86" s="1063">
        <v>0</v>
      </c>
      <c r="K86" s="1063">
        <v>0</v>
      </c>
      <c r="L86" s="1063">
        <v>0</v>
      </c>
      <c r="M86" s="1063">
        <v>0</v>
      </c>
      <c r="N86" s="1063">
        <v>0</v>
      </c>
      <c r="O86" s="1063">
        <v>0</v>
      </c>
      <c r="P86" s="1063">
        <v>0</v>
      </c>
      <c r="Q86" s="1063">
        <v>0</v>
      </c>
      <c r="R86" s="1063">
        <v>0</v>
      </c>
      <c r="S86" s="1063">
        <v>0</v>
      </c>
      <c r="T86" s="1063">
        <v>0</v>
      </c>
      <c r="U86" s="1063">
        <v>0</v>
      </c>
      <c r="V86" s="1063"/>
      <c r="W86" s="1049"/>
      <c r="X86" s="1049"/>
      <c r="Y86" s="1049"/>
      <c r="Z86" s="1049"/>
      <c r="AA86" s="1066"/>
      <c r="AB86" s="1065"/>
    </row>
    <row r="87" spans="1:80" s="418" customFormat="1" ht="15.6" x14ac:dyDescent="0.3">
      <c r="A87" s="1052">
        <v>320</v>
      </c>
      <c r="B87" s="1049"/>
      <c r="C87" s="1060" t="s">
        <v>1977</v>
      </c>
      <c r="D87" s="1061" t="s">
        <v>258</v>
      </c>
      <c r="E87" s="1062" t="s">
        <v>404</v>
      </c>
      <c r="F87" s="1063">
        <v>0</v>
      </c>
      <c r="G87" s="1063">
        <v>0</v>
      </c>
      <c r="H87" s="1063">
        <v>0</v>
      </c>
      <c r="I87" s="1063">
        <v>0</v>
      </c>
      <c r="J87" s="1063">
        <v>0</v>
      </c>
      <c r="K87" s="1063">
        <v>0</v>
      </c>
      <c r="L87" s="1063">
        <v>0</v>
      </c>
      <c r="M87" s="1063">
        <v>0</v>
      </c>
      <c r="N87" s="1063">
        <v>0</v>
      </c>
      <c r="O87" s="1063">
        <v>0</v>
      </c>
      <c r="P87" s="1063">
        <v>0</v>
      </c>
      <c r="Q87" s="1063">
        <v>0</v>
      </c>
      <c r="R87" s="1063">
        <v>0</v>
      </c>
      <c r="S87" s="1063">
        <v>0</v>
      </c>
      <c r="T87" s="1063">
        <v>0</v>
      </c>
      <c r="U87" s="1063">
        <v>0</v>
      </c>
      <c r="V87" s="1063"/>
      <c r="W87" s="1049"/>
      <c r="X87" s="1049"/>
      <c r="Y87" s="1049"/>
      <c r="Z87" s="1049"/>
      <c r="AA87" s="1066"/>
      <c r="AB87" s="1065"/>
    </row>
    <row r="88" spans="1:80" s="418" customFormat="1" ht="15.6" x14ac:dyDescent="0.3">
      <c r="A88" s="1052">
        <v>321</v>
      </c>
      <c r="B88" s="1049"/>
      <c r="C88" s="1060" t="s">
        <v>1978</v>
      </c>
      <c r="D88" s="1061" t="s">
        <v>1791</v>
      </c>
      <c r="E88" s="1062" t="s">
        <v>405</v>
      </c>
      <c r="F88" s="1063">
        <v>0</v>
      </c>
      <c r="G88" s="1063">
        <v>0</v>
      </c>
      <c r="H88" s="1063">
        <v>0</v>
      </c>
      <c r="I88" s="1063">
        <v>0</v>
      </c>
      <c r="J88" s="1063">
        <v>0</v>
      </c>
      <c r="K88" s="1063">
        <v>0</v>
      </c>
      <c r="L88" s="1063">
        <v>0</v>
      </c>
      <c r="M88" s="1063">
        <v>0</v>
      </c>
      <c r="N88" s="1063">
        <v>0</v>
      </c>
      <c r="O88" s="1063">
        <v>0</v>
      </c>
      <c r="P88" s="1063">
        <v>0</v>
      </c>
      <c r="Q88" s="1063">
        <v>0</v>
      </c>
      <c r="R88" s="1063">
        <v>0</v>
      </c>
      <c r="S88" s="1063">
        <v>0</v>
      </c>
      <c r="T88" s="1063">
        <v>0</v>
      </c>
      <c r="U88" s="1063">
        <v>0</v>
      </c>
      <c r="V88" s="1063"/>
      <c r="W88" s="1049"/>
      <c r="X88" s="1049"/>
      <c r="Y88" s="1049"/>
      <c r="Z88" s="1049"/>
      <c r="AA88" s="1066"/>
      <c r="AB88" s="1065"/>
    </row>
    <row r="89" spans="1:80" s="418" customFormat="1" ht="15.6" x14ac:dyDescent="0.3">
      <c r="A89" s="1052">
        <v>322</v>
      </c>
      <c r="B89" s="1049"/>
      <c r="C89" s="1060" t="s">
        <v>1979</v>
      </c>
      <c r="D89" s="1061" t="s">
        <v>260</v>
      </c>
      <c r="E89" s="1062" t="s">
        <v>406</v>
      </c>
      <c r="F89" s="1063">
        <v>0</v>
      </c>
      <c r="G89" s="1063">
        <v>0</v>
      </c>
      <c r="H89" s="1063">
        <v>0</v>
      </c>
      <c r="I89" s="1063">
        <v>0</v>
      </c>
      <c r="J89" s="1063">
        <v>0</v>
      </c>
      <c r="K89" s="1063">
        <v>0</v>
      </c>
      <c r="L89" s="1063">
        <v>0</v>
      </c>
      <c r="M89" s="1063">
        <v>0</v>
      </c>
      <c r="N89" s="1063">
        <v>0</v>
      </c>
      <c r="O89" s="1063">
        <v>0</v>
      </c>
      <c r="P89" s="1063">
        <v>0</v>
      </c>
      <c r="Q89" s="1063">
        <v>0</v>
      </c>
      <c r="R89" s="1063">
        <v>0</v>
      </c>
      <c r="S89" s="1063">
        <v>0</v>
      </c>
      <c r="T89" s="1063">
        <v>0</v>
      </c>
      <c r="U89" s="1063">
        <v>0</v>
      </c>
      <c r="V89" s="1063"/>
      <c r="W89" s="1049"/>
      <c r="X89" s="1049"/>
      <c r="Y89" s="1049"/>
      <c r="Z89" s="1049"/>
      <c r="AA89" s="1066"/>
      <c r="AB89" s="1065"/>
    </row>
    <row r="90" spans="1:80" s="418" customFormat="1" ht="15.6" x14ac:dyDescent="0.3">
      <c r="A90" s="1052">
        <v>323</v>
      </c>
      <c r="B90" s="1049"/>
      <c r="C90" s="1060" t="s">
        <v>1980</v>
      </c>
      <c r="D90" s="1061" t="s">
        <v>259</v>
      </c>
      <c r="E90" s="1062" t="s">
        <v>407</v>
      </c>
      <c r="F90" s="1063">
        <v>0</v>
      </c>
      <c r="G90" s="1063">
        <v>0</v>
      </c>
      <c r="H90" s="1063">
        <v>0</v>
      </c>
      <c r="I90" s="1063">
        <v>0</v>
      </c>
      <c r="J90" s="1063">
        <v>0</v>
      </c>
      <c r="K90" s="1063">
        <v>0</v>
      </c>
      <c r="L90" s="1063">
        <v>0</v>
      </c>
      <c r="M90" s="1063">
        <v>0</v>
      </c>
      <c r="N90" s="1063">
        <v>0</v>
      </c>
      <c r="O90" s="1063">
        <v>0</v>
      </c>
      <c r="P90" s="1063">
        <v>0</v>
      </c>
      <c r="Q90" s="1063">
        <v>0</v>
      </c>
      <c r="R90" s="1063">
        <v>0</v>
      </c>
      <c r="S90" s="1063">
        <v>0</v>
      </c>
      <c r="T90" s="1063">
        <v>0</v>
      </c>
      <c r="U90" s="1063">
        <v>0</v>
      </c>
      <c r="V90" s="1063"/>
      <c r="W90" s="1049"/>
      <c r="X90" s="1049"/>
      <c r="Y90" s="1049"/>
      <c r="Z90" s="1049"/>
      <c r="AA90" s="1066"/>
      <c r="AB90" s="1065"/>
    </row>
    <row r="91" spans="1:80" s="418" customFormat="1" ht="15.6" x14ac:dyDescent="0.3">
      <c r="A91" s="1052">
        <v>324</v>
      </c>
      <c r="B91" s="1049"/>
      <c r="C91" s="1060" t="s">
        <v>1981</v>
      </c>
      <c r="D91" s="1061" t="s">
        <v>257</v>
      </c>
      <c r="E91" s="1062" t="s">
        <v>408</v>
      </c>
      <c r="F91" s="1063">
        <v>0</v>
      </c>
      <c r="G91" s="1063">
        <v>0</v>
      </c>
      <c r="H91" s="1063">
        <v>0</v>
      </c>
      <c r="I91" s="1063">
        <v>0</v>
      </c>
      <c r="J91" s="1063">
        <v>0</v>
      </c>
      <c r="K91" s="1063">
        <v>0</v>
      </c>
      <c r="L91" s="1063">
        <v>0</v>
      </c>
      <c r="M91" s="1063">
        <v>0</v>
      </c>
      <c r="N91" s="1063">
        <v>0</v>
      </c>
      <c r="O91" s="1063">
        <v>0</v>
      </c>
      <c r="P91" s="1063">
        <v>0</v>
      </c>
      <c r="Q91" s="1063">
        <v>0</v>
      </c>
      <c r="R91" s="1063">
        <v>0</v>
      </c>
      <c r="S91" s="1063">
        <v>0</v>
      </c>
      <c r="T91" s="1063">
        <v>0</v>
      </c>
      <c r="U91" s="1063">
        <v>0</v>
      </c>
      <c r="V91" s="1063"/>
      <c r="W91" s="1049"/>
      <c r="X91" s="1049"/>
      <c r="Y91" s="1049"/>
      <c r="Z91" s="1049"/>
      <c r="AA91" s="1066"/>
      <c r="AB91" s="1065"/>
    </row>
    <row r="92" spans="1:80" s="418" customFormat="1" ht="15.6" x14ac:dyDescent="0.3">
      <c r="A92" s="1052">
        <v>325</v>
      </c>
      <c r="B92" s="1049"/>
      <c r="C92" s="1060" t="s">
        <v>1982</v>
      </c>
      <c r="D92" s="1061" t="s">
        <v>261</v>
      </c>
      <c r="E92" s="1062" t="s">
        <v>409</v>
      </c>
      <c r="F92" s="1063">
        <v>0</v>
      </c>
      <c r="G92" s="1063">
        <v>0</v>
      </c>
      <c r="H92" s="1063">
        <v>0</v>
      </c>
      <c r="I92" s="1063">
        <v>0</v>
      </c>
      <c r="J92" s="1063">
        <v>0</v>
      </c>
      <c r="K92" s="1063">
        <v>0</v>
      </c>
      <c r="L92" s="1063">
        <v>0</v>
      </c>
      <c r="M92" s="1063">
        <v>0</v>
      </c>
      <c r="N92" s="1063">
        <v>0</v>
      </c>
      <c r="O92" s="1063">
        <v>0</v>
      </c>
      <c r="P92" s="1063">
        <v>0</v>
      </c>
      <c r="Q92" s="1063">
        <v>0</v>
      </c>
      <c r="R92" s="1063">
        <v>0</v>
      </c>
      <c r="S92" s="1063">
        <v>0</v>
      </c>
      <c r="T92" s="1063">
        <v>0</v>
      </c>
      <c r="U92" s="1063">
        <v>0</v>
      </c>
      <c r="V92" s="1063"/>
      <c r="W92" s="1049"/>
      <c r="X92" s="1049"/>
      <c r="Y92" s="1049"/>
      <c r="Z92" s="1049"/>
      <c r="AA92" s="1066"/>
      <c r="AB92" s="1065"/>
    </row>
    <row r="93" spans="1:80" s="418" customFormat="1" ht="15" x14ac:dyDescent="0.3">
      <c r="A93" s="1052">
        <v>326</v>
      </c>
      <c r="B93" s="1049"/>
      <c r="C93" s="1069" t="s">
        <v>1792</v>
      </c>
      <c r="D93" s="1068" t="s">
        <v>1793</v>
      </c>
      <c r="E93" s="1062" t="s">
        <v>410</v>
      </c>
      <c r="F93" s="1063">
        <v>0</v>
      </c>
      <c r="G93" s="1063">
        <v>0</v>
      </c>
      <c r="H93" s="1063">
        <v>0</v>
      </c>
      <c r="I93" s="1063">
        <v>0</v>
      </c>
      <c r="J93" s="1063">
        <v>0</v>
      </c>
      <c r="K93" s="1063">
        <v>0</v>
      </c>
      <c r="L93" s="1063">
        <v>0</v>
      </c>
      <c r="M93" s="1063">
        <v>0</v>
      </c>
      <c r="N93" s="1063">
        <v>0</v>
      </c>
      <c r="O93" s="1063">
        <v>0</v>
      </c>
      <c r="P93" s="1063">
        <v>0</v>
      </c>
      <c r="Q93" s="1063">
        <v>0</v>
      </c>
      <c r="R93" s="1063">
        <v>0</v>
      </c>
      <c r="S93" s="1063">
        <v>0</v>
      </c>
      <c r="T93" s="1063">
        <v>0</v>
      </c>
      <c r="U93" s="1063">
        <v>0</v>
      </c>
      <c r="V93" s="1063"/>
      <c r="W93" s="1049"/>
      <c r="X93" s="1049"/>
      <c r="Y93" s="1049"/>
      <c r="Z93" s="1049"/>
      <c r="AA93" s="1066"/>
      <c r="AB93" s="1065"/>
    </row>
    <row r="94" spans="1:80" s="418" customFormat="1" ht="27.6" x14ac:dyDescent="0.3">
      <c r="A94" s="1052">
        <v>327</v>
      </c>
      <c r="B94" s="1049"/>
      <c r="C94" s="1060" t="s">
        <v>1983</v>
      </c>
      <c r="D94" s="1061" t="s">
        <v>550</v>
      </c>
      <c r="E94" s="1062" t="s">
        <v>411</v>
      </c>
      <c r="F94" s="1063">
        <v>0</v>
      </c>
      <c r="G94" s="1063">
        <v>0</v>
      </c>
      <c r="H94" s="1063">
        <v>0</v>
      </c>
      <c r="I94" s="1063">
        <v>0</v>
      </c>
      <c r="J94" s="1063">
        <v>0</v>
      </c>
      <c r="K94" s="1063">
        <v>0</v>
      </c>
      <c r="L94" s="1063">
        <v>0</v>
      </c>
      <c r="M94" s="1063">
        <v>0</v>
      </c>
      <c r="N94" s="1063">
        <v>0</v>
      </c>
      <c r="O94" s="1063">
        <v>0</v>
      </c>
      <c r="P94" s="1063">
        <v>0</v>
      </c>
      <c r="Q94" s="1063">
        <v>0</v>
      </c>
      <c r="R94" s="1063">
        <v>0</v>
      </c>
      <c r="S94" s="1063">
        <v>0</v>
      </c>
      <c r="T94" s="1063">
        <v>0</v>
      </c>
      <c r="U94" s="1063">
        <v>0</v>
      </c>
      <c r="V94" s="1063"/>
      <c r="W94" s="1049"/>
      <c r="X94" s="1049"/>
      <c r="Y94" s="1049"/>
      <c r="Z94" s="1049"/>
      <c r="AA94" s="1066"/>
      <c r="AB94" s="1065"/>
      <c r="AT94" s="418">
        <v>14900</v>
      </c>
      <c r="AU94" s="418">
        <v>149857</v>
      </c>
      <c r="AV94" s="418">
        <v>122600</v>
      </c>
      <c r="AW94" s="418">
        <v>0</v>
      </c>
      <c r="AX94" s="418">
        <v>1500</v>
      </c>
      <c r="AY94" s="418">
        <v>0</v>
      </c>
      <c r="AZ94" s="418">
        <v>0</v>
      </c>
      <c r="BA94" s="418">
        <v>15485</v>
      </c>
      <c r="BB94" s="418">
        <v>0</v>
      </c>
      <c r="BC94" s="418">
        <v>15000</v>
      </c>
      <c r="BD94" s="418">
        <v>0</v>
      </c>
      <c r="BE94" s="418">
        <v>0</v>
      </c>
      <c r="BF94" s="418">
        <v>741714</v>
      </c>
      <c r="BG94" s="418">
        <v>0</v>
      </c>
      <c r="BH94" s="418">
        <v>0</v>
      </c>
      <c r="BI94" s="418">
        <v>43326</v>
      </c>
      <c r="BJ94" s="418">
        <v>125250</v>
      </c>
      <c r="BK94" s="418">
        <v>0</v>
      </c>
      <c r="BL94" s="418">
        <v>186016</v>
      </c>
      <c r="BM94" s="418">
        <v>229735</v>
      </c>
      <c r="BN94" s="418">
        <v>0</v>
      </c>
      <c r="BO94" s="418">
        <v>101245</v>
      </c>
      <c r="BP94" s="418">
        <v>82273</v>
      </c>
      <c r="BQ94" s="418">
        <v>62472</v>
      </c>
      <c r="BR94" s="418">
        <v>25109</v>
      </c>
      <c r="BS94" s="418">
        <v>0</v>
      </c>
      <c r="BT94" s="418">
        <v>0</v>
      </c>
      <c r="BU94" s="418">
        <v>131166</v>
      </c>
      <c r="BV94" s="418">
        <v>111061</v>
      </c>
      <c r="BW94" s="418">
        <v>21500</v>
      </c>
      <c r="BX94" s="418">
        <v>0</v>
      </c>
      <c r="BY94" s="418">
        <v>0</v>
      </c>
      <c r="BZ94" s="418">
        <v>0</v>
      </c>
      <c r="CA94" s="418">
        <v>520198</v>
      </c>
      <c r="CB94" s="418">
        <v>0</v>
      </c>
    </row>
    <row r="95" spans="1:80" s="418" customFormat="1" ht="27.6" x14ac:dyDescent="0.3">
      <c r="A95" s="1052">
        <v>328</v>
      </c>
      <c r="B95" s="1049"/>
      <c r="C95" s="1060" t="s">
        <v>1984</v>
      </c>
      <c r="D95" s="1061" t="s">
        <v>551</v>
      </c>
      <c r="E95" s="1062" t="s">
        <v>412</v>
      </c>
      <c r="F95" s="1063">
        <v>0</v>
      </c>
      <c r="G95" s="1063">
        <v>0</v>
      </c>
      <c r="H95" s="1063">
        <v>0</v>
      </c>
      <c r="I95" s="1063">
        <v>0</v>
      </c>
      <c r="J95" s="1063">
        <v>0</v>
      </c>
      <c r="K95" s="1063">
        <v>0</v>
      </c>
      <c r="L95" s="1063">
        <v>0</v>
      </c>
      <c r="M95" s="1063">
        <v>0</v>
      </c>
      <c r="N95" s="1063">
        <v>0</v>
      </c>
      <c r="O95" s="1063">
        <v>0</v>
      </c>
      <c r="P95" s="1063">
        <v>0</v>
      </c>
      <c r="Q95" s="1063">
        <v>0</v>
      </c>
      <c r="R95" s="1063">
        <v>0</v>
      </c>
      <c r="S95" s="1063">
        <v>0</v>
      </c>
      <c r="T95" s="1063">
        <v>0</v>
      </c>
      <c r="U95" s="1063">
        <v>0</v>
      </c>
      <c r="V95" s="1063"/>
      <c r="W95" s="1049"/>
      <c r="X95" s="1049"/>
      <c r="Y95" s="1049"/>
      <c r="Z95" s="1049"/>
      <c r="AA95" s="1066"/>
      <c r="AB95" s="1065"/>
      <c r="AT95" s="418">
        <v>0</v>
      </c>
      <c r="AU95" s="418">
        <v>27500</v>
      </c>
      <c r="AV95" s="418">
        <v>191771</v>
      </c>
      <c r="AW95" s="418">
        <v>0</v>
      </c>
      <c r="AX95" s="418">
        <v>0</v>
      </c>
      <c r="AY95" s="418">
        <v>566480</v>
      </c>
      <c r="AZ95" s="418">
        <v>541472</v>
      </c>
      <c r="BA95" s="418">
        <v>701226</v>
      </c>
      <c r="BB95" s="418">
        <v>0</v>
      </c>
      <c r="BC95" s="418">
        <v>35014</v>
      </c>
      <c r="BD95" s="418">
        <v>0</v>
      </c>
      <c r="BE95" s="418">
        <v>0</v>
      </c>
      <c r="BF95" s="418">
        <v>2091222</v>
      </c>
      <c r="BG95" s="418">
        <v>0</v>
      </c>
      <c r="BH95" s="418">
        <v>0</v>
      </c>
      <c r="BI95" s="418">
        <v>0</v>
      </c>
      <c r="BJ95" s="418">
        <v>22542</v>
      </c>
      <c r="BK95" s="418">
        <v>0</v>
      </c>
      <c r="BL95" s="418">
        <v>1066864</v>
      </c>
      <c r="BM95" s="418">
        <v>0</v>
      </c>
      <c r="BN95" s="418">
        <v>0</v>
      </c>
      <c r="BO95" s="418">
        <v>35710</v>
      </c>
      <c r="BP95" s="418">
        <v>838401</v>
      </c>
      <c r="BQ95" s="418">
        <v>0</v>
      </c>
      <c r="BR95" s="418">
        <v>592648</v>
      </c>
      <c r="BS95" s="418">
        <v>0</v>
      </c>
      <c r="BT95" s="418">
        <v>0</v>
      </c>
      <c r="BU95" s="418">
        <v>176833</v>
      </c>
      <c r="BV95" s="418">
        <v>402493</v>
      </c>
      <c r="BW95" s="418">
        <v>1512813</v>
      </c>
      <c r="BX95" s="418">
        <v>0</v>
      </c>
      <c r="BY95" s="418">
        <v>0</v>
      </c>
      <c r="BZ95" s="418">
        <v>0</v>
      </c>
      <c r="CA95" s="418">
        <v>357724</v>
      </c>
      <c r="CB95" s="418">
        <v>0</v>
      </c>
    </row>
    <row r="96" spans="1:80" s="418" customFormat="1" ht="26.4" x14ac:dyDescent="0.3">
      <c r="A96" s="1052">
        <v>330</v>
      </c>
      <c r="B96" s="1049"/>
      <c r="C96" s="1067">
        <v>330</v>
      </c>
      <c r="D96" s="1068" t="s">
        <v>1794</v>
      </c>
      <c r="E96" s="1062" t="s">
        <v>413</v>
      </c>
      <c r="F96" s="1063">
        <v>0</v>
      </c>
      <c r="G96" s="1063">
        <v>0</v>
      </c>
      <c r="H96" s="1063">
        <v>0</v>
      </c>
      <c r="I96" s="1063">
        <v>0</v>
      </c>
      <c r="J96" s="1063">
        <v>0</v>
      </c>
      <c r="K96" s="1063">
        <v>0</v>
      </c>
      <c r="L96" s="1063">
        <v>0</v>
      </c>
      <c r="M96" s="1063">
        <v>0</v>
      </c>
      <c r="N96" s="1063">
        <v>0</v>
      </c>
      <c r="O96" s="1063">
        <v>0</v>
      </c>
      <c r="P96" s="1063">
        <v>0</v>
      </c>
      <c r="Q96" s="1063">
        <v>0</v>
      </c>
      <c r="R96" s="1063">
        <v>0</v>
      </c>
      <c r="S96" s="1063">
        <v>0</v>
      </c>
      <c r="T96" s="1063">
        <v>0</v>
      </c>
      <c r="U96" s="1063">
        <v>0</v>
      </c>
      <c r="V96" s="1063"/>
      <c r="W96" s="1049"/>
      <c r="X96" s="1049"/>
      <c r="Y96" s="1049"/>
      <c r="Z96" s="1049"/>
      <c r="AA96" s="1066"/>
      <c r="AB96" s="1065"/>
      <c r="AT96" s="418">
        <v>0</v>
      </c>
      <c r="AU96" s="418">
        <v>0</v>
      </c>
      <c r="AV96" s="418">
        <v>0</v>
      </c>
      <c r="AW96" s="418">
        <v>0</v>
      </c>
      <c r="AX96" s="418">
        <v>0</v>
      </c>
      <c r="AY96" s="418">
        <v>0</v>
      </c>
      <c r="AZ96" s="418">
        <v>0</v>
      </c>
      <c r="BA96" s="418">
        <v>0</v>
      </c>
      <c r="BB96" s="418">
        <v>0</v>
      </c>
      <c r="BC96" s="418">
        <v>0</v>
      </c>
      <c r="BD96" s="418">
        <v>0</v>
      </c>
      <c r="BE96" s="418">
        <v>0</v>
      </c>
      <c r="BF96" s="418">
        <v>0</v>
      </c>
      <c r="BG96" s="418">
        <v>0</v>
      </c>
      <c r="BH96" s="418">
        <v>0</v>
      </c>
      <c r="BI96" s="418">
        <v>0</v>
      </c>
      <c r="BJ96" s="418">
        <v>0</v>
      </c>
      <c r="BK96" s="418">
        <v>0</v>
      </c>
      <c r="BL96" s="418">
        <v>0</v>
      </c>
      <c r="BM96" s="418">
        <v>0</v>
      </c>
      <c r="BN96" s="418">
        <v>0</v>
      </c>
      <c r="BO96" s="418">
        <v>0</v>
      </c>
      <c r="BP96" s="418">
        <v>0</v>
      </c>
      <c r="BQ96" s="418">
        <v>0</v>
      </c>
      <c r="BR96" s="418">
        <v>0</v>
      </c>
      <c r="BS96" s="418">
        <v>0</v>
      </c>
      <c r="BT96" s="418">
        <v>0</v>
      </c>
      <c r="BU96" s="418">
        <v>0</v>
      </c>
      <c r="BV96" s="418">
        <v>0</v>
      </c>
      <c r="BW96" s="418">
        <v>0</v>
      </c>
      <c r="BX96" s="418">
        <v>0</v>
      </c>
      <c r="BY96" s="418">
        <v>0</v>
      </c>
      <c r="BZ96" s="418">
        <v>0</v>
      </c>
      <c r="CA96" s="418">
        <v>0</v>
      </c>
      <c r="CB96" s="418">
        <v>0</v>
      </c>
    </row>
    <row r="97" spans="1:80" s="418" customFormat="1" ht="15.6" x14ac:dyDescent="0.3">
      <c r="A97" s="1052">
        <v>331</v>
      </c>
      <c r="B97" s="1049"/>
      <c r="C97" s="1060" t="s">
        <v>1985</v>
      </c>
      <c r="D97" s="1061" t="s">
        <v>247</v>
      </c>
      <c r="E97" s="1062" t="s">
        <v>414</v>
      </c>
      <c r="F97" s="1063">
        <v>0</v>
      </c>
      <c r="G97" s="1063">
        <v>0</v>
      </c>
      <c r="H97" s="1063">
        <v>0</v>
      </c>
      <c r="I97" s="1063">
        <v>0</v>
      </c>
      <c r="J97" s="1063">
        <v>0</v>
      </c>
      <c r="K97" s="1063">
        <v>0</v>
      </c>
      <c r="L97" s="1063">
        <v>0</v>
      </c>
      <c r="M97" s="1063">
        <v>0</v>
      </c>
      <c r="N97" s="1063">
        <v>0</v>
      </c>
      <c r="O97" s="1063">
        <v>0</v>
      </c>
      <c r="P97" s="1063">
        <v>0</v>
      </c>
      <c r="Q97" s="1063">
        <v>0</v>
      </c>
      <c r="R97" s="1063">
        <v>0</v>
      </c>
      <c r="S97" s="1063">
        <v>0</v>
      </c>
      <c r="T97" s="1063">
        <v>0</v>
      </c>
      <c r="U97" s="1063">
        <v>0</v>
      </c>
      <c r="V97" s="1063"/>
      <c r="W97" s="1049"/>
      <c r="X97" s="1049"/>
      <c r="Y97" s="1049"/>
      <c r="Z97" s="1049"/>
      <c r="AA97" s="1066"/>
      <c r="AB97" s="1065"/>
      <c r="AT97" s="418">
        <v>4000</v>
      </c>
      <c r="AU97" s="418">
        <v>0</v>
      </c>
      <c r="AV97" s="418">
        <v>2671902</v>
      </c>
      <c r="AW97" s="418">
        <v>18536</v>
      </c>
      <c r="AX97" s="418">
        <v>25170</v>
      </c>
      <c r="AY97" s="418">
        <v>695915</v>
      </c>
      <c r="AZ97" s="418">
        <v>39865</v>
      </c>
      <c r="BA97" s="418">
        <v>164401</v>
      </c>
      <c r="BB97" s="418">
        <v>0</v>
      </c>
      <c r="BC97" s="418">
        <v>72514</v>
      </c>
      <c r="BD97" s="418">
        <v>0</v>
      </c>
      <c r="BE97" s="418">
        <v>0</v>
      </c>
      <c r="BF97" s="418">
        <v>696226</v>
      </c>
      <c r="BG97" s="418">
        <v>0</v>
      </c>
      <c r="BH97" s="418">
        <v>0</v>
      </c>
      <c r="BI97" s="418">
        <v>267321</v>
      </c>
      <c r="BJ97" s="418">
        <v>162960</v>
      </c>
      <c r="BK97" s="418">
        <v>0</v>
      </c>
      <c r="BL97" s="418">
        <v>79013</v>
      </c>
      <c r="BM97" s="418">
        <v>36664</v>
      </c>
      <c r="BN97" s="418">
        <v>0</v>
      </c>
      <c r="BO97" s="418">
        <v>280980</v>
      </c>
      <c r="BP97" s="418">
        <v>88931</v>
      </c>
      <c r="BQ97" s="418">
        <v>11600</v>
      </c>
      <c r="BR97" s="418">
        <v>97188</v>
      </c>
      <c r="BS97" s="418">
        <v>0</v>
      </c>
      <c r="BT97" s="418">
        <v>0</v>
      </c>
      <c r="BU97" s="418">
        <v>32088</v>
      </c>
      <c r="BV97" s="418">
        <v>321659</v>
      </c>
      <c r="BW97" s="418">
        <v>12132</v>
      </c>
      <c r="BX97" s="418">
        <v>0</v>
      </c>
      <c r="BY97" s="418">
        <v>0</v>
      </c>
      <c r="BZ97" s="418">
        <v>0</v>
      </c>
      <c r="CA97" s="418">
        <v>751542</v>
      </c>
      <c r="CB97" s="418">
        <v>0</v>
      </c>
    </row>
    <row r="98" spans="1:80" s="418" customFormat="1" ht="15.6" x14ac:dyDescent="0.3">
      <c r="A98" s="1052">
        <v>332</v>
      </c>
      <c r="B98" s="1049"/>
      <c r="C98" s="1060" t="s">
        <v>1795</v>
      </c>
      <c r="D98" s="1061" t="s">
        <v>248</v>
      </c>
      <c r="E98" s="1062" t="s">
        <v>415</v>
      </c>
      <c r="F98" s="1063">
        <v>0</v>
      </c>
      <c r="G98" s="1063">
        <v>0</v>
      </c>
      <c r="H98" s="1063">
        <v>0</v>
      </c>
      <c r="I98" s="1063">
        <v>0</v>
      </c>
      <c r="J98" s="1063">
        <v>0</v>
      </c>
      <c r="K98" s="1063">
        <v>0</v>
      </c>
      <c r="L98" s="1063">
        <v>0</v>
      </c>
      <c r="M98" s="1063">
        <v>0</v>
      </c>
      <c r="N98" s="1063">
        <v>0</v>
      </c>
      <c r="O98" s="1063">
        <v>0</v>
      </c>
      <c r="P98" s="1063">
        <v>0</v>
      </c>
      <c r="Q98" s="1063">
        <v>0</v>
      </c>
      <c r="R98" s="1063">
        <v>0</v>
      </c>
      <c r="S98" s="1063">
        <v>0</v>
      </c>
      <c r="T98" s="1063">
        <v>0</v>
      </c>
      <c r="U98" s="1063">
        <v>0</v>
      </c>
      <c r="V98" s="1063"/>
      <c r="W98" s="1049"/>
      <c r="X98" s="1049"/>
      <c r="Y98" s="1049"/>
      <c r="Z98" s="1049"/>
      <c r="AA98" s="1066"/>
      <c r="AB98" s="1065"/>
      <c r="AT98" s="418">
        <v>0</v>
      </c>
      <c r="AU98" s="418">
        <v>0</v>
      </c>
      <c r="AV98" s="418">
        <v>2042620</v>
      </c>
      <c r="AW98" s="418">
        <v>0</v>
      </c>
      <c r="AX98" s="418">
        <v>0</v>
      </c>
      <c r="AY98" s="418">
        <v>518328</v>
      </c>
      <c r="AZ98" s="418">
        <v>0</v>
      </c>
      <c r="BA98" s="418">
        <v>674689</v>
      </c>
      <c r="BB98" s="418">
        <v>0</v>
      </c>
      <c r="BC98" s="418">
        <v>549776</v>
      </c>
      <c r="BD98" s="418">
        <v>0</v>
      </c>
      <c r="BE98" s="418">
        <v>0</v>
      </c>
      <c r="BF98" s="418">
        <v>2787164</v>
      </c>
      <c r="BG98" s="418">
        <v>0</v>
      </c>
      <c r="BH98" s="418">
        <v>0</v>
      </c>
      <c r="BI98" s="418">
        <v>120373</v>
      </c>
      <c r="BJ98" s="418">
        <v>61654</v>
      </c>
      <c r="BK98" s="418">
        <v>0</v>
      </c>
      <c r="BL98" s="418">
        <v>434230</v>
      </c>
      <c r="BM98" s="418">
        <v>87827</v>
      </c>
      <c r="BN98" s="418">
        <v>0</v>
      </c>
      <c r="BO98" s="418">
        <v>274395</v>
      </c>
      <c r="BP98" s="418">
        <v>251461</v>
      </c>
      <c r="BQ98" s="418">
        <v>2975</v>
      </c>
      <c r="BR98" s="418">
        <v>506613</v>
      </c>
      <c r="BS98" s="418">
        <v>0</v>
      </c>
      <c r="BT98" s="418">
        <v>0</v>
      </c>
      <c r="BU98" s="418">
        <v>71976</v>
      </c>
      <c r="BV98" s="418">
        <v>331847</v>
      </c>
      <c r="BW98" s="418">
        <v>1500846</v>
      </c>
      <c r="BX98" s="418">
        <v>359527</v>
      </c>
      <c r="BY98" s="418">
        <v>0</v>
      </c>
      <c r="BZ98" s="418">
        <v>0</v>
      </c>
      <c r="CA98" s="418">
        <v>1825053</v>
      </c>
      <c r="CB98" s="418">
        <v>0</v>
      </c>
    </row>
    <row r="99" spans="1:80" s="418" customFormat="1" ht="27.6" x14ac:dyDescent="0.3">
      <c r="A99" s="1052">
        <v>333</v>
      </c>
      <c r="B99" s="1049"/>
      <c r="C99" s="1060" t="s">
        <v>1796</v>
      </c>
      <c r="D99" s="1061" t="s">
        <v>184</v>
      </c>
      <c r="E99" s="1062" t="s">
        <v>416</v>
      </c>
      <c r="F99" s="1063">
        <v>0</v>
      </c>
      <c r="G99" s="1063">
        <v>0</v>
      </c>
      <c r="H99" s="1063">
        <v>0</v>
      </c>
      <c r="I99" s="1063">
        <v>0</v>
      </c>
      <c r="J99" s="1063">
        <v>0</v>
      </c>
      <c r="K99" s="1063">
        <v>0</v>
      </c>
      <c r="L99" s="1063">
        <v>0</v>
      </c>
      <c r="M99" s="1063">
        <v>0</v>
      </c>
      <c r="N99" s="1063">
        <v>0</v>
      </c>
      <c r="O99" s="1063">
        <v>0</v>
      </c>
      <c r="P99" s="1063">
        <v>0</v>
      </c>
      <c r="Q99" s="1063">
        <v>0</v>
      </c>
      <c r="R99" s="1063">
        <v>0</v>
      </c>
      <c r="S99" s="1063">
        <v>0</v>
      </c>
      <c r="T99" s="1063">
        <v>0</v>
      </c>
      <c r="U99" s="1063">
        <v>0</v>
      </c>
      <c r="V99" s="1063"/>
      <c r="W99" s="1049"/>
      <c r="X99" s="1049"/>
      <c r="Y99" s="1049"/>
      <c r="Z99" s="1049"/>
      <c r="AA99" s="1066"/>
      <c r="AB99" s="1065"/>
      <c r="AT99" s="418">
        <v>425268</v>
      </c>
      <c r="AU99" s="418">
        <v>2394446</v>
      </c>
      <c r="AV99" s="418">
        <v>5805328</v>
      </c>
      <c r="AW99" s="418">
        <v>194604</v>
      </c>
      <c r="AX99" s="418">
        <v>345508</v>
      </c>
      <c r="AY99" s="418">
        <v>3116039</v>
      </c>
      <c r="AZ99" s="418">
        <v>2182287</v>
      </c>
      <c r="BA99" s="418">
        <v>1493843</v>
      </c>
      <c r="BB99" s="418">
        <v>70595</v>
      </c>
      <c r="BC99" s="418">
        <v>1298800</v>
      </c>
      <c r="BD99" s="418">
        <v>0</v>
      </c>
      <c r="BE99" s="418">
        <v>383912</v>
      </c>
      <c r="BF99" s="418">
        <v>3999545</v>
      </c>
      <c r="BG99" s="418">
        <v>0</v>
      </c>
      <c r="BH99" s="418">
        <v>154205</v>
      </c>
      <c r="BI99" s="418">
        <v>2907659</v>
      </c>
      <c r="BJ99" s="418">
        <v>3433068</v>
      </c>
      <c r="BK99" s="418">
        <v>0</v>
      </c>
      <c r="BL99" s="418">
        <v>3239020</v>
      </c>
      <c r="BM99" s="418">
        <v>6246155</v>
      </c>
      <c r="BN99" s="418">
        <v>136189</v>
      </c>
      <c r="BO99" s="418">
        <v>3552094</v>
      </c>
      <c r="BP99" s="418">
        <v>3497525</v>
      </c>
      <c r="BQ99" s="418">
        <v>1469511</v>
      </c>
      <c r="BR99" s="418">
        <v>2534166</v>
      </c>
      <c r="BS99" s="418">
        <v>3043456</v>
      </c>
      <c r="BT99" s="418">
        <v>13944529</v>
      </c>
      <c r="BU99" s="418">
        <v>2184911</v>
      </c>
      <c r="BV99" s="418">
        <v>1638025</v>
      </c>
      <c r="BW99" s="418">
        <v>957606</v>
      </c>
      <c r="BX99" s="418">
        <v>1108232</v>
      </c>
      <c r="BY99" s="418">
        <v>165153</v>
      </c>
      <c r="BZ99" s="418">
        <v>192770</v>
      </c>
      <c r="CA99" s="418">
        <v>13891189</v>
      </c>
      <c r="CB99" s="418">
        <v>94313</v>
      </c>
    </row>
    <row r="100" spans="1:80" s="418" customFormat="1" ht="27.6" x14ac:dyDescent="0.3">
      <c r="A100" s="1052">
        <v>334</v>
      </c>
      <c r="B100" s="1049"/>
      <c r="C100" s="1060" t="s">
        <v>1797</v>
      </c>
      <c r="D100" s="1061" t="s">
        <v>276</v>
      </c>
      <c r="E100" s="1062" t="s">
        <v>417</v>
      </c>
      <c r="F100" s="1063">
        <v>0</v>
      </c>
      <c r="G100" s="1063">
        <v>0</v>
      </c>
      <c r="H100" s="1063">
        <v>0</v>
      </c>
      <c r="I100" s="1063">
        <v>0</v>
      </c>
      <c r="J100" s="1063">
        <v>0</v>
      </c>
      <c r="K100" s="1063">
        <v>0</v>
      </c>
      <c r="L100" s="1063">
        <v>0</v>
      </c>
      <c r="M100" s="1063">
        <v>0</v>
      </c>
      <c r="N100" s="1063">
        <v>0</v>
      </c>
      <c r="O100" s="1063">
        <v>0</v>
      </c>
      <c r="P100" s="1063">
        <v>0</v>
      </c>
      <c r="Q100" s="1063">
        <v>0</v>
      </c>
      <c r="R100" s="1063">
        <v>0</v>
      </c>
      <c r="S100" s="1063">
        <v>0</v>
      </c>
      <c r="T100" s="1063">
        <v>0</v>
      </c>
      <c r="U100" s="1063">
        <v>0</v>
      </c>
      <c r="V100" s="1063"/>
      <c r="W100" s="1049"/>
      <c r="X100" s="1049"/>
      <c r="Y100" s="1049"/>
      <c r="Z100" s="1049"/>
      <c r="AA100" s="1066"/>
      <c r="AB100" s="1065"/>
      <c r="AT100" s="418">
        <v>3821636</v>
      </c>
      <c r="AU100" s="418">
        <v>9995347</v>
      </c>
      <c r="AV100" s="418">
        <v>34937964</v>
      </c>
      <c r="AW100" s="418">
        <v>761790</v>
      </c>
      <c r="AX100" s="418">
        <v>1367902</v>
      </c>
      <c r="AY100" s="418">
        <v>17704282</v>
      </c>
      <c r="AZ100" s="418">
        <v>8006105</v>
      </c>
      <c r="BA100" s="418">
        <v>9181769</v>
      </c>
      <c r="BB100" s="418">
        <v>5342</v>
      </c>
      <c r="BC100" s="418">
        <v>5179934</v>
      </c>
      <c r="BD100" s="418">
        <v>0</v>
      </c>
      <c r="BE100" s="418">
        <v>103316</v>
      </c>
      <c r="BF100" s="418">
        <v>44535186</v>
      </c>
      <c r="BG100" s="418">
        <v>0</v>
      </c>
      <c r="BH100" s="418">
        <v>125775</v>
      </c>
      <c r="BI100" s="418">
        <v>6268686</v>
      </c>
      <c r="BJ100" s="418">
        <v>9087858</v>
      </c>
      <c r="BK100" s="418">
        <v>0</v>
      </c>
      <c r="BL100" s="418">
        <v>18897555</v>
      </c>
      <c r="BM100" s="418">
        <v>9185348</v>
      </c>
      <c r="BN100" s="418">
        <v>154058</v>
      </c>
      <c r="BO100" s="418">
        <v>16949536</v>
      </c>
      <c r="BP100" s="418">
        <v>9178071</v>
      </c>
      <c r="BQ100" s="418">
        <v>1250506</v>
      </c>
      <c r="BR100" s="418">
        <v>3071799</v>
      </c>
      <c r="BS100" s="418">
        <v>6069729</v>
      </c>
      <c r="BT100" s="418">
        <v>147737450</v>
      </c>
      <c r="BU100" s="418">
        <v>4927540</v>
      </c>
      <c r="BV100" s="418">
        <v>6077751</v>
      </c>
      <c r="BW100" s="418">
        <v>1824619</v>
      </c>
      <c r="BX100" s="418">
        <v>3774650</v>
      </c>
      <c r="BY100" s="418">
        <v>43270</v>
      </c>
      <c r="BZ100" s="418">
        <v>67343</v>
      </c>
      <c r="CA100" s="418">
        <v>66201823</v>
      </c>
      <c r="CB100" s="418">
        <v>312234</v>
      </c>
    </row>
    <row r="101" spans="1:80" s="418" customFormat="1" ht="27.6" x14ac:dyDescent="0.3">
      <c r="A101" s="1052">
        <v>335</v>
      </c>
      <c r="B101" s="1049"/>
      <c r="C101" s="1060" t="s">
        <v>1986</v>
      </c>
      <c r="D101" s="1061" t="s">
        <v>117</v>
      </c>
      <c r="E101" s="1062" t="s">
        <v>418</v>
      </c>
      <c r="F101" s="1063">
        <v>0</v>
      </c>
      <c r="G101" s="1063">
        <v>0</v>
      </c>
      <c r="H101" s="1063">
        <v>0</v>
      </c>
      <c r="I101" s="1063">
        <v>0</v>
      </c>
      <c r="J101" s="1063">
        <v>0</v>
      </c>
      <c r="K101" s="1063">
        <v>0</v>
      </c>
      <c r="L101" s="1063">
        <v>0</v>
      </c>
      <c r="M101" s="1063">
        <v>0</v>
      </c>
      <c r="N101" s="1063">
        <v>0</v>
      </c>
      <c r="O101" s="1063">
        <v>0</v>
      </c>
      <c r="P101" s="1063">
        <v>0</v>
      </c>
      <c r="Q101" s="1063">
        <v>0</v>
      </c>
      <c r="R101" s="1063">
        <v>0</v>
      </c>
      <c r="S101" s="1063">
        <v>0</v>
      </c>
      <c r="T101" s="1063">
        <v>0</v>
      </c>
      <c r="U101" s="1063">
        <v>0</v>
      </c>
      <c r="V101" s="1063"/>
      <c r="W101" s="1049"/>
      <c r="X101" s="1049"/>
      <c r="Y101" s="1049"/>
      <c r="Z101" s="1049"/>
      <c r="AA101" s="1066"/>
      <c r="AB101" s="1065"/>
      <c r="AT101" s="418">
        <v>0</v>
      </c>
      <c r="AU101" s="418">
        <v>0</v>
      </c>
      <c r="AV101" s="418">
        <v>0</v>
      </c>
      <c r="AW101" s="418">
        <v>0</v>
      </c>
      <c r="AX101" s="418">
        <v>0</v>
      </c>
      <c r="AY101" s="418">
        <v>0</v>
      </c>
      <c r="AZ101" s="418">
        <v>0</v>
      </c>
      <c r="BA101" s="418">
        <v>0</v>
      </c>
      <c r="BB101" s="418">
        <v>0</v>
      </c>
      <c r="BC101" s="418">
        <v>0</v>
      </c>
      <c r="BD101" s="418">
        <v>0</v>
      </c>
      <c r="BE101" s="418">
        <v>0</v>
      </c>
      <c r="BF101" s="418">
        <v>701527</v>
      </c>
      <c r="BG101" s="418">
        <v>0</v>
      </c>
      <c r="BH101" s="418">
        <v>0</v>
      </c>
      <c r="BI101" s="418">
        <v>0</v>
      </c>
      <c r="BJ101" s="418">
        <v>0</v>
      </c>
      <c r="BK101" s="418">
        <v>0</v>
      </c>
      <c r="BL101" s="418">
        <v>148</v>
      </c>
      <c r="BM101" s="418">
        <v>0</v>
      </c>
      <c r="BN101" s="418">
        <v>0</v>
      </c>
      <c r="BO101" s="418">
        <v>0</v>
      </c>
      <c r="BP101" s="418">
        <v>0</v>
      </c>
      <c r="BQ101" s="418">
        <v>0</v>
      </c>
      <c r="BR101" s="418">
        <v>0</v>
      </c>
      <c r="BS101" s="418">
        <v>0</v>
      </c>
      <c r="BT101" s="418">
        <v>0</v>
      </c>
      <c r="BU101" s="418">
        <v>0</v>
      </c>
      <c r="BV101" s="418">
        <v>0</v>
      </c>
      <c r="BW101" s="418">
        <v>0</v>
      </c>
      <c r="BX101" s="418">
        <v>0</v>
      </c>
      <c r="BY101" s="418">
        <v>0</v>
      </c>
      <c r="BZ101" s="418">
        <v>0</v>
      </c>
      <c r="CA101" s="418">
        <v>0</v>
      </c>
      <c r="CB101" s="418">
        <v>0</v>
      </c>
    </row>
    <row r="102" spans="1:80" s="418" customFormat="1" ht="15.6" x14ac:dyDescent="0.3">
      <c r="A102" s="1052">
        <v>336</v>
      </c>
      <c r="B102" s="1049"/>
      <c r="C102" s="1060" t="s">
        <v>1987</v>
      </c>
      <c r="D102" s="1061" t="s">
        <v>1315</v>
      </c>
      <c r="E102" s="1062" t="s">
        <v>419</v>
      </c>
      <c r="F102" s="1063">
        <v>0</v>
      </c>
      <c r="G102" s="1063">
        <v>0</v>
      </c>
      <c r="H102" s="1063">
        <v>0</v>
      </c>
      <c r="I102" s="1063">
        <v>0</v>
      </c>
      <c r="J102" s="1063">
        <v>0</v>
      </c>
      <c r="K102" s="1063">
        <v>0</v>
      </c>
      <c r="L102" s="1063">
        <v>0</v>
      </c>
      <c r="M102" s="1063">
        <v>0</v>
      </c>
      <c r="N102" s="1063">
        <v>0</v>
      </c>
      <c r="O102" s="1063">
        <v>0</v>
      </c>
      <c r="P102" s="1063">
        <v>0</v>
      </c>
      <c r="Q102" s="1063">
        <v>0</v>
      </c>
      <c r="R102" s="1063">
        <v>0</v>
      </c>
      <c r="S102" s="1063">
        <v>0</v>
      </c>
      <c r="T102" s="1063">
        <v>0</v>
      </c>
      <c r="U102" s="1063">
        <v>0</v>
      </c>
      <c r="V102" s="1063"/>
      <c r="W102" s="1049"/>
      <c r="X102" s="1049"/>
      <c r="Y102" s="1049"/>
      <c r="Z102" s="1049"/>
      <c r="AA102" s="1066"/>
      <c r="AB102" s="1065"/>
      <c r="AT102" s="418">
        <v>0</v>
      </c>
      <c r="AU102" s="418">
        <v>0</v>
      </c>
      <c r="AV102" s="418">
        <v>0</v>
      </c>
      <c r="AW102" s="418">
        <v>0</v>
      </c>
      <c r="AX102" s="418">
        <v>0</v>
      </c>
      <c r="AY102" s="418">
        <v>0</v>
      </c>
      <c r="AZ102" s="418">
        <v>0</v>
      </c>
      <c r="BA102" s="418">
        <v>0</v>
      </c>
      <c r="BB102" s="418">
        <v>0</v>
      </c>
      <c r="BC102" s="418">
        <v>0</v>
      </c>
      <c r="BD102" s="418">
        <v>0</v>
      </c>
      <c r="BE102" s="418">
        <v>0</v>
      </c>
      <c r="BF102" s="418">
        <v>0</v>
      </c>
      <c r="BG102" s="418">
        <v>0</v>
      </c>
      <c r="BH102" s="418">
        <v>0</v>
      </c>
      <c r="BI102" s="418">
        <v>0</v>
      </c>
      <c r="BJ102" s="418">
        <v>0</v>
      </c>
      <c r="BK102" s="418">
        <v>0</v>
      </c>
      <c r="BL102" s="418">
        <v>0</v>
      </c>
      <c r="BM102" s="418">
        <v>0</v>
      </c>
      <c r="BN102" s="418">
        <v>0</v>
      </c>
      <c r="BO102" s="418">
        <v>0</v>
      </c>
      <c r="BP102" s="418">
        <v>0</v>
      </c>
      <c r="BQ102" s="418">
        <v>0</v>
      </c>
      <c r="BR102" s="418">
        <v>0</v>
      </c>
      <c r="BS102" s="418">
        <v>0</v>
      </c>
      <c r="BT102" s="418">
        <v>0</v>
      </c>
      <c r="BU102" s="418">
        <v>0</v>
      </c>
      <c r="BV102" s="418">
        <v>0</v>
      </c>
      <c r="BW102" s="418">
        <v>0</v>
      </c>
      <c r="BX102" s="418">
        <v>0</v>
      </c>
      <c r="BY102" s="418">
        <v>0</v>
      </c>
      <c r="BZ102" s="418">
        <v>0</v>
      </c>
      <c r="CA102" s="418">
        <v>0</v>
      </c>
      <c r="CB102" s="418">
        <v>0</v>
      </c>
    </row>
    <row r="103" spans="1:80" s="418" customFormat="1" ht="15.6" x14ac:dyDescent="0.3">
      <c r="A103" s="1052">
        <v>337</v>
      </c>
      <c r="B103" s="1049"/>
      <c r="C103" s="1060" t="s">
        <v>1988</v>
      </c>
      <c r="D103" s="1061" t="s">
        <v>254</v>
      </c>
      <c r="E103" s="1062" t="s">
        <v>420</v>
      </c>
      <c r="F103" s="1063">
        <v>0</v>
      </c>
      <c r="G103" s="1063">
        <v>0</v>
      </c>
      <c r="H103" s="1063">
        <v>0</v>
      </c>
      <c r="I103" s="1063">
        <v>0</v>
      </c>
      <c r="J103" s="1063">
        <v>0</v>
      </c>
      <c r="K103" s="1063">
        <v>0</v>
      </c>
      <c r="L103" s="1063">
        <v>0</v>
      </c>
      <c r="M103" s="1063">
        <v>0</v>
      </c>
      <c r="N103" s="1063">
        <v>0</v>
      </c>
      <c r="O103" s="1063">
        <v>0</v>
      </c>
      <c r="P103" s="1063">
        <v>0</v>
      </c>
      <c r="Q103" s="1063">
        <v>0</v>
      </c>
      <c r="R103" s="1063">
        <v>0</v>
      </c>
      <c r="S103" s="1063">
        <v>0</v>
      </c>
      <c r="T103" s="1063">
        <v>0</v>
      </c>
      <c r="U103" s="1063">
        <v>0</v>
      </c>
      <c r="V103" s="1063"/>
      <c r="W103" s="1049"/>
      <c r="X103" s="1049"/>
      <c r="Y103" s="1049"/>
      <c r="Z103" s="1049"/>
      <c r="AA103" s="1066"/>
      <c r="AB103" s="1065"/>
      <c r="AT103" s="418">
        <v>881378</v>
      </c>
      <c r="AU103" s="418">
        <v>2765560</v>
      </c>
      <c r="AV103" s="418">
        <v>911880</v>
      </c>
      <c r="AW103" s="418">
        <v>0</v>
      </c>
      <c r="AX103" s="418">
        <v>195735</v>
      </c>
      <c r="AY103" s="418">
        <v>1746152</v>
      </c>
      <c r="AZ103" s="418">
        <v>762311</v>
      </c>
      <c r="BA103" s="418">
        <v>1028790</v>
      </c>
      <c r="BB103" s="418">
        <v>0</v>
      </c>
      <c r="BC103" s="418">
        <v>244779</v>
      </c>
      <c r="BD103" s="418">
        <v>0</v>
      </c>
      <c r="BE103" s="418">
        <v>0</v>
      </c>
      <c r="BF103" s="418">
        <v>14407364</v>
      </c>
      <c r="BG103" s="418">
        <v>0</v>
      </c>
      <c r="BH103" s="418">
        <v>0</v>
      </c>
      <c r="BI103" s="418">
        <v>104357</v>
      </c>
      <c r="BJ103" s="418">
        <v>0</v>
      </c>
      <c r="BK103" s="418">
        <v>0</v>
      </c>
      <c r="BL103" s="418">
        <v>1736667</v>
      </c>
      <c r="BM103" s="418">
        <v>0</v>
      </c>
      <c r="BN103" s="418">
        <v>0</v>
      </c>
      <c r="BO103" s="418">
        <v>1592703</v>
      </c>
      <c r="BP103" s="418">
        <v>0</v>
      </c>
      <c r="BQ103" s="418">
        <v>0</v>
      </c>
      <c r="BR103" s="418">
        <v>0</v>
      </c>
      <c r="BS103" s="418">
        <v>0</v>
      </c>
      <c r="BT103" s="418">
        <v>6563429</v>
      </c>
      <c r="BU103" s="418">
        <v>509638</v>
      </c>
      <c r="BV103" s="418">
        <v>271856</v>
      </c>
      <c r="BW103" s="418">
        <v>233497</v>
      </c>
      <c r="BX103" s="418">
        <v>0</v>
      </c>
      <c r="BY103" s="418">
        <v>0</v>
      </c>
      <c r="BZ103" s="418">
        <v>0</v>
      </c>
      <c r="CA103" s="418">
        <v>8371909</v>
      </c>
      <c r="CB103" s="418">
        <v>52121</v>
      </c>
    </row>
    <row r="104" spans="1:80" s="418" customFormat="1" ht="27.6" x14ac:dyDescent="0.3">
      <c r="A104" s="1052">
        <v>338</v>
      </c>
      <c r="B104" s="1049"/>
      <c r="C104" s="1060" t="s">
        <v>1989</v>
      </c>
      <c r="D104" s="1061" t="s">
        <v>116</v>
      </c>
      <c r="E104" s="1062" t="s">
        <v>421</v>
      </c>
      <c r="F104" s="1063">
        <v>0</v>
      </c>
      <c r="G104" s="1063">
        <v>0</v>
      </c>
      <c r="H104" s="1063">
        <v>0</v>
      </c>
      <c r="I104" s="1063">
        <v>0</v>
      </c>
      <c r="J104" s="1063">
        <v>0</v>
      </c>
      <c r="K104" s="1063">
        <v>0</v>
      </c>
      <c r="L104" s="1063">
        <v>0</v>
      </c>
      <c r="M104" s="1063">
        <v>0</v>
      </c>
      <c r="N104" s="1063">
        <v>0</v>
      </c>
      <c r="O104" s="1063">
        <v>0</v>
      </c>
      <c r="P104" s="1063">
        <v>0</v>
      </c>
      <c r="Q104" s="1063">
        <v>0</v>
      </c>
      <c r="R104" s="1063">
        <v>0</v>
      </c>
      <c r="S104" s="1063">
        <v>0</v>
      </c>
      <c r="T104" s="1063">
        <v>0</v>
      </c>
      <c r="U104" s="1063">
        <v>0</v>
      </c>
      <c r="V104" s="1063"/>
      <c r="W104" s="1049"/>
      <c r="X104" s="1049"/>
      <c r="Y104" s="1049"/>
      <c r="Z104" s="1049"/>
      <c r="AA104" s="1066"/>
      <c r="AB104" s="1065"/>
      <c r="AT104" s="418">
        <v>1205456</v>
      </c>
      <c r="AU104" s="418">
        <v>5468549</v>
      </c>
      <c r="AV104" s="418">
        <v>14674581</v>
      </c>
      <c r="AW104" s="418">
        <v>49822</v>
      </c>
      <c r="AX104" s="418">
        <v>317985</v>
      </c>
      <c r="AY104" s="418">
        <v>2840912</v>
      </c>
      <c r="AZ104" s="418">
        <v>2104314</v>
      </c>
      <c r="BA104" s="418">
        <v>3287438</v>
      </c>
      <c r="BB104" s="418">
        <v>0</v>
      </c>
      <c r="BC104" s="418">
        <v>1163170</v>
      </c>
      <c r="BD104" s="418">
        <v>0</v>
      </c>
      <c r="BE104" s="418">
        <v>3368</v>
      </c>
      <c r="BF104" s="418">
        <v>58829992</v>
      </c>
      <c r="BG104" s="418">
        <v>0</v>
      </c>
      <c r="BH104" s="418">
        <v>2267</v>
      </c>
      <c r="BI104" s="418">
        <v>5058840</v>
      </c>
      <c r="BJ104" s="418">
        <v>1173100</v>
      </c>
      <c r="BK104" s="418">
        <v>0</v>
      </c>
      <c r="BL104" s="418">
        <v>3627249</v>
      </c>
      <c r="BM104" s="418">
        <v>3025909</v>
      </c>
      <c r="BN104" s="418">
        <v>0</v>
      </c>
      <c r="BO104" s="418">
        <v>4247810</v>
      </c>
      <c r="BP104" s="418">
        <v>836771</v>
      </c>
      <c r="BQ104" s="418">
        <v>241283</v>
      </c>
      <c r="BR104" s="418">
        <v>669506</v>
      </c>
      <c r="BS104" s="418">
        <v>153655</v>
      </c>
      <c r="BT104" s="418">
        <v>16149902</v>
      </c>
      <c r="BU104" s="418">
        <v>1133803</v>
      </c>
      <c r="BV104" s="418">
        <v>4353773</v>
      </c>
      <c r="BW104" s="418">
        <v>946560</v>
      </c>
      <c r="BX104" s="418">
        <v>48929</v>
      </c>
      <c r="BY104" s="418">
        <v>0</v>
      </c>
      <c r="BZ104" s="418">
        <v>0</v>
      </c>
      <c r="CA104" s="418">
        <v>22361004</v>
      </c>
      <c r="CB104" s="418">
        <v>52121</v>
      </c>
    </row>
    <row r="105" spans="1:80" s="418" customFormat="1" ht="15.6" x14ac:dyDescent="0.3">
      <c r="A105" s="1052">
        <v>339</v>
      </c>
      <c r="B105" s="1049"/>
      <c r="C105" s="1060" t="s">
        <v>1990</v>
      </c>
      <c r="D105" s="1061" t="s">
        <v>190</v>
      </c>
      <c r="E105" s="1062" t="s">
        <v>422</v>
      </c>
      <c r="F105" s="1063">
        <v>0</v>
      </c>
      <c r="G105" s="1063">
        <v>0</v>
      </c>
      <c r="H105" s="1063">
        <v>0</v>
      </c>
      <c r="I105" s="1063">
        <v>0</v>
      </c>
      <c r="J105" s="1063">
        <v>0</v>
      </c>
      <c r="K105" s="1063">
        <v>0</v>
      </c>
      <c r="L105" s="1063">
        <v>0</v>
      </c>
      <c r="M105" s="1063">
        <v>0</v>
      </c>
      <c r="N105" s="1063">
        <v>0</v>
      </c>
      <c r="O105" s="1063">
        <v>0</v>
      </c>
      <c r="P105" s="1063">
        <v>0</v>
      </c>
      <c r="Q105" s="1063">
        <v>0</v>
      </c>
      <c r="R105" s="1063">
        <v>0</v>
      </c>
      <c r="S105" s="1063">
        <v>0</v>
      </c>
      <c r="T105" s="1063">
        <v>0</v>
      </c>
      <c r="U105" s="1063">
        <v>0</v>
      </c>
      <c r="V105" s="1063"/>
      <c r="W105" s="1049"/>
      <c r="X105" s="1049"/>
      <c r="Y105" s="1049"/>
      <c r="Z105" s="1049"/>
      <c r="AA105" s="1066"/>
      <c r="AB105" s="1065"/>
      <c r="AT105" s="418">
        <v>19969</v>
      </c>
      <c r="AU105" s="418">
        <v>805251</v>
      </c>
      <c r="AV105" s="418">
        <v>155739</v>
      </c>
      <c r="AW105" s="418">
        <v>13620</v>
      </c>
      <c r="AX105" s="418">
        <v>102026</v>
      </c>
      <c r="AY105" s="418">
        <v>51391</v>
      </c>
      <c r="AZ105" s="418">
        <v>368162</v>
      </c>
      <c r="BA105" s="418">
        <v>444060</v>
      </c>
      <c r="BB105" s="418">
        <v>13897</v>
      </c>
      <c r="BC105" s="418">
        <v>184863</v>
      </c>
      <c r="BD105" s="418">
        <v>0</v>
      </c>
      <c r="BE105" s="418">
        <v>0</v>
      </c>
      <c r="BF105" s="418">
        <v>4107278</v>
      </c>
      <c r="BG105" s="418">
        <v>0</v>
      </c>
      <c r="BH105" s="418">
        <v>5405</v>
      </c>
      <c r="BI105" s="418">
        <v>197651</v>
      </c>
      <c r="BJ105" s="418">
        <v>130499</v>
      </c>
      <c r="BK105" s="418">
        <v>0</v>
      </c>
      <c r="BL105" s="418">
        <v>257541</v>
      </c>
      <c r="BM105" s="418">
        <v>296519</v>
      </c>
      <c r="BN105" s="418">
        <v>0</v>
      </c>
      <c r="BO105" s="418">
        <v>1544228</v>
      </c>
      <c r="BP105" s="418">
        <v>29014</v>
      </c>
      <c r="BQ105" s="418">
        <v>40912</v>
      </c>
      <c r="BR105" s="418">
        <v>240044</v>
      </c>
      <c r="BS105" s="418">
        <v>92534</v>
      </c>
      <c r="BT105" s="418">
        <v>2131895</v>
      </c>
      <c r="BU105" s="418">
        <v>256648</v>
      </c>
      <c r="BV105" s="418">
        <v>275192</v>
      </c>
      <c r="BW105" s="418">
        <v>141522</v>
      </c>
      <c r="BX105" s="418">
        <v>1075</v>
      </c>
      <c r="BY105" s="418">
        <v>0</v>
      </c>
      <c r="BZ105" s="418">
        <v>0</v>
      </c>
      <c r="CA105" s="418">
        <v>1464352</v>
      </c>
      <c r="CB105" s="418">
        <v>384</v>
      </c>
    </row>
    <row r="106" spans="1:80" s="418" customFormat="1" ht="15.6" x14ac:dyDescent="0.3">
      <c r="A106" s="1052">
        <v>340</v>
      </c>
      <c r="B106" s="1049"/>
      <c r="C106" s="1060" t="s">
        <v>1798</v>
      </c>
      <c r="D106" s="1061" t="s">
        <v>1799</v>
      </c>
      <c r="E106" s="1062" t="s">
        <v>423</v>
      </c>
      <c r="F106" s="1063">
        <v>0</v>
      </c>
      <c r="G106" s="1063">
        <v>0</v>
      </c>
      <c r="H106" s="1063">
        <v>0</v>
      </c>
      <c r="I106" s="1063">
        <v>0</v>
      </c>
      <c r="J106" s="1063">
        <v>0</v>
      </c>
      <c r="K106" s="1063">
        <v>0</v>
      </c>
      <c r="L106" s="1063">
        <v>0</v>
      </c>
      <c r="M106" s="1063">
        <v>0</v>
      </c>
      <c r="N106" s="1063">
        <v>0</v>
      </c>
      <c r="O106" s="1063">
        <v>0</v>
      </c>
      <c r="P106" s="1063">
        <v>0</v>
      </c>
      <c r="Q106" s="1063">
        <v>0</v>
      </c>
      <c r="R106" s="1063">
        <v>0</v>
      </c>
      <c r="S106" s="1063">
        <v>0</v>
      </c>
      <c r="T106" s="1063">
        <v>0</v>
      </c>
      <c r="U106" s="1063">
        <v>0</v>
      </c>
      <c r="V106" s="1063"/>
      <c r="W106" s="1049"/>
      <c r="X106" s="1049"/>
      <c r="Y106" s="1049"/>
      <c r="Z106" s="1049"/>
      <c r="AA106" s="1066"/>
      <c r="AB106" s="1065"/>
    </row>
    <row r="107" spans="1:80" s="418" customFormat="1" ht="41.4" x14ac:dyDescent="0.3">
      <c r="A107" s="1052">
        <v>341</v>
      </c>
      <c r="B107" s="1049"/>
      <c r="C107" s="1060" t="s">
        <v>1991</v>
      </c>
      <c r="D107" s="1070" t="s">
        <v>1800</v>
      </c>
      <c r="E107" s="1062" t="s">
        <v>424</v>
      </c>
      <c r="F107" s="1063">
        <v>0</v>
      </c>
      <c r="G107" s="1063">
        <v>0</v>
      </c>
      <c r="H107" s="1063">
        <v>0</v>
      </c>
      <c r="I107" s="1063">
        <v>0</v>
      </c>
      <c r="J107" s="1063">
        <v>0</v>
      </c>
      <c r="K107" s="1063">
        <v>0</v>
      </c>
      <c r="L107" s="1063">
        <v>0</v>
      </c>
      <c r="M107" s="1063">
        <v>0</v>
      </c>
      <c r="N107" s="1063">
        <v>0</v>
      </c>
      <c r="O107" s="1063">
        <v>0</v>
      </c>
      <c r="P107" s="1063">
        <v>0</v>
      </c>
      <c r="Q107" s="1063">
        <v>0</v>
      </c>
      <c r="R107" s="1063">
        <v>0</v>
      </c>
      <c r="S107" s="1063">
        <v>0</v>
      </c>
      <c r="T107" s="1063">
        <v>0</v>
      </c>
      <c r="U107" s="1063">
        <v>0</v>
      </c>
      <c r="V107" s="1063"/>
      <c r="W107" s="1049"/>
      <c r="X107" s="1049"/>
      <c r="Y107" s="1049"/>
      <c r="Z107" s="1049"/>
      <c r="AA107" s="1066"/>
      <c r="AB107" s="1065"/>
      <c r="AT107" s="418">
        <v>616770</v>
      </c>
      <c r="AU107" s="418">
        <v>3593761</v>
      </c>
      <c r="AV107" s="418">
        <v>10473091</v>
      </c>
      <c r="AW107" s="418">
        <v>87630</v>
      </c>
      <c r="AX107" s="418">
        <v>498112</v>
      </c>
      <c r="AY107" s="418">
        <v>3219952</v>
      </c>
      <c r="AZ107" s="418">
        <v>3516198</v>
      </c>
      <c r="BA107" s="418">
        <v>2517488</v>
      </c>
      <c r="BB107" s="418">
        <v>64682</v>
      </c>
      <c r="BC107" s="418">
        <v>2268629</v>
      </c>
      <c r="BD107" s="418">
        <v>0</v>
      </c>
      <c r="BE107" s="418">
        <v>79767</v>
      </c>
      <c r="BF107" s="418">
        <v>21171575</v>
      </c>
      <c r="BG107" s="418">
        <v>0</v>
      </c>
      <c r="BH107" s="418">
        <v>60740</v>
      </c>
      <c r="BI107" s="418">
        <v>2956856</v>
      </c>
      <c r="BJ107" s="418">
        <v>2597072</v>
      </c>
      <c r="BK107" s="418">
        <v>0</v>
      </c>
      <c r="BL107" s="418">
        <v>8356070</v>
      </c>
      <c r="BM107" s="418">
        <v>4139203</v>
      </c>
      <c r="BN107" s="418">
        <v>50974</v>
      </c>
      <c r="BO107" s="418">
        <v>5058536</v>
      </c>
      <c r="BP107" s="418">
        <v>1941710</v>
      </c>
      <c r="BQ107" s="418">
        <v>890328</v>
      </c>
      <c r="BR107" s="418">
        <v>1696198</v>
      </c>
      <c r="BS107" s="418">
        <v>1372902</v>
      </c>
      <c r="BT107" s="418">
        <v>21903074</v>
      </c>
      <c r="BU107" s="418">
        <v>1724066</v>
      </c>
      <c r="BV107" s="418">
        <v>2437775</v>
      </c>
      <c r="BW107" s="418">
        <v>515242</v>
      </c>
      <c r="BX107" s="418">
        <v>958648</v>
      </c>
      <c r="BY107" s="418">
        <v>36718</v>
      </c>
      <c r="BZ107" s="418">
        <v>43403</v>
      </c>
      <c r="CA107" s="418">
        <v>17058382</v>
      </c>
      <c r="CB107" s="418">
        <v>82344</v>
      </c>
    </row>
    <row r="108" spans="1:80" s="418" customFormat="1" ht="15.6" x14ac:dyDescent="0.3">
      <c r="A108" s="1052">
        <v>342</v>
      </c>
      <c r="B108" s="1049"/>
      <c r="C108" s="1060" t="s">
        <v>1801</v>
      </c>
      <c r="D108" s="1061" t="s">
        <v>1802</v>
      </c>
      <c r="E108" s="1062" t="s">
        <v>425</v>
      </c>
      <c r="F108" s="1063">
        <v>0</v>
      </c>
      <c r="G108" s="1063">
        <v>0</v>
      </c>
      <c r="H108" s="1063">
        <v>0</v>
      </c>
      <c r="I108" s="1063">
        <v>0</v>
      </c>
      <c r="J108" s="1063">
        <v>0</v>
      </c>
      <c r="K108" s="1063">
        <v>0</v>
      </c>
      <c r="L108" s="1063">
        <v>0</v>
      </c>
      <c r="M108" s="1063">
        <v>0</v>
      </c>
      <c r="N108" s="1063">
        <v>0</v>
      </c>
      <c r="O108" s="1063">
        <v>0</v>
      </c>
      <c r="P108" s="1063">
        <v>0</v>
      </c>
      <c r="Q108" s="1063">
        <v>0</v>
      </c>
      <c r="R108" s="1063">
        <v>0</v>
      </c>
      <c r="S108" s="1063">
        <v>0</v>
      </c>
      <c r="T108" s="1063">
        <v>0</v>
      </c>
      <c r="U108" s="1063">
        <v>0</v>
      </c>
      <c r="V108" s="1063"/>
      <c r="W108" s="1049"/>
      <c r="X108" s="1049"/>
      <c r="Y108" s="1049"/>
      <c r="Z108" s="1049"/>
      <c r="AA108" s="1066"/>
      <c r="AB108" s="1065"/>
    </row>
    <row r="109" spans="1:80" s="418" customFormat="1" ht="15.6" x14ac:dyDescent="0.3">
      <c r="A109" s="1052">
        <v>343</v>
      </c>
      <c r="B109" s="1049"/>
      <c r="C109" s="1060" t="s">
        <v>1992</v>
      </c>
      <c r="D109" s="1061" t="s">
        <v>255</v>
      </c>
      <c r="E109" s="1062" t="s">
        <v>426</v>
      </c>
      <c r="F109" s="1063">
        <v>0</v>
      </c>
      <c r="G109" s="1063">
        <v>0</v>
      </c>
      <c r="H109" s="1063">
        <v>0</v>
      </c>
      <c r="I109" s="1063">
        <v>0</v>
      </c>
      <c r="J109" s="1063">
        <v>0</v>
      </c>
      <c r="K109" s="1063">
        <v>0</v>
      </c>
      <c r="L109" s="1063">
        <v>0</v>
      </c>
      <c r="M109" s="1063">
        <v>0</v>
      </c>
      <c r="N109" s="1063">
        <v>0</v>
      </c>
      <c r="O109" s="1063">
        <v>0</v>
      </c>
      <c r="P109" s="1063">
        <v>0</v>
      </c>
      <c r="Q109" s="1063">
        <v>0</v>
      </c>
      <c r="R109" s="1063">
        <v>0</v>
      </c>
      <c r="S109" s="1063">
        <v>0</v>
      </c>
      <c r="T109" s="1063">
        <v>0</v>
      </c>
      <c r="U109" s="1063">
        <v>0</v>
      </c>
      <c r="V109" s="1063"/>
      <c r="W109" s="1049"/>
      <c r="X109" s="1049"/>
      <c r="Y109" s="1049"/>
      <c r="Z109" s="1049"/>
      <c r="AA109" s="1066"/>
      <c r="AB109" s="1065"/>
      <c r="AT109" s="418">
        <v>86250</v>
      </c>
      <c r="AU109" s="418">
        <v>213561</v>
      </c>
      <c r="AV109" s="418">
        <v>426798</v>
      </c>
      <c r="AW109" s="418">
        <v>0</v>
      </c>
      <c r="AX109" s="418">
        <v>2578</v>
      </c>
      <c r="AY109" s="418">
        <v>154131</v>
      </c>
      <c r="AZ109" s="418">
        <v>63233</v>
      </c>
      <c r="BA109" s="418">
        <v>147795</v>
      </c>
      <c r="BB109" s="418">
        <v>0</v>
      </c>
      <c r="BC109" s="418">
        <v>63385</v>
      </c>
      <c r="BD109" s="418">
        <v>0</v>
      </c>
      <c r="BE109" s="418">
        <v>0</v>
      </c>
      <c r="BF109" s="418">
        <v>978176</v>
      </c>
      <c r="BG109" s="418">
        <v>0</v>
      </c>
      <c r="BH109" s="418">
        <v>0</v>
      </c>
      <c r="BI109" s="418">
        <v>20808</v>
      </c>
      <c r="BJ109" s="418">
        <v>59991</v>
      </c>
      <c r="BK109" s="418">
        <v>0</v>
      </c>
      <c r="BL109" s="418">
        <v>218333</v>
      </c>
      <c r="BM109" s="418">
        <v>0</v>
      </c>
      <c r="BN109" s="418">
        <v>0</v>
      </c>
      <c r="BO109" s="418">
        <v>187311</v>
      </c>
      <c r="BP109" s="418">
        <v>0</v>
      </c>
      <c r="BQ109" s="418">
        <v>12019</v>
      </c>
      <c r="BR109" s="418">
        <v>0</v>
      </c>
      <c r="BS109" s="418">
        <v>0</v>
      </c>
      <c r="BT109" s="418">
        <v>1080011</v>
      </c>
      <c r="BU109" s="418">
        <v>46518</v>
      </c>
      <c r="BV109" s="418">
        <v>69583</v>
      </c>
      <c r="BW109" s="418">
        <v>80922</v>
      </c>
      <c r="BX109" s="418">
        <v>0</v>
      </c>
      <c r="BY109" s="418">
        <v>0</v>
      </c>
      <c r="BZ109" s="418">
        <v>0</v>
      </c>
      <c r="CA109" s="418">
        <v>1273190</v>
      </c>
      <c r="CB109" s="418">
        <v>2548</v>
      </c>
    </row>
    <row r="110" spans="1:80" s="418" customFormat="1" ht="15.6" x14ac:dyDescent="0.3">
      <c r="A110" s="1052">
        <v>344</v>
      </c>
      <c r="B110" s="1049"/>
      <c r="C110" s="1060" t="s">
        <v>1993</v>
      </c>
      <c r="D110" s="1061" t="s">
        <v>188</v>
      </c>
      <c r="E110" s="1062" t="s">
        <v>427</v>
      </c>
      <c r="F110" s="1063">
        <v>0</v>
      </c>
      <c r="G110" s="1063">
        <v>0</v>
      </c>
      <c r="H110" s="1063">
        <v>0</v>
      </c>
      <c r="I110" s="1063">
        <v>0</v>
      </c>
      <c r="J110" s="1063">
        <v>0</v>
      </c>
      <c r="K110" s="1063">
        <v>0</v>
      </c>
      <c r="L110" s="1063">
        <v>0</v>
      </c>
      <c r="M110" s="1063">
        <v>0</v>
      </c>
      <c r="N110" s="1063">
        <v>0</v>
      </c>
      <c r="O110" s="1063">
        <v>0</v>
      </c>
      <c r="P110" s="1063">
        <v>0</v>
      </c>
      <c r="Q110" s="1063">
        <v>0</v>
      </c>
      <c r="R110" s="1063">
        <v>0</v>
      </c>
      <c r="S110" s="1063">
        <v>0</v>
      </c>
      <c r="T110" s="1063">
        <v>0</v>
      </c>
      <c r="U110" s="1063">
        <v>0</v>
      </c>
      <c r="V110" s="1063"/>
      <c r="W110" s="1049"/>
      <c r="X110" s="1049"/>
      <c r="Y110" s="1049"/>
      <c r="Z110" s="1049"/>
      <c r="AA110" s="1066"/>
      <c r="AB110" s="1065"/>
      <c r="AT110" s="418">
        <v>13022</v>
      </c>
      <c r="AU110" s="418">
        <v>79281</v>
      </c>
      <c r="AV110" s="418">
        <v>40228</v>
      </c>
      <c r="AW110" s="418">
        <v>0</v>
      </c>
      <c r="AX110" s="418">
        <v>936</v>
      </c>
      <c r="AY110" s="418">
        <v>7045</v>
      </c>
      <c r="AZ110" s="418">
        <v>25112</v>
      </c>
      <c r="BA110" s="418">
        <v>19809</v>
      </c>
      <c r="BB110" s="418">
        <v>0</v>
      </c>
      <c r="BC110" s="418">
        <v>2843</v>
      </c>
      <c r="BD110" s="418">
        <v>0</v>
      </c>
      <c r="BE110" s="418">
        <v>0</v>
      </c>
      <c r="BF110" s="418">
        <v>553677</v>
      </c>
      <c r="BG110" s="418">
        <v>0</v>
      </c>
      <c r="BH110" s="418">
        <v>0</v>
      </c>
      <c r="BI110" s="418">
        <v>2659</v>
      </c>
      <c r="BJ110" s="418">
        <v>1193</v>
      </c>
      <c r="BK110" s="418">
        <v>0</v>
      </c>
      <c r="BL110" s="418">
        <v>52728</v>
      </c>
      <c r="BM110" s="418">
        <v>7474</v>
      </c>
      <c r="BN110" s="418">
        <v>0</v>
      </c>
      <c r="BO110" s="418">
        <v>32521</v>
      </c>
      <c r="BP110" s="418">
        <v>0</v>
      </c>
      <c r="BQ110" s="418">
        <v>269</v>
      </c>
      <c r="BR110" s="418">
        <v>0</v>
      </c>
      <c r="BS110" s="418">
        <v>0</v>
      </c>
      <c r="BT110" s="418">
        <v>177933</v>
      </c>
      <c r="BU110" s="418">
        <v>20874</v>
      </c>
      <c r="BV110" s="418">
        <v>7416</v>
      </c>
      <c r="BW110" s="418">
        <v>1182</v>
      </c>
      <c r="BX110" s="418">
        <v>0</v>
      </c>
      <c r="BY110" s="418">
        <v>0</v>
      </c>
      <c r="BZ110" s="418">
        <v>0</v>
      </c>
      <c r="CA110" s="418">
        <v>257803</v>
      </c>
      <c r="CB110" s="418">
        <v>2408</v>
      </c>
    </row>
    <row r="111" spans="1:80" s="418" customFormat="1" ht="15.6" x14ac:dyDescent="0.3">
      <c r="A111" s="1052">
        <v>346</v>
      </c>
      <c r="B111" s="1049"/>
      <c r="C111" s="1060" t="s">
        <v>1803</v>
      </c>
      <c r="D111" s="1061" t="s">
        <v>1804</v>
      </c>
      <c r="E111" s="1062" t="s">
        <v>428</v>
      </c>
      <c r="F111" s="1063">
        <v>0</v>
      </c>
      <c r="G111" s="1063">
        <v>0</v>
      </c>
      <c r="H111" s="1063">
        <v>0</v>
      </c>
      <c r="I111" s="1063">
        <v>0</v>
      </c>
      <c r="J111" s="1063">
        <v>0</v>
      </c>
      <c r="K111" s="1063">
        <v>0</v>
      </c>
      <c r="L111" s="1063">
        <v>0</v>
      </c>
      <c r="M111" s="1063">
        <v>0</v>
      </c>
      <c r="N111" s="1063">
        <v>0</v>
      </c>
      <c r="O111" s="1063">
        <v>0</v>
      </c>
      <c r="P111" s="1063">
        <v>0</v>
      </c>
      <c r="Q111" s="1063">
        <v>0</v>
      </c>
      <c r="R111" s="1063">
        <v>0</v>
      </c>
      <c r="S111" s="1063">
        <v>0</v>
      </c>
      <c r="T111" s="1063">
        <v>0</v>
      </c>
      <c r="U111" s="1063">
        <v>0</v>
      </c>
      <c r="V111" s="1063"/>
      <c r="W111" s="1049"/>
      <c r="X111" s="1049"/>
      <c r="Y111" s="1049"/>
      <c r="Z111" s="1049"/>
      <c r="AA111" s="1066"/>
      <c r="AB111" s="1049"/>
      <c r="AT111" s="418">
        <v>0</v>
      </c>
      <c r="AU111" s="418">
        <v>0</v>
      </c>
      <c r="AV111" s="418">
        <v>0</v>
      </c>
      <c r="AW111" s="418">
        <v>0</v>
      </c>
      <c r="AX111" s="418">
        <v>0</v>
      </c>
      <c r="AY111" s="418">
        <v>0</v>
      </c>
      <c r="AZ111" s="418">
        <v>0</v>
      </c>
      <c r="BA111" s="418">
        <v>0</v>
      </c>
      <c r="BB111" s="418">
        <v>0</v>
      </c>
      <c r="BC111" s="418">
        <v>0</v>
      </c>
      <c r="BD111" s="418">
        <v>0</v>
      </c>
      <c r="BE111" s="418">
        <v>0</v>
      </c>
      <c r="BF111" s="418">
        <v>0</v>
      </c>
      <c r="BG111" s="418">
        <v>0</v>
      </c>
      <c r="BH111" s="418">
        <v>0</v>
      </c>
      <c r="BI111" s="418">
        <v>0</v>
      </c>
      <c r="BJ111" s="418">
        <v>0</v>
      </c>
      <c r="BK111" s="418">
        <v>0</v>
      </c>
      <c r="BL111" s="418">
        <v>0</v>
      </c>
      <c r="BM111" s="418">
        <v>0</v>
      </c>
      <c r="BN111" s="418">
        <v>0</v>
      </c>
      <c r="BO111" s="418">
        <v>0</v>
      </c>
      <c r="BP111" s="418">
        <v>0</v>
      </c>
      <c r="BQ111" s="418">
        <v>0</v>
      </c>
      <c r="BR111" s="418">
        <v>0</v>
      </c>
      <c r="BS111" s="418">
        <v>0</v>
      </c>
      <c r="BT111" s="418">
        <v>0</v>
      </c>
      <c r="BU111" s="418">
        <v>0</v>
      </c>
      <c r="BV111" s="418">
        <v>0</v>
      </c>
      <c r="BW111" s="418">
        <v>0</v>
      </c>
      <c r="BX111" s="418">
        <v>0</v>
      </c>
      <c r="BY111" s="418">
        <v>0</v>
      </c>
      <c r="BZ111" s="418">
        <v>0</v>
      </c>
      <c r="CA111" s="418">
        <v>0</v>
      </c>
      <c r="CB111" s="418">
        <v>0</v>
      </c>
    </row>
    <row r="112" spans="1:80" s="418" customFormat="1" ht="15.6" x14ac:dyDescent="0.3">
      <c r="A112" s="1052">
        <v>347</v>
      </c>
      <c r="B112" s="1049"/>
      <c r="C112" s="1060" t="s">
        <v>1805</v>
      </c>
      <c r="D112" s="1061" t="s">
        <v>1806</v>
      </c>
      <c r="E112" s="1062" t="s">
        <v>429</v>
      </c>
      <c r="F112" s="1063">
        <v>0</v>
      </c>
      <c r="G112" s="1063">
        <v>0</v>
      </c>
      <c r="H112" s="1063">
        <v>0</v>
      </c>
      <c r="I112" s="1063">
        <v>0</v>
      </c>
      <c r="J112" s="1063">
        <v>0</v>
      </c>
      <c r="K112" s="1063">
        <v>0</v>
      </c>
      <c r="L112" s="1063">
        <v>0</v>
      </c>
      <c r="M112" s="1063">
        <v>0</v>
      </c>
      <c r="N112" s="1063">
        <v>0</v>
      </c>
      <c r="O112" s="1063">
        <v>0</v>
      </c>
      <c r="P112" s="1063">
        <v>0</v>
      </c>
      <c r="Q112" s="1063">
        <v>0</v>
      </c>
      <c r="R112" s="1063">
        <v>0</v>
      </c>
      <c r="S112" s="1063">
        <v>0</v>
      </c>
      <c r="T112" s="1063">
        <v>0</v>
      </c>
      <c r="U112" s="1063">
        <v>0</v>
      </c>
      <c r="V112" s="1063"/>
      <c r="W112" s="1049"/>
      <c r="X112" s="1049"/>
      <c r="Y112" s="1049"/>
      <c r="Z112" s="1049"/>
      <c r="AA112" s="1066"/>
      <c r="AB112" s="1065"/>
      <c r="AT112" s="418">
        <v>0</v>
      </c>
      <c r="AU112" s="418">
        <v>0</v>
      </c>
      <c r="AV112" s="418">
        <v>0</v>
      </c>
      <c r="AW112" s="418">
        <v>0</v>
      </c>
      <c r="AX112" s="418">
        <v>0</v>
      </c>
      <c r="AY112" s="418">
        <v>0</v>
      </c>
      <c r="AZ112" s="418">
        <v>0</v>
      </c>
      <c r="BA112" s="418">
        <v>0</v>
      </c>
      <c r="BB112" s="418">
        <v>0</v>
      </c>
      <c r="BC112" s="418">
        <v>0</v>
      </c>
      <c r="BD112" s="418">
        <v>0</v>
      </c>
      <c r="BE112" s="418">
        <v>0</v>
      </c>
      <c r="BF112" s="418">
        <v>0</v>
      </c>
      <c r="BG112" s="418">
        <v>0</v>
      </c>
      <c r="BH112" s="418">
        <v>0</v>
      </c>
      <c r="BI112" s="418">
        <v>0</v>
      </c>
      <c r="BJ112" s="418">
        <v>0</v>
      </c>
      <c r="BK112" s="418">
        <v>0</v>
      </c>
      <c r="BL112" s="418">
        <v>0</v>
      </c>
      <c r="BM112" s="418">
        <v>0</v>
      </c>
      <c r="BN112" s="418">
        <v>0</v>
      </c>
      <c r="BO112" s="418">
        <v>0</v>
      </c>
      <c r="BP112" s="418">
        <v>0</v>
      </c>
      <c r="BQ112" s="418">
        <v>0</v>
      </c>
      <c r="BR112" s="418">
        <v>0</v>
      </c>
      <c r="BS112" s="418">
        <v>0</v>
      </c>
      <c r="BT112" s="418">
        <v>0</v>
      </c>
      <c r="BU112" s="418">
        <v>0</v>
      </c>
      <c r="BV112" s="418">
        <v>0</v>
      </c>
      <c r="BW112" s="418">
        <v>0</v>
      </c>
      <c r="BX112" s="418">
        <v>0</v>
      </c>
      <c r="BY112" s="418">
        <v>0</v>
      </c>
      <c r="BZ112" s="418">
        <v>0</v>
      </c>
      <c r="CA112" s="418">
        <v>0</v>
      </c>
      <c r="CB112" s="418">
        <v>0</v>
      </c>
    </row>
    <row r="113" spans="1:80" s="418" customFormat="1" ht="27.6" x14ac:dyDescent="0.3">
      <c r="A113" s="1052">
        <v>349</v>
      </c>
      <c r="B113" s="1049"/>
      <c r="C113" s="1060" t="s">
        <v>1994</v>
      </c>
      <c r="D113" s="1061" t="s">
        <v>122</v>
      </c>
      <c r="E113" s="1062" t="s">
        <v>430</v>
      </c>
      <c r="F113" s="1063">
        <v>0</v>
      </c>
      <c r="G113" s="1063">
        <v>0</v>
      </c>
      <c r="H113" s="1063">
        <v>0</v>
      </c>
      <c r="I113" s="1063">
        <v>0</v>
      </c>
      <c r="J113" s="1063">
        <v>0</v>
      </c>
      <c r="K113" s="1063">
        <v>0</v>
      </c>
      <c r="L113" s="1063">
        <v>0</v>
      </c>
      <c r="M113" s="1063">
        <v>0</v>
      </c>
      <c r="N113" s="1063">
        <v>0</v>
      </c>
      <c r="O113" s="1063">
        <v>0</v>
      </c>
      <c r="P113" s="1063">
        <v>0</v>
      </c>
      <c r="Q113" s="1063">
        <v>0</v>
      </c>
      <c r="R113" s="1063">
        <v>0</v>
      </c>
      <c r="S113" s="1063">
        <v>0</v>
      </c>
      <c r="T113" s="1063">
        <v>0</v>
      </c>
      <c r="U113" s="1063">
        <v>0</v>
      </c>
      <c r="V113" s="1063"/>
      <c r="W113" s="1049"/>
      <c r="X113" s="1049"/>
      <c r="Y113" s="1049"/>
      <c r="Z113" s="1049"/>
      <c r="AA113" s="1066"/>
      <c r="AB113" s="1065"/>
      <c r="AT113" s="418">
        <v>428926</v>
      </c>
      <c r="AU113" s="418">
        <v>465331</v>
      </c>
      <c r="AV113" s="418">
        <v>9268205</v>
      </c>
      <c r="AW113" s="418">
        <v>240325</v>
      </c>
      <c r="AX113" s="418">
        <v>299718</v>
      </c>
      <c r="AY113" s="418">
        <v>140301</v>
      </c>
      <c r="AZ113" s="418">
        <v>434137</v>
      </c>
      <c r="BA113" s="418">
        <v>4344537</v>
      </c>
      <c r="BB113" s="418">
        <v>16123</v>
      </c>
      <c r="BC113" s="418">
        <v>776949</v>
      </c>
      <c r="BD113" s="418">
        <v>0</v>
      </c>
      <c r="BE113" s="418">
        <v>0</v>
      </c>
      <c r="BF113" s="418">
        <v>14425057</v>
      </c>
      <c r="BG113" s="418">
        <v>0</v>
      </c>
      <c r="BH113" s="418">
        <v>0</v>
      </c>
      <c r="BI113" s="418">
        <v>2101556</v>
      </c>
      <c r="BJ113" s="418">
        <v>1506849</v>
      </c>
      <c r="BK113" s="418">
        <v>0</v>
      </c>
      <c r="BL113" s="418">
        <v>933745</v>
      </c>
      <c r="BM113" s="418">
        <v>1416241</v>
      </c>
      <c r="BN113" s="418">
        <v>0</v>
      </c>
      <c r="BO113" s="418">
        <v>1984459</v>
      </c>
      <c r="BP113" s="418">
        <v>933225</v>
      </c>
      <c r="BQ113" s="418">
        <v>771094</v>
      </c>
      <c r="BR113" s="418">
        <v>1828025</v>
      </c>
      <c r="BS113" s="418">
        <v>0</v>
      </c>
      <c r="BT113" s="418">
        <v>0</v>
      </c>
      <c r="BU113" s="418">
        <v>436931</v>
      </c>
      <c r="BV113" s="418">
        <v>5024080</v>
      </c>
      <c r="BW113" s="418">
        <v>819581</v>
      </c>
      <c r="BX113" s="418">
        <v>605259</v>
      </c>
      <c r="BY113" s="418">
        <v>0</v>
      </c>
      <c r="BZ113" s="418">
        <v>0</v>
      </c>
      <c r="CA113" s="418">
        <v>10364647</v>
      </c>
      <c r="CB113" s="418">
        <v>0</v>
      </c>
    </row>
    <row r="114" spans="1:80" s="418" customFormat="1" ht="27.6" x14ac:dyDescent="0.3">
      <c r="A114" s="1052">
        <v>350</v>
      </c>
      <c r="B114" s="1049"/>
      <c r="C114" s="1060" t="s">
        <v>1995</v>
      </c>
      <c r="D114" s="1061" t="s">
        <v>1807</v>
      </c>
      <c r="E114" s="1062" t="s">
        <v>431</v>
      </c>
      <c r="F114" s="1063">
        <v>0</v>
      </c>
      <c r="G114" s="1063">
        <v>0</v>
      </c>
      <c r="H114" s="1063">
        <v>0</v>
      </c>
      <c r="I114" s="1063">
        <v>0</v>
      </c>
      <c r="J114" s="1063">
        <v>0</v>
      </c>
      <c r="K114" s="1063">
        <v>0</v>
      </c>
      <c r="L114" s="1063">
        <v>0</v>
      </c>
      <c r="M114" s="1063">
        <v>0</v>
      </c>
      <c r="N114" s="1063">
        <v>0</v>
      </c>
      <c r="O114" s="1063">
        <v>0</v>
      </c>
      <c r="P114" s="1063">
        <v>0</v>
      </c>
      <c r="Q114" s="1063">
        <v>0</v>
      </c>
      <c r="R114" s="1063">
        <v>0</v>
      </c>
      <c r="S114" s="1063">
        <v>0</v>
      </c>
      <c r="T114" s="1063">
        <v>0</v>
      </c>
      <c r="U114" s="1063">
        <v>0</v>
      </c>
      <c r="V114" s="1063"/>
      <c r="W114" s="1049"/>
      <c r="X114" s="1049"/>
      <c r="Y114" s="1049"/>
      <c r="Z114" s="1049"/>
      <c r="AA114" s="1066"/>
      <c r="AB114" s="1065"/>
      <c r="AT114" s="418">
        <v>200</v>
      </c>
      <c r="AU114" s="418">
        <v>23469</v>
      </c>
      <c r="AV114" s="418">
        <v>148028</v>
      </c>
      <c r="AW114" s="418">
        <v>3298</v>
      </c>
      <c r="AX114" s="418">
        <v>588458</v>
      </c>
      <c r="AY114" s="418">
        <v>0</v>
      </c>
      <c r="AZ114" s="418">
        <v>12686</v>
      </c>
      <c r="BA114" s="418">
        <v>22685</v>
      </c>
      <c r="BB114" s="418">
        <v>0</v>
      </c>
      <c r="BC114" s="418">
        <v>5</v>
      </c>
      <c r="BD114" s="418">
        <v>0</v>
      </c>
      <c r="BE114" s="418">
        <v>0</v>
      </c>
      <c r="BF114" s="418">
        <v>1672536</v>
      </c>
      <c r="BG114" s="418">
        <v>0</v>
      </c>
      <c r="BH114" s="418">
        <v>0</v>
      </c>
      <c r="BI114" s="418">
        <v>4034</v>
      </c>
      <c r="BJ114" s="418">
        <v>45722</v>
      </c>
      <c r="BK114" s="418">
        <v>0</v>
      </c>
      <c r="BL114" s="418">
        <v>47493</v>
      </c>
      <c r="BM114" s="418">
        <v>39119</v>
      </c>
      <c r="BN114" s="418">
        <v>0</v>
      </c>
      <c r="BO114" s="418">
        <v>93841</v>
      </c>
      <c r="BP114" s="418">
        <v>39318</v>
      </c>
      <c r="BQ114" s="418">
        <v>0</v>
      </c>
      <c r="BR114" s="418">
        <v>5521</v>
      </c>
      <c r="BS114" s="418">
        <v>0</v>
      </c>
      <c r="BT114" s="418">
        <v>0</v>
      </c>
      <c r="BU114" s="418">
        <v>32472</v>
      </c>
      <c r="BV114" s="418">
        <v>44374</v>
      </c>
      <c r="BW114" s="418">
        <v>27849</v>
      </c>
      <c r="BX114" s="418">
        <v>5481</v>
      </c>
      <c r="BY114" s="418">
        <v>0</v>
      </c>
      <c r="BZ114" s="418">
        <v>0</v>
      </c>
      <c r="CA114" s="418">
        <v>105857</v>
      </c>
      <c r="CB114" s="418">
        <v>0</v>
      </c>
    </row>
    <row r="115" spans="1:80" s="418" customFormat="1" ht="15.6" x14ac:dyDescent="0.3">
      <c r="A115" s="1052">
        <v>351</v>
      </c>
      <c r="B115" s="1049"/>
      <c r="C115" s="1060" t="s">
        <v>1996</v>
      </c>
      <c r="D115" s="1061" t="s">
        <v>232</v>
      </c>
      <c r="E115" s="1062" t="s">
        <v>432</v>
      </c>
      <c r="F115" s="1063">
        <v>0</v>
      </c>
      <c r="G115" s="1063">
        <v>0</v>
      </c>
      <c r="H115" s="1063">
        <v>0</v>
      </c>
      <c r="I115" s="1063">
        <v>0</v>
      </c>
      <c r="J115" s="1063">
        <v>0</v>
      </c>
      <c r="K115" s="1063">
        <v>0</v>
      </c>
      <c r="L115" s="1063">
        <v>0</v>
      </c>
      <c r="M115" s="1063">
        <v>0</v>
      </c>
      <c r="N115" s="1063">
        <v>0</v>
      </c>
      <c r="O115" s="1063">
        <v>0</v>
      </c>
      <c r="P115" s="1063">
        <v>0</v>
      </c>
      <c r="Q115" s="1063">
        <v>0</v>
      </c>
      <c r="R115" s="1063">
        <v>0</v>
      </c>
      <c r="S115" s="1063">
        <v>0</v>
      </c>
      <c r="T115" s="1063">
        <v>0</v>
      </c>
      <c r="U115" s="1063">
        <v>0</v>
      </c>
      <c r="V115" s="1063"/>
      <c r="W115" s="1049"/>
      <c r="X115" s="1049"/>
      <c r="Y115" s="1049"/>
      <c r="Z115" s="1049"/>
      <c r="AA115" s="1066"/>
      <c r="AB115" s="1065"/>
      <c r="AT115" s="418">
        <v>6765</v>
      </c>
      <c r="AU115" s="418">
        <v>0</v>
      </c>
      <c r="AV115" s="418">
        <v>175910</v>
      </c>
      <c r="AW115" s="418">
        <v>3060</v>
      </c>
      <c r="AX115" s="418">
        <v>9939</v>
      </c>
      <c r="AY115" s="418">
        <v>4652</v>
      </c>
      <c r="AZ115" s="418">
        <v>4124</v>
      </c>
      <c r="BA115" s="418">
        <v>102194</v>
      </c>
      <c r="BB115" s="418">
        <v>0</v>
      </c>
      <c r="BC115" s="418">
        <v>787</v>
      </c>
      <c r="BD115" s="418">
        <v>0</v>
      </c>
      <c r="BE115" s="418">
        <v>0</v>
      </c>
      <c r="BF115" s="418">
        <v>36713</v>
      </c>
      <c r="BG115" s="418">
        <v>0</v>
      </c>
      <c r="BH115" s="418">
        <v>0</v>
      </c>
      <c r="BI115" s="418">
        <v>50191</v>
      </c>
      <c r="BJ115" s="418">
        <v>30800</v>
      </c>
      <c r="BK115" s="418">
        <v>0</v>
      </c>
      <c r="BL115" s="418">
        <v>0</v>
      </c>
      <c r="BM115" s="418">
        <v>7474</v>
      </c>
      <c r="BN115" s="418">
        <v>0</v>
      </c>
      <c r="BO115" s="418">
        <v>18358</v>
      </c>
      <c r="BP115" s="418">
        <v>23427</v>
      </c>
      <c r="BQ115" s="418">
        <v>34246</v>
      </c>
      <c r="BR115" s="418">
        <v>0</v>
      </c>
      <c r="BS115" s="418">
        <v>0</v>
      </c>
      <c r="BT115" s="418">
        <v>0</v>
      </c>
      <c r="BU115" s="418">
        <v>9443</v>
      </c>
      <c r="BV115" s="418">
        <v>47228</v>
      </c>
      <c r="BW115" s="418">
        <v>17803</v>
      </c>
      <c r="BX115" s="418">
        <v>1084610</v>
      </c>
      <c r="BY115" s="418">
        <v>0</v>
      </c>
      <c r="BZ115" s="418">
        <v>0</v>
      </c>
      <c r="CA115" s="418">
        <v>100206</v>
      </c>
      <c r="CB115" s="418">
        <v>0</v>
      </c>
    </row>
    <row r="116" spans="1:80" s="418" customFormat="1" ht="15.6" x14ac:dyDescent="0.3">
      <c r="A116" s="1052">
        <v>352</v>
      </c>
      <c r="B116" s="1049"/>
      <c r="C116" s="1060" t="s">
        <v>1997</v>
      </c>
      <c r="D116" s="1061" t="s">
        <v>234</v>
      </c>
      <c r="E116" s="1062" t="s">
        <v>433</v>
      </c>
      <c r="F116" s="1063">
        <v>0</v>
      </c>
      <c r="G116" s="1063">
        <v>0</v>
      </c>
      <c r="H116" s="1063">
        <v>0</v>
      </c>
      <c r="I116" s="1063">
        <v>0</v>
      </c>
      <c r="J116" s="1063">
        <v>0</v>
      </c>
      <c r="K116" s="1063">
        <v>0</v>
      </c>
      <c r="L116" s="1063">
        <v>0</v>
      </c>
      <c r="M116" s="1063">
        <v>0</v>
      </c>
      <c r="N116" s="1063">
        <v>0</v>
      </c>
      <c r="O116" s="1063">
        <v>0</v>
      </c>
      <c r="P116" s="1063">
        <v>0</v>
      </c>
      <c r="Q116" s="1063">
        <v>0</v>
      </c>
      <c r="R116" s="1063">
        <v>0</v>
      </c>
      <c r="S116" s="1063">
        <v>0</v>
      </c>
      <c r="T116" s="1063">
        <v>0</v>
      </c>
      <c r="U116" s="1063">
        <v>0</v>
      </c>
      <c r="V116" s="1063"/>
      <c r="W116" s="1049"/>
      <c r="X116" s="1049"/>
      <c r="Y116" s="1049"/>
      <c r="Z116" s="1049"/>
      <c r="AA116" s="1066"/>
      <c r="AB116" s="1049"/>
      <c r="AT116" s="418">
        <v>10765</v>
      </c>
      <c r="AU116" s="418">
        <v>0</v>
      </c>
      <c r="AV116" s="418">
        <v>0</v>
      </c>
      <c r="AW116" s="418">
        <v>0</v>
      </c>
      <c r="AX116" s="418">
        <v>0</v>
      </c>
      <c r="AY116" s="418">
        <v>0</v>
      </c>
      <c r="AZ116" s="418">
        <v>0</v>
      </c>
      <c r="BA116" s="418">
        <v>0</v>
      </c>
      <c r="BB116" s="418">
        <v>0</v>
      </c>
      <c r="BC116" s="418">
        <v>0</v>
      </c>
      <c r="BD116" s="418">
        <v>0</v>
      </c>
      <c r="BE116" s="418">
        <v>0</v>
      </c>
      <c r="BF116" s="418">
        <v>0</v>
      </c>
      <c r="BG116" s="418">
        <v>0</v>
      </c>
      <c r="BH116" s="418">
        <v>0</v>
      </c>
      <c r="BI116" s="418">
        <v>0</v>
      </c>
      <c r="BJ116" s="418">
        <v>0</v>
      </c>
      <c r="BK116" s="418">
        <v>0</v>
      </c>
      <c r="BL116" s="418">
        <v>0</v>
      </c>
      <c r="BM116" s="418">
        <v>0</v>
      </c>
      <c r="BN116" s="418">
        <v>0</v>
      </c>
      <c r="BO116" s="418">
        <v>0</v>
      </c>
      <c r="BP116" s="418">
        <v>0</v>
      </c>
      <c r="BQ116" s="418">
        <v>0</v>
      </c>
      <c r="BR116" s="418">
        <v>0</v>
      </c>
      <c r="BS116" s="418">
        <v>0</v>
      </c>
      <c r="BT116" s="418">
        <v>0</v>
      </c>
      <c r="BU116" s="418">
        <v>6211</v>
      </c>
      <c r="BV116" s="418">
        <v>21072</v>
      </c>
      <c r="BW116" s="418">
        <v>129596</v>
      </c>
      <c r="BX116" s="418">
        <v>0</v>
      </c>
      <c r="BY116" s="418">
        <v>0</v>
      </c>
      <c r="BZ116" s="418">
        <v>0</v>
      </c>
      <c r="CA116" s="418">
        <v>1395</v>
      </c>
      <c r="CB116" s="418">
        <v>0</v>
      </c>
    </row>
    <row r="117" spans="1:80" s="418" customFormat="1" ht="15.6" x14ac:dyDescent="0.3">
      <c r="A117" s="1052">
        <v>353</v>
      </c>
      <c r="B117" s="1049"/>
      <c r="C117" s="1060" t="s">
        <v>1998</v>
      </c>
      <c r="D117" s="1061" t="s">
        <v>235</v>
      </c>
      <c r="E117" s="1062" t="s">
        <v>434</v>
      </c>
      <c r="F117" s="1063">
        <v>0</v>
      </c>
      <c r="G117" s="1063">
        <v>0</v>
      </c>
      <c r="H117" s="1063">
        <v>0</v>
      </c>
      <c r="I117" s="1063">
        <v>0</v>
      </c>
      <c r="J117" s="1063">
        <v>0</v>
      </c>
      <c r="K117" s="1063">
        <v>0</v>
      </c>
      <c r="L117" s="1063">
        <v>0</v>
      </c>
      <c r="M117" s="1063">
        <v>0</v>
      </c>
      <c r="N117" s="1063">
        <v>0</v>
      </c>
      <c r="O117" s="1063">
        <v>0</v>
      </c>
      <c r="P117" s="1063">
        <v>0</v>
      </c>
      <c r="Q117" s="1063">
        <v>0</v>
      </c>
      <c r="R117" s="1063">
        <v>0</v>
      </c>
      <c r="S117" s="1063">
        <v>0</v>
      </c>
      <c r="T117" s="1063">
        <v>0</v>
      </c>
      <c r="U117" s="1063">
        <v>0</v>
      </c>
      <c r="V117" s="1063"/>
      <c r="W117" s="1049"/>
      <c r="X117" s="1049"/>
      <c r="Y117" s="1049"/>
      <c r="Z117" s="1049"/>
      <c r="AA117" s="1066"/>
      <c r="AB117" s="1049"/>
      <c r="AT117" s="418">
        <v>11853</v>
      </c>
      <c r="AU117" s="418">
        <v>0</v>
      </c>
      <c r="AV117" s="418">
        <v>379096</v>
      </c>
      <c r="AW117" s="418">
        <v>20000</v>
      </c>
      <c r="AX117" s="418">
        <v>0</v>
      </c>
      <c r="AY117" s="418">
        <v>0</v>
      </c>
      <c r="AZ117" s="418">
        <v>60000</v>
      </c>
      <c r="BA117" s="418">
        <v>0</v>
      </c>
      <c r="BB117" s="418">
        <v>0</v>
      </c>
      <c r="BC117" s="418">
        <v>0</v>
      </c>
      <c r="BD117" s="418">
        <v>0</v>
      </c>
      <c r="BE117" s="418">
        <v>0</v>
      </c>
      <c r="BF117" s="418">
        <v>0</v>
      </c>
      <c r="BG117" s="418">
        <v>0</v>
      </c>
      <c r="BH117" s="418">
        <v>0</v>
      </c>
      <c r="BI117" s="418">
        <v>0</v>
      </c>
      <c r="BJ117" s="418">
        <v>0</v>
      </c>
      <c r="BK117" s="418">
        <v>0</v>
      </c>
      <c r="BL117" s="418">
        <v>0</v>
      </c>
      <c r="BM117" s="418">
        <v>0</v>
      </c>
      <c r="BN117" s="418">
        <v>0</v>
      </c>
      <c r="BO117" s="418">
        <v>173000</v>
      </c>
      <c r="BP117" s="418">
        <v>0</v>
      </c>
      <c r="BQ117" s="418">
        <v>0</v>
      </c>
      <c r="BR117" s="418">
        <v>1495868</v>
      </c>
      <c r="BS117" s="418">
        <v>0</v>
      </c>
      <c r="BT117" s="418">
        <v>0</v>
      </c>
      <c r="BU117" s="418">
        <v>0</v>
      </c>
      <c r="BV117" s="418">
        <v>0</v>
      </c>
      <c r="BW117" s="418">
        <v>0</v>
      </c>
      <c r="BX117" s="418">
        <v>0</v>
      </c>
      <c r="BY117" s="418">
        <v>0</v>
      </c>
      <c r="BZ117" s="418">
        <v>0</v>
      </c>
      <c r="CA117" s="418">
        <v>0</v>
      </c>
      <c r="CB117" s="418">
        <v>0</v>
      </c>
    </row>
    <row r="118" spans="1:80" s="418" customFormat="1" ht="27.6" x14ac:dyDescent="0.3">
      <c r="A118" s="1052">
        <v>356</v>
      </c>
      <c r="B118" s="1049"/>
      <c r="C118" s="1060" t="s">
        <v>1999</v>
      </c>
      <c r="D118" s="1061" t="s">
        <v>552</v>
      </c>
      <c r="E118" s="1062" t="s">
        <v>435</v>
      </c>
      <c r="F118" s="1063">
        <v>0</v>
      </c>
      <c r="G118" s="1063">
        <v>0</v>
      </c>
      <c r="H118" s="1063">
        <v>0</v>
      </c>
      <c r="I118" s="1063">
        <v>0</v>
      </c>
      <c r="J118" s="1063">
        <v>0</v>
      </c>
      <c r="K118" s="1063">
        <v>0</v>
      </c>
      <c r="L118" s="1063">
        <v>0</v>
      </c>
      <c r="M118" s="1063">
        <v>0</v>
      </c>
      <c r="N118" s="1063">
        <v>0</v>
      </c>
      <c r="O118" s="1063">
        <v>0</v>
      </c>
      <c r="P118" s="1063">
        <v>0</v>
      </c>
      <c r="Q118" s="1063">
        <v>0</v>
      </c>
      <c r="R118" s="1063">
        <v>0</v>
      </c>
      <c r="S118" s="1063">
        <v>0</v>
      </c>
      <c r="T118" s="1063">
        <v>0</v>
      </c>
      <c r="U118" s="1063">
        <v>0</v>
      </c>
      <c r="V118" s="1063"/>
      <c r="W118" s="1049"/>
      <c r="X118" s="1049"/>
      <c r="Y118" s="1049"/>
      <c r="Z118" s="1049"/>
      <c r="AA118" s="1066"/>
      <c r="AB118" s="1049"/>
      <c r="AT118" s="418">
        <v>0</v>
      </c>
      <c r="AU118" s="418">
        <v>0</v>
      </c>
      <c r="AV118" s="418">
        <v>6253714</v>
      </c>
      <c r="AW118" s="418">
        <v>0</v>
      </c>
      <c r="AX118" s="418">
        <v>0</v>
      </c>
      <c r="AY118" s="418">
        <v>0</v>
      </c>
      <c r="AZ118" s="418">
        <v>0</v>
      </c>
      <c r="BA118" s="418">
        <v>10800097</v>
      </c>
      <c r="BB118" s="418">
        <v>0</v>
      </c>
      <c r="BC118" s="418">
        <v>0</v>
      </c>
      <c r="BD118" s="418">
        <v>0</v>
      </c>
      <c r="BE118" s="418">
        <v>0</v>
      </c>
      <c r="BF118" s="418">
        <v>35732952</v>
      </c>
      <c r="BG118" s="418">
        <v>0</v>
      </c>
      <c r="BH118" s="418">
        <v>0</v>
      </c>
      <c r="BI118" s="418">
        <v>0</v>
      </c>
      <c r="BJ118" s="418">
        <v>0</v>
      </c>
      <c r="BK118" s="418">
        <v>0</v>
      </c>
      <c r="BL118" s="418">
        <v>6765833</v>
      </c>
      <c r="BM118" s="418">
        <v>0</v>
      </c>
      <c r="BN118" s="418">
        <v>0</v>
      </c>
      <c r="BO118" s="418">
        <v>0</v>
      </c>
      <c r="BP118" s="418">
        <v>0</v>
      </c>
      <c r="BQ118" s="418">
        <v>0</v>
      </c>
      <c r="BR118" s="418">
        <v>0</v>
      </c>
      <c r="BS118" s="418">
        <v>0</v>
      </c>
      <c r="BT118" s="418">
        <v>0</v>
      </c>
      <c r="BU118" s="418">
        <v>0</v>
      </c>
      <c r="BV118" s="418">
        <v>0</v>
      </c>
      <c r="BW118" s="418">
        <v>0</v>
      </c>
      <c r="BX118" s="418">
        <v>0</v>
      </c>
      <c r="BY118" s="418">
        <v>0</v>
      </c>
      <c r="BZ118" s="418">
        <v>0</v>
      </c>
      <c r="CA118" s="418">
        <v>0</v>
      </c>
      <c r="CB118" s="418">
        <v>0</v>
      </c>
    </row>
    <row r="119" spans="1:80" s="418" customFormat="1" ht="15.6" x14ac:dyDescent="0.3">
      <c r="A119" s="1052">
        <v>357</v>
      </c>
      <c r="B119" s="1049"/>
      <c r="C119" s="1060" t="s">
        <v>2000</v>
      </c>
      <c r="D119" s="1061" t="s">
        <v>553</v>
      </c>
      <c r="E119" s="1062" t="s">
        <v>436</v>
      </c>
      <c r="F119" s="1063">
        <v>0</v>
      </c>
      <c r="G119" s="1063">
        <v>0</v>
      </c>
      <c r="H119" s="1063">
        <v>0</v>
      </c>
      <c r="I119" s="1063">
        <v>0</v>
      </c>
      <c r="J119" s="1063">
        <v>0</v>
      </c>
      <c r="K119" s="1063">
        <v>0</v>
      </c>
      <c r="L119" s="1063">
        <v>0</v>
      </c>
      <c r="M119" s="1063">
        <v>0</v>
      </c>
      <c r="N119" s="1063">
        <v>0</v>
      </c>
      <c r="O119" s="1063">
        <v>0</v>
      </c>
      <c r="P119" s="1063">
        <v>0</v>
      </c>
      <c r="Q119" s="1063">
        <v>0</v>
      </c>
      <c r="R119" s="1063">
        <v>0</v>
      </c>
      <c r="S119" s="1063">
        <v>0</v>
      </c>
      <c r="T119" s="1063">
        <v>0</v>
      </c>
      <c r="U119" s="1063">
        <v>0</v>
      </c>
      <c r="V119" s="1063"/>
      <c r="W119" s="1049"/>
      <c r="X119" s="1049"/>
      <c r="Y119" s="1049"/>
      <c r="Z119" s="1049"/>
      <c r="AA119" s="1066"/>
      <c r="AB119" s="1049"/>
      <c r="AT119" s="418">
        <v>0</v>
      </c>
      <c r="AU119" s="418">
        <v>0</v>
      </c>
      <c r="AV119" s="418">
        <v>4369561</v>
      </c>
      <c r="AW119" s="418">
        <v>0</v>
      </c>
      <c r="AX119" s="418">
        <v>0</v>
      </c>
      <c r="AY119" s="418">
        <v>0</v>
      </c>
      <c r="AZ119" s="418">
        <v>0</v>
      </c>
      <c r="BA119" s="418">
        <v>7827873</v>
      </c>
      <c r="BB119" s="418">
        <v>0</v>
      </c>
      <c r="BC119" s="418">
        <v>0</v>
      </c>
      <c r="BD119" s="418">
        <v>0</v>
      </c>
      <c r="BE119" s="418">
        <v>0</v>
      </c>
      <c r="BF119" s="418">
        <v>23101162</v>
      </c>
      <c r="BG119" s="418">
        <v>0</v>
      </c>
      <c r="BH119" s="418">
        <v>0</v>
      </c>
      <c r="BI119" s="418">
        <v>0</v>
      </c>
      <c r="BJ119" s="418">
        <v>0</v>
      </c>
      <c r="BK119" s="418">
        <v>0</v>
      </c>
      <c r="BL119" s="418">
        <v>4499353</v>
      </c>
      <c r="BM119" s="418">
        <v>0</v>
      </c>
      <c r="BN119" s="418">
        <v>0</v>
      </c>
      <c r="BO119" s="418">
        <v>0</v>
      </c>
      <c r="BP119" s="418">
        <v>0</v>
      </c>
      <c r="BQ119" s="418">
        <v>0</v>
      </c>
      <c r="BR119" s="418">
        <v>0</v>
      </c>
      <c r="BS119" s="418">
        <v>0</v>
      </c>
      <c r="BT119" s="418">
        <v>0</v>
      </c>
      <c r="BU119" s="418">
        <v>0</v>
      </c>
      <c r="BV119" s="418">
        <v>0</v>
      </c>
      <c r="BW119" s="418">
        <v>0</v>
      </c>
      <c r="BX119" s="418">
        <v>0</v>
      </c>
      <c r="BY119" s="418">
        <v>0</v>
      </c>
      <c r="BZ119" s="418">
        <v>0</v>
      </c>
      <c r="CA119" s="418">
        <v>0</v>
      </c>
      <c r="CB119" s="418">
        <v>0</v>
      </c>
    </row>
    <row r="120" spans="1:80" s="418" customFormat="1" ht="15.6" x14ac:dyDescent="0.3">
      <c r="A120" s="1052">
        <v>359</v>
      </c>
      <c r="B120" s="1049"/>
      <c r="C120" s="1060" t="s">
        <v>2001</v>
      </c>
      <c r="D120" s="1061" t="s">
        <v>256</v>
      </c>
      <c r="E120" s="1062" t="s">
        <v>437</v>
      </c>
      <c r="F120" s="1063">
        <v>0</v>
      </c>
      <c r="G120" s="1063">
        <v>0</v>
      </c>
      <c r="H120" s="1063">
        <v>0</v>
      </c>
      <c r="I120" s="1063">
        <v>0</v>
      </c>
      <c r="J120" s="1063">
        <v>0</v>
      </c>
      <c r="K120" s="1063">
        <v>0</v>
      </c>
      <c r="L120" s="1063">
        <v>0</v>
      </c>
      <c r="M120" s="1063">
        <v>0</v>
      </c>
      <c r="N120" s="1063">
        <v>0</v>
      </c>
      <c r="O120" s="1063">
        <v>0</v>
      </c>
      <c r="P120" s="1063">
        <v>0</v>
      </c>
      <c r="Q120" s="1063">
        <v>0</v>
      </c>
      <c r="R120" s="1063">
        <v>0</v>
      </c>
      <c r="S120" s="1063">
        <v>0</v>
      </c>
      <c r="T120" s="1063">
        <v>0</v>
      </c>
      <c r="U120" s="1063">
        <v>0</v>
      </c>
      <c r="V120" s="1063"/>
      <c r="W120" s="1049"/>
      <c r="X120" s="1049"/>
      <c r="Y120" s="1049"/>
      <c r="Z120" s="1049"/>
      <c r="AA120" s="1066"/>
      <c r="AB120" s="1049"/>
      <c r="AT120" s="418">
        <v>0</v>
      </c>
      <c r="AU120" s="418">
        <v>0</v>
      </c>
      <c r="AV120" s="418">
        <v>0</v>
      </c>
      <c r="AW120" s="418">
        <v>0</v>
      </c>
      <c r="AX120" s="418">
        <v>0</v>
      </c>
      <c r="AY120" s="418">
        <v>0</v>
      </c>
      <c r="AZ120" s="418">
        <v>0</v>
      </c>
      <c r="BA120" s="418">
        <v>230378</v>
      </c>
      <c r="BB120" s="418">
        <v>0</v>
      </c>
      <c r="BC120" s="418">
        <v>0</v>
      </c>
      <c r="BD120" s="418">
        <v>0</v>
      </c>
      <c r="BE120" s="418">
        <v>0</v>
      </c>
      <c r="BF120" s="418">
        <v>0</v>
      </c>
      <c r="BG120" s="418">
        <v>0</v>
      </c>
      <c r="BH120" s="418">
        <v>0</v>
      </c>
      <c r="BI120" s="418">
        <v>0</v>
      </c>
      <c r="BJ120" s="418">
        <v>0</v>
      </c>
      <c r="BK120" s="418">
        <v>0</v>
      </c>
      <c r="BL120" s="418">
        <v>0</v>
      </c>
      <c r="BM120" s="418">
        <v>0</v>
      </c>
      <c r="BN120" s="418">
        <v>0</v>
      </c>
      <c r="BO120" s="418">
        <v>0</v>
      </c>
      <c r="BP120" s="418">
        <v>0</v>
      </c>
      <c r="BQ120" s="418">
        <v>0</v>
      </c>
      <c r="BR120" s="418">
        <v>0</v>
      </c>
      <c r="BS120" s="418">
        <v>0</v>
      </c>
      <c r="BT120" s="418">
        <v>0</v>
      </c>
      <c r="BU120" s="418">
        <v>0</v>
      </c>
      <c r="BV120" s="418">
        <v>0</v>
      </c>
      <c r="BW120" s="418">
        <v>0</v>
      </c>
      <c r="BX120" s="418">
        <v>0</v>
      </c>
      <c r="BY120" s="418">
        <v>0</v>
      </c>
      <c r="BZ120" s="418">
        <v>0</v>
      </c>
      <c r="CA120" s="418">
        <v>0</v>
      </c>
      <c r="CB120" s="418">
        <v>0</v>
      </c>
    </row>
    <row r="121" spans="1:80" s="418" customFormat="1" ht="27.6" x14ac:dyDescent="0.3">
      <c r="A121" s="1052">
        <v>360</v>
      </c>
      <c r="B121" s="1049"/>
      <c r="C121" s="1060" t="s">
        <v>2002</v>
      </c>
      <c r="D121" s="1061" t="s">
        <v>125</v>
      </c>
      <c r="E121" s="1062" t="s">
        <v>438</v>
      </c>
      <c r="F121" s="1063">
        <v>0</v>
      </c>
      <c r="G121" s="1063">
        <v>0</v>
      </c>
      <c r="H121" s="1063">
        <v>0</v>
      </c>
      <c r="I121" s="1063">
        <v>0</v>
      </c>
      <c r="J121" s="1063">
        <v>0</v>
      </c>
      <c r="K121" s="1063">
        <v>0</v>
      </c>
      <c r="L121" s="1063">
        <v>0</v>
      </c>
      <c r="M121" s="1063">
        <v>0</v>
      </c>
      <c r="N121" s="1063">
        <v>0</v>
      </c>
      <c r="O121" s="1063">
        <v>0</v>
      </c>
      <c r="P121" s="1063">
        <v>0</v>
      </c>
      <c r="Q121" s="1063">
        <v>0</v>
      </c>
      <c r="R121" s="1063">
        <v>0</v>
      </c>
      <c r="S121" s="1063">
        <v>0</v>
      </c>
      <c r="T121" s="1063">
        <v>0</v>
      </c>
      <c r="U121" s="1063">
        <v>0</v>
      </c>
      <c r="V121" s="1063"/>
      <c r="W121" s="1049"/>
      <c r="X121" s="1049"/>
      <c r="Y121" s="1049"/>
      <c r="Z121" s="1049"/>
      <c r="AA121" s="1066"/>
      <c r="AB121" s="1065"/>
      <c r="AT121" s="418">
        <v>0</v>
      </c>
      <c r="AU121" s="418">
        <v>0</v>
      </c>
      <c r="AV121" s="418">
        <v>1503653</v>
      </c>
      <c r="AW121" s="418">
        <v>0</v>
      </c>
      <c r="AX121" s="418">
        <v>0</v>
      </c>
      <c r="AY121" s="418">
        <v>0</v>
      </c>
      <c r="AZ121" s="418">
        <v>0</v>
      </c>
      <c r="BA121" s="418">
        <v>1374646</v>
      </c>
      <c r="BB121" s="418">
        <v>0</v>
      </c>
      <c r="BC121" s="418">
        <v>0</v>
      </c>
      <c r="BD121" s="418">
        <v>0</v>
      </c>
      <c r="BE121" s="418">
        <v>0</v>
      </c>
      <c r="BF121" s="418">
        <v>9694508</v>
      </c>
      <c r="BG121" s="418">
        <v>0</v>
      </c>
      <c r="BH121" s="418">
        <v>0</v>
      </c>
      <c r="BI121" s="418">
        <v>0</v>
      </c>
      <c r="BJ121" s="418">
        <v>0</v>
      </c>
      <c r="BK121" s="418">
        <v>0</v>
      </c>
      <c r="BL121" s="418">
        <v>315641</v>
      </c>
      <c r="BM121" s="418">
        <v>0</v>
      </c>
      <c r="BN121" s="418">
        <v>0</v>
      </c>
      <c r="BO121" s="418">
        <v>0</v>
      </c>
      <c r="BP121" s="418">
        <v>0</v>
      </c>
      <c r="BQ121" s="418">
        <v>0</v>
      </c>
      <c r="BR121" s="418">
        <v>0</v>
      </c>
      <c r="BS121" s="418">
        <v>0</v>
      </c>
      <c r="BT121" s="418">
        <v>0</v>
      </c>
      <c r="BU121" s="418">
        <v>0</v>
      </c>
      <c r="BV121" s="418">
        <v>0</v>
      </c>
      <c r="BW121" s="418">
        <v>0</v>
      </c>
      <c r="BX121" s="418">
        <v>0</v>
      </c>
      <c r="BY121" s="418">
        <v>0</v>
      </c>
      <c r="BZ121" s="418">
        <v>0</v>
      </c>
      <c r="CA121" s="418">
        <v>0</v>
      </c>
      <c r="CB121" s="418">
        <v>0</v>
      </c>
    </row>
    <row r="122" spans="1:80" s="418" customFormat="1" ht="15.6" x14ac:dyDescent="0.3">
      <c r="A122" s="1052">
        <v>361</v>
      </c>
      <c r="B122" s="1049"/>
      <c r="C122" s="1060" t="s">
        <v>2003</v>
      </c>
      <c r="D122" s="1061" t="s">
        <v>106</v>
      </c>
      <c r="E122" s="1062" t="s">
        <v>439</v>
      </c>
      <c r="F122" s="1063">
        <v>0</v>
      </c>
      <c r="G122" s="1063">
        <v>0</v>
      </c>
      <c r="H122" s="1063">
        <v>0</v>
      </c>
      <c r="I122" s="1063">
        <v>0</v>
      </c>
      <c r="J122" s="1063">
        <v>0</v>
      </c>
      <c r="K122" s="1063">
        <v>0</v>
      </c>
      <c r="L122" s="1063">
        <v>0</v>
      </c>
      <c r="M122" s="1063">
        <v>0</v>
      </c>
      <c r="N122" s="1063">
        <v>0</v>
      </c>
      <c r="O122" s="1063">
        <v>0</v>
      </c>
      <c r="P122" s="1063">
        <v>0</v>
      </c>
      <c r="Q122" s="1063">
        <v>0</v>
      </c>
      <c r="R122" s="1063">
        <v>0</v>
      </c>
      <c r="S122" s="1063">
        <v>0</v>
      </c>
      <c r="T122" s="1063">
        <v>0</v>
      </c>
      <c r="U122" s="1063">
        <v>0</v>
      </c>
      <c r="V122" s="1063"/>
      <c r="W122" s="1049"/>
      <c r="X122" s="1049"/>
      <c r="Y122" s="1049"/>
      <c r="Z122" s="1049"/>
      <c r="AA122" s="1066"/>
      <c r="AB122" s="1049"/>
      <c r="AT122" s="418">
        <v>0</v>
      </c>
      <c r="AU122" s="418">
        <v>0</v>
      </c>
      <c r="AV122" s="418">
        <v>3370542</v>
      </c>
      <c r="AW122" s="418">
        <v>0</v>
      </c>
      <c r="AX122" s="418">
        <v>0</v>
      </c>
      <c r="AY122" s="418">
        <v>0</v>
      </c>
      <c r="AZ122" s="418">
        <v>0</v>
      </c>
      <c r="BA122" s="418">
        <v>1350829</v>
      </c>
      <c r="BB122" s="418">
        <v>0</v>
      </c>
      <c r="BC122" s="418">
        <v>0</v>
      </c>
      <c r="BD122" s="418">
        <v>0</v>
      </c>
      <c r="BE122" s="418">
        <v>0</v>
      </c>
      <c r="BF122" s="418">
        <v>7137581</v>
      </c>
      <c r="BG122" s="418">
        <v>0</v>
      </c>
      <c r="BH122" s="418">
        <v>0</v>
      </c>
      <c r="BI122" s="418">
        <v>0</v>
      </c>
      <c r="BJ122" s="418">
        <v>0</v>
      </c>
      <c r="BK122" s="418">
        <v>0</v>
      </c>
      <c r="BL122" s="418">
        <v>3323193</v>
      </c>
      <c r="BM122" s="418">
        <v>0</v>
      </c>
      <c r="BN122" s="418">
        <v>0</v>
      </c>
      <c r="BO122" s="418">
        <v>0</v>
      </c>
      <c r="BP122" s="418">
        <v>0</v>
      </c>
      <c r="BQ122" s="418">
        <v>0</v>
      </c>
      <c r="BR122" s="418">
        <v>0</v>
      </c>
      <c r="BS122" s="418">
        <v>0</v>
      </c>
      <c r="BT122" s="418">
        <v>0</v>
      </c>
      <c r="BU122" s="418">
        <v>0</v>
      </c>
      <c r="BV122" s="418">
        <v>0</v>
      </c>
      <c r="BW122" s="418">
        <v>0</v>
      </c>
      <c r="BX122" s="418">
        <v>0</v>
      </c>
      <c r="BY122" s="418">
        <v>0</v>
      </c>
      <c r="BZ122" s="418">
        <v>0</v>
      </c>
      <c r="CA122" s="418">
        <v>0</v>
      </c>
      <c r="CB122" s="418">
        <v>0</v>
      </c>
    </row>
    <row r="123" spans="1:80" s="418" customFormat="1" ht="15.6" x14ac:dyDescent="0.3">
      <c r="A123" s="1052">
        <v>362</v>
      </c>
      <c r="B123" s="1049"/>
      <c r="C123" s="1060" t="s">
        <v>2004</v>
      </c>
      <c r="D123" s="1061" t="s">
        <v>107</v>
      </c>
      <c r="E123" s="1062" t="s">
        <v>440</v>
      </c>
      <c r="F123" s="1063">
        <v>0</v>
      </c>
      <c r="G123" s="1063">
        <v>0</v>
      </c>
      <c r="H123" s="1063">
        <v>0</v>
      </c>
      <c r="I123" s="1063">
        <v>0</v>
      </c>
      <c r="J123" s="1063">
        <v>0</v>
      </c>
      <c r="K123" s="1063">
        <v>0</v>
      </c>
      <c r="L123" s="1063">
        <v>0</v>
      </c>
      <c r="M123" s="1063">
        <v>0</v>
      </c>
      <c r="N123" s="1063">
        <v>0</v>
      </c>
      <c r="O123" s="1063">
        <v>0</v>
      </c>
      <c r="P123" s="1063">
        <v>0</v>
      </c>
      <c r="Q123" s="1063">
        <v>0</v>
      </c>
      <c r="R123" s="1063">
        <v>0</v>
      </c>
      <c r="S123" s="1063">
        <v>0</v>
      </c>
      <c r="T123" s="1063">
        <v>0</v>
      </c>
      <c r="U123" s="1063">
        <v>0</v>
      </c>
      <c r="V123" s="1063"/>
      <c r="W123" s="1049"/>
      <c r="X123" s="1049"/>
      <c r="Y123" s="1049"/>
      <c r="Z123" s="1049"/>
      <c r="AA123" s="1066"/>
      <c r="AB123" s="1049"/>
      <c r="AT123" s="418">
        <v>0</v>
      </c>
      <c r="AU123" s="418">
        <v>0</v>
      </c>
      <c r="AV123" s="418">
        <v>6985300</v>
      </c>
      <c r="AW123" s="418">
        <v>0</v>
      </c>
      <c r="AX123" s="418">
        <v>0</v>
      </c>
      <c r="AY123" s="418">
        <v>0</v>
      </c>
      <c r="AZ123" s="418">
        <v>0</v>
      </c>
      <c r="BA123" s="418">
        <v>5255654</v>
      </c>
      <c r="BB123" s="418">
        <v>0</v>
      </c>
      <c r="BC123" s="418">
        <v>0</v>
      </c>
      <c r="BD123" s="418">
        <v>0</v>
      </c>
      <c r="BE123" s="418">
        <v>0</v>
      </c>
      <c r="BF123" s="418">
        <v>20395826</v>
      </c>
      <c r="BG123" s="418">
        <v>0</v>
      </c>
      <c r="BH123" s="418">
        <v>0</v>
      </c>
      <c r="BI123" s="418">
        <v>0</v>
      </c>
      <c r="BJ123" s="418">
        <v>0</v>
      </c>
      <c r="BK123" s="418">
        <v>0</v>
      </c>
      <c r="BL123" s="418">
        <v>5609473</v>
      </c>
      <c r="BM123" s="418">
        <v>0</v>
      </c>
      <c r="BN123" s="418">
        <v>0</v>
      </c>
      <c r="BO123" s="418">
        <v>0</v>
      </c>
      <c r="BP123" s="418">
        <v>0</v>
      </c>
      <c r="BQ123" s="418">
        <v>0</v>
      </c>
      <c r="BR123" s="418">
        <v>0</v>
      </c>
      <c r="BS123" s="418">
        <v>0</v>
      </c>
      <c r="BT123" s="418">
        <v>0</v>
      </c>
      <c r="BU123" s="418">
        <v>0</v>
      </c>
      <c r="BV123" s="418">
        <v>0</v>
      </c>
      <c r="BW123" s="418">
        <v>0</v>
      </c>
      <c r="BX123" s="418">
        <v>0</v>
      </c>
      <c r="BY123" s="418">
        <v>0</v>
      </c>
      <c r="BZ123" s="418">
        <v>0</v>
      </c>
      <c r="CA123" s="418">
        <v>0</v>
      </c>
      <c r="CB123" s="418">
        <v>0</v>
      </c>
    </row>
    <row r="124" spans="1:80" s="418" customFormat="1" ht="27.6" x14ac:dyDescent="0.3">
      <c r="A124" s="1052">
        <v>363</v>
      </c>
      <c r="B124" s="1049"/>
      <c r="C124" s="1060" t="s">
        <v>2005</v>
      </c>
      <c r="D124" s="1061" t="s">
        <v>242</v>
      </c>
      <c r="E124" s="1062" t="s">
        <v>441</v>
      </c>
      <c r="F124" s="1063">
        <v>0</v>
      </c>
      <c r="G124" s="1063">
        <v>0</v>
      </c>
      <c r="H124" s="1063">
        <v>0</v>
      </c>
      <c r="I124" s="1063">
        <v>0</v>
      </c>
      <c r="J124" s="1063">
        <v>0</v>
      </c>
      <c r="K124" s="1063">
        <v>0</v>
      </c>
      <c r="L124" s="1063">
        <v>0</v>
      </c>
      <c r="M124" s="1063">
        <v>0</v>
      </c>
      <c r="N124" s="1063">
        <v>0</v>
      </c>
      <c r="O124" s="1063">
        <v>0</v>
      </c>
      <c r="P124" s="1063">
        <v>0</v>
      </c>
      <c r="Q124" s="1063">
        <v>0</v>
      </c>
      <c r="R124" s="1063">
        <v>0</v>
      </c>
      <c r="S124" s="1063">
        <v>0</v>
      </c>
      <c r="T124" s="1063">
        <v>0</v>
      </c>
      <c r="U124" s="1063">
        <v>0</v>
      </c>
      <c r="V124" s="1063"/>
      <c r="W124" s="1049"/>
      <c r="X124" s="1049"/>
      <c r="Y124" s="1049"/>
      <c r="Z124" s="1049"/>
      <c r="AA124" s="1066"/>
      <c r="AB124" s="1049"/>
      <c r="AT124" s="418">
        <v>0</v>
      </c>
      <c r="AU124" s="418">
        <v>0</v>
      </c>
      <c r="AV124" s="418">
        <v>67684</v>
      </c>
      <c r="AW124" s="418">
        <v>0</v>
      </c>
      <c r="AX124" s="418">
        <v>0</v>
      </c>
      <c r="AY124" s="418">
        <v>0</v>
      </c>
      <c r="AZ124" s="418">
        <v>0</v>
      </c>
      <c r="BA124" s="418">
        <v>83652</v>
      </c>
      <c r="BB124" s="418">
        <v>0</v>
      </c>
      <c r="BC124" s="418">
        <v>0</v>
      </c>
      <c r="BD124" s="418">
        <v>0</v>
      </c>
      <c r="BE124" s="418">
        <v>0</v>
      </c>
      <c r="BF124" s="418">
        <v>98435</v>
      </c>
      <c r="BG124" s="418">
        <v>0</v>
      </c>
      <c r="BH124" s="418">
        <v>0</v>
      </c>
      <c r="BI124" s="418">
        <v>0</v>
      </c>
      <c r="BJ124" s="418">
        <v>0</v>
      </c>
      <c r="BK124" s="418">
        <v>0</v>
      </c>
      <c r="BL124" s="418">
        <v>8698</v>
      </c>
      <c r="BM124" s="418">
        <v>0</v>
      </c>
      <c r="BN124" s="418">
        <v>0</v>
      </c>
      <c r="BO124" s="418">
        <v>0</v>
      </c>
      <c r="BP124" s="418">
        <v>0</v>
      </c>
      <c r="BQ124" s="418">
        <v>0</v>
      </c>
      <c r="BR124" s="418">
        <v>0</v>
      </c>
      <c r="BS124" s="418">
        <v>0</v>
      </c>
      <c r="BT124" s="418">
        <v>0</v>
      </c>
      <c r="BU124" s="418">
        <v>0</v>
      </c>
      <c r="BV124" s="418">
        <v>0</v>
      </c>
      <c r="BW124" s="418">
        <v>0</v>
      </c>
      <c r="BX124" s="418">
        <v>0</v>
      </c>
      <c r="BY124" s="418">
        <v>0</v>
      </c>
      <c r="BZ124" s="418">
        <v>0</v>
      </c>
      <c r="CA124" s="418">
        <v>0</v>
      </c>
      <c r="CB124" s="418">
        <v>0</v>
      </c>
    </row>
    <row r="125" spans="1:80" s="418" customFormat="1" ht="27.6" x14ac:dyDescent="0.3">
      <c r="A125" s="1052">
        <v>364</v>
      </c>
      <c r="B125" s="1049"/>
      <c r="C125" s="1060" t="s">
        <v>2006</v>
      </c>
      <c r="D125" s="1061" t="s">
        <v>243</v>
      </c>
      <c r="E125" s="1062" t="s">
        <v>442</v>
      </c>
      <c r="F125" s="1063">
        <v>0</v>
      </c>
      <c r="G125" s="1063">
        <v>0</v>
      </c>
      <c r="H125" s="1063">
        <v>0</v>
      </c>
      <c r="I125" s="1063">
        <v>0</v>
      </c>
      <c r="J125" s="1063">
        <v>0</v>
      </c>
      <c r="K125" s="1063">
        <v>0</v>
      </c>
      <c r="L125" s="1063">
        <v>0</v>
      </c>
      <c r="M125" s="1063">
        <v>0</v>
      </c>
      <c r="N125" s="1063">
        <v>0</v>
      </c>
      <c r="O125" s="1063">
        <v>0</v>
      </c>
      <c r="P125" s="1063">
        <v>0</v>
      </c>
      <c r="Q125" s="1063">
        <v>0</v>
      </c>
      <c r="R125" s="1063">
        <v>0</v>
      </c>
      <c r="S125" s="1063">
        <v>0</v>
      </c>
      <c r="T125" s="1063">
        <v>0</v>
      </c>
      <c r="U125" s="1063">
        <v>0</v>
      </c>
      <c r="V125" s="1063"/>
      <c r="W125" s="1049"/>
      <c r="X125" s="1049"/>
      <c r="Y125" s="1049"/>
      <c r="Z125" s="1049"/>
      <c r="AA125" s="1066"/>
      <c r="AB125" s="1049"/>
      <c r="AT125" s="418">
        <v>0</v>
      </c>
      <c r="AU125" s="418">
        <v>0</v>
      </c>
      <c r="AV125" s="418">
        <v>0</v>
      </c>
      <c r="AW125" s="418">
        <v>0</v>
      </c>
      <c r="AX125" s="418">
        <v>0</v>
      </c>
      <c r="AY125" s="418">
        <v>0</v>
      </c>
      <c r="AZ125" s="418">
        <v>0</v>
      </c>
      <c r="BA125" s="418">
        <v>11196</v>
      </c>
      <c r="BB125" s="418">
        <v>0</v>
      </c>
      <c r="BC125" s="418">
        <v>0</v>
      </c>
      <c r="BD125" s="418">
        <v>0</v>
      </c>
      <c r="BE125" s="418">
        <v>0</v>
      </c>
      <c r="BF125" s="418">
        <v>6030</v>
      </c>
      <c r="BG125" s="418">
        <v>0</v>
      </c>
      <c r="BH125" s="418">
        <v>0</v>
      </c>
      <c r="BI125" s="418">
        <v>0</v>
      </c>
      <c r="BJ125" s="418">
        <v>0</v>
      </c>
      <c r="BK125" s="418">
        <v>0</v>
      </c>
      <c r="BL125" s="418">
        <v>0</v>
      </c>
      <c r="BM125" s="418">
        <v>0</v>
      </c>
      <c r="BN125" s="418">
        <v>0</v>
      </c>
      <c r="BO125" s="418">
        <v>0</v>
      </c>
      <c r="BP125" s="418">
        <v>0</v>
      </c>
      <c r="BQ125" s="418">
        <v>0</v>
      </c>
      <c r="BR125" s="418">
        <v>0</v>
      </c>
      <c r="BS125" s="418">
        <v>0</v>
      </c>
      <c r="BT125" s="418">
        <v>0</v>
      </c>
      <c r="BU125" s="418">
        <v>0</v>
      </c>
      <c r="BV125" s="418">
        <v>0</v>
      </c>
      <c r="BW125" s="418">
        <v>0</v>
      </c>
      <c r="BX125" s="418">
        <v>0</v>
      </c>
      <c r="BY125" s="418">
        <v>0</v>
      </c>
      <c r="BZ125" s="418">
        <v>0</v>
      </c>
      <c r="CA125" s="418">
        <v>0</v>
      </c>
      <c r="CB125" s="418">
        <v>0</v>
      </c>
    </row>
    <row r="126" spans="1:80" s="418" customFormat="1" ht="15.6" x14ac:dyDescent="0.3">
      <c r="A126" s="1052">
        <v>365</v>
      </c>
      <c r="B126" s="1049"/>
      <c r="C126" s="1060" t="s">
        <v>2007</v>
      </c>
      <c r="D126" s="1061" t="s">
        <v>245</v>
      </c>
      <c r="E126" s="1062" t="s">
        <v>443</v>
      </c>
      <c r="F126" s="1063">
        <v>0</v>
      </c>
      <c r="G126" s="1063">
        <v>0</v>
      </c>
      <c r="H126" s="1063">
        <v>0</v>
      </c>
      <c r="I126" s="1063">
        <v>0</v>
      </c>
      <c r="J126" s="1063">
        <v>0</v>
      </c>
      <c r="K126" s="1063">
        <v>0</v>
      </c>
      <c r="L126" s="1063">
        <v>0</v>
      </c>
      <c r="M126" s="1063">
        <v>0</v>
      </c>
      <c r="N126" s="1063">
        <v>0</v>
      </c>
      <c r="O126" s="1063">
        <v>0</v>
      </c>
      <c r="P126" s="1063">
        <v>0</v>
      </c>
      <c r="Q126" s="1063">
        <v>0</v>
      </c>
      <c r="R126" s="1063">
        <v>0</v>
      </c>
      <c r="S126" s="1063">
        <v>0</v>
      </c>
      <c r="T126" s="1063">
        <v>0</v>
      </c>
      <c r="U126" s="1063">
        <v>0</v>
      </c>
      <c r="V126" s="1063"/>
      <c r="W126" s="1049"/>
      <c r="X126" s="1049"/>
      <c r="Y126" s="1049"/>
      <c r="Z126" s="1049"/>
      <c r="AA126" s="1066"/>
      <c r="AB126" s="1049"/>
      <c r="AT126" s="418">
        <v>0</v>
      </c>
      <c r="AU126" s="418">
        <v>0</v>
      </c>
      <c r="AV126" s="418">
        <v>0</v>
      </c>
      <c r="AW126" s="418">
        <v>0</v>
      </c>
      <c r="AX126" s="418">
        <v>0</v>
      </c>
      <c r="AY126" s="418">
        <v>0</v>
      </c>
      <c r="AZ126" s="418">
        <v>0</v>
      </c>
      <c r="BA126" s="418">
        <v>109142</v>
      </c>
      <c r="BB126" s="418">
        <v>0</v>
      </c>
      <c r="BC126" s="418">
        <v>0</v>
      </c>
      <c r="BD126" s="418">
        <v>0</v>
      </c>
      <c r="BE126" s="418">
        <v>0</v>
      </c>
      <c r="BF126" s="418">
        <v>0</v>
      </c>
      <c r="BG126" s="418">
        <v>0</v>
      </c>
      <c r="BH126" s="418">
        <v>0</v>
      </c>
      <c r="BI126" s="418">
        <v>0</v>
      </c>
      <c r="BJ126" s="418">
        <v>0</v>
      </c>
      <c r="BK126" s="418">
        <v>0</v>
      </c>
      <c r="BL126" s="418">
        <v>0</v>
      </c>
      <c r="BM126" s="418">
        <v>0</v>
      </c>
      <c r="BN126" s="418">
        <v>0</v>
      </c>
      <c r="BO126" s="418">
        <v>0</v>
      </c>
      <c r="BP126" s="418">
        <v>0</v>
      </c>
      <c r="BQ126" s="418">
        <v>0</v>
      </c>
      <c r="BR126" s="418">
        <v>0</v>
      </c>
      <c r="BS126" s="418">
        <v>0</v>
      </c>
      <c r="BT126" s="418">
        <v>0</v>
      </c>
      <c r="BU126" s="418">
        <v>0</v>
      </c>
      <c r="BV126" s="418">
        <v>0</v>
      </c>
      <c r="BW126" s="418">
        <v>0</v>
      </c>
      <c r="BX126" s="418">
        <v>0</v>
      </c>
      <c r="BY126" s="418">
        <v>0</v>
      </c>
      <c r="BZ126" s="418">
        <v>0</v>
      </c>
      <c r="CA126" s="418">
        <v>0</v>
      </c>
      <c r="CB126" s="418">
        <v>0</v>
      </c>
    </row>
    <row r="127" spans="1:80" s="418" customFormat="1" ht="27.6" x14ac:dyDescent="0.3">
      <c r="A127" s="1052">
        <v>366</v>
      </c>
      <c r="B127" s="1049"/>
      <c r="C127" s="1060" t="s">
        <v>2008</v>
      </c>
      <c r="D127" s="1061" t="s">
        <v>1808</v>
      </c>
      <c r="E127" s="1062" t="s">
        <v>444</v>
      </c>
      <c r="F127" s="1063">
        <v>0</v>
      </c>
      <c r="G127" s="1063">
        <v>0</v>
      </c>
      <c r="H127" s="1063">
        <v>0</v>
      </c>
      <c r="I127" s="1063">
        <v>0</v>
      </c>
      <c r="J127" s="1063">
        <v>0</v>
      </c>
      <c r="K127" s="1063">
        <v>0</v>
      </c>
      <c r="L127" s="1063">
        <v>0</v>
      </c>
      <c r="M127" s="1063">
        <v>0</v>
      </c>
      <c r="N127" s="1063">
        <v>0</v>
      </c>
      <c r="O127" s="1063">
        <v>0</v>
      </c>
      <c r="P127" s="1063">
        <v>0</v>
      </c>
      <c r="Q127" s="1063">
        <v>0</v>
      </c>
      <c r="R127" s="1063">
        <v>0</v>
      </c>
      <c r="S127" s="1063">
        <v>0</v>
      </c>
      <c r="T127" s="1063">
        <v>0</v>
      </c>
      <c r="U127" s="1063">
        <v>0</v>
      </c>
      <c r="V127" s="1063"/>
      <c r="W127" s="1049"/>
      <c r="X127" s="1049"/>
      <c r="Y127" s="1049"/>
      <c r="Z127" s="1049"/>
      <c r="AA127" s="1066"/>
      <c r="AB127" s="1072">
        <v>6956919340.0500002</v>
      </c>
      <c r="AT127" s="418">
        <v>0</v>
      </c>
      <c r="AU127" s="418">
        <v>0</v>
      </c>
      <c r="AV127" s="418">
        <v>25975</v>
      </c>
      <c r="AW127" s="418">
        <v>0</v>
      </c>
      <c r="AX127" s="418">
        <v>0</v>
      </c>
      <c r="AY127" s="418">
        <v>0</v>
      </c>
      <c r="AZ127" s="418">
        <v>0</v>
      </c>
      <c r="BA127" s="418">
        <v>377370</v>
      </c>
      <c r="BB127" s="418">
        <v>0</v>
      </c>
      <c r="BC127" s="418">
        <v>0</v>
      </c>
      <c r="BD127" s="418">
        <v>0</v>
      </c>
      <c r="BE127" s="418">
        <v>0</v>
      </c>
      <c r="BF127" s="418">
        <v>762245</v>
      </c>
      <c r="BG127" s="418">
        <v>0</v>
      </c>
      <c r="BH127" s="418">
        <v>0</v>
      </c>
      <c r="BI127" s="418">
        <v>0</v>
      </c>
      <c r="BJ127" s="418">
        <v>0</v>
      </c>
      <c r="BK127" s="418">
        <v>0</v>
      </c>
      <c r="BL127" s="418">
        <v>0</v>
      </c>
      <c r="BM127" s="418">
        <v>0</v>
      </c>
      <c r="BN127" s="418">
        <v>0</v>
      </c>
      <c r="BO127" s="418">
        <v>0</v>
      </c>
      <c r="BP127" s="418">
        <v>0</v>
      </c>
      <c r="BQ127" s="418">
        <v>0</v>
      </c>
      <c r="BR127" s="418">
        <v>0</v>
      </c>
      <c r="BS127" s="418">
        <v>0</v>
      </c>
      <c r="BT127" s="418">
        <v>0</v>
      </c>
      <c r="BU127" s="418">
        <v>0</v>
      </c>
      <c r="BV127" s="418">
        <v>0</v>
      </c>
      <c r="BW127" s="418">
        <v>0</v>
      </c>
      <c r="BX127" s="418">
        <v>0</v>
      </c>
      <c r="BY127" s="418">
        <v>0</v>
      </c>
      <c r="BZ127" s="418">
        <v>0</v>
      </c>
      <c r="CA127" s="418">
        <v>0</v>
      </c>
      <c r="CB127" s="418">
        <v>0</v>
      </c>
    </row>
    <row r="128" spans="1:80" s="418" customFormat="1" ht="27.6" x14ac:dyDescent="0.3">
      <c r="A128" s="1052">
        <v>367</v>
      </c>
      <c r="B128" s="1049"/>
      <c r="C128" s="1060" t="s">
        <v>2009</v>
      </c>
      <c r="D128" s="1071" t="s">
        <v>2010</v>
      </c>
      <c r="E128" s="1062" t="s">
        <v>445</v>
      </c>
      <c r="F128" s="1063">
        <v>0</v>
      </c>
      <c r="G128" s="1063">
        <v>0</v>
      </c>
      <c r="H128" s="1063">
        <v>0</v>
      </c>
      <c r="I128" s="1063">
        <v>0</v>
      </c>
      <c r="J128" s="1063">
        <v>0</v>
      </c>
      <c r="K128" s="1063">
        <v>0</v>
      </c>
      <c r="L128" s="1063">
        <v>0</v>
      </c>
      <c r="M128" s="1063">
        <v>0</v>
      </c>
      <c r="N128" s="1063">
        <v>0</v>
      </c>
      <c r="O128" s="1063">
        <v>0</v>
      </c>
      <c r="P128" s="1063">
        <v>0</v>
      </c>
      <c r="Q128" s="1063">
        <v>0</v>
      </c>
      <c r="R128" s="1063">
        <v>0</v>
      </c>
      <c r="S128" s="1063">
        <v>0</v>
      </c>
      <c r="T128" s="1063">
        <v>0</v>
      </c>
      <c r="U128" s="1063">
        <v>0</v>
      </c>
      <c r="V128" s="1063"/>
      <c r="W128" s="1049"/>
      <c r="X128" s="1049"/>
      <c r="Y128" s="1049"/>
      <c r="Z128" s="1049"/>
      <c r="AA128" s="1066"/>
      <c r="AB128" s="1049"/>
    </row>
    <row r="129" spans="1:80" s="418" customFormat="1" ht="27.6" x14ac:dyDescent="0.3">
      <c r="A129" s="1052">
        <v>368</v>
      </c>
      <c r="B129" s="1049"/>
      <c r="C129" s="1060" t="s">
        <v>2011</v>
      </c>
      <c r="D129" s="1061" t="s">
        <v>200</v>
      </c>
      <c r="E129" s="1062" t="s">
        <v>446</v>
      </c>
      <c r="F129" s="1063">
        <v>0</v>
      </c>
      <c r="G129" s="1063">
        <v>0</v>
      </c>
      <c r="H129" s="1063">
        <v>0</v>
      </c>
      <c r="I129" s="1063">
        <v>0</v>
      </c>
      <c r="J129" s="1063">
        <v>0</v>
      </c>
      <c r="K129" s="1063">
        <v>0</v>
      </c>
      <c r="L129" s="1063">
        <v>0</v>
      </c>
      <c r="M129" s="1063">
        <v>0</v>
      </c>
      <c r="N129" s="1063">
        <v>0</v>
      </c>
      <c r="O129" s="1063">
        <v>0</v>
      </c>
      <c r="P129" s="1063">
        <v>0</v>
      </c>
      <c r="Q129" s="1063">
        <v>0</v>
      </c>
      <c r="R129" s="1063">
        <v>0</v>
      </c>
      <c r="S129" s="1063">
        <v>0</v>
      </c>
      <c r="T129" s="1063">
        <v>0</v>
      </c>
      <c r="U129" s="1063">
        <v>0</v>
      </c>
      <c r="V129" s="1063"/>
      <c r="W129" s="1049"/>
      <c r="X129" s="1049"/>
      <c r="Y129" s="1049"/>
      <c r="Z129" s="1049"/>
      <c r="AA129" s="1066"/>
      <c r="AT129" s="418">
        <v>0</v>
      </c>
      <c r="AU129" s="418">
        <v>0</v>
      </c>
      <c r="AV129" s="418">
        <v>0</v>
      </c>
      <c r="AW129" s="418">
        <v>0</v>
      </c>
      <c r="AX129" s="418">
        <v>0</v>
      </c>
      <c r="AY129" s="418">
        <v>0</v>
      </c>
      <c r="AZ129" s="418">
        <v>0</v>
      </c>
      <c r="BA129" s="418">
        <v>0</v>
      </c>
      <c r="BB129" s="418">
        <v>0</v>
      </c>
      <c r="BC129" s="418">
        <v>0</v>
      </c>
      <c r="BD129" s="418">
        <v>0</v>
      </c>
      <c r="BE129" s="418">
        <v>0</v>
      </c>
      <c r="BF129" s="418">
        <v>0</v>
      </c>
      <c r="BG129" s="418">
        <v>0</v>
      </c>
      <c r="BH129" s="418">
        <v>0</v>
      </c>
      <c r="BI129" s="418">
        <v>0</v>
      </c>
      <c r="BJ129" s="418">
        <v>22090</v>
      </c>
      <c r="BK129" s="418">
        <v>0</v>
      </c>
      <c r="BL129" s="418">
        <v>155</v>
      </c>
      <c r="BM129" s="418">
        <v>0</v>
      </c>
      <c r="BN129" s="418">
        <v>0</v>
      </c>
      <c r="BO129" s="418">
        <v>7637</v>
      </c>
      <c r="BP129" s="418">
        <v>0</v>
      </c>
      <c r="BQ129" s="418">
        <v>0</v>
      </c>
      <c r="BR129" s="418">
        <v>0</v>
      </c>
      <c r="BS129" s="418">
        <v>33020</v>
      </c>
      <c r="BT129" s="418">
        <v>0</v>
      </c>
      <c r="BU129" s="418">
        <v>0</v>
      </c>
      <c r="BV129" s="418">
        <v>0</v>
      </c>
      <c r="BW129" s="418">
        <v>0</v>
      </c>
      <c r="BX129" s="418">
        <v>0</v>
      </c>
      <c r="BY129" s="418">
        <v>0</v>
      </c>
      <c r="BZ129" s="418">
        <v>0</v>
      </c>
      <c r="CA129" s="418">
        <v>863078</v>
      </c>
      <c r="CB129" s="418">
        <v>0</v>
      </c>
    </row>
    <row r="130" spans="1:80" s="418" customFormat="1" ht="15.6" x14ac:dyDescent="0.3">
      <c r="A130" s="1052">
        <v>369</v>
      </c>
      <c r="B130" s="1049"/>
      <c r="C130" s="1060" t="s">
        <v>2012</v>
      </c>
      <c r="D130" s="1061" t="s">
        <v>205</v>
      </c>
      <c r="E130" s="1062" t="s">
        <v>447</v>
      </c>
      <c r="F130" s="1063">
        <v>0</v>
      </c>
      <c r="G130" s="1063">
        <v>0</v>
      </c>
      <c r="H130" s="1063">
        <v>0</v>
      </c>
      <c r="I130" s="1063">
        <v>0</v>
      </c>
      <c r="J130" s="1063">
        <v>0</v>
      </c>
      <c r="K130" s="1063">
        <v>0</v>
      </c>
      <c r="L130" s="1063">
        <v>0</v>
      </c>
      <c r="M130" s="1063">
        <v>0</v>
      </c>
      <c r="N130" s="1063">
        <v>0</v>
      </c>
      <c r="O130" s="1063">
        <v>0</v>
      </c>
      <c r="P130" s="1063">
        <v>0</v>
      </c>
      <c r="Q130" s="1063">
        <v>0</v>
      </c>
      <c r="R130" s="1063">
        <v>0</v>
      </c>
      <c r="S130" s="1063">
        <v>0</v>
      </c>
      <c r="T130" s="1063">
        <v>0</v>
      </c>
      <c r="U130" s="1063">
        <v>0</v>
      </c>
      <c r="V130" s="1063"/>
      <c r="W130" s="1049"/>
      <c r="X130" s="1049"/>
      <c r="Y130" s="1049"/>
      <c r="Z130" s="1049"/>
      <c r="AA130" s="1066"/>
      <c r="AT130" s="418">
        <v>213656</v>
      </c>
      <c r="AU130" s="418">
        <v>2023647</v>
      </c>
      <c r="AV130" s="418">
        <v>6006530</v>
      </c>
      <c r="AW130" s="418">
        <v>43624</v>
      </c>
      <c r="AX130" s="418">
        <v>192856</v>
      </c>
      <c r="AY130" s="418">
        <v>1469658</v>
      </c>
      <c r="AZ130" s="418">
        <v>832386</v>
      </c>
      <c r="BA130" s="418">
        <v>1504765</v>
      </c>
      <c r="BB130" s="418">
        <v>48868</v>
      </c>
      <c r="BC130" s="418">
        <v>857101</v>
      </c>
      <c r="BD130" s="418">
        <v>0</v>
      </c>
      <c r="BE130" s="418">
        <v>42866</v>
      </c>
      <c r="BF130" s="418">
        <v>3210244</v>
      </c>
      <c r="BG130" s="418">
        <v>0</v>
      </c>
      <c r="BH130" s="418">
        <v>49771</v>
      </c>
      <c r="BI130" s="418">
        <v>1399197</v>
      </c>
      <c r="BJ130" s="418">
        <v>138984</v>
      </c>
      <c r="BK130" s="418">
        <v>0</v>
      </c>
      <c r="BL130" s="418">
        <v>1970496</v>
      </c>
      <c r="BM130" s="418">
        <v>2005501</v>
      </c>
      <c r="BN130" s="418">
        <v>49869</v>
      </c>
      <c r="BO130" s="418">
        <v>1516479</v>
      </c>
      <c r="BP130" s="418">
        <v>818748</v>
      </c>
      <c r="BQ130" s="418">
        <v>551419</v>
      </c>
      <c r="BR130" s="418">
        <v>612233</v>
      </c>
      <c r="BS130" s="418">
        <v>673590</v>
      </c>
      <c r="BT130" s="418">
        <v>1363487</v>
      </c>
      <c r="BU130" s="418">
        <v>914547</v>
      </c>
      <c r="BV130" s="418">
        <v>444054</v>
      </c>
      <c r="BW130" s="418">
        <v>224595</v>
      </c>
      <c r="BX130" s="418">
        <v>468182</v>
      </c>
      <c r="BY130" s="418">
        <v>36662</v>
      </c>
      <c r="BZ130" s="418">
        <v>35011</v>
      </c>
      <c r="CA130" s="418">
        <v>6695775</v>
      </c>
      <c r="CB130" s="418">
        <v>27563</v>
      </c>
    </row>
    <row r="131" spans="1:80" s="418" customFormat="1" ht="15.6" x14ac:dyDescent="0.3">
      <c r="A131" s="1052">
        <v>370</v>
      </c>
      <c r="B131" s="1049"/>
      <c r="C131" s="1060" t="s">
        <v>2013</v>
      </c>
      <c r="D131" s="1061" t="s">
        <v>207</v>
      </c>
      <c r="E131" s="1062" t="s">
        <v>448</v>
      </c>
      <c r="F131" s="1063">
        <v>0</v>
      </c>
      <c r="G131" s="1063">
        <v>0</v>
      </c>
      <c r="H131" s="1063">
        <v>0</v>
      </c>
      <c r="I131" s="1063">
        <v>0</v>
      </c>
      <c r="J131" s="1063">
        <v>0</v>
      </c>
      <c r="K131" s="1063">
        <v>0</v>
      </c>
      <c r="L131" s="1063">
        <v>0</v>
      </c>
      <c r="M131" s="1063">
        <v>0</v>
      </c>
      <c r="N131" s="1063">
        <v>0</v>
      </c>
      <c r="O131" s="1063">
        <v>0</v>
      </c>
      <c r="P131" s="1063">
        <v>0</v>
      </c>
      <c r="Q131" s="1063">
        <v>0</v>
      </c>
      <c r="R131" s="1063">
        <v>0</v>
      </c>
      <c r="S131" s="1063">
        <v>0</v>
      </c>
      <c r="T131" s="1063">
        <v>0</v>
      </c>
      <c r="U131" s="1063">
        <v>0</v>
      </c>
      <c r="V131" s="1063"/>
      <c r="W131" s="1049"/>
      <c r="X131" s="1049"/>
      <c r="Y131" s="1049"/>
      <c r="Z131" s="1049"/>
      <c r="AA131" s="1066"/>
      <c r="AT131" s="418">
        <v>95440</v>
      </c>
      <c r="AU131" s="418">
        <v>313258</v>
      </c>
      <c r="AV131" s="418">
        <v>463516</v>
      </c>
      <c r="AW131" s="418">
        <v>0</v>
      </c>
      <c r="AX131" s="418">
        <v>2578</v>
      </c>
      <c r="AY131" s="418">
        <v>223692</v>
      </c>
      <c r="AZ131" s="418">
        <v>88346</v>
      </c>
      <c r="BA131" s="418">
        <v>167605</v>
      </c>
      <c r="BB131" s="418">
        <v>0</v>
      </c>
      <c r="BC131" s="418">
        <v>60429</v>
      </c>
      <c r="BD131" s="418">
        <v>0</v>
      </c>
      <c r="BE131" s="418">
        <v>0</v>
      </c>
      <c r="BF131" s="418">
        <v>1539320</v>
      </c>
      <c r="BG131" s="418">
        <v>0</v>
      </c>
      <c r="BH131" s="418">
        <v>0</v>
      </c>
      <c r="BI131" s="418">
        <v>23467</v>
      </c>
      <c r="BJ131" s="418">
        <v>61184</v>
      </c>
      <c r="BK131" s="418">
        <v>0</v>
      </c>
      <c r="BL131" s="418">
        <v>271196</v>
      </c>
      <c r="BM131" s="418">
        <v>0</v>
      </c>
      <c r="BN131" s="418">
        <v>0</v>
      </c>
      <c r="BO131" s="418">
        <v>220529</v>
      </c>
      <c r="BP131" s="418">
        <v>0</v>
      </c>
      <c r="BQ131" s="418">
        <v>12288</v>
      </c>
      <c r="BR131" s="418">
        <v>0</v>
      </c>
      <c r="BS131" s="418">
        <v>0</v>
      </c>
      <c r="BT131" s="418">
        <v>1090674</v>
      </c>
      <c r="BU131" s="418">
        <v>59295</v>
      </c>
      <c r="BV131" s="418">
        <v>76999</v>
      </c>
      <c r="BW131" s="418">
        <v>82104</v>
      </c>
      <c r="BX131" s="418">
        <v>0</v>
      </c>
      <c r="BY131" s="418">
        <v>0</v>
      </c>
      <c r="BZ131" s="418">
        <v>0</v>
      </c>
      <c r="CA131" s="418">
        <v>1536937</v>
      </c>
      <c r="CB131" s="418">
        <v>4956</v>
      </c>
    </row>
    <row r="132" spans="1:80" s="418" customFormat="1" ht="15.6" x14ac:dyDescent="0.3">
      <c r="A132" s="1052">
        <v>371</v>
      </c>
      <c r="B132" s="1049"/>
      <c r="C132" s="1073" t="s">
        <v>1809</v>
      </c>
      <c r="D132" s="1061" t="s">
        <v>262</v>
      </c>
      <c r="E132" s="1062" t="s">
        <v>449</v>
      </c>
      <c r="F132" s="1063">
        <v>0</v>
      </c>
      <c r="G132" s="1063">
        <v>0</v>
      </c>
      <c r="H132" s="1063">
        <v>0</v>
      </c>
      <c r="I132" s="1063">
        <v>0</v>
      </c>
      <c r="J132" s="1063">
        <v>0</v>
      </c>
      <c r="K132" s="1063">
        <v>0</v>
      </c>
      <c r="L132" s="1063">
        <v>0</v>
      </c>
      <c r="M132" s="1063">
        <v>0</v>
      </c>
      <c r="N132" s="1063">
        <v>0</v>
      </c>
      <c r="O132" s="1063">
        <v>0</v>
      </c>
      <c r="P132" s="1063">
        <v>0</v>
      </c>
      <c r="Q132" s="1063">
        <v>0</v>
      </c>
      <c r="R132" s="1063">
        <v>0</v>
      </c>
      <c r="S132" s="1063">
        <v>0</v>
      </c>
      <c r="T132" s="1063">
        <v>0</v>
      </c>
      <c r="U132" s="1063">
        <v>0</v>
      </c>
      <c r="V132" s="1063"/>
      <c r="W132" s="1049"/>
      <c r="X132" s="1049"/>
      <c r="Y132" s="1049"/>
      <c r="Z132" s="1049"/>
      <c r="AA132" s="1066"/>
      <c r="AT132" s="418">
        <v>0</v>
      </c>
      <c r="AU132" s="418">
        <v>0</v>
      </c>
      <c r="AV132" s="418">
        <v>0</v>
      </c>
      <c r="AW132" s="418">
        <v>0</v>
      </c>
      <c r="AX132" s="418">
        <v>0</v>
      </c>
      <c r="AY132" s="418">
        <v>0</v>
      </c>
      <c r="AZ132" s="418">
        <v>0</v>
      </c>
      <c r="BA132" s="418">
        <v>0</v>
      </c>
      <c r="BB132" s="418">
        <v>0</v>
      </c>
      <c r="BC132" s="418">
        <v>0</v>
      </c>
      <c r="BD132" s="418">
        <v>0</v>
      </c>
      <c r="BE132" s="418">
        <v>0</v>
      </c>
      <c r="BF132" s="418">
        <v>0</v>
      </c>
      <c r="BG132" s="418">
        <v>0</v>
      </c>
      <c r="BH132" s="418">
        <v>0</v>
      </c>
      <c r="BI132" s="418">
        <v>0</v>
      </c>
      <c r="BJ132" s="418">
        <v>0</v>
      </c>
      <c r="BK132" s="418">
        <v>0</v>
      </c>
      <c r="BL132" s="418">
        <v>0</v>
      </c>
      <c r="BM132" s="418">
        <v>0</v>
      </c>
      <c r="BN132" s="418">
        <v>0</v>
      </c>
      <c r="BO132" s="418">
        <v>0</v>
      </c>
      <c r="BP132" s="418">
        <v>0</v>
      </c>
      <c r="BQ132" s="418">
        <v>0</v>
      </c>
      <c r="BR132" s="418">
        <v>0</v>
      </c>
      <c r="BS132" s="418">
        <v>0</v>
      </c>
      <c r="BT132" s="418">
        <v>0</v>
      </c>
      <c r="BU132" s="418">
        <v>0</v>
      </c>
      <c r="BV132" s="418">
        <v>0</v>
      </c>
      <c r="BW132" s="418">
        <v>0</v>
      </c>
      <c r="BX132" s="418">
        <v>0</v>
      </c>
      <c r="BY132" s="418">
        <v>0</v>
      </c>
      <c r="BZ132" s="418">
        <v>0</v>
      </c>
      <c r="CA132" s="418">
        <v>0</v>
      </c>
      <c r="CB132" s="418">
        <v>0</v>
      </c>
    </row>
    <row r="133" spans="1:80" s="418" customFormat="1" ht="15.6" x14ac:dyDescent="0.3">
      <c r="A133" s="1052">
        <v>373</v>
      </c>
      <c r="B133" s="1049"/>
      <c r="C133" s="1060" t="s">
        <v>2014</v>
      </c>
      <c r="D133" s="1061" t="s">
        <v>549</v>
      </c>
      <c r="E133" s="1062" t="s">
        <v>450</v>
      </c>
      <c r="F133" s="1063">
        <v>0</v>
      </c>
      <c r="G133" s="1063">
        <v>0</v>
      </c>
      <c r="H133" s="1063">
        <v>0</v>
      </c>
      <c r="I133" s="1063">
        <v>0</v>
      </c>
      <c r="J133" s="1063">
        <v>0</v>
      </c>
      <c r="K133" s="1063">
        <v>0</v>
      </c>
      <c r="L133" s="1063">
        <v>0</v>
      </c>
      <c r="M133" s="1063">
        <v>0</v>
      </c>
      <c r="N133" s="1063">
        <v>0</v>
      </c>
      <c r="O133" s="1063">
        <v>0</v>
      </c>
      <c r="P133" s="1063">
        <v>0</v>
      </c>
      <c r="Q133" s="1063">
        <v>0</v>
      </c>
      <c r="R133" s="1063">
        <v>0</v>
      </c>
      <c r="S133" s="1063">
        <v>0</v>
      </c>
      <c r="T133" s="1063">
        <v>0</v>
      </c>
      <c r="U133" s="1063">
        <v>0</v>
      </c>
      <c r="V133" s="1063"/>
      <c r="W133" s="1049"/>
      <c r="X133" s="1049"/>
      <c r="Y133" s="1049"/>
      <c r="Z133" s="1049"/>
      <c r="AA133" s="1066"/>
      <c r="AT133" s="418">
        <v>1741223</v>
      </c>
      <c r="AU133" s="418">
        <v>3971639</v>
      </c>
      <c r="AV133" s="418">
        <v>24640193</v>
      </c>
      <c r="AW133" s="418">
        <v>90389</v>
      </c>
      <c r="AX133" s="418">
        <v>305812</v>
      </c>
      <c r="AY133" s="418">
        <v>5952442</v>
      </c>
      <c r="AZ133" s="418">
        <v>5728569</v>
      </c>
      <c r="BA133" s="418">
        <v>6454820</v>
      </c>
      <c r="BB133" s="418">
        <v>4475</v>
      </c>
      <c r="BC133" s="418">
        <v>3773069</v>
      </c>
      <c r="BD133" s="418">
        <v>0</v>
      </c>
      <c r="BE133" s="418">
        <v>87916</v>
      </c>
      <c r="BF133" s="418">
        <v>25810710</v>
      </c>
      <c r="BG133" s="418">
        <v>0</v>
      </c>
      <c r="BH133" s="418">
        <v>98178</v>
      </c>
      <c r="BI133" s="418">
        <v>4498730</v>
      </c>
      <c r="BJ133" s="418">
        <v>3740345</v>
      </c>
      <c r="BK133" s="418">
        <v>0</v>
      </c>
      <c r="BL133" s="418">
        <v>9713890</v>
      </c>
      <c r="BM133" s="418">
        <v>4181121</v>
      </c>
      <c r="BN133" s="418">
        <v>113773</v>
      </c>
      <c r="BO133" s="418">
        <v>10048026</v>
      </c>
      <c r="BP133" s="418">
        <v>5921092</v>
      </c>
      <c r="BQ133" s="418">
        <v>744819</v>
      </c>
      <c r="BR133" s="418">
        <v>1952720</v>
      </c>
      <c r="BS133" s="418">
        <v>363062</v>
      </c>
      <c r="BT133" s="418">
        <v>119622405</v>
      </c>
      <c r="BU133" s="418">
        <v>2819623</v>
      </c>
      <c r="BV133" s="418">
        <v>3956837</v>
      </c>
      <c r="BW133" s="418">
        <v>754399</v>
      </c>
      <c r="BX133" s="418">
        <v>876572</v>
      </c>
      <c r="BY133" s="418">
        <v>35477</v>
      </c>
      <c r="BZ133" s="418">
        <v>62604</v>
      </c>
      <c r="CA133" s="418">
        <v>15999429</v>
      </c>
      <c r="CB133" s="418">
        <v>72671</v>
      </c>
    </row>
    <row r="134" spans="1:80" s="418" customFormat="1" ht="15.6" x14ac:dyDescent="0.3">
      <c r="A134" s="1052">
        <v>375</v>
      </c>
      <c r="B134" s="1049"/>
      <c r="C134" s="1060" t="s">
        <v>2015</v>
      </c>
      <c r="D134" s="1061" t="s">
        <v>222</v>
      </c>
      <c r="E134" s="1062" t="s">
        <v>451</v>
      </c>
      <c r="F134" s="1063">
        <v>0</v>
      </c>
      <c r="G134" s="1063">
        <v>0</v>
      </c>
      <c r="H134" s="1063">
        <v>0</v>
      </c>
      <c r="I134" s="1063">
        <v>0</v>
      </c>
      <c r="J134" s="1063">
        <v>0</v>
      </c>
      <c r="K134" s="1063">
        <v>0</v>
      </c>
      <c r="L134" s="1063">
        <v>0</v>
      </c>
      <c r="M134" s="1063">
        <v>0</v>
      </c>
      <c r="N134" s="1063">
        <v>0</v>
      </c>
      <c r="O134" s="1063">
        <v>0</v>
      </c>
      <c r="P134" s="1063">
        <v>0</v>
      </c>
      <c r="Q134" s="1063">
        <v>0</v>
      </c>
      <c r="R134" s="1063">
        <v>0</v>
      </c>
      <c r="S134" s="1063">
        <v>0</v>
      </c>
      <c r="T134" s="1063">
        <v>0</v>
      </c>
      <c r="U134" s="1063">
        <v>0</v>
      </c>
      <c r="V134" s="1063"/>
      <c r="W134" s="1049"/>
      <c r="X134" s="1049"/>
      <c r="Y134" s="1049"/>
      <c r="Z134" s="1049"/>
      <c r="AA134" s="1066"/>
      <c r="AT134" s="418">
        <v>132997</v>
      </c>
      <c r="AU134" s="418">
        <v>1446708</v>
      </c>
      <c r="AV134" s="418">
        <v>5819195</v>
      </c>
      <c r="AW134" s="418">
        <v>1160933</v>
      </c>
      <c r="AX134" s="418">
        <v>712057</v>
      </c>
      <c r="AY134" s="418">
        <v>1265825</v>
      </c>
      <c r="AZ134" s="418">
        <v>971497</v>
      </c>
      <c r="BA134" s="418">
        <v>1222388</v>
      </c>
      <c r="BB134" s="418">
        <v>-14536</v>
      </c>
      <c r="BC134" s="418">
        <v>482518</v>
      </c>
      <c r="BD134" s="418">
        <v>0</v>
      </c>
      <c r="BE134" s="418">
        <v>0</v>
      </c>
      <c r="BF134" s="418">
        <v>72167</v>
      </c>
      <c r="BG134" s="418">
        <v>0</v>
      </c>
      <c r="BH134" s="418">
        <v>0</v>
      </c>
      <c r="BI134" s="418">
        <v>2175811</v>
      </c>
      <c r="BJ134" s="418">
        <v>1934549</v>
      </c>
      <c r="BK134" s="418">
        <v>0</v>
      </c>
      <c r="BL134" s="418">
        <v>12787813</v>
      </c>
      <c r="BM134" s="418">
        <v>2220946</v>
      </c>
      <c r="BN134" s="418">
        <v>0</v>
      </c>
      <c r="BO134" s="418">
        <v>2189563</v>
      </c>
      <c r="BP134" s="418">
        <v>3910590</v>
      </c>
      <c r="BQ134" s="418">
        <v>1007395</v>
      </c>
      <c r="BR134" s="418">
        <v>1220077</v>
      </c>
      <c r="BS134" s="418">
        <v>0</v>
      </c>
      <c r="BT134" s="418">
        <v>0</v>
      </c>
      <c r="BU134" s="418">
        <v>1192745</v>
      </c>
      <c r="BV134" s="418">
        <v>-518361</v>
      </c>
      <c r="BW134" s="418">
        <v>199918</v>
      </c>
      <c r="BX134" s="418">
        <v>909649</v>
      </c>
      <c r="BY134" s="418">
        <v>0</v>
      </c>
      <c r="BZ134" s="418">
        <v>0</v>
      </c>
      <c r="CA134" s="418">
        <v>6837732</v>
      </c>
      <c r="CB134" s="418">
        <v>0</v>
      </c>
    </row>
    <row r="135" spans="1:80" s="418" customFormat="1" ht="27.6" x14ac:dyDescent="0.3">
      <c r="A135" s="1052">
        <v>376</v>
      </c>
      <c r="B135" s="1049"/>
      <c r="C135" s="1060" t="s">
        <v>2016</v>
      </c>
      <c r="D135" s="1061" t="s">
        <v>108</v>
      </c>
      <c r="E135" s="1062" t="s">
        <v>452</v>
      </c>
      <c r="F135" s="1063">
        <v>0</v>
      </c>
      <c r="G135" s="1063">
        <v>0</v>
      </c>
      <c r="H135" s="1063">
        <v>0</v>
      </c>
      <c r="I135" s="1063">
        <v>0</v>
      </c>
      <c r="J135" s="1063">
        <v>0</v>
      </c>
      <c r="K135" s="1063">
        <v>0</v>
      </c>
      <c r="L135" s="1063">
        <v>0</v>
      </c>
      <c r="M135" s="1063">
        <v>0</v>
      </c>
      <c r="N135" s="1063">
        <v>0</v>
      </c>
      <c r="O135" s="1063">
        <v>0</v>
      </c>
      <c r="P135" s="1063">
        <v>0</v>
      </c>
      <c r="Q135" s="1063">
        <v>0</v>
      </c>
      <c r="R135" s="1063">
        <v>0</v>
      </c>
      <c r="S135" s="1063">
        <v>0</v>
      </c>
      <c r="T135" s="1063">
        <v>0</v>
      </c>
      <c r="U135" s="1063">
        <v>0</v>
      </c>
      <c r="V135" s="1063"/>
      <c r="W135" s="1049"/>
      <c r="X135" s="1049"/>
      <c r="Y135" s="1049"/>
      <c r="Z135" s="1049"/>
      <c r="AA135" s="1066"/>
      <c r="AT135" s="418">
        <v>0</v>
      </c>
      <c r="AU135" s="418">
        <v>0</v>
      </c>
      <c r="AV135" s="418">
        <v>0</v>
      </c>
      <c r="AW135" s="418">
        <v>4553</v>
      </c>
      <c r="AX135" s="418">
        <v>74221</v>
      </c>
      <c r="AY135" s="418">
        <v>0</v>
      </c>
      <c r="AZ135" s="418">
        <v>1</v>
      </c>
      <c r="BA135" s="418">
        <v>0</v>
      </c>
      <c r="BB135" s="418">
        <v>1</v>
      </c>
      <c r="BC135" s="418">
        <v>0</v>
      </c>
      <c r="BD135" s="418">
        <v>0</v>
      </c>
      <c r="BE135" s="418">
        <v>0</v>
      </c>
      <c r="BF135" s="418">
        <v>-4550178</v>
      </c>
      <c r="BG135" s="418">
        <v>0</v>
      </c>
      <c r="BH135" s="418">
        <v>0</v>
      </c>
      <c r="BI135" s="418">
        <v>0</v>
      </c>
      <c r="BJ135" s="418">
        <v>0</v>
      </c>
      <c r="BK135" s="418">
        <v>0</v>
      </c>
      <c r="BL135" s="418">
        <v>0</v>
      </c>
      <c r="BM135" s="418">
        <v>0</v>
      </c>
      <c r="BN135" s="418">
        <v>0</v>
      </c>
      <c r="BO135" s="418">
        <v>0</v>
      </c>
      <c r="BP135" s="418">
        <v>0</v>
      </c>
      <c r="BQ135" s="418">
        <v>0</v>
      </c>
      <c r="BR135" s="418">
        <v>-1</v>
      </c>
      <c r="BS135" s="418">
        <v>0</v>
      </c>
      <c r="BT135" s="418">
        <v>0</v>
      </c>
      <c r="BU135" s="418">
        <v>0</v>
      </c>
      <c r="BV135" s="418">
        <v>0</v>
      </c>
      <c r="BW135" s="418">
        <v>-450000</v>
      </c>
      <c r="BX135" s="418">
        <v>0</v>
      </c>
      <c r="BY135" s="418">
        <v>0</v>
      </c>
      <c r="BZ135" s="418">
        <v>0</v>
      </c>
      <c r="CA135" s="418">
        <v>0</v>
      </c>
      <c r="CB135" s="418">
        <v>1</v>
      </c>
    </row>
    <row r="136" spans="1:80" s="418" customFormat="1" ht="27.6" x14ac:dyDescent="0.3">
      <c r="A136" s="1052">
        <v>377</v>
      </c>
      <c r="B136" s="1049"/>
      <c r="C136" s="1060" t="s">
        <v>2017</v>
      </c>
      <c r="D136" s="1061" t="s">
        <v>109</v>
      </c>
      <c r="E136" s="1062" t="s">
        <v>453</v>
      </c>
      <c r="F136" s="1063">
        <v>0</v>
      </c>
      <c r="G136" s="1063">
        <v>0</v>
      </c>
      <c r="H136" s="1063">
        <v>0</v>
      </c>
      <c r="I136" s="1063">
        <v>0</v>
      </c>
      <c r="J136" s="1063">
        <v>0</v>
      </c>
      <c r="K136" s="1063">
        <v>0</v>
      </c>
      <c r="L136" s="1063">
        <v>0</v>
      </c>
      <c r="M136" s="1063">
        <v>0</v>
      </c>
      <c r="N136" s="1063">
        <v>0</v>
      </c>
      <c r="O136" s="1063">
        <v>0</v>
      </c>
      <c r="P136" s="1063">
        <v>0</v>
      </c>
      <c r="Q136" s="1063">
        <v>0</v>
      </c>
      <c r="R136" s="1063">
        <v>0</v>
      </c>
      <c r="S136" s="1063">
        <v>0</v>
      </c>
      <c r="T136" s="1063">
        <v>0</v>
      </c>
      <c r="U136" s="1063">
        <v>0</v>
      </c>
      <c r="V136" s="1063"/>
      <c r="W136" s="1049"/>
      <c r="X136" s="1049"/>
      <c r="Y136" s="1049"/>
      <c r="Z136" s="1049"/>
      <c r="AA136" s="1066"/>
      <c r="AT136" s="418">
        <v>0</v>
      </c>
      <c r="AU136" s="418">
        <v>318686</v>
      </c>
      <c r="AV136" s="418">
        <v>0</v>
      </c>
      <c r="AW136" s="418">
        <v>0</v>
      </c>
      <c r="AX136" s="418">
        <v>0</v>
      </c>
      <c r="AY136" s="418">
        <v>-1</v>
      </c>
      <c r="AZ136" s="418">
        <v>0</v>
      </c>
      <c r="BA136" s="418">
        <v>0</v>
      </c>
      <c r="BB136" s="418">
        <v>0</v>
      </c>
      <c r="BC136" s="418">
        <v>0</v>
      </c>
      <c r="BD136" s="418">
        <v>0</v>
      </c>
      <c r="BE136" s="418">
        <v>0</v>
      </c>
      <c r="BF136" s="418">
        <v>479307</v>
      </c>
      <c r="BG136" s="418">
        <v>0</v>
      </c>
      <c r="BH136" s="418">
        <v>0</v>
      </c>
      <c r="BI136" s="418">
        <v>0</v>
      </c>
      <c r="BJ136" s="418">
        <v>0</v>
      </c>
      <c r="BK136" s="418">
        <v>0</v>
      </c>
      <c r="BL136" s="418">
        <v>0</v>
      </c>
      <c r="BM136" s="418">
        <v>0</v>
      </c>
      <c r="BN136" s="418">
        <v>0</v>
      </c>
      <c r="BO136" s="418">
        <v>0</v>
      </c>
      <c r="BP136" s="418">
        <v>0</v>
      </c>
      <c r="BQ136" s="418">
        <v>0</v>
      </c>
      <c r="BR136" s="418">
        <v>2</v>
      </c>
      <c r="BS136" s="418">
        <v>0</v>
      </c>
      <c r="BT136" s="418">
        <v>0</v>
      </c>
      <c r="BU136" s="418">
        <v>0</v>
      </c>
      <c r="BV136" s="418">
        <v>1</v>
      </c>
      <c r="BW136" s="418">
        <v>-1</v>
      </c>
      <c r="BX136" s="418">
        <v>0</v>
      </c>
      <c r="BY136" s="418">
        <v>0</v>
      </c>
      <c r="BZ136" s="418">
        <v>0</v>
      </c>
      <c r="CA136" s="418">
        <v>0</v>
      </c>
      <c r="CB136" s="418">
        <v>0</v>
      </c>
    </row>
    <row r="137" spans="1:80" s="418" customFormat="1" ht="27.6" x14ac:dyDescent="0.3">
      <c r="A137" s="1052">
        <v>378</v>
      </c>
      <c r="B137" s="1049"/>
      <c r="C137" s="1060" t="s">
        <v>2018</v>
      </c>
      <c r="D137" s="1061" t="s">
        <v>110</v>
      </c>
      <c r="E137" s="1062" t="s">
        <v>454</v>
      </c>
      <c r="F137" s="1063">
        <v>0</v>
      </c>
      <c r="G137" s="1063">
        <v>0</v>
      </c>
      <c r="H137" s="1063">
        <v>0</v>
      </c>
      <c r="I137" s="1063">
        <v>0</v>
      </c>
      <c r="J137" s="1063">
        <v>0</v>
      </c>
      <c r="K137" s="1063">
        <v>0</v>
      </c>
      <c r="L137" s="1063">
        <v>0</v>
      </c>
      <c r="M137" s="1063">
        <v>0</v>
      </c>
      <c r="N137" s="1063">
        <v>0</v>
      </c>
      <c r="O137" s="1063">
        <v>0</v>
      </c>
      <c r="P137" s="1063">
        <v>0</v>
      </c>
      <c r="Q137" s="1063">
        <v>0</v>
      </c>
      <c r="R137" s="1063">
        <v>0</v>
      </c>
      <c r="S137" s="1063">
        <v>0</v>
      </c>
      <c r="T137" s="1063">
        <v>0</v>
      </c>
      <c r="U137" s="1063">
        <v>0</v>
      </c>
      <c r="V137" s="1063"/>
      <c r="W137" s="1049"/>
      <c r="X137" s="1049"/>
      <c r="Y137" s="1049"/>
      <c r="Z137" s="1049"/>
      <c r="AA137" s="1066"/>
      <c r="AT137" s="418">
        <v>0</v>
      </c>
      <c r="AU137" s="418">
        <v>0</v>
      </c>
      <c r="AV137" s="418">
        <v>0</v>
      </c>
      <c r="AW137" s="418">
        <v>0</v>
      </c>
      <c r="AX137" s="418">
        <v>0</v>
      </c>
      <c r="AY137" s="418">
        <v>0</v>
      </c>
      <c r="AZ137" s="418">
        <v>0</v>
      </c>
      <c r="BA137" s="418">
        <v>0</v>
      </c>
      <c r="BB137" s="418">
        <v>0</v>
      </c>
      <c r="BC137" s="418">
        <v>0</v>
      </c>
      <c r="BD137" s="418">
        <v>0</v>
      </c>
      <c r="BE137" s="418">
        <v>0</v>
      </c>
      <c r="BF137" s="418">
        <v>2226188</v>
      </c>
      <c r="BG137" s="418">
        <v>0</v>
      </c>
      <c r="BH137" s="418">
        <v>0</v>
      </c>
      <c r="BI137" s="418">
        <v>0</v>
      </c>
      <c r="BJ137" s="418">
        <v>0</v>
      </c>
      <c r="BK137" s="418">
        <v>0</v>
      </c>
      <c r="BL137" s="418">
        <v>0</v>
      </c>
      <c r="BM137" s="418">
        <v>0</v>
      </c>
      <c r="BN137" s="418">
        <v>0</v>
      </c>
      <c r="BO137" s="418">
        <v>0</v>
      </c>
      <c r="BP137" s="418">
        <v>0</v>
      </c>
      <c r="BQ137" s="418">
        <v>0</v>
      </c>
      <c r="BR137" s="418">
        <v>0</v>
      </c>
      <c r="BS137" s="418">
        <v>0</v>
      </c>
      <c r="BT137" s="418">
        <v>0</v>
      </c>
      <c r="BU137" s="418">
        <v>0</v>
      </c>
      <c r="BV137" s="418">
        <v>0</v>
      </c>
      <c r="BW137" s="418">
        <v>0</v>
      </c>
      <c r="BX137" s="418">
        <v>0</v>
      </c>
      <c r="BY137" s="418">
        <v>0</v>
      </c>
      <c r="BZ137" s="418">
        <v>0</v>
      </c>
      <c r="CA137" s="418">
        <v>0</v>
      </c>
      <c r="CB137" s="418">
        <v>0</v>
      </c>
    </row>
    <row r="138" spans="1:80" s="418" customFormat="1" ht="27.6" x14ac:dyDescent="0.3">
      <c r="A138" s="1052">
        <v>379</v>
      </c>
      <c r="B138" s="1049"/>
      <c r="C138" s="1060" t="s">
        <v>2019</v>
      </c>
      <c r="D138" s="1061" t="s">
        <v>118</v>
      </c>
      <c r="E138" s="1062" t="s">
        <v>455</v>
      </c>
      <c r="F138" s="1063">
        <v>0</v>
      </c>
      <c r="G138" s="1063">
        <v>0</v>
      </c>
      <c r="H138" s="1063">
        <v>0</v>
      </c>
      <c r="I138" s="1063">
        <v>0</v>
      </c>
      <c r="J138" s="1063">
        <v>0</v>
      </c>
      <c r="K138" s="1063">
        <v>0</v>
      </c>
      <c r="L138" s="1063">
        <v>0</v>
      </c>
      <c r="M138" s="1063">
        <v>0</v>
      </c>
      <c r="N138" s="1063">
        <v>0</v>
      </c>
      <c r="O138" s="1063">
        <v>0</v>
      </c>
      <c r="P138" s="1063">
        <v>0</v>
      </c>
      <c r="Q138" s="1063">
        <v>0</v>
      </c>
      <c r="R138" s="1063">
        <v>0</v>
      </c>
      <c r="S138" s="1063">
        <v>0</v>
      </c>
      <c r="T138" s="1063">
        <v>0</v>
      </c>
      <c r="U138" s="1063">
        <v>0</v>
      </c>
      <c r="V138" s="1063"/>
      <c r="W138" s="1049"/>
      <c r="X138" s="1049"/>
      <c r="Y138" s="1049"/>
      <c r="Z138" s="1049"/>
      <c r="AA138" s="1066"/>
      <c r="AT138" s="418">
        <v>511688</v>
      </c>
      <c r="AU138" s="418">
        <v>3322876</v>
      </c>
      <c r="AV138" s="418">
        <v>8054637</v>
      </c>
      <c r="AW138" s="418">
        <v>206186</v>
      </c>
      <c r="AX138" s="418">
        <v>611977</v>
      </c>
      <c r="AY138" s="418">
        <v>3766230</v>
      </c>
      <c r="AZ138" s="418">
        <v>3184144</v>
      </c>
      <c r="BA138" s="418">
        <v>2674623</v>
      </c>
      <c r="BB138" s="418">
        <v>126170</v>
      </c>
      <c r="BC138" s="418">
        <v>1947516</v>
      </c>
      <c r="BD138" s="418">
        <v>0</v>
      </c>
      <c r="BE138" s="418">
        <v>404100</v>
      </c>
      <c r="BF138" s="418">
        <v>7507234</v>
      </c>
      <c r="BG138" s="418">
        <v>0</v>
      </c>
      <c r="BH138" s="418">
        <v>185339</v>
      </c>
      <c r="BI138" s="418">
        <v>3037385</v>
      </c>
      <c r="BJ138" s="418">
        <v>3862533</v>
      </c>
      <c r="BK138" s="418">
        <v>0</v>
      </c>
      <c r="BL138" s="418">
        <v>3465457</v>
      </c>
      <c r="BM138" s="418">
        <v>6236100</v>
      </c>
      <c r="BN138" s="418">
        <v>141989</v>
      </c>
      <c r="BO138" s="418">
        <v>4783507</v>
      </c>
      <c r="BP138" s="418">
        <v>3875164</v>
      </c>
      <c r="BQ138" s="418">
        <v>1725155</v>
      </c>
      <c r="BR138" s="418">
        <v>3090698</v>
      </c>
      <c r="BS138" s="418">
        <v>2163436</v>
      </c>
      <c r="BT138" s="418">
        <v>13822058</v>
      </c>
      <c r="BU138" s="418">
        <v>3018789</v>
      </c>
      <c r="BV138" s="418">
        <v>2086608</v>
      </c>
      <c r="BW138" s="418">
        <v>1125269</v>
      </c>
      <c r="BX138" s="418">
        <v>1331772</v>
      </c>
      <c r="BY138" s="418">
        <v>187048</v>
      </c>
      <c r="BZ138" s="418">
        <v>217423</v>
      </c>
      <c r="CA138" s="418">
        <v>16790502</v>
      </c>
      <c r="CB138" s="418">
        <v>114946</v>
      </c>
    </row>
    <row r="139" spans="1:80" s="418" customFormat="1" ht="27.6" x14ac:dyDescent="0.3">
      <c r="A139" s="1052">
        <v>380</v>
      </c>
      <c r="B139" s="1049"/>
      <c r="C139" s="1060" t="s">
        <v>2020</v>
      </c>
      <c r="D139" s="1061" t="s">
        <v>121</v>
      </c>
      <c r="E139" s="1062" t="s">
        <v>456</v>
      </c>
      <c r="F139" s="1063">
        <v>0</v>
      </c>
      <c r="G139" s="1063">
        <v>0</v>
      </c>
      <c r="H139" s="1063">
        <v>0</v>
      </c>
      <c r="I139" s="1063">
        <v>0</v>
      </c>
      <c r="J139" s="1063">
        <v>0</v>
      </c>
      <c r="K139" s="1063">
        <v>0</v>
      </c>
      <c r="L139" s="1063">
        <v>0</v>
      </c>
      <c r="M139" s="1063">
        <v>0</v>
      </c>
      <c r="N139" s="1063">
        <v>0</v>
      </c>
      <c r="O139" s="1063">
        <v>0</v>
      </c>
      <c r="P139" s="1063">
        <v>0</v>
      </c>
      <c r="Q139" s="1063">
        <v>0</v>
      </c>
      <c r="R139" s="1063">
        <v>0</v>
      </c>
      <c r="S139" s="1063">
        <v>0</v>
      </c>
      <c r="T139" s="1063">
        <v>0</v>
      </c>
      <c r="U139" s="1063">
        <v>0</v>
      </c>
      <c r="V139" s="1063"/>
      <c r="W139" s="1049"/>
      <c r="X139" s="1049"/>
      <c r="Y139" s="1049"/>
      <c r="Z139" s="1049"/>
      <c r="AA139" s="1066"/>
      <c r="AT139" s="418">
        <v>17675</v>
      </c>
      <c r="AU139" s="418">
        <v>11949</v>
      </c>
      <c r="AV139" s="418">
        <v>102222</v>
      </c>
      <c r="AW139" s="418">
        <v>756</v>
      </c>
      <c r="AX139" s="418">
        <v>41108</v>
      </c>
      <c r="AY139" s="418">
        <v>48002</v>
      </c>
      <c r="AZ139" s="418">
        <v>64497</v>
      </c>
      <c r="BA139" s="418">
        <v>41806</v>
      </c>
      <c r="BB139" s="418">
        <v>5974</v>
      </c>
      <c r="BC139" s="418">
        <v>36333</v>
      </c>
      <c r="BD139" s="418">
        <v>0</v>
      </c>
      <c r="BE139" s="418">
        <v>4328</v>
      </c>
      <c r="BF139" s="418">
        <v>578807</v>
      </c>
      <c r="BG139" s="418">
        <v>0</v>
      </c>
      <c r="BH139" s="418">
        <v>1622</v>
      </c>
      <c r="BI139" s="418">
        <v>47490</v>
      </c>
      <c r="BJ139" s="418">
        <v>58391</v>
      </c>
      <c r="BK139" s="418">
        <v>0</v>
      </c>
      <c r="BL139" s="418">
        <v>16442</v>
      </c>
      <c r="BM139" s="418">
        <v>44469</v>
      </c>
      <c r="BN139" s="418">
        <v>0</v>
      </c>
      <c r="BO139" s="418">
        <v>78877</v>
      </c>
      <c r="BP139" s="418">
        <v>37727</v>
      </c>
      <c r="BQ139" s="418">
        <v>25299</v>
      </c>
      <c r="BR139" s="418">
        <v>50285</v>
      </c>
      <c r="BS139" s="418">
        <v>3464</v>
      </c>
      <c r="BT139" s="418">
        <v>376628</v>
      </c>
      <c r="BU139" s="418">
        <v>500196</v>
      </c>
      <c r="BV139" s="418">
        <v>30651</v>
      </c>
      <c r="BW139" s="418">
        <v>525325</v>
      </c>
      <c r="BX139" s="418">
        <v>5047</v>
      </c>
      <c r="BY139" s="418">
        <v>420</v>
      </c>
      <c r="BZ139" s="418">
        <v>674</v>
      </c>
      <c r="CA139" s="418">
        <v>110641</v>
      </c>
      <c r="CB139" s="418">
        <v>12064</v>
      </c>
    </row>
    <row r="140" spans="1:80" s="418" customFormat="1" ht="27.6" x14ac:dyDescent="0.3">
      <c r="A140" s="1052">
        <v>381</v>
      </c>
      <c r="B140" s="1049"/>
      <c r="C140" s="1060" t="s">
        <v>2021</v>
      </c>
      <c r="D140" s="1061" t="s">
        <v>113</v>
      </c>
      <c r="E140" s="1062" t="s">
        <v>457</v>
      </c>
      <c r="F140" s="1063">
        <v>0</v>
      </c>
      <c r="G140" s="1063">
        <v>0</v>
      </c>
      <c r="H140" s="1063">
        <v>0</v>
      </c>
      <c r="I140" s="1063">
        <v>0</v>
      </c>
      <c r="J140" s="1063">
        <v>0</v>
      </c>
      <c r="K140" s="1063">
        <v>0</v>
      </c>
      <c r="L140" s="1063">
        <v>0</v>
      </c>
      <c r="M140" s="1063">
        <v>0</v>
      </c>
      <c r="N140" s="1063">
        <v>0</v>
      </c>
      <c r="O140" s="1063">
        <v>0</v>
      </c>
      <c r="P140" s="1063">
        <v>0</v>
      </c>
      <c r="Q140" s="1063">
        <v>0</v>
      </c>
      <c r="R140" s="1063">
        <v>0</v>
      </c>
      <c r="S140" s="1063">
        <v>0</v>
      </c>
      <c r="T140" s="1063">
        <v>0</v>
      </c>
      <c r="U140" s="1063">
        <v>0</v>
      </c>
      <c r="V140" s="1063"/>
      <c r="W140" s="1049"/>
      <c r="X140" s="1049"/>
      <c r="Y140" s="1049"/>
      <c r="Z140" s="1049"/>
      <c r="AA140" s="1066"/>
      <c r="AT140" s="418">
        <v>4719522</v>
      </c>
      <c r="AU140" s="418">
        <v>5916860</v>
      </c>
      <c r="AV140" s="418">
        <v>36957979</v>
      </c>
      <c r="AW140" s="418">
        <v>1840947</v>
      </c>
      <c r="AX140" s="418">
        <v>5392287</v>
      </c>
      <c r="AY140" s="418">
        <v>11047474</v>
      </c>
      <c r="AZ140" s="418">
        <v>9381954</v>
      </c>
      <c r="BA140" s="418">
        <v>17137335</v>
      </c>
      <c r="BB140" s="418">
        <v>1587</v>
      </c>
      <c r="BC140" s="418">
        <v>3681026</v>
      </c>
      <c r="BD140" s="418">
        <v>0</v>
      </c>
      <c r="BE140" s="418">
        <v>0</v>
      </c>
      <c r="BF140" s="418">
        <v>61460676</v>
      </c>
      <c r="BG140" s="418">
        <v>0</v>
      </c>
      <c r="BH140" s="418">
        <v>0</v>
      </c>
      <c r="BI140" s="418">
        <v>7677098</v>
      </c>
      <c r="BJ140" s="418">
        <v>7663619</v>
      </c>
      <c r="BK140" s="418">
        <v>0</v>
      </c>
      <c r="BL140" s="418">
        <v>13721558</v>
      </c>
      <c r="BM140" s="418">
        <v>8462815</v>
      </c>
      <c r="BN140" s="418">
        <v>0</v>
      </c>
      <c r="BO140" s="418">
        <v>21355927</v>
      </c>
      <c r="BP140" s="418">
        <v>12624222</v>
      </c>
      <c r="BQ140" s="418">
        <v>8940927</v>
      </c>
      <c r="BR140" s="418">
        <v>7040594</v>
      </c>
      <c r="BS140" s="418">
        <v>0</v>
      </c>
      <c r="BT140" s="418">
        <v>0</v>
      </c>
      <c r="BU140" s="418">
        <v>7030022</v>
      </c>
      <c r="BV140" s="418">
        <v>17529503</v>
      </c>
      <c r="BW140" s="418">
        <v>5670917</v>
      </c>
      <c r="BX140" s="418">
        <v>3214217</v>
      </c>
      <c r="BY140" s="418">
        <v>0</v>
      </c>
      <c r="BZ140" s="418">
        <v>0</v>
      </c>
      <c r="CA140" s="418">
        <v>63410531</v>
      </c>
      <c r="CB140" s="418">
        <v>0</v>
      </c>
    </row>
    <row r="141" spans="1:80" s="418" customFormat="1" ht="27.6" x14ac:dyDescent="0.3">
      <c r="A141" s="1052">
        <v>382</v>
      </c>
      <c r="B141" s="1049"/>
      <c r="C141" s="1060" t="s">
        <v>2022</v>
      </c>
      <c r="D141" s="1061" t="s">
        <v>114</v>
      </c>
      <c r="E141" s="1062" t="s">
        <v>458</v>
      </c>
      <c r="F141" s="1063">
        <v>0</v>
      </c>
      <c r="G141" s="1063">
        <v>0</v>
      </c>
      <c r="H141" s="1063">
        <v>0</v>
      </c>
      <c r="I141" s="1063">
        <v>0</v>
      </c>
      <c r="J141" s="1063">
        <v>0</v>
      </c>
      <c r="K141" s="1063">
        <v>0</v>
      </c>
      <c r="L141" s="1063">
        <v>0</v>
      </c>
      <c r="M141" s="1063">
        <v>0</v>
      </c>
      <c r="N141" s="1063">
        <v>0</v>
      </c>
      <c r="O141" s="1063">
        <v>0</v>
      </c>
      <c r="P141" s="1063">
        <v>0</v>
      </c>
      <c r="Q141" s="1063">
        <v>0</v>
      </c>
      <c r="R141" s="1063">
        <v>0</v>
      </c>
      <c r="S141" s="1063">
        <v>0</v>
      </c>
      <c r="T141" s="1063">
        <v>0</v>
      </c>
      <c r="U141" s="1063">
        <v>0</v>
      </c>
      <c r="V141" s="1063"/>
      <c r="W141" s="1049"/>
      <c r="X141" s="1049"/>
      <c r="Y141" s="1049"/>
      <c r="Z141" s="1049"/>
      <c r="AA141" s="1066"/>
      <c r="AT141" s="418">
        <v>0</v>
      </c>
      <c r="AU141" s="418">
        <v>0</v>
      </c>
      <c r="AV141" s="418">
        <v>8488953</v>
      </c>
      <c r="AW141" s="418">
        <v>0</v>
      </c>
      <c r="AX141" s="418">
        <v>0</v>
      </c>
      <c r="AY141" s="418">
        <v>0</v>
      </c>
      <c r="AZ141" s="418">
        <v>0</v>
      </c>
      <c r="BA141" s="418">
        <v>6630300</v>
      </c>
      <c r="BB141" s="418">
        <v>0</v>
      </c>
      <c r="BC141" s="418">
        <v>0</v>
      </c>
      <c r="BD141" s="418">
        <v>0</v>
      </c>
      <c r="BE141" s="418">
        <v>0</v>
      </c>
      <c r="BF141" s="418">
        <v>30090334</v>
      </c>
      <c r="BG141" s="418">
        <v>0</v>
      </c>
      <c r="BH141" s="418">
        <v>0</v>
      </c>
      <c r="BI141" s="418">
        <v>0</v>
      </c>
      <c r="BJ141" s="418">
        <v>0</v>
      </c>
      <c r="BK141" s="418">
        <v>0</v>
      </c>
      <c r="BL141" s="418">
        <v>5925114</v>
      </c>
      <c r="BM141" s="418">
        <v>0</v>
      </c>
      <c r="BN141" s="418">
        <v>0</v>
      </c>
      <c r="BO141" s="418">
        <v>0</v>
      </c>
      <c r="BP141" s="418">
        <v>0</v>
      </c>
      <c r="BQ141" s="418">
        <v>0</v>
      </c>
      <c r="BR141" s="418">
        <v>0</v>
      </c>
      <c r="BS141" s="418">
        <v>0</v>
      </c>
      <c r="BT141" s="418">
        <v>0</v>
      </c>
      <c r="BU141" s="418">
        <v>0</v>
      </c>
      <c r="BV141" s="418">
        <v>0</v>
      </c>
      <c r="BW141" s="418">
        <v>0</v>
      </c>
      <c r="BX141" s="418">
        <v>0</v>
      </c>
      <c r="BY141" s="418">
        <v>0</v>
      </c>
      <c r="BZ141" s="418">
        <v>0</v>
      </c>
      <c r="CA141" s="418">
        <v>0</v>
      </c>
      <c r="CB141" s="418">
        <v>0</v>
      </c>
    </row>
    <row r="142" spans="1:80" s="418" customFormat="1" ht="15.6" x14ac:dyDescent="0.3">
      <c r="A142" s="1052">
        <v>383</v>
      </c>
      <c r="B142" s="1049"/>
      <c r="C142" s="1060" t="s">
        <v>2023</v>
      </c>
      <c r="D142" s="1061" t="s">
        <v>221</v>
      </c>
      <c r="E142" s="1062" t="s">
        <v>459</v>
      </c>
      <c r="F142" s="1063">
        <v>0</v>
      </c>
      <c r="G142" s="1063">
        <v>0</v>
      </c>
      <c r="H142" s="1063">
        <v>0</v>
      </c>
      <c r="I142" s="1063">
        <v>0</v>
      </c>
      <c r="J142" s="1063">
        <v>0</v>
      </c>
      <c r="K142" s="1063">
        <v>0</v>
      </c>
      <c r="L142" s="1063">
        <v>0</v>
      </c>
      <c r="M142" s="1063">
        <v>0</v>
      </c>
      <c r="N142" s="1063">
        <v>0</v>
      </c>
      <c r="O142" s="1063">
        <v>0</v>
      </c>
      <c r="P142" s="1063">
        <v>0</v>
      </c>
      <c r="Q142" s="1063">
        <v>0</v>
      </c>
      <c r="R142" s="1063">
        <v>0</v>
      </c>
      <c r="S142" s="1063">
        <v>0</v>
      </c>
      <c r="T142" s="1063">
        <v>0</v>
      </c>
      <c r="U142" s="1063">
        <v>0</v>
      </c>
      <c r="V142" s="1063"/>
      <c r="W142" s="1049"/>
      <c r="X142" s="1049"/>
      <c r="Y142" s="1049"/>
      <c r="Z142" s="1049"/>
      <c r="AA142" s="1066"/>
      <c r="AT142" s="418">
        <v>0</v>
      </c>
      <c r="AU142" s="418">
        <v>0</v>
      </c>
      <c r="AV142" s="418">
        <v>0</v>
      </c>
      <c r="AW142" s="418">
        <v>0</v>
      </c>
      <c r="AX142" s="418">
        <v>0</v>
      </c>
      <c r="AY142" s="418">
        <v>0</v>
      </c>
      <c r="AZ142" s="418">
        <v>0</v>
      </c>
      <c r="BA142" s="418">
        <v>0</v>
      </c>
      <c r="BB142" s="418">
        <v>0</v>
      </c>
      <c r="BC142" s="418">
        <v>0</v>
      </c>
      <c r="BD142" s="418">
        <v>0</v>
      </c>
      <c r="BE142" s="418">
        <v>0</v>
      </c>
      <c r="BF142" s="418">
        <v>0</v>
      </c>
      <c r="BG142" s="418">
        <v>0</v>
      </c>
      <c r="BH142" s="418">
        <v>0</v>
      </c>
      <c r="BI142" s="418">
        <v>0</v>
      </c>
      <c r="BJ142" s="418">
        <v>0</v>
      </c>
      <c r="BK142" s="418">
        <v>0</v>
      </c>
      <c r="BL142" s="418">
        <v>0</v>
      </c>
      <c r="BM142" s="418">
        <v>0</v>
      </c>
      <c r="BN142" s="418">
        <v>0</v>
      </c>
      <c r="BO142" s="418">
        <v>0</v>
      </c>
      <c r="BP142" s="418">
        <v>6921</v>
      </c>
      <c r="BQ142" s="418">
        <v>0</v>
      </c>
      <c r="BR142" s="418">
        <v>0</v>
      </c>
      <c r="BS142" s="418">
        <v>0</v>
      </c>
      <c r="BT142" s="418">
        <v>0</v>
      </c>
      <c r="BU142" s="418">
        <v>0</v>
      </c>
      <c r="BV142" s="418">
        <v>0</v>
      </c>
      <c r="BW142" s="418">
        <v>25000</v>
      </c>
      <c r="BX142" s="418">
        <v>0</v>
      </c>
      <c r="BY142" s="418">
        <v>0</v>
      </c>
      <c r="BZ142" s="418">
        <v>0</v>
      </c>
      <c r="CA142" s="418">
        <v>0</v>
      </c>
      <c r="CB142" s="418">
        <v>0</v>
      </c>
    </row>
    <row r="143" spans="1:80" s="418" customFormat="1" ht="27.6" x14ac:dyDescent="0.3">
      <c r="A143" s="1052">
        <v>384</v>
      </c>
      <c r="B143" s="1049"/>
      <c r="C143" s="1060" t="s">
        <v>2024</v>
      </c>
      <c r="D143" s="1061" t="s">
        <v>124</v>
      </c>
      <c r="E143" s="1062" t="s">
        <v>460</v>
      </c>
      <c r="F143" s="1063">
        <v>0</v>
      </c>
      <c r="G143" s="1063">
        <v>0</v>
      </c>
      <c r="H143" s="1063">
        <v>0</v>
      </c>
      <c r="I143" s="1063">
        <v>0</v>
      </c>
      <c r="J143" s="1063">
        <v>0</v>
      </c>
      <c r="K143" s="1063">
        <v>0</v>
      </c>
      <c r="L143" s="1063">
        <v>0</v>
      </c>
      <c r="M143" s="1063">
        <v>0</v>
      </c>
      <c r="N143" s="1063">
        <v>0</v>
      </c>
      <c r="O143" s="1063">
        <v>0</v>
      </c>
      <c r="P143" s="1063">
        <v>0</v>
      </c>
      <c r="Q143" s="1063">
        <v>0</v>
      </c>
      <c r="R143" s="1063">
        <v>0</v>
      </c>
      <c r="S143" s="1063">
        <v>0</v>
      </c>
      <c r="T143" s="1063">
        <v>0</v>
      </c>
      <c r="U143" s="1063">
        <v>0</v>
      </c>
      <c r="V143" s="1063"/>
      <c r="W143" s="1049"/>
      <c r="X143" s="1049"/>
      <c r="Y143" s="1049"/>
      <c r="Z143" s="1049"/>
      <c r="AA143" s="1066"/>
      <c r="AT143" s="418">
        <v>0</v>
      </c>
      <c r="AU143" s="418">
        <v>0</v>
      </c>
      <c r="AV143" s="418">
        <v>0</v>
      </c>
      <c r="AW143" s="418">
        <v>0</v>
      </c>
      <c r="AX143" s="418">
        <v>0</v>
      </c>
      <c r="AY143" s="418">
        <v>0</v>
      </c>
      <c r="AZ143" s="418">
        <v>0</v>
      </c>
      <c r="BA143" s="418">
        <v>0</v>
      </c>
      <c r="BB143" s="418">
        <v>0</v>
      </c>
      <c r="BC143" s="418">
        <v>0</v>
      </c>
      <c r="BD143" s="418">
        <v>0</v>
      </c>
      <c r="BE143" s="418">
        <v>0</v>
      </c>
      <c r="BF143" s="418">
        <v>0</v>
      </c>
      <c r="BG143" s="418">
        <v>0</v>
      </c>
      <c r="BH143" s="418">
        <v>0</v>
      </c>
      <c r="BI143" s="418">
        <v>0</v>
      </c>
      <c r="BJ143" s="418">
        <v>0</v>
      </c>
      <c r="BK143" s="418">
        <v>0</v>
      </c>
      <c r="BL143" s="418">
        <v>0</v>
      </c>
      <c r="BM143" s="418">
        <v>0</v>
      </c>
      <c r="BN143" s="418">
        <v>0</v>
      </c>
      <c r="BO143" s="418">
        <v>0</v>
      </c>
      <c r="BP143" s="418">
        <v>0</v>
      </c>
      <c r="BQ143" s="418">
        <v>0</v>
      </c>
      <c r="BR143" s="418">
        <v>0</v>
      </c>
      <c r="BS143" s="418">
        <v>0</v>
      </c>
      <c r="BT143" s="418">
        <v>0</v>
      </c>
      <c r="BU143" s="418">
        <v>0</v>
      </c>
      <c r="BV143" s="418">
        <v>0</v>
      </c>
      <c r="BW143" s="418">
        <v>0</v>
      </c>
      <c r="BX143" s="418">
        <v>0</v>
      </c>
      <c r="BY143" s="418">
        <v>0</v>
      </c>
      <c r="BZ143" s="418">
        <v>0</v>
      </c>
      <c r="CA143" s="418">
        <v>0</v>
      </c>
      <c r="CB143" s="418">
        <v>0</v>
      </c>
    </row>
    <row r="144" spans="1:80" s="418" customFormat="1" ht="27.6" x14ac:dyDescent="0.3">
      <c r="A144" s="1052">
        <v>385</v>
      </c>
      <c r="B144" s="1049"/>
      <c r="C144" s="1060" t="s">
        <v>2025</v>
      </c>
      <c r="D144" s="1061" t="s">
        <v>115</v>
      </c>
      <c r="E144" s="1062" t="s">
        <v>461</v>
      </c>
      <c r="F144" s="1063">
        <v>0</v>
      </c>
      <c r="G144" s="1063">
        <v>0</v>
      </c>
      <c r="H144" s="1063">
        <v>0</v>
      </c>
      <c r="I144" s="1063">
        <v>0</v>
      </c>
      <c r="J144" s="1063">
        <v>0</v>
      </c>
      <c r="K144" s="1063">
        <v>0</v>
      </c>
      <c r="L144" s="1063">
        <v>0</v>
      </c>
      <c r="M144" s="1063">
        <v>0</v>
      </c>
      <c r="N144" s="1063">
        <v>0</v>
      </c>
      <c r="O144" s="1063">
        <v>0</v>
      </c>
      <c r="P144" s="1063">
        <v>0</v>
      </c>
      <c r="Q144" s="1063">
        <v>0</v>
      </c>
      <c r="R144" s="1063">
        <v>0</v>
      </c>
      <c r="S144" s="1063">
        <v>0</v>
      </c>
      <c r="T144" s="1063">
        <v>0</v>
      </c>
      <c r="U144" s="1063">
        <v>0</v>
      </c>
      <c r="V144" s="1063"/>
      <c r="W144" s="1049"/>
      <c r="X144" s="1049"/>
      <c r="Y144" s="1049"/>
      <c r="Z144" s="1049"/>
      <c r="AA144" s="1066"/>
      <c r="AT144" s="418">
        <v>2676655</v>
      </c>
      <c r="AU144" s="418">
        <v>10530402</v>
      </c>
      <c r="AV144" s="418">
        <v>28855575</v>
      </c>
      <c r="AW144" s="418">
        <v>1056140</v>
      </c>
      <c r="AX144" s="418">
        <v>1748096</v>
      </c>
      <c r="AY144" s="418">
        <v>16507029</v>
      </c>
      <c r="AZ144" s="418">
        <v>6361336</v>
      </c>
      <c r="BA144" s="418">
        <v>9937562</v>
      </c>
      <c r="BB144" s="418">
        <v>148189</v>
      </c>
      <c r="BC144" s="418">
        <v>3773154</v>
      </c>
      <c r="BD144" s="418">
        <v>0</v>
      </c>
      <c r="BE144" s="418">
        <v>422501</v>
      </c>
      <c r="BF144" s="418">
        <v>57771185</v>
      </c>
      <c r="BG144" s="418">
        <v>0</v>
      </c>
      <c r="BH144" s="418">
        <v>236755</v>
      </c>
      <c r="BI144" s="418">
        <v>6523811</v>
      </c>
      <c r="BJ144" s="418">
        <v>11712869</v>
      </c>
      <c r="BK144" s="418">
        <v>0</v>
      </c>
      <c r="BL144" s="418">
        <v>15137769</v>
      </c>
      <c r="BM144" s="418">
        <v>14441091</v>
      </c>
      <c r="BN144" s="418">
        <v>189429</v>
      </c>
      <c r="BO144" s="418">
        <v>15653783</v>
      </c>
      <c r="BP144" s="418">
        <v>8379262</v>
      </c>
      <c r="BQ144" s="418">
        <v>2394194</v>
      </c>
      <c r="BR144" s="418">
        <v>4749806</v>
      </c>
      <c r="BS144" s="418">
        <v>11886705</v>
      </c>
      <c r="BT144" s="418">
        <v>277792914</v>
      </c>
      <c r="BU144" s="418">
        <v>5491723</v>
      </c>
      <c r="BV144" s="418">
        <v>5349198</v>
      </c>
      <c r="BW144" s="418">
        <v>2523357</v>
      </c>
      <c r="BX144" s="418">
        <v>4774260</v>
      </c>
      <c r="BY144" s="418">
        <v>194841</v>
      </c>
      <c r="BZ144" s="418">
        <v>223162</v>
      </c>
      <c r="CA144" s="418">
        <v>80045301</v>
      </c>
      <c r="CB144" s="418">
        <v>365922</v>
      </c>
    </row>
    <row r="145" spans="1:80" s="418" customFormat="1" ht="15.6" x14ac:dyDescent="0.3">
      <c r="A145" s="1052">
        <v>386</v>
      </c>
      <c r="B145" s="1049"/>
      <c r="C145" s="1060" t="s">
        <v>2026</v>
      </c>
      <c r="D145" s="1061" t="s">
        <v>194</v>
      </c>
      <c r="E145" s="1062" t="s">
        <v>462</v>
      </c>
      <c r="F145" s="1063">
        <v>0</v>
      </c>
      <c r="G145" s="1063">
        <v>0</v>
      </c>
      <c r="H145" s="1063">
        <v>0</v>
      </c>
      <c r="I145" s="1063">
        <v>0</v>
      </c>
      <c r="J145" s="1063">
        <v>0</v>
      </c>
      <c r="K145" s="1063">
        <v>0</v>
      </c>
      <c r="L145" s="1063">
        <v>0</v>
      </c>
      <c r="M145" s="1063">
        <v>0</v>
      </c>
      <c r="N145" s="1063">
        <v>0</v>
      </c>
      <c r="O145" s="1063">
        <v>0</v>
      </c>
      <c r="P145" s="1063">
        <v>0</v>
      </c>
      <c r="Q145" s="1063">
        <v>0</v>
      </c>
      <c r="R145" s="1063">
        <v>0</v>
      </c>
      <c r="S145" s="1063">
        <v>0</v>
      </c>
      <c r="T145" s="1063">
        <v>0</v>
      </c>
      <c r="U145" s="1063">
        <v>0</v>
      </c>
      <c r="V145" s="1063"/>
      <c r="W145" s="1049"/>
      <c r="X145" s="1049"/>
      <c r="Y145" s="1049"/>
      <c r="Z145" s="1049"/>
      <c r="AA145" s="1066"/>
      <c r="AT145" s="418">
        <v>11853</v>
      </c>
      <c r="AU145" s="418">
        <v>0</v>
      </c>
      <c r="AV145" s="418">
        <v>405071</v>
      </c>
      <c r="AW145" s="418">
        <v>20000</v>
      </c>
      <c r="AX145" s="418">
        <v>0</v>
      </c>
      <c r="AY145" s="418">
        <v>0</v>
      </c>
      <c r="AZ145" s="418">
        <v>60000</v>
      </c>
      <c r="BA145" s="418">
        <v>377370</v>
      </c>
      <c r="BB145" s="418">
        <v>0</v>
      </c>
      <c r="BC145" s="418">
        <v>0</v>
      </c>
      <c r="BD145" s="418">
        <v>0</v>
      </c>
      <c r="BE145" s="418">
        <v>0</v>
      </c>
      <c r="BF145" s="418">
        <v>788145</v>
      </c>
      <c r="BG145" s="418">
        <v>0</v>
      </c>
      <c r="BH145" s="418">
        <v>0</v>
      </c>
      <c r="BI145" s="418">
        <v>0</v>
      </c>
      <c r="BJ145" s="418">
        <v>0</v>
      </c>
      <c r="BK145" s="418">
        <v>0</v>
      </c>
      <c r="BL145" s="418">
        <v>0</v>
      </c>
      <c r="BM145" s="418">
        <v>0</v>
      </c>
      <c r="BN145" s="418">
        <v>0</v>
      </c>
      <c r="BO145" s="418">
        <v>173000</v>
      </c>
      <c r="BP145" s="418">
        <v>0</v>
      </c>
      <c r="BQ145" s="418">
        <v>0</v>
      </c>
      <c r="BR145" s="418">
        <v>1495868</v>
      </c>
      <c r="BS145" s="418">
        <v>0</v>
      </c>
      <c r="BT145" s="418">
        <v>0</v>
      </c>
      <c r="BU145" s="418">
        <v>0</v>
      </c>
      <c r="BV145" s="418">
        <v>0</v>
      </c>
      <c r="BW145" s="418">
        <v>0</v>
      </c>
      <c r="BX145" s="418">
        <v>0</v>
      </c>
      <c r="BY145" s="418">
        <v>0</v>
      </c>
      <c r="BZ145" s="418">
        <v>0</v>
      </c>
      <c r="CA145" s="418">
        <v>0</v>
      </c>
      <c r="CB145" s="418">
        <v>0</v>
      </c>
    </row>
    <row r="146" spans="1:80" s="418" customFormat="1" ht="15.6" x14ac:dyDescent="0.3">
      <c r="A146" s="1052">
        <v>387</v>
      </c>
      <c r="B146" s="1049"/>
      <c r="C146" s="1060" t="s">
        <v>2027</v>
      </c>
      <c r="D146" s="1061" t="s">
        <v>195</v>
      </c>
      <c r="E146" s="1062" t="s">
        <v>463</v>
      </c>
      <c r="F146" s="1063">
        <v>0</v>
      </c>
      <c r="G146" s="1063">
        <v>0</v>
      </c>
      <c r="H146" s="1063">
        <v>0</v>
      </c>
      <c r="I146" s="1063">
        <v>0</v>
      </c>
      <c r="J146" s="1063">
        <v>0</v>
      </c>
      <c r="K146" s="1063">
        <v>0</v>
      </c>
      <c r="L146" s="1063">
        <v>0</v>
      </c>
      <c r="M146" s="1063">
        <v>0</v>
      </c>
      <c r="N146" s="1063">
        <v>0</v>
      </c>
      <c r="O146" s="1063">
        <v>0</v>
      </c>
      <c r="P146" s="1063">
        <v>0</v>
      </c>
      <c r="Q146" s="1063">
        <v>0</v>
      </c>
      <c r="R146" s="1063">
        <v>0</v>
      </c>
      <c r="S146" s="1063">
        <v>0</v>
      </c>
      <c r="T146" s="1063">
        <v>0</v>
      </c>
      <c r="U146" s="1063">
        <v>0</v>
      </c>
      <c r="V146" s="1063"/>
      <c r="W146" s="1049"/>
      <c r="X146" s="1049"/>
      <c r="Y146" s="1049"/>
      <c r="Z146" s="1049"/>
      <c r="AA146" s="1066"/>
      <c r="AT146" s="418">
        <v>10765</v>
      </c>
      <c r="AU146" s="418">
        <v>0</v>
      </c>
      <c r="AV146" s="418">
        <v>0</v>
      </c>
      <c r="AW146" s="418">
        <v>0</v>
      </c>
      <c r="AX146" s="418">
        <v>0</v>
      </c>
      <c r="AY146" s="418">
        <v>0</v>
      </c>
      <c r="AZ146" s="418">
        <v>0</v>
      </c>
      <c r="BA146" s="418">
        <v>109142</v>
      </c>
      <c r="BB146" s="418">
        <v>0</v>
      </c>
      <c r="BC146" s="418">
        <v>0</v>
      </c>
      <c r="BD146" s="418">
        <v>0</v>
      </c>
      <c r="BE146" s="418">
        <v>0</v>
      </c>
      <c r="BF146" s="418">
        <v>25900</v>
      </c>
      <c r="BG146" s="418">
        <v>0</v>
      </c>
      <c r="BH146" s="418">
        <v>0</v>
      </c>
      <c r="BI146" s="418">
        <v>0</v>
      </c>
      <c r="BJ146" s="418">
        <v>0</v>
      </c>
      <c r="BK146" s="418">
        <v>0</v>
      </c>
      <c r="BL146" s="418">
        <v>0</v>
      </c>
      <c r="BM146" s="418">
        <v>0</v>
      </c>
      <c r="BN146" s="418">
        <v>0</v>
      </c>
      <c r="BO146" s="418">
        <v>0</v>
      </c>
      <c r="BP146" s="418">
        <v>0</v>
      </c>
      <c r="BQ146" s="418">
        <v>0</v>
      </c>
      <c r="BR146" s="418">
        <v>0</v>
      </c>
      <c r="BS146" s="418">
        <v>0</v>
      </c>
      <c r="BT146" s="418">
        <v>0</v>
      </c>
      <c r="BU146" s="418">
        <v>6211</v>
      </c>
      <c r="BV146" s="418">
        <v>21072</v>
      </c>
      <c r="BW146" s="418">
        <v>129596</v>
      </c>
      <c r="BX146" s="418">
        <v>0</v>
      </c>
      <c r="BY146" s="418">
        <v>0</v>
      </c>
      <c r="BZ146" s="418">
        <v>0</v>
      </c>
      <c r="CA146" s="418">
        <v>1395</v>
      </c>
      <c r="CB146" s="418">
        <v>0</v>
      </c>
    </row>
    <row r="147" spans="1:80" s="418" customFormat="1" ht="15.6" x14ac:dyDescent="0.3">
      <c r="A147" s="1052">
        <v>388</v>
      </c>
      <c r="B147" s="1049"/>
      <c r="C147" s="1060" t="s">
        <v>2028</v>
      </c>
      <c r="D147" s="1061" t="s">
        <v>189</v>
      </c>
      <c r="E147" s="1062" t="s">
        <v>464</v>
      </c>
      <c r="F147" s="1063">
        <v>0</v>
      </c>
      <c r="G147" s="1063">
        <v>0</v>
      </c>
      <c r="H147" s="1063">
        <v>0</v>
      </c>
      <c r="I147" s="1063">
        <v>0</v>
      </c>
      <c r="J147" s="1063">
        <v>0</v>
      </c>
      <c r="K147" s="1063">
        <v>0</v>
      </c>
      <c r="L147" s="1063">
        <v>0</v>
      </c>
      <c r="M147" s="1063">
        <v>0</v>
      </c>
      <c r="N147" s="1063">
        <v>0</v>
      </c>
      <c r="O147" s="1063">
        <v>0</v>
      </c>
      <c r="P147" s="1063">
        <v>0</v>
      </c>
      <c r="Q147" s="1063">
        <v>0</v>
      </c>
      <c r="R147" s="1063">
        <v>0</v>
      </c>
      <c r="S147" s="1063">
        <v>0</v>
      </c>
      <c r="T147" s="1063">
        <v>0</v>
      </c>
      <c r="U147" s="1063">
        <v>0</v>
      </c>
      <c r="V147" s="1063"/>
      <c r="W147" s="1049"/>
      <c r="X147" s="1049"/>
      <c r="Y147" s="1049"/>
      <c r="Z147" s="1049"/>
      <c r="AA147" s="1066"/>
      <c r="AT147" s="418">
        <v>558407</v>
      </c>
      <c r="AU147" s="418">
        <v>5011716</v>
      </c>
      <c r="AV147" s="418">
        <v>11030667</v>
      </c>
      <c r="AW147" s="418">
        <v>118753</v>
      </c>
      <c r="AX147" s="418">
        <v>754358</v>
      </c>
      <c r="AY147" s="418">
        <v>3300535</v>
      </c>
      <c r="AZ147" s="418">
        <v>4354571</v>
      </c>
      <c r="BA147" s="418">
        <v>3951762</v>
      </c>
      <c r="BB147" s="418">
        <v>68667</v>
      </c>
      <c r="BC147" s="418">
        <v>2593760</v>
      </c>
      <c r="BD147" s="418">
        <v>0</v>
      </c>
      <c r="BE147" s="418">
        <v>69217</v>
      </c>
      <c r="BF147" s="418">
        <v>31996497</v>
      </c>
      <c r="BG147" s="418">
        <v>0</v>
      </c>
      <c r="BH147" s="418">
        <v>54089</v>
      </c>
      <c r="BI147" s="418">
        <v>3829487</v>
      </c>
      <c r="BJ147" s="418">
        <v>2497138</v>
      </c>
      <c r="BK147" s="418">
        <v>0</v>
      </c>
      <c r="BL147" s="418">
        <v>9055035</v>
      </c>
      <c r="BM147" s="418">
        <v>4718111</v>
      </c>
      <c r="BN147" s="418">
        <v>44587</v>
      </c>
      <c r="BO147" s="418">
        <v>8753077</v>
      </c>
      <c r="BP147" s="418">
        <v>1843615</v>
      </c>
      <c r="BQ147" s="418">
        <v>1128251</v>
      </c>
      <c r="BR147" s="418">
        <v>2097243</v>
      </c>
      <c r="BS147" s="418">
        <v>1255505</v>
      </c>
      <c r="BT147" s="418">
        <v>26250443</v>
      </c>
      <c r="BU147" s="418">
        <v>2117639</v>
      </c>
      <c r="BV147" s="418">
        <v>2761065</v>
      </c>
      <c r="BW147" s="418">
        <v>1254934</v>
      </c>
      <c r="BX147" s="418">
        <v>920300</v>
      </c>
      <c r="BY147" s="418">
        <v>32146</v>
      </c>
      <c r="BZ147" s="418">
        <v>41461</v>
      </c>
      <c r="CA147" s="418">
        <v>19434064</v>
      </c>
      <c r="CB147" s="418">
        <v>76600</v>
      </c>
    </row>
    <row r="148" spans="1:80" s="418" customFormat="1" ht="15.6" x14ac:dyDescent="0.3">
      <c r="A148" s="1052">
        <v>389</v>
      </c>
      <c r="B148" s="1049"/>
      <c r="C148" s="1060" t="s">
        <v>2029</v>
      </c>
      <c r="D148" s="1061" t="s">
        <v>196</v>
      </c>
      <c r="E148" s="1062" t="s">
        <v>465</v>
      </c>
      <c r="F148" s="1063">
        <v>0</v>
      </c>
      <c r="G148" s="1063">
        <v>0</v>
      </c>
      <c r="H148" s="1063">
        <v>0</v>
      </c>
      <c r="I148" s="1063">
        <v>0</v>
      </c>
      <c r="J148" s="1063">
        <v>0</v>
      </c>
      <c r="K148" s="1063">
        <v>0</v>
      </c>
      <c r="L148" s="1063">
        <v>0</v>
      </c>
      <c r="M148" s="1063">
        <v>0</v>
      </c>
      <c r="N148" s="1063">
        <v>0</v>
      </c>
      <c r="O148" s="1063">
        <v>0</v>
      </c>
      <c r="P148" s="1063">
        <v>0</v>
      </c>
      <c r="Q148" s="1063">
        <v>0</v>
      </c>
      <c r="R148" s="1063">
        <v>0</v>
      </c>
      <c r="S148" s="1063">
        <v>0</v>
      </c>
      <c r="T148" s="1063">
        <v>0</v>
      </c>
      <c r="U148" s="1063">
        <v>0</v>
      </c>
      <c r="V148" s="1063"/>
      <c r="W148" s="1049"/>
      <c r="X148" s="1049"/>
      <c r="Y148" s="1049"/>
      <c r="Z148" s="1049"/>
      <c r="AA148" s="1066"/>
      <c r="AT148" s="418">
        <v>0</v>
      </c>
      <c r="AU148" s="418">
        <v>0</v>
      </c>
      <c r="AV148" s="418">
        <v>0</v>
      </c>
      <c r="AW148" s="418">
        <v>0</v>
      </c>
      <c r="AX148" s="418">
        <v>0</v>
      </c>
      <c r="AY148" s="418">
        <v>0</v>
      </c>
      <c r="AZ148" s="418">
        <v>0</v>
      </c>
      <c r="BA148" s="418">
        <v>0</v>
      </c>
      <c r="BB148" s="418">
        <v>0</v>
      </c>
      <c r="BC148" s="418">
        <v>0</v>
      </c>
      <c r="BD148" s="418">
        <v>0</v>
      </c>
      <c r="BE148" s="418">
        <v>0</v>
      </c>
      <c r="BF148" s="418">
        <v>0</v>
      </c>
      <c r="BG148" s="418">
        <v>0</v>
      </c>
      <c r="BH148" s="418">
        <v>0</v>
      </c>
      <c r="BI148" s="418">
        <v>0</v>
      </c>
      <c r="BJ148" s="418">
        <v>0</v>
      </c>
      <c r="BK148" s="418">
        <v>0</v>
      </c>
      <c r="BL148" s="418">
        <v>0</v>
      </c>
      <c r="BM148" s="418">
        <v>0</v>
      </c>
      <c r="BN148" s="418">
        <v>0</v>
      </c>
      <c r="BO148" s="418">
        <v>0</v>
      </c>
      <c r="BP148" s="418">
        <v>0</v>
      </c>
      <c r="BQ148" s="418">
        <v>0</v>
      </c>
      <c r="BR148" s="418">
        <v>0</v>
      </c>
      <c r="BS148" s="418">
        <v>0</v>
      </c>
      <c r="BT148" s="418">
        <v>0</v>
      </c>
      <c r="BU148" s="418">
        <v>0</v>
      </c>
      <c r="BV148" s="418">
        <v>0</v>
      </c>
      <c r="BW148" s="418">
        <v>0</v>
      </c>
      <c r="BX148" s="418">
        <v>0</v>
      </c>
      <c r="BY148" s="418">
        <v>0</v>
      </c>
      <c r="BZ148" s="418">
        <v>0</v>
      </c>
      <c r="CA148" s="418">
        <v>0</v>
      </c>
      <c r="CB148" s="418">
        <v>0</v>
      </c>
    </row>
    <row r="149" spans="1:80" s="418" customFormat="1" ht="15.6" x14ac:dyDescent="0.3">
      <c r="A149" s="1052">
        <v>391</v>
      </c>
      <c r="B149" s="1049"/>
      <c r="C149" s="1060" t="s">
        <v>2030</v>
      </c>
      <c r="D149" s="1061" t="s">
        <v>201</v>
      </c>
      <c r="E149" s="1062" t="s">
        <v>466</v>
      </c>
      <c r="F149" s="1063">
        <v>0</v>
      </c>
      <c r="G149" s="1063">
        <v>0</v>
      </c>
      <c r="H149" s="1063">
        <v>0</v>
      </c>
      <c r="I149" s="1063">
        <v>0</v>
      </c>
      <c r="J149" s="1063">
        <v>0</v>
      </c>
      <c r="K149" s="1063">
        <v>0</v>
      </c>
      <c r="L149" s="1063">
        <v>0</v>
      </c>
      <c r="M149" s="1063">
        <v>0</v>
      </c>
      <c r="N149" s="1063">
        <v>0</v>
      </c>
      <c r="O149" s="1063">
        <v>0</v>
      </c>
      <c r="P149" s="1063">
        <v>0</v>
      </c>
      <c r="Q149" s="1063">
        <v>0</v>
      </c>
      <c r="R149" s="1063">
        <v>0</v>
      </c>
      <c r="S149" s="1063">
        <v>0</v>
      </c>
      <c r="T149" s="1063">
        <v>0</v>
      </c>
      <c r="U149" s="1063">
        <v>0</v>
      </c>
      <c r="V149" s="1063"/>
      <c r="W149" s="1049"/>
      <c r="X149" s="1049"/>
      <c r="Y149" s="1049"/>
      <c r="Z149" s="1049"/>
      <c r="AA149" s="1066"/>
      <c r="AT149" s="418">
        <v>45541</v>
      </c>
      <c r="AU149" s="418">
        <v>784247</v>
      </c>
      <c r="AV149" s="418">
        <v>1758308</v>
      </c>
      <c r="AW149" s="418">
        <v>7645</v>
      </c>
      <c r="AX149" s="418">
        <v>30949</v>
      </c>
      <c r="AY149" s="418">
        <v>219006</v>
      </c>
      <c r="AZ149" s="418">
        <v>304729</v>
      </c>
      <c r="BA149" s="418">
        <v>1069297</v>
      </c>
      <c r="BB149" s="418">
        <v>22057</v>
      </c>
      <c r="BC149" s="418">
        <v>135873</v>
      </c>
      <c r="BD149" s="418">
        <v>0</v>
      </c>
      <c r="BE149" s="418">
        <v>7378</v>
      </c>
      <c r="BF149" s="418">
        <v>2644342</v>
      </c>
      <c r="BG149" s="418">
        <v>0</v>
      </c>
      <c r="BH149" s="418">
        <v>5911</v>
      </c>
      <c r="BI149" s="418">
        <v>256323</v>
      </c>
      <c r="BJ149" s="418">
        <v>329696</v>
      </c>
      <c r="BK149" s="418">
        <v>0</v>
      </c>
      <c r="BL149" s="418">
        <v>689755</v>
      </c>
      <c r="BM149" s="418">
        <v>364769</v>
      </c>
      <c r="BN149" s="418">
        <v>5800</v>
      </c>
      <c r="BO149" s="418">
        <v>928658</v>
      </c>
      <c r="BP149" s="418">
        <v>200207</v>
      </c>
      <c r="BQ149" s="418">
        <v>78564</v>
      </c>
      <c r="BR149" s="418">
        <v>326850</v>
      </c>
      <c r="BS149" s="418">
        <v>61635</v>
      </c>
      <c r="BT149" s="418">
        <v>1529483</v>
      </c>
      <c r="BU149" s="418">
        <v>305666</v>
      </c>
      <c r="BV149" s="418">
        <v>208288</v>
      </c>
      <c r="BW149" s="418">
        <v>104263</v>
      </c>
      <c r="BX149" s="418">
        <v>454037</v>
      </c>
      <c r="BY149" s="418">
        <v>966</v>
      </c>
      <c r="BZ149" s="418">
        <v>5323</v>
      </c>
      <c r="CA149" s="418">
        <v>2422768</v>
      </c>
      <c r="CB149" s="418">
        <v>3541</v>
      </c>
    </row>
    <row r="150" spans="1:80" s="418" customFormat="1" ht="15.6" x14ac:dyDescent="0.3">
      <c r="A150" s="1052">
        <v>500</v>
      </c>
      <c r="B150" s="1049"/>
      <c r="C150" s="1060" t="s">
        <v>2031</v>
      </c>
      <c r="D150" s="1071" t="s">
        <v>183</v>
      </c>
      <c r="E150" s="1062" t="s">
        <v>467</v>
      </c>
      <c r="F150" s="1063">
        <v>0</v>
      </c>
      <c r="G150" s="1063">
        <v>0</v>
      </c>
      <c r="H150" s="1063">
        <v>0</v>
      </c>
      <c r="I150" s="1063">
        <v>0</v>
      </c>
      <c r="J150" s="1063">
        <v>0</v>
      </c>
      <c r="K150" s="1063">
        <v>0</v>
      </c>
      <c r="L150" s="1063">
        <v>0</v>
      </c>
      <c r="M150" s="1063">
        <v>0</v>
      </c>
      <c r="N150" s="1063">
        <v>0</v>
      </c>
      <c r="O150" s="1063">
        <v>0</v>
      </c>
      <c r="P150" s="1063">
        <v>0</v>
      </c>
      <c r="Q150" s="1063">
        <v>0</v>
      </c>
      <c r="R150" s="1063">
        <v>0</v>
      </c>
      <c r="S150" s="1063">
        <v>0</v>
      </c>
      <c r="T150" s="1063">
        <v>0</v>
      </c>
      <c r="U150" s="1063">
        <v>0</v>
      </c>
      <c r="V150" s="1063"/>
      <c r="W150" s="1049"/>
      <c r="X150" s="1049"/>
      <c r="Y150" s="1049"/>
      <c r="Z150" s="1049"/>
      <c r="AA150" s="1066"/>
      <c r="AT150" s="418">
        <v>27462</v>
      </c>
      <c r="AU150" s="418">
        <v>142041</v>
      </c>
      <c r="AV150" s="418">
        <v>369291</v>
      </c>
      <c r="AW150" s="418">
        <v>3181</v>
      </c>
      <c r="AX150" s="418">
        <v>194412</v>
      </c>
      <c r="AY150" s="418">
        <v>321111</v>
      </c>
      <c r="AZ150" s="418">
        <v>617678</v>
      </c>
      <c r="BA150" s="418">
        <v>447910</v>
      </c>
      <c r="BB150" s="418">
        <v>27627</v>
      </c>
      <c r="BC150" s="418">
        <v>526464</v>
      </c>
      <c r="BD150" s="418">
        <v>0</v>
      </c>
      <c r="BE150" s="418">
        <v>8482</v>
      </c>
      <c r="BF150" s="418">
        <v>1193288</v>
      </c>
      <c r="BG150" s="418">
        <v>0</v>
      </c>
      <c r="BH150" s="418">
        <v>23601</v>
      </c>
      <c r="BI150" s="418">
        <v>7771</v>
      </c>
      <c r="BJ150" s="418">
        <v>145974</v>
      </c>
      <c r="BK150" s="418">
        <v>0</v>
      </c>
      <c r="BL150" s="418">
        <v>263304</v>
      </c>
      <c r="BM150" s="418">
        <v>67699</v>
      </c>
      <c r="BN150" s="418">
        <v>0</v>
      </c>
      <c r="BO150" s="418">
        <v>597559</v>
      </c>
      <c r="BP150" s="418">
        <v>141279</v>
      </c>
      <c r="BQ150" s="418">
        <v>147781</v>
      </c>
      <c r="BR150" s="418">
        <v>179396</v>
      </c>
      <c r="BS150" s="418">
        <v>51361</v>
      </c>
      <c r="BT150" s="418">
        <v>4808620</v>
      </c>
      <c r="BU150" s="418">
        <v>28016</v>
      </c>
      <c r="BV150" s="418">
        <v>248609</v>
      </c>
      <c r="BW150" s="418">
        <v>38075</v>
      </c>
      <c r="BX150" s="418">
        <v>99456</v>
      </c>
      <c r="BY150" s="418">
        <v>20509</v>
      </c>
      <c r="BZ150" s="418">
        <v>18656</v>
      </c>
      <c r="CA150" s="418">
        <v>1170936</v>
      </c>
      <c r="CB150" s="418">
        <v>5028</v>
      </c>
    </row>
    <row r="151" spans="1:80" s="418" customFormat="1" ht="15.6" x14ac:dyDescent="0.3">
      <c r="A151" s="1052">
        <v>501</v>
      </c>
      <c r="B151" s="1049"/>
      <c r="C151" s="1060" t="s">
        <v>2032</v>
      </c>
      <c r="D151" s="1061" t="s">
        <v>185</v>
      </c>
      <c r="E151" s="1062" t="s">
        <v>468</v>
      </c>
      <c r="F151" s="1063">
        <v>0</v>
      </c>
      <c r="G151" s="1063">
        <v>0</v>
      </c>
      <c r="H151" s="1063">
        <v>0</v>
      </c>
      <c r="I151" s="1063">
        <v>0</v>
      </c>
      <c r="J151" s="1063">
        <v>0</v>
      </c>
      <c r="K151" s="1063">
        <v>0</v>
      </c>
      <c r="L151" s="1063">
        <v>0</v>
      </c>
      <c r="M151" s="1063">
        <v>0</v>
      </c>
      <c r="N151" s="1063">
        <v>0</v>
      </c>
      <c r="O151" s="1063">
        <v>0</v>
      </c>
      <c r="P151" s="1063">
        <v>0</v>
      </c>
      <c r="Q151" s="1063">
        <v>0</v>
      </c>
      <c r="R151" s="1063">
        <v>0</v>
      </c>
      <c r="S151" s="1063">
        <v>0</v>
      </c>
      <c r="T151" s="1063">
        <v>0</v>
      </c>
      <c r="U151" s="1063">
        <v>0</v>
      </c>
      <c r="V151" s="1063"/>
      <c r="W151" s="1049"/>
      <c r="X151" s="1049"/>
      <c r="Y151" s="1049"/>
      <c r="Z151" s="1049"/>
      <c r="AA151" s="1066"/>
      <c r="AT151" s="418">
        <v>0</v>
      </c>
      <c r="AU151" s="418">
        <v>0</v>
      </c>
      <c r="AV151" s="418">
        <v>0</v>
      </c>
      <c r="AW151" s="418">
        <v>0</v>
      </c>
      <c r="AX151" s="418">
        <v>0</v>
      </c>
      <c r="AY151" s="418">
        <v>0</v>
      </c>
      <c r="AZ151" s="418">
        <v>0</v>
      </c>
      <c r="BA151" s="418">
        <v>0</v>
      </c>
      <c r="BB151" s="418">
        <v>0</v>
      </c>
      <c r="BC151" s="418">
        <v>0</v>
      </c>
      <c r="BD151" s="418">
        <v>0</v>
      </c>
      <c r="BE151" s="418">
        <v>0</v>
      </c>
      <c r="BF151" s="418">
        <v>0</v>
      </c>
      <c r="BG151" s="418">
        <v>0</v>
      </c>
      <c r="BH151" s="418">
        <v>0</v>
      </c>
      <c r="BI151" s="418">
        <v>0</v>
      </c>
      <c r="BJ151" s="418">
        <v>0</v>
      </c>
      <c r="BK151" s="418">
        <v>0</v>
      </c>
      <c r="BL151" s="418">
        <v>0</v>
      </c>
      <c r="BM151" s="418">
        <v>0</v>
      </c>
      <c r="BN151" s="418">
        <v>0</v>
      </c>
      <c r="BO151" s="418">
        <v>0</v>
      </c>
      <c r="BP151" s="418">
        <v>0</v>
      </c>
      <c r="BQ151" s="418">
        <v>0</v>
      </c>
      <c r="BR151" s="418">
        <v>0</v>
      </c>
      <c r="BS151" s="418">
        <v>0</v>
      </c>
      <c r="BT151" s="418">
        <v>0</v>
      </c>
      <c r="BU151" s="418">
        <v>0</v>
      </c>
      <c r="BV151" s="418">
        <v>0</v>
      </c>
      <c r="BW151" s="418">
        <v>0</v>
      </c>
      <c r="BX151" s="418">
        <v>0</v>
      </c>
      <c r="BY151" s="418">
        <v>0</v>
      </c>
      <c r="BZ151" s="418">
        <v>0</v>
      </c>
      <c r="CA151" s="418">
        <v>0</v>
      </c>
      <c r="CB151" s="418">
        <v>0</v>
      </c>
    </row>
    <row r="152" spans="1:80" s="418" customFormat="1" ht="27.6" x14ac:dyDescent="0.3">
      <c r="A152" s="1052">
        <v>502</v>
      </c>
      <c r="B152" s="1053">
        <v>502</v>
      </c>
      <c r="C152" s="1060" t="s">
        <v>2033</v>
      </c>
      <c r="D152" s="1061" t="s">
        <v>186</v>
      </c>
      <c r="E152" s="1062" t="s">
        <v>469</v>
      </c>
      <c r="F152" s="1063">
        <v>0</v>
      </c>
      <c r="G152" s="1063">
        <v>411408292</v>
      </c>
      <c r="H152" s="1063">
        <v>207574234</v>
      </c>
      <c r="I152" s="1063">
        <v>183711156</v>
      </c>
      <c r="J152" s="1063">
        <v>0</v>
      </c>
      <c r="K152" s="1063">
        <v>0</v>
      </c>
      <c r="L152" s="1063">
        <v>0</v>
      </c>
      <c r="M152" s="1063">
        <v>0</v>
      </c>
      <c r="N152" s="1063">
        <v>92102892</v>
      </c>
      <c r="O152" s="1063">
        <v>16072084</v>
      </c>
      <c r="P152" s="1063">
        <v>88582986</v>
      </c>
      <c r="Q152" s="1063">
        <v>0</v>
      </c>
      <c r="R152" s="1063">
        <v>6147576</v>
      </c>
      <c r="S152" s="1063">
        <v>18806733</v>
      </c>
      <c r="T152" s="1063">
        <v>9006782</v>
      </c>
      <c r="U152" s="1063">
        <v>131730053</v>
      </c>
      <c r="V152" s="1063"/>
      <c r="W152" s="1049"/>
      <c r="X152" s="1049"/>
      <c r="Y152" s="1064"/>
      <c r="Z152" s="1065"/>
      <c r="AA152" s="1066"/>
      <c r="AT152" s="418">
        <v>226559</v>
      </c>
      <c r="AU152" s="418">
        <v>1378755</v>
      </c>
      <c r="AV152" s="418">
        <v>10759649</v>
      </c>
      <c r="AW152" s="418">
        <v>1102695</v>
      </c>
      <c r="AX152" s="418">
        <v>705565</v>
      </c>
      <c r="AY152" s="418">
        <v>956683</v>
      </c>
      <c r="AZ152" s="418">
        <v>797331</v>
      </c>
      <c r="BA152" s="418">
        <v>2917155</v>
      </c>
      <c r="BB152" s="418">
        <v>1587</v>
      </c>
      <c r="BC152" s="418">
        <v>592119</v>
      </c>
      <c r="BD152" s="418">
        <v>0</v>
      </c>
      <c r="BE152" s="418">
        <v>0</v>
      </c>
      <c r="BF152" s="418">
        <v>6697683</v>
      </c>
      <c r="BG152" s="418">
        <v>0</v>
      </c>
      <c r="BH152" s="418">
        <v>0</v>
      </c>
      <c r="BI152" s="418">
        <v>629957</v>
      </c>
      <c r="BJ152" s="418">
        <v>1950576</v>
      </c>
      <c r="BK152" s="418">
        <v>0</v>
      </c>
      <c r="BL152" s="418">
        <v>7223410</v>
      </c>
      <c r="BM152" s="418">
        <v>2736585</v>
      </c>
      <c r="BN152" s="418">
        <v>0</v>
      </c>
      <c r="BO152" s="418">
        <v>1676370</v>
      </c>
      <c r="BP152" s="418">
        <v>3215759</v>
      </c>
      <c r="BQ152" s="418">
        <v>997878</v>
      </c>
      <c r="BR152" s="418">
        <v>1748084</v>
      </c>
      <c r="BS152" s="418">
        <v>0</v>
      </c>
      <c r="BT152" s="418">
        <v>0</v>
      </c>
      <c r="BU152" s="418">
        <v>1039729</v>
      </c>
      <c r="BV152" s="418">
        <v>1684666</v>
      </c>
      <c r="BW152" s="418">
        <v>170669</v>
      </c>
      <c r="BX152" s="418">
        <v>1208339</v>
      </c>
      <c r="BY152" s="418">
        <v>0</v>
      </c>
      <c r="BZ152" s="418">
        <v>0</v>
      </c>
      <c r="CA152" s="418">
        <v>7586901</v>
      </c>
      <c r="CB152" s="418">
        <v>0</v>
      </c>
    </row>
    <row r="153" spans="1:80" s="418" customFormat="1" ht="15.6" x14ac:dyDescent="0.3">
      <c r="A153" s="1052">
        <v>503</v>
      </c>
      <c r="B153" s="1053">
        <v>503</v>
      </c>
      <c r="C153" s="1060" t="s">
        <v>2034</v>
      </c>
      <c r="D153" s="1061" t="s">
        <v>187</v>
      </c>
      <c r="E153" s="1062" t="s">
        <v>470</v>
      </c>
      <c r="F153" s="1063">
        <v>0</v>
      </c>
      <c r="G153" s="1063">
        <v>0</v>
      </c>
      <c r="H153" s="1063">
        <v>8145782</v>
      </c>
      <c r="I153" s="1063">
        <v>22422326</v>
      </c>
      <c r="J153" s="1063">
        <v>0</v>
      </c>
      <c r="K153" s="1063">
        <v>0</v>
      </c>
      <c r="L153" s="1063">
        <v>0</v>
      </c>
      <c r="M153" s="1063">
        <v>0</v>
      </c>
      <c r="N153" s="1063">
        <v>0</v>
      </c>
      <c r="O153" s="1063">
        <v>13805368</v>
      </c>
      <c r="P153" s="1063">
        <v>115609950</v>
      </c>
      <c r="Q153" s="1063">
        <v>0</v>
      </c>
      <c r="R153" s="1063">
        <v>88278416</v>
      </c>
      <c r="S153" s="1063">
        <v>39733147</v>
      </c>
      <c r="T153" s="1063">
        <v>19358847</v>
      </c>
      <c r="U153" s="1063">
        <v>4807154</v>
      </c>
      <c r="V153" s="1063"/>
      <c r="W153" s="1049"/>
      <c r="X153" s="1049"/>
      <c r="Y153" s="1064"/>
      <c r="Z153" s="1065"/>
      <c r="AA153" s="1066"/>
      <c r="AT153" s="418">
        <v>24561</v>
      </c>
      <c r="AU153" s="418">
        <v>139220</v>
      </c>
      <c r="AV153" s="418">
        <v>408412</v>
      </c>
      <c r="AW153" s="418">
        <v>49900</v>
      </c>
      <c r="AX153" s="418">
        <v>24897</v>
      </c>
      <c r="AY153" s="418">
        <v>98840</v>
      </c>
      <c r="AZ153" s="418">
        <v>73103</v>
      </c>
      <c r="BA153" s="418">
        <v>475269</v>
      </c>
      <c r="BB153" s="418">
        <v>0</v>
      </c>
      <c r="BC153" s="418">
        <v>89518</v>
      </c>
      <c r="BD153" s="418">
        <v>0</v>
      </c>
      <c r="BE153" s="418">
        <v>0</v>
      </c>
      <c r="BF153" s="418">
        <v>1660930</v>
      </c>
      <c r="BG153" s="418">
        <v>0</v>
      </c>
      <c r="BH153" s="418">
        <v>0</v>
      </c>
      <c r="BI153" s="418">
        <v>41630</v>
      </c>
      <c r="BJ153" s="418">
        <v>0</v>
      </c>
      <c r="BK153" s="418">
        <v>0</v>
      </c>
      <c r="BL153" s="418">
        <v>165493</v>
      </c>
      <c r="BM153" s="418">
        <v>183172</v>
      </c>
      <c r="BN153" s="418">
        <v>0</v>
      </c>
      <c r="BO153" s="418">
        <v>248740</v>
      </c>
      <c r="BP153" s="418">
        <v>320529</v>
      </c>
      <c r="BQ153" s="418">
        <v>39450</v>
      </c>
      <c r="BR153" s="418">
        <v>64381</v>
      </c>
      <c r="BS153" s="418">
        <v>0</v>
      </c>
      <c r="BT153" s="418">
        <v>0</v>
      </c>
      <c r="BU153" s="418">
        <v>0</v>
      </c>
      <c r="BV153" s="418">
        <v>79520</v>
      </c>
      <c r="BW153" s="418">
        <v>42761</v>
      </c>
      <c r="BX153" s="418">
        <v>26655</v>
      </c>
      <c r="BY153" s="418">
        <v>0</v>
      </c>
      <c r="BZ153" s="418">
        <v>0</v>
      </c>
      <c r="CA153" s="418">
        <v>1573791</v>
      </c>
      <c r="CB153" s="418">
        <v>0</v>
      </c>
    </row>
    <row r="154" spans="1:80" s="418" customFormat="1" ht="27.6" x14ac:dyDescent="0.3">
      <c r="A154" s="1052">
        <v>504</v>
      </c>
      <c r="B154" s="1049"/>
      <c r="C154" s="1060" t="s">
        <v>2035</v>
      </c>
      <c r="D154" s="1061" t="s">
        <v>191</v>
      </c>
      <c r="E154" s="1062" t="s">
        <v>471</v>
      </c>
      <c r="F154" s="1063">
        <v>0</v>
      </c>
      <c r="G154" s="1063">
        <v>0</v>
      </c>
      <c r="H154" s="1063">
        <v>0</v>
      </c>
      <c r="I154" s="1063">
        <v>0</v>
      </c>
      <c r="J154" s="1063">
        <v>0</v>
      </c>
      <c r="K154" s="1063">
        <v>0</v>
      </c>
      <c r="L154" s="1063">
        <v>0</v>
      </c>
      <c r="M154" s="1063">
        <v>0</v>
      </c>
      <c r="N154" s="1063">
        <v>0</v>
      </c>
      <c r="O154" s="1063">
        <v>0</v>
      </c>
      <c r="P154" s="1063">
        <v>0</v>
      </c>
      <c r="Q154" s="1063">
        <v>0</v>
      </c>
      <c r="R154" s="1063">
        <v>0</v>
      </c>
      <c r="S154" s="1063">
        <v>0</v>
      </c>
      <c r="T154" s="1063">
        <v>0</v>
      </c>
      <c r="U154" s="1063">
        <v>0</v>
      </c>
      <c r="V154" s="1063"/>
      <c r="W154" s="1049"/>
      <c r="X154" s="1049"/>
      <c r="Y154" s="1049"/>
      <c r="Z154" s="1049"/>
      <c r="AA154" s="1066"/>
      <c r="AT154" s="418">
        <v>23681</v>
      </c>
      <c r="AU154" s="418">
        <v>303556</v>
      </c>
      <c r="AV154" s="418">
        <v>1458602</v>
      </c>
      <c r="AW154" s="418">
        <v>4932</v>
      </c>
      <c r="AX154" s="418">
        <v>22898</v>
      </c>
      <c r="AY154" s="418">
        <v>144634</v>
      </c>
      <c r="AZ154" s="418">
        <v>495383</v>
      </c>
      <c r="BA154" s="418">
        <v>599793</v>
      </c>
      <c r="BB154" s="418">
        <v>12409</v>
      </c>
      <c r="BC154" s="418">
        <v>180688</v>
      </c>
      <c r="BD154" s="418">
        <v>0</v>
      </c>
      <c r="BE154" s="418">
        <v>3889</v>
      </c>
      <c r="BF154" s="418">
        <v>1435006</v>
      </c>
      <c r="BG154" s="418">
        <v>0</v>
      </c>
      <c r="BH154" s="418">
        <v>4659</v>
      </c>
      <c r="BI154" s="418">
        <v>184214</v>
      </c>
      <c r="BJ154" s="418">
        <v>241030</v>
      </c>
      <c r="BK154" s="418">
        <v>0</v>
      </c>
      <c r="BL154" s="418">
        <v>529202</v>
      </c>
      <c r="BM154" s="418">
        <v>148850</v>
      </c>
      <c r="BN154" s="418">
        <v>0</v>
      </c>
      <c r="BO154" s="418">
        <v>985998</v>
      </c>
      <c r="BP154" s="418">
        <v>131344</v>
      </c>
      <c r="BQ154" s="418">
        <v>126074</v>
      </c>
      <c r="BR154" s="418">
        <v>68368</v>
      </c>
      <c r="BS154" s="418">
        <v>141345</v>
      </c>
      <c r="BT154" s="418">
        <v>1272607</v>
      </c>
      <c r="BU154" s="418">
        <v>137163</v>
      </c>
      <c r="BV154" s="418">
        <v>192159</v>
      </c>
      <c r="BW154" s="418">
        <v>702723</v>
      </c>
      <c r="BX154" s="418">
        <v>19153</v>
      </c>
      <c r="BY154" s="418">
        <v>3681</v>
      </c>
      <c r="BZ154" s="418">
        <v>4502</v>
      </c>
      <c r="CA154" s="418">
        <v>957002</v>
      </c>
      <c r="CB154" s="418">
        <v>6359</v>
      </c>
    </row>
    <row r="155" spans="1:80" s="418" customFormat="1" ht="15.6" x14ac:dyDescent="0.3">
      <c r="A155" s="1052">
        <v>505</v>
      </c>
      <c r="B155" s="1049"/>
      <c r="C155" s="1060" t="s">
        <v>2036</v>
      </c>
      <c r="D155" s="1061" t="s">
        <v>192</v>
      </c>
      <c r="E155" s="1062" t="s">
        <v>472</v>
      </c>
      <c r="F155" s="1063">
        <v>0</v>
      </c>
      <c r="G155" s="1063">
        <v>0</v>
      </c>
      <c r="H155" s="1063">
        <v>0</v>
      </c>
      <c r="I155" s="1063">
        <v>0</v>
      </c>
      <c r="J155" s="1063">
        <v>0</v>
      </c>
      <c r="K155" s="1063">
        <v>0</v>
      </c>
      <c r="L155" s="1063">
        <v>0</v>
      </c>
      <c r="M155" s="1063">
        <v>0</v>
      </c>
      <c r="N155" s="1063">
        <v>0</v>
      </c>
      <c r="O155" s="1063">
        <v>0</v>
      </c>
      <c r="P155" s="1063">
        <v>0</v>
      </c>
      <c r="Q155" s="1063">
        <v>0</v>
      </c>
      <c r="R155" s="1063">
        <v>0</v>
      </c>
      <c r="S155" s="1063">
        <v>0</v>
      </c>
      <c r="T155" s="1063">
        <v>0</v>
      </c>
      <c r="U155" s="1063">
        <v>0</v>
      </c>
      <c r="V155" s="1063"/>
      <c r="W155" s="1049"/>
      <c r="X155" s="1049"/>
      <c r="Y155" s="1049"/>
      <c r="Z155" s="1049"/>
      <c r="AA155" s="1066"/>
      <c r="AT155" s="418">
        <v>38838</v>
      </c>
      <c r="AU155" s="418">
        <v>191161</v>
      </c>
      <c r="AV155" s="418">
        <v>0</v>
      </c>
      <c r="AW155" s="418">
        <v>29257</v>
      </c>
      <c r="AX155" s="418">
        <v>161000</v>
      </c>
      <c r="AY155" s="418">
        <v>2551645</v>
      </c>
      <c r="AZ155" s="418">
        <v>0</v>
      </c>
      <c r="BA155" s="418">
        <v>185653</v>
      </c>
      <c r="BB155" s="418">
        <v>0</v>
      </c>
      <c r="BC155" s="418">
        <v>0</v>
      </c>
      <c r="BD155" s="418">
        <v>0</v>
      </c>
      <c r="BE155" s="418">
        <v>0</v>
      </c>
      <c r="BF155" s="418">
        <v>3510210</v>
      </c>
      <c r="BG155" s="418">
        <v>0</v>
      </c>
      <c r="BH155" s="418">
        <v>0</v>
      </c>
      <c r="BI155" s="418">
        <v>114250</v>
      </c>
      <c r="BJ155" s="418">
        <v>0</v>
      </c>
      <c r="BK155" s="418">
        <v>0</v>
      </c>
      <c r="BL155" s="418">
        <v>0</v>
      </c>
      <c r="BM155" s="418">
        <v>0</v>
      </c>
      <c r="BN155" s="418">
        <v>0</v>
      </c>
      <c r="BO155" s="418">
        <v>114590</v>
      </c>
      <c r="BP155" s="418">
        <v>0</v>
      </c>
      <c r="BQ155" s="418">
        <v>0</v>
      </c>
      <c r="BR155" s="418">
        <v>0</v>
      </c>
      <c r="BS155" s="418">
        <v>4877606</v>
      </c>
      <c r="BT155" s="418">
        <v>650820</v>
      </c>
      <c r="BU155" s="418">
        <v>0</v>
      </c>
      <c r="BV155" s="418">
        <v>88500</v>
      </c>
      <c r="BW155" s="418">
        <v>0</v>
      </c>
      <c r="BX155" s="418">
        <v>347530</v>
      </c>
      <c r="BY155" s="418">
        <v>0</v>
      </c>
      <c r="BZ155" s="418">
        <v>0</v>
      </c>
      <c r="CA155" s="418">
        <v>3927560</v>
      </c>
      <c r="CB155" s="418">
        <v>0</v>
      </c>
    </row>
    <row r="156" spans="1:80" s="418" customFormat="1" ht="27.6" x14ac:dyDescent="0.3">
      <c r="A156" s="1052">
        <v>506</v>
      </c>
      <c r="B156" s="1049"/>
      <c r="C156" s="1060" t="s">
        <v>2037</v>
      </c>
      <c r="D156" s="1071" t="s">
        <v>198</v>
      </c>
      <c r="E156" s="1062" t="s">
        <v>473</v>
      </c>
      <c r="F156" s="1063">
        <v>0</v>
      </c>
      <c r="G156" s="1063">
        <v>0</v>
      </c>
      <c r="H156" s="1063">
        <v>0</v>
      </c>
      <c r="I156" s="1063">
        <v>0</v>
      </c>
      <c r="J156" s="1063">
        <v>0</v>
      </c>
      <c r="K156" s="1063">
        <v>0</v>
      </c>
      <c r="L156" s="1063">
        <v>0</v>
      </c>
      <c r="M156" s="1063">
        <v>0</v>
      </c>
      <c r="N156" s="1063">
        <v>0</v>
      </c>
      <c r="O156" s="1063">
        <v>0</v>
      </c>
      <c r="P156" s="1063">
        <v>0</v>
      </c>
      <c r="Q156" s="1063">
        <v>0</v>
      </c>
      <c r="R156" s="1063">
        <v>0</v>
      </c>
      <c r="S156" s="1063">
        <v>0</v>
      </c>
      <c r="T156" s="1063">
        <v>0</v>
      </c>
      <c r="U156" s="1063">
        <v>0</v>
      </c>
      <c r="V156" s="1063"/>
      <c r="W156" s="1049"/>
      <c r="X156" s="1049"/>
      <c r="Y156" s="1049"/>
      <c r="Z156" s="1049"/>
      <c r="AA156" s="1066"/>
      <c r="AT156" s="418">
        <v>421010</v>
      </c>
      <c r="AU156" s="418">
        <v>2367539</v>
      </c>
      <c r="AV156" s="418">
        <v>5805328</v>
      </c>
      <c r="AW156" s="418">
        <v>194604</v>
      </c>
      <c r="AX156" s="418">
        <v>345508</v>
      </c>
      <c r="AY156" s="418">
        <v>3116042</v>
      </c>
      <c r="AZ156" s="418">
        <v>2182287</v>
      </c>
      <c r="BA156" s="418">
        <v>1495820</v>
      </c>
      <c r="BB156" s="418">
        <v>70512</v>
      </c>
      <c r="BC156" s="418">
        <v>1298800</v>
      </c>
      <c r="BD156" s="418">
        <v>0</v>
      </c>
      <c r="BE156" s="418">
        <v>383912</v>
      </c>
      <c r="BF156" s="418">
        <v>2964871</v>
      </c>
      <c r="BG156" s="418">
        <v>0</v>
      </c>
      <c r="BH156" s="418">
        <v>154205</v>
      </c>
      <c r="BI156" s="418">
        <v>2725801</v>
      </c>
      <c r="BJ156" s="418">
        <v>3433068</v>
      </c>
      <c r="BK156" s="418">
        <v>0</v>
      </c>
      <c r="BL156" s="418">
        <v>2696052</v>
      </c>
      <c r="BM156" s="418">
        <v>5760391</v>
      </c>
      <c r="BN156" s="418">
        <v>136189</v>
      </c>
      <c r="BO156" s="418">
        <v>3443225</v>
      </c>
      <c r="BP156" s="418">
        <v>3495951</v>
      </c>
      <c r="BQ156" s="418">
        <v>1469511</v>
      </c>
      <c r="BR156" s="418">
        <v>2534166</v>
      </c>
      <c r="BS156" s="418">
        <v>2046076</v>
      </c>
      <c r="BT156" s="418">
        <v>11231747</v>
      </c>
      <c r="BU156" s="418">
        <v>2184911</v>
      </c>
      <c r="BV156" s="418">
        <v>1570453</v>
      </c>
      <c r="BW156" s="418">
        <v>957606</v>
      </c>
      <c r="BX156" s="418">
        <v>1108232</v>
      </c>
      <c r="BY156" s="418">
        <v>165153</v>
      </c>
      <c r="BZ156" s="418">
        <v>192770</v>
      </c>
      <c r="CA156" s="418">
        <v>13311576</v>
      </c>
      <c r="CB156" s="418">
        <v>89620</v>
      </c>
    </row>
    <row r="157" spans="1:80" s="418" customFormat="1" ht="27.6" x14ac:dyDescent="0.3">
      <c r="A157" s="1052">
        <v>507</v>
      </c>
      <c r="B157" s="1049"/>
      <c r="C157" s="1060" t="s">
        <v>2038</v>
      </c>
      <c r="D157" s="1061" t="s">
        <v>216</v>
      </c>
      <c r="E157" s="1062" t="s">
        <v>474</v>
      </c>
      <c r="F157" s="1063">
        <v>0</v>
      </c>
      <c r="G157" s="1063">
        <v>0</v>
      </c>
      <c r="H157" s="1063">
        <v>0</v>
      </c>
      <c r="I157" s="1063">
        <v>0</v>
      </c>
      <c r="J157" s="1063">
        <v>0</v>
      </c>
      <c r="K157" s="1063">
        <v>0</v>
      </c>
      <c r="L157" s="1063">
        <v>0</v>
      </c>
      <c r="M157" s="1063">
        <v>0</v>
      </c>
      <c r="N157" s="1063">
        <v>0</v>
      </c>
      <c r="O157" s="1063">
        <v>0</v>
      </c>
      <c r="P157" s="1063">
        <v>0</v>
      </c>
      <c r="Q157" s="1063">
        <v>0</v>
      </c>
      <c r="R157" s="1063">
        <v>0</v>
      </c>
      <c r="S157" s="1063">
        <v>0</v>
      </c>
      <c r="T157" s="1063">
        <v>0</v>
      </c>
      <c r="U157" s="1063">
        <v>0</v>
      </c>
      <c r="V157" s="1063"/>
      <c r="W157" s="1049"/>
      <c r="X157" s="1049"/>
      <c r="Y157" s="1049"/>
      <c r="Z157" s="1049"/>
      <c r="AA157" s="1066"/>
      <c r="AT157" s="418">
        <v>0</v>
      </c>
      <c r="AU157" s="418">
        <v>0</v>
      </c>
      <c r="AV157" s="418">
        <v>0</v>
      </c>
      <c r="AW157" s="418">
        <v>4553</v>
      </c>
      <c r="AX157" s="418">
        <v>74221</v>
      </c>
      <c r="AY157" s="418">
        <v>0</v>
      </c>
      <c r="AZ157" s="418">
        <v>0</v>
      </c>
      <c r="BA157" s="418">
        <v>0</v>
      </c>
      <c r="BB157" s="418">
        <v>1</v>
      </c>
      <c r="BC157" s="418">
        <v>0</v>
      </c>
      <c r="BD157" s="418">
        <v>0</v>
      </c>
      <c r="BE157" s="418">
        <v>0</v>
      </c>
      <c r="BF157" s="418">
        <v>26222</v>
      </c>
      <c r="BG157" s="418">
        <v>0</v>
      </c>
      <c r="BH157" s="418">
        <v>0</v>
      </c>
      <c r="BI157" s="418">
        <v>0</v>
      </c>
      <c r="BJ157" s="418">
        <v>0</v>
      </c>
      <c r="BK157" s="418">
        <v>0</v>
      </c>
      <c r="BL157" s="418">
        <v>0</v>
      </c>
      <c r="BM157" s="418">
        <v>0</v>
      </c>
      <c r="BN157" s="418">
        <v>0</v>
      </c>
      <c r="BO157" s="418">
        <v>0</v>
      </c>
      <c r="BP157" s="418">
        <v>0</v>
      </c>
      <c r="BQ157" s="418">
        <v>0</v>
      </c>
      <c r="BR157" s="418">
        <v>1</v>
      </c>
      <c r="BS157" s="418">
        <v>0</v>
      </c>
      <c r="BT157" s="418">
        <v>0</v>
      </c>
      <c r="BU157" s="418">
        <v>0</v>
      </c>
      <c r="BV157" s="418">
        <v>0</v>
      </c>
      <c r="BW157" s="418">
        <v>-450000</v>
      </c>
      <c r="BX157" s="418">
        <v>0</v>
      </c>
      <c r="BY157" s="418">
        <v>0</v>
      </c>
      <c r="BZ157" s="418">
        <v>0</v>
      </c>
      <c r="CA157" s="418">
        <v>0</v>
      </c>
      <c r="CB157" s="418">
        <v>0</v>
      </c>
    </row>
    <row r="158" spans="1:80" s="418" customFormat="1" ht="15.6" x14ac:dyDescent="0.3">
      <c r="A158" s="1052">
        <v>508</v>
      </c>
      <c r="B158" s="1049"/>
      <c r="C158" s="1060" t="s">
        <v>2039</v>
      </c>
      <c r="D158" s="1061" t="s">
        <v>213</v>
      </c>
      <c r="E158" s="1062" t="s">
        <v>475</v>
      </c>
      <c r="F158" s="1063">
        <v>0</v>
      </c>
      <c r="G158" s="1063">
        <v>0</v>
      </c>
      <c r="H158" s="1063">
        <v>0</v>
      </c>
      <c r="I158" s="1063">
        <v>0</v>
      </c>
      <c r="J158" s="1063">
        <v>0</v>
      </c>
      <c r="K158" s="1063">
        <v>0</v>
      </c>
      <c r="L158" s="1063">
        <v>0</v>
      </c>
      <c r="M158" s="1063">
        <v>0</v>
      </c>
      <c r="N158" s="1063">
        <v>0</v>
      </c>
      <c r="O158" s="1063">
        <v>0</v>
      </c>
      <c r="P158" s="1063">
        <v>0</v>
      </c>
      <c r="Q158" s="1063">
        <v>0</v>
      </c>
      <c r="R158" s="1063">
        <v>0</v>
      </c>
      <c r="S158" s="1063">
        <v>0</v>
      </c>
      <c r="T158" s="1063">
        <v>0</v>
      </c>
      <c r="U158" s="1063">
        <v>0</v>
      </c>
      <c r="V158" s="1063"/>
      <c r="W158" s="1049"/>
      <c r="X158" s="1049"/>
      <c r="Y158" s="1049"/>
      <c r="Z158" s="1049"/>
      <c r="AA158" s="1066"/>
      <c r="AT158" s="418">
        <v>0</v>
      </c>
      <c r="AU158" s="418">
        <v>0</v>
      </c>
      <c r="AV158" s="418">
        <v>0</v>
      </c>
      <c r="AW158" s="418">
        <v>0</v>
      </c>
      <c r="AX158" s="418">
        <v>0</v>
      </c>
      <c r="AY158" s="418">
        <v>0</v>
      </c>
      <c r="AZ158" s="418">
        <v>0</v>
      </c>
      <c r="BA158" s="418">
        <v>0</v>
      </c>
      <c r="BB158" s="418">
        <v>0</v>
      </c>
      <c r="BC158" s="418">
        <v>0</v>
      </c>
      <c r="BD158" s="418">
        <v>0</v>
      </c>
      <c r="BE158" s="418">
        <v>0</v>
      </c>
      <c r="BF158" s="418">
        <v>0</v>
      </c>
      <c r="BG158" s="418">
        <v>0</v>
      </c>
      <c r="BH158" s="418">
        <v>0</v>
      </c>
      <c r="BI158" s="418">
        <v>0</v>
      </c>
      <c r="BJ158" s="418">
        <v>0</v>
      </c>
      <c r="BK158" s="418">
        <v>0</v>
      </c>
      <c r="BL158" s="418">
        <v>0</v>
      </c>
      <c r="BM158" s="418">
        <v>0</v>
      </c>
      <c r="BN158" s="418">
        <v>0</v>
      </c>
      <c r="BO158" s="418">
        <v>0</v>
      </c>
      <c r="BP158" s="418">
        <v>0</v>
      </c>
      <c r="BQ158" s="418">
        <v>0</v>
      </c>
      <c r="BR158" s="418">
        <v>0</v>
      </c>
      <c r="BS158" s="418">
        <v>0</v>
      </c>
      <c r="BT158" s="418">
        <v>0</v>
      </c>
      <c r="BU158" s="418">
        <v>0</v>
      </c>
      <c r="BV158" s="418">
        <v>0</v>
      </c>
      <c r="BW158" s="418">
        <v>0</v>
      </c>
      <c r="BX158" s="418">
        <v>0</v>
      </c>
      <c r="BY158" s="418">
        <v>0</v>
      </c>
      <c r="BZ158" s="418">
        <v>0</v>
      </c>
      <c r="CA158" s="418">
        <v>0</v>
      </c>
      <c r="CB158" s="418">
        <v>0</v>
      </c>
    </row>
    <row r="159" spans="1:80" s="418" customFormat="1" ht="15.6" x14ac:dyDescent="0.3">
      <c r="A159" s="1052">
        <v>509</v>
      </c>
      <c r="B159" s="1049"/>
      <c r="C159" s="1060" t="s">
        <v>2040</v>
      </c>
      <c r="D159" s="1061" t="s">
        <v>214</v>
      </c>
      <c r="E159" s="1062" t="s">
        <v>476</v>
      </c>
      <c r="F159" s="1063">
        <v>0</v>
      </c>
      <c r="G159" s="1063">
        <v>0</v>
      </c>
      <c r="H159" s="1063">
        <v>0</v>
      </c>
      <c r="I159" s="1063">
        <v>0</v>
      </c>
      <c r="J159" s="1063">
        <v>0</v>
      </c>
      <c r="K159" s="1063">
        <v>0</v>
      </c>
      <c r="L159" s="1063">
        <v>0</v>
      </c>
      <c r="M159" s="1063">
        <v>0</v>
      </c>
      <c r="N159" s="1063">
        <v>0</v>
      </c>
      <c r="O159" s="1063">
        <v>0</v>
      </c>
      <c r="P159" s="1063">
        <v>0</v>
      </c>
      <c r="Q159" s="1063">
        <v>0</v>
      </c>
      <c r="R159" s="1063">
        <v>0</v>
      </c>
      <c r="S159" s="1063">
        <v>0</v>
      </c>
      <c r="T159" s="1063">
        <v>0</v>
      </c>
      <c r="U159" s="1063">
        <v>0</v>
      </c>
      <c r="V159" s="1063"/>
      <c r="W159" s="1049"/>
      <c r="X159" s="1049"/>
      <c r="Y159" s="1049"/>
      <c r="Z159" s="1049"/>
      <c r="AA159" s="1066"/>
      <c r="AT159" s="418">
        <v>0</v>
      </c>
      <c r="AU159" s="418">
        <v>0</v>
      </c>
      <c r="AV159" s="418">
        <v>0</v>
      </c>
      <c r="AW159" s="418">
        <v>0</v>
      </c>
      <c r="AX159" s="418">
        <v>0</v>
      </c>
      <c r="AY159" s="418">
        <v>0</v>
      </c>
      <c r="AZ159" s="418">
        <v>0</v>
      </c>
      <c r="BA159" s="418">
        <v>0</v>
      </c>
      <c r="BB159" s="418">
        <v>0</v>
      </c>
      <c r="BC159" s="418">
        <v>0</v>
      </c>
      <c r="BD159" s="418">
        <v>0</v>
      </c>
      <c r="BE159" s="418">
        <v>0</v>
      </c>
      <c r="BF159" s="418">
        <v>0</v>
      </c>
      <c r="BG159" s="418">
        <v>0</v>
      </c>
      <c r="BH159" s="418">
        <v>0</v>
      </c>
      <c r="BI159" s="418">
        <v>0</v>
      </c>
      <c r="BJ159" s="418">
        <v>0</v>
      </c>
      <c r="BK159" s="418">
        <v>0</v>
      </c>
      <c r="BL159" s="418">
        <v>0</v>
      </c>
      <c r="BM159" s="418">
        <v>0</v>
      </c>
      <c r="BN159" s="418">
        <v>0</v>
      </c>
      <c r="BO159" s="418">
        <v>0</v>
      </c>
      <c r="BP159" s="418">
        <v>0</v>
      </c>
      <c r="BQ159" s="418">
        <v>0</v>
      </c>
      <c r="BR159" s="418">
        <v>0</v>
      </c>
      <c r="BS159" s="418">
        <v>0</v>
      </c>
      <c r="BT159" s="418">
        <v>0</v>
      </c>
      <c r="BU159" s="418">
        <v>0</v>
      </c>
      <c r="BV159" s="418">
        <v>0</v>
      </c>
      <c r="BW159" s="418">
        <v>0</v>
      </c>
      <c r="BX159" s="418">
        <v>0</v>
      </c>
      <c r="BY159" s="418">
        <v>0</v>
      </c>
      <c r="BZ159" s="418">
        <v>0</v>
      </c>
      <c r="CA159" s="418">
        <v>0</v>
      </c>
      <c r="CB159" s="418">
        <v>0</v>
      </c>
    </row>
    <row r="160" spans="1:80" s="418" customFormat="1" ht="27.6" x14ac:dyDescent="0.3">
      <c r="A160" s="1052">
        <v>510</v>
      </c>
      <c r="B160" s="1049"/>
      <c r="C160" s="1060" t="s">
        <v>2041</v>
      </c>
      <c r="D160" s="1061" t="s">
        <v>220</v>
      </c>
      <c r="E160" s="1062" t="s">
        <v>477</v>
      </c>
      <c r="F160" s="1063">
        <v>0</v>
      </c>
      <c r="G160" s="1063">
        <v>0</v>
      </c>
      <c r="H160" s="1063">
        <v>0</v>
      </c>
      <c r="I160" s="1063">
        <v>0</v>
      </c>
      <c r="J160" s="1063">
        <v>0</v>
      </c>
      <c r="K160" s="1063">
        <v>0</v>
      </c>
      <c r="L160" s="1063">
        <v>0</v>
      </c>
      <c r="M160" s="1063">
        <v>0</v>
      </c>
      <c r="N160" s="1063">
        <v>0</v>
      </c>
      <c r="O160" s="1063">
        <v>0</v>
      </c>
      <c r="P160" s="1063">
        <v>0</v>
      </c>
      <c r="Q160" s="1063">
        <v>0</v>
      </c>
      <c r="R160" s="1063">
        <v>0</v>
      </c>
      <c r="S160" s="1063">
        <v>0</v>
      </c>
      <c r="T160" s="1063">
        <v>0</v>
      </c>
      <c r="U160" s="1063">
        <v>0</v>
      </c>
      <c r="V160" s="1063"/>
      <c r="W160" s="1049"/>
      <c r="X160" s="1049"/>
      <c r="Y160" s="1049"/>
      <c r="Z160" s="1049"/>
      <c r="AA160" s="1066"/>
      <c r="AT160" s="418">
        <v>0</v>
      </c>
      <c r="AU160" s="418">
        <v>30826</v>
      </c>
      <c r="AV160" s="418">
        <v>75533</v>
      </c>
      <c r="AW160" s="418">
        <v>0</v>
      </c>
      <c r="AX160" s="418">
        <v>0</v>
      </c>
      <c r="AY160" s="418">
        <v>0</v>
      </c>
      <c r="AZ160" s="418">
        <v>87624</v>
      </c>
      <c r="BA160" s="418">
        <v>17183</v>
      </c>
      <c r="BB160" s="418">
        <v>0</v>
      </c>
      <c r="BC160" s="418">
        <v>28871</v>
      </c>
      <c r="BD160" s="418">
        <v>0</v>
      </c>
      <c r="BE160" s="418">
        <v>0</v>
      </c>
      <c r="BF160" s="418">
        <v>807856</v>
      </c>
      <c r="BG160" s="418">
        <v>0</v>
      </c>
      <c r="BH160" s="418">
        <v>0</v>
      </c>
      <c r="BI160" s="418">
        <v>127752</v>
      </c>
      <c r="BJ160" s="418">
        <v>1595</v>
      </c>
      <c r="BK160" s="418">
        <v>0</v>
      </c>
      <c r="BL160" s="418">
        <v>224738</v>
      </c>
      <c r="BM160" s="418">
        <v>0</v>
      </c>
      <c r="BN160" s="418">
        <v>0</v>
      </c>
      <c r="BO160" s="418">
        <v>68959</v>
      </c>
      <c r="BP160" s="418">
        <v>72653</v>
      </c>
      <c r="BQ160" s="418">
        <v>0</v>
      </c>
      <c r="BR160" s="418">
        <v>72805</v>
      </c>
      <c r="BS160" s="418">
        <v>0</v>
      </c>
      <c r="BT160" s="418">
        <v>0</v>
      </c>
      <c r="BU160" s="418">
        <v>49591</v>
      </c>
      <c r="BV160" s="418">
        <v>87736</v>
      </c>
      <c r="BW160" s="418">
        <v>3747</v>
      </c>
      <c r="BX160" s="418">
        <v>189</v>
      </c>
      <c r="BY160" s="418">
        <v>0</v>
      </c>
      <c r="BZ160" s="418">
        <v>0</v>
      </c>
      <c r="CA160" s="418">
        <v>0</v>
      </c>
      <c r="CB160" s="418">
        <v>0</v>
      </c>
    </row>
    <row r="161" spans="1:80" s="418" customFormat="1" ht="27.6" x14ac:dyDescent="0.3">
      <c r="A161" s="1052">
        <v>511</v>
      </c>
      <c r="B161" s="1049"/>
      <c r="C161" s="1060" t="s">
        <v>2042</v>
      </c>
      <c r="D161" s="1061" t="s">
        <v>225</v>
      </c>
      <c r="E161" s="1062" t="s">
        <v>478</v>
      </c>
      <c r="F161" s="1063">
        <v>0</v>
      </c>
      <c r="G161" s="1063">
        <v>0</v>
      </c>
      <c r="H161" s="1063">
        <v>0</v>
      </c>
      <c r="I161" s="1063">
        <v>0</v>
      </c>
      <c r="J161" s="1063">
        <v>0</v>
      </c>
      <c r="K161" s="1063">
        <v>0</v>
      </c>
      <c r="L161" s="1063">
        <v>0</v>
      </c>
      <c r="M161" s="1063">
        <v>0</v>
      </c>
      <c r="N161" s="1063">
        <v>0</v>
      </c>
      <c r="O161" s="1063">
        <v>0</v>
      </c>
      <c r="P161" s="1063">
        <v>0</v>
      </c>
      <c r="Q161" s="1063">
        <v>0</v>
      </c>
      <c r="R161" s="1063">
        <v>0</v>
      </c>
      <c r="S161" s="1063">
        <v>0</v>
      </c>
      <c r="T161" s="1063">
        <v>0</v>
      </c>
      <c r="U161" s="1063">
        <v>0</v>
      </c>
      <c r="V161" s="1063"/>
      <c r="W161" s="1049"/>
      <c r="X161" s="1049"/>
      <c r="Y161" s="1049"/>
      <c r="Z161" s="1049"/>
      <c r="AA161" s="1066"/>
      <c r="AT161" s="418">
        <v>0</v>
      </c>
      <c r="AU161" s="418">
        <v>0</v>
      </c>
      <c r="AV161" s="418">
        <v>83219</v>
      </c>
      <c r="AW161" s="418">
        <v>0</v>
      </c>
      <c r="AX161" s="418">
        <v>0</v>
      </c>
      <c r="AY161" s="418">
        <v>0</v>
      </c>
      <c r="AZ161" s="418">
        <v>0</v>
      </c>
      <c r="BA161" s="418">
        <v>0</v>
      </c>
      <c r="BB161" s="418">
        <v>0</v>
      </c>
      <c r="BC161" s="418">
        <v>0</v>
      </c>
      <c r="BD161" s="418">
        <v>0</v>
      </c>
      <c r="BE161" s="418">
        <v>0</v>
      </c>
      <c r="BF161" s="418">
        <v>560324</v>
      </c>
      <c r="BG161" s="418">
        <v>0</v>
      </c>
      <c r="BH161" s="418">
        <v>0</v>
      </c>
      <c r="BI161" s="418">
        <v>0</v>
      </c>
      <c r="BJ161" s="418">
        <v>0</v>
      </c>
      <c r="BK161" s="418">
        <v>0</v>
      </c>
      <c r="BL161" s="418">
        <v>441073</v>
      </c>
      <c r="BM161" s="418">
        <v>0</v>
      </c>
      <c r="BN161" s="418">
        <v>0</v>
      </c>
      <c r="BO161" s="418">
        <v>0</v>
      </c>
      <c r="BP161" s="418">
        <v>0</v>
      </c>
      <c r="BQ161" s="418">
        <v>0</v>
      </c>
      <c r="BR161" s="418">
        <v>0</v>
      </c>
      <c r="BS161" s="418">
        <v>0</v>
      </c>
      <c r="BT161" s="418">
        <v>0</v>
      </c>
      <c r="BU161" s="418">
        <v>0</v>
      </c>
      <c r="BV161" s="418">
        <v>0</v>
      </c>
      <c r="BW161" s="418">
        <v>0</v>
      </c>
      <c r="BX161" s="418">
        <v>0</v>
      </c>
      <c r="BY161" s="418">
        <v>0</v>
      </c>
      <c r="BZ161" s="418">
        <v>0</v>
      </c>
      <c r="CA161" s="418">
        <v>0</v>
      </c>
      <c r="CB161" s="418">
        <v>0</v>
      </c>
    </row>
    <row r="162" spans="1:80" s="418" customFormat="1" ht="15.6" x14ac:dyDescent="0.3">
      <c r="A162" s="1052">
        <v>512</v>
      </c>
      <c r="B162" s="1049"/>
      <c r="C162" s="1060" t="s">
        <v>2043</v>
      </c>
      <c r="D162" s="1061" t="s">
        <v>252</v>
      </c>
      <c r="E162" s="1062" t="s">
        <v>479</v>
      </c>
      <c r="F162" s="1063">
        <v>0</v>
      </c>
      <c r="G162" s="1063">
        <v>0</v>
      </c>
      <c r="H162" s="1063">
        <v>0</v>
      </c>
      <c r="I162" s="1063">
        <v>0</v>
      </c>
      <c r="J162" s="1063">
        <v>0</v>
      </c>
      <c r="K162" s="1063">
        <v>0</v>
      </c>
      <c r="L162" s="1063">
        <v>0</v>
      </c>
      <c r="M162" s="1063">
        <v>0</v>
      </c>
      <c r="N162" s="1063">
        <v>0</v>
      </c>
      <c r="O162" s="1063">
        <v>0</v>
      </c>
      <c r="P162" s="1063">
        <v>0</v>
      </c>
      <c r="Q162" s="1063">
        <v>0</v>
      </c>
      <c r="R162" s="1063">
        <v>0</v>
      </c>
      <c r="S162" s="1063">
        <v>0</v>
      </c>
      <c r="T162" s="1063">
        <v>0</v>
      </c>
      <c r="U162" s="1063">
        <v>0</v>
      </c>
      <c r="V162" s="1063"/>
      <c r="W162" s="1049"/>
      <c r="X162" s="1049"/>
      <c r="Y162" s="1049"/>
      <c r="Z162" s="1049"/>
      <c r="AA162" s="1066"/>
      <c r="AT162" s="418">
        <v>39519</v>
      </c>
      <c r="AU162" s="418">
        <v>0</v>
      </c>
      <c r="AV162" s="418">
        <v>0</v>
      </c>
      <c r="AW162" s="418">
        <v>0</v>
      </c>
      <c r="AX162" s="418">
        <v>0</v>
      </c>
      <c r="AY162" s="418">
        <v>0</v>
      </c>
      <c r="AZ162" s="418">
        <v>0</v>
      </c>
      <c r="BA162" s="418">
        <v>2205</v>
      </c>
      <c r="BB162" s="418">
        <v>0</v>
      </c>
      <c r="BC162" s="418">
        <v>0</v>
      </c>
      <c r="BD162" s="418">
        <v>0</v>
      </c>
      <c r="BE162" s="418">
        <v>0</v>
      </c>
      <c r="BF162" s="418">
        <v>0</v>
      </c>
      <c r="BG162" s="418">
        <v>0</v>
      </c>
      <c r="BH162" s="418">
        <v>0</v>
      </c>
      <c r="BI162" s="418">
        <v>122190</v>
      </c>
      <c r="BJ162" s="418">
        <v>0</v>
      </c>
      <c r="BK162" s="418">
        <v>0</v>
      </c>
      <c r="BL162" s="418">
        <v>0</v>
      </c>
      <c r="BM162" s="418">
        <v>0</v>
      </c>
      <c r="BN162" s="418">
        <v>0</v>
      </c>
      <c r="BO162" s="418">
        <v>0</v>
      </c>
      <c r="BP162" s="418">
        <v>0</v>
      </c>
      <c r="BQ162" s="418">
        <v>0</v>
      </c>
      <c r="BR162" s="418">
        <v>0</v>
      </c>
      <c r="BS162" s="418">
        <v>0</v>
      </c>
      <c r="BT162" s="418">
        <v>0</v>
      </c>
      <c r="BU162" s="418">
        <v>0</v>
      </c>
      <c r="BV162" s="418">
        <v>0</v>
      </c>
      <c r="BW162" s="418">
        <v>0</v>
      </c>
      <c r="BX162" s="418">
        <v>0</v>
      </c>
      <c r="BY162" s="418">
        <v>0</v>
      </c>
      <c r="BZ162" s="418">
        <v>0</v>
      </c>
      <c r="CA162" s="418">
        <v>0</v>
      </c>
      <c r="CB162" s="418">
        <v>0</v>
      </c>
    </row>
    <row r="163" spans="1:80" s="418" customFormat="1" ht="27.6" x14ac:dyDescent="0.3">
      <c r="A163" s="1052">
        <v>513</v>
      </c>
      <c r="B163" s="1049"/>
      <c r="C163" s="1060" t="s">
        <v>2044</v>
      </c>
      <c r="D163" s="1061" t="s">
        <v>263</v>
      </c>
      <c r="E163" s="1062" t="s">
        <v>480</v>
      </c>
      <c r="F163" s="1063">
        <v>0</v>
      </c>
      <c r="G163" s="1063">
        <v>0</v>
      </c>
      <c r="H163" s="1063">
        <v>0</v>
      </c>
      <c r="I163" s="1063">
        <v>0</v>
      </c>
      <c r="J163" s="1063">
        <v>0</v>
      </c>
      <c r="K163" s="1063">
        <v>0</v>
      </c>
      <c r="L163" s="1063">
        <v>0</v>
      </c>
      <c r="M163" s="1063">
        <v>0</v>
      </c>
      <c r="N163" s="1063">
        <v>0</v>
      </c>
      <c r="O163" s="1063">
        <v>0</v>
      </c>
      <c r="P163" s="1063">
        <v>0</v>
      </c>
      <c r="Q163" s="1063">
        <v>0</v>
      </c>
      <c r="R163" s="1063">
        <v>0</v>
      </c>
      <c r="S163" s="1063">
        <v>0</v>
      </c>
      <c r="T163" s="1063">
        <v>0</v>
      </c>
      <c r="U163" s="1063">
        <v>0</v>
      </c>
      <c r="V163" s="1063"/>
      <c r="W163" s="1049"/>
      <c r="X163" s="1049"/>
      <c r="Y163" s="1049"/>
      <c r="Z163" s="1049"/>
      <c r="AA163" s="1066"/>
      <c r="AT163" s="418">
        <v>0</v>
      </c>
      <c r="AU163" s="418">
        <v>0</v>
      </c>
      <c r="AV163" s="418">
        <v>0</v>
      </c>
      <c r="AW163" s="418">
        <v>0</v>
      </c>
      <c r="AX163" s="418">
        <v>0</v>
      </c>
      <c r="AY163" s="418">
        <v>0</v>
      </c>
      <c r="AZ163" s="418">
        <v>0</v>
      </c>
      <c r="BA163" s="418">
        <v>109142</v>
      </c>
      <c r="BB163" s="418">
        <v>0</v>
      </c>
      <c r="BC163" s="418">
        <v>0</v>
      </c>
      <c r="BD163" s="418">
        <v>0</v>
      </c>
      <c r="BE163" s="418">
        <v>0</v>
      </c>
      <c r="BF163" s="418">
        <v>0</v>
      </c>
      <c r="BG163" s="418">
        <v>0</v>
      </c>
      <c r="BH163" s="418">
        <v>0</v>
      </c>
      <c r="BI163" s="418">
        <v>0</v>
      </c>
      <c r="BJ163" s="418">
        <v>0</v>
      </c>
      <c r="BK163" s="418">
        <v>0</v>
      </c>
      <c r="BL163" s="418">
        <v>0</v>
      </c>
      <c r="BM163" s="418">
        <v>0</v>
      </c>
      <c r="BN163" s="418">
        <v>0</v>
      </c>
      <c r="BO163" s="418">
        <v>0</v>
      </c>
      <c r="BP163" s="418">
        <v>0</v>
      </c>
      <c r="BQ163" s="418">
        <v>0</v>
      </c>
      <c r="BR163" s="418">
        <v>0</v>
      </c>
      <c r="BS163" s="418">
        <v>0</v>
      </c>
      <c r="BT163" s="418">
        <v>0</v>
      </c>
      <c r="BU163" s="418">
        <v>0</v>
      </c>
      <c r="BV163" s="418">
        <v>0</v>
      </c>
      <c r="BW163" s="418">
        <v>0</v>
      </c>
      <c r="BX163" s="418">
        <v>0</v>
      </c>
      <c r="BY163" s="418">
        <v>0</v>
      </c>
      <c r="BZ163" s="418">
        <v>0</v>
      </c>
      <c r="CA163" s="418">
        <v>0</v>
      </c>
      <c r="CB163" s="418">
        <v>0</v>
      </c>
    </row>
    <row r="164" spans="1:80" s="418" customFormat="1" ht="27.6" x14ac:dyDescent="0.3">
      <c r="A164" s="1052">
        <v>514</v>
      </c>
      <c r="B164" s="1049"/>
      <c r="C164" s="1060" t="s">
        <v>2045</v>
      </c>
      <c r="D164" s="1061" t="s">
        <v>264</v>
      </c>
      <c r="E164" s="1062" t="s">
        <v>481</v>
      </c>
      <c r="F164" s="1063">
        <v>0</v>
      </c>
      <c r="G164" s="1063">
        <v>0</v>
      </c>
      <c r="H164" s="1063">
        <v>0</v>
      </c>
      <c r="I164" s="1063">
        <v>0</v>
      </c>
      <c r="J164" s="1063">
        <v>0</v>
      </c>
      <c r="K164" s="1063">
        <v>0</v>
      </c>
      <c r="L164" s="1063">
        <v>0</v>
      </c>
      <c r="M164" s="1063">
        <v>0</v>
      </c>
      <c r="N164" s="1063">
        <v>0</v>
      </c>
      <c r="O164" s="1063">
        <v>0</v>
      </c>
      <c r="P164" s="1063">
        <v>0</v>
      </c>
      <c r="Q164" s="1063">
        <v>0</v>
      </c>
      <c r="R164" s="1063">
        <v>0</v>
      </c>
      <c r="S164" s="1063">
        <v>0</v>
      </c>
      <c r="T164" s="1063">
        <v>0</v>
      </c>
      <c r="U164" s="1063">
        <v>0</v>
      </c>
      <c r="V164" s="1063"/>
      <c r="W164" s="1049"/>
      <c r="X164" s="1049"/>
      <c r="Y164" s="1049"/>
      <c r="Z164" s="1049"/>
      <c r="AA164" s="1066"/>
      <c r="AT164" s="418">
        <v>0</v>
      </c>
      <c r="AU164" s="418">
        <v>0</v>
      </c>
      <c r="AV164" s="418">
        <v>25975</v>
      </c>
      <c r="AW164" s="418">
        <v>0</v>
      </c>
      <c r="AX164" s="418">
        <v>0</v>
      </c>
      <c r="AY164" s="418">
        <v>0</v>
      </c>
      <c r="AZ164" s="418">
        <v>0</v>
      </c>
      <c r="BA164" s="418">
        <v>377370</v>
      </c>
      <c r="BB164" s="418">
        <v>0</v>
      </c>
      <c r="BC164" s="418">
        <v>0</v>
      </c>
      <c r="BD164" s="418">
        <v>0</v>
      </c>
      <c r="BE164" s="418">
        <v>0</v>
      </c>
      <c r="BF164" s="418">
        <v>662245</v>
      </c>
      <c r="BG164" s="418">
        <v>0</v>
      </c>
      <c r="BH164" s="418">
        <v>0</v>
      </c>
      <c r="BI164" s="418">
        <v>0</v>
      </c>
      <c r="BJ164" s="418">
        <v>0</v>
      </c>
      <c r="BK164" s="418">
        <v>0</v>
      </c>
      <c r="BL164" s="418">
        <v>0</v>
      </c>
      <c r="BM164" s="418">
        <v>0</v>
      </c>
      <c r="BN164" s="418">
        <v>0</v>
      </c>
      <c r="BO164" s="418">
        <v>0</v>
      </c>
      <c r="BP164" s="418">
        <v>0</v>
      </c>
      <c r="BQ164" s="418">
        <v>0</v>
      </c>
      <c r="BR164" s="418">
        <v>0</v>
      </c>
      <c r="BS164" s="418">
        <v>0</v>
      </c>
      <c r="BT164" s="418">
        <v>0</v>
      </c>
      <c r="BU164" s="418">
        <v>0</v>
      </c>
      <c r="BV164" s="418">
        <v>0</v>
      </c>
      <c r="BW164" s="418">
        <v>0</v>
      </c>
      <c r="BX164" s="418">
        <v>0</v>
      </c>
      <c r="BY164" s="418">
        <v>0</v>
      </c>
      <c r="BZ164" s="418">
        <v>0</v>
      </c>
      <c r="CA164" s="418">
        <v>0</v>
      </c>
      <c r="CB164" s="418">
        <v>0</v>
      </c>
    </row>
    <row r="165" spans="1:80" s="418" customFormat="1" ht="15.6" x14ac:dyDescent="0.3">
      <c r="A165" s="1052">
        <v>515</v>
      </c>
      <c r="B165" s="1049"/>
      <c r="C165" s="1060" t="s">
        <v>2046</v>
      </c>
      <c r="D165" s="1061" t="s">
        <v>277</v>
      </c>
      <c r="E165" s="1062" t="s">
        <v>482</v>
      </c>
      <c r="F165" s="1063">
        <v>0</v>
      </c>
      <c r="G165" s="1063">
        <v>0</v>
      </c>
      <c r="H165" s="1063">
        <v>0</v>
      </c>
      <c r="I165" s="1063">
        <v>0</v>
      </c>
      <c r="J165" s="1063">
        <v>0</v>
      </c>
      <c r="K165" s="1063">
        <v>0</v>
      </c>
      <c r="L165" s="1063">
        <v>0</v>
      </c>
      <c r="M165" s="1063">
        <v>0</v>
      </c>
      <c r="N165" s="1063">
        <v>0</v>
      </c>
      <c r="O165" s="1063">
        <v>0</v>
      </c>
      <c r="P165" s="1063">
        <v>0</v>
      </c>
      <c r="Q165" s="1063">
        <v>0</v>
      </c>
      <c r="R165" s="1063">
        <v>0</v>
      </c>
      <c r="S165" s="1063">
        <v>0</v>
      </c>
      <c r="T165" s="1063">
        <v>0</v>
      </c>
      <c r="U165" s="1063">
        <v>0</v>
      </c>
      <c r="V165" s="1063"/>
      <c r="W165" s="1049"/>
      <c r="X165" s="1049"/>
      <c r="Y165" s="1049"/>
      <c r="Z165" s="1049"/>
      <c r="AA165" s="1066"/>
      <c r="AT165" s="418">
        <v>33338</v>
      </c>
      <c r="AU165" s="418">
        <v>267595</v>
      </c>
      <c r="AV165" s="418">
        <v>14215117</v>
      </c>
      <c r="AW165" s="418">
        <v>108060</v>
      </c>
      <c r="AX165" s="418">
        <v>48825</v>
      </c>
      <c r="AY165" s="418">
        <v>0</v>
      </c>
      <c r="AZ165" s="418">
        <v>0</v>
      </c>
      <c r="BA165" s="418">
        <v>834343</v>
      </c>
      <c r="BB165" s="418">
        <v>0</v>
      </c>
      <c r="BC165" s="418">
        <v>16683</v>
      </c>
      <c r="BD165" s="418">
        <v>0</v>
      </c>
      <c r="BE165" s="418">
        <v>0</v>
      </c>
      <c r="BF165" s="418">
        <v>18580814</v>
      </c>
      <c r="BG165" s="418">
        <v>0</v>
      </c>
      <c r="BH165" s="418">
        <v>0</v>
      </c>
      <c r="BI165" s="418">
        <v>0</v>
      </c>
      <c r="BJ165" s="418">
        <v>0</v>
      </c>
      <c r="BK165" s="418">
        <v>0</v>
      </c>
      <c r="BL165" s="418">
        <v>124260</v>
      </c>
      <c r="BM165" s="418">
        <v>0</v>
      </c>
      <c r="BN165" s="418">
        <v>0</v>
      </c>
      <c r="BO165" s="418">
        <v>7521010</v>
      </c>
      <c r="BP165" s="418">
        <v>671860</v>
      </c>
      <c r="BQ165" s="418">
        <v>0</v>
      </c>
      <c r="BR165" s="418">
        <v>364151</v>
      </c>
      <c r="BS165" s="418">
        <v>0</v>
      </c>
      <c r="BT165" s="418">
        <v>0</v>
      </c>
      <c r="BU165" s="418">
        <v>2483050</v>
      </c>
      <c r="BV165" s="418">
        <v>0</v>
      </c>
      <c r="BW165" s="418">
        <v>0</v>
      </c>
      <c r="BX165" s="418">
        <v>0</v>
      </c>
      <c r="BY165" s="418">
        <v>0</v>
      </c>
      <c r="BZ165" s="418">
        <v>0</v>
      </c>
      <c r="CA165" s="418">
        <v>9136888</v>
      </c>
      <c r="CB165" s="418">
        <v>0</v>
      </c>
    </row>
    <row r="166" spans="1:80" s="418" customFormat="1" ht="27.6" x14ac:dyDescent="0.3">
      <c r="A166" s="1052">
        <v>516</v>
      </c>
      <c r="B166" s="1049"/>
      <c r="C166" s="1060" t="s">
        <v>2047</v>
      </c>
      <c r="D166" s="1061" t="s">
        <v>278</v>
      </c>
      <c r="E166" s="1062" t="s">
        <v>483</v>
      </c>
      <c r="F166" s="1063">
        <v>0</v>
      </c>
      <c r="G166" s="1063">
        <v>0</v>
      </c>
      <c r="H166" s="1063">
        <v>0</v>
      </c>
      <c r="I166" s="1063">
        <v>0</v>
      </c>
      <c r="J166" s="1063">
        <v>0</v>
      </c>
      <c r="K166" s="1063">
        <v>0</v>
      </c>
      <c r="L166" s="1063">
        <v>0</v>
      </c>
      <c r="M166" s="1063">
        <v>0</v>
      </c>
      <c r="N166" s="1063">
        <v>0</v>
      </c>
      <c r="O166" s="1063">
        <v>0</v>
      </c>
      <c r="P166" s="1063">
        <v>0</v>
      </c>
      <c r="Q166" s="1063">
        <v>0</v>
      </c>
      <c r="R166" s="1063">
        <v>0</v>
      </c>
      <c r="S166" s="1063">
        <v>0</v>
      </c>
      <c r="T166" s="1063">
        <v>0</v>
      </c>
      <c r="U166" s="1063">
        <v>0</v>
      </c>
      <c r="V166" s="1063"/>
      <c r="W166" s="1049"/>
      <c r="X166" s="1049"/>
      <c r="Y166" s="1049"/>
      <c r="Z166" s="1049"/>
      <c r="AA166" s="1066"/>
      <c r="AT166" s="418">
        <v>5958333</v>
      </c>
      <c r="AU166" s="418">
        <v>6665103</v>
      </c>
      <c r="AV166" s="418">
        <v>47076931</v>
      </c>
      <c r="AW166" s="418">
        <v>1742830</v>
      </c>
      <c r="AX166" s="418">
        <v>7227037</v>
      </c>
      <c r="AY166" s="418">
        <v>13628125</v>
      </c>
      <c r="AZ166" s="418">
        <v>17597375</v>
      </c>
      <c r="BA166" s="418">
        <v>27812080</v>
      </c>
      <c r="BB166" s="418">
        <v>20457</v>
      </c>
      <c r="BC166" s="418">
        <v>790666</v>
      </c>
      <c r="BD166" s="418">
        <v>0</v>
      </c>
      <c r="BE166" s="418">
        <v>0</v>
      </c>
      <c r="BF166" s="418">
        <v>68558904</v>
      </c>
      <c r="BG166" s="418">
        <v>0</v>
      </c>
      <c r="BH166" s="418">
        <v>0</v>
      </c>
      <c r="BI166" s="418">
        <v>11744116</v>
      </c>
      <c r="BJ166" s="418">
        <v>8234496</v>
      </c>
      <c r="BK166" s="418">
        <v>0</v>
      </c>
      <c r="BL166" s="418">
        <v>16829587</v>
      </c>
      <c r="BM166" s="418">
        <v>10888924</v>
      </c>
      <c r="BN166" s="418">
        <v>0</v>
      </c>
      <c r="BO166" s="418">
        <v>24577966</v>
      </c>
      <c r="BP166" s="418">
        <v>14235973</v>
      </c>
      <c r="BQ166" s="418">
        <v>15049071</v>
      </c>
      <c r="BR166" s="418">
        <v>6316273</v>
      </c>
      <c r="BS166" s="418">
        <v>0</v>
      </c>
      <c r="BT166" s="418">
        <v>0</v>
      </c>
      <c r="BU166" s="418">
        <v>4880718</v>
      </c>
      <c r="BV166" s="418">
        <v>23580566</v>
      </c>
      <c r="BW166" s="418">
        <v>5905822</v>
      </c>
      <c r="BX166" s="418">
        <v>2166959</v>
      </c>
      <c r="BY166" s="418">
        <v>0</v>
      </c>
      <c r="BZ166" s="418">
        <v>0</v>
      </c>
      <c r="CA166" s="418">
        <v>61464767</v>
      </c>
      <c r="CB166" s="418">
        <v>0</v>
      </c>
    </row>
    <row r="167" spans="1:80" s="418" customFormat="1" ht="15.6" x14ac:dyDescent="0.3">
      <c r="A167" s="1052">
        <v>517</v>
      </c>
      <c r="B167" s="1049"/>
      <c r="C167" s="1060" t="s">
        <v>2048</v>
      </c>
      <c r="D167" s="1061" t="s">
        <v>279</v>
      </c>
      <c r="E167" s="1062" t="s">
        <v>484</v>
      </c>
      <c r="F167" s="1063">
        <v>0</v>
      </c>
      <c r="G167" s="1063">
        <v>0</v>
      </c>
      <c r="H167" s="1063">
        <v>0</v>
      </c>
      <c r="I167" s="1063">
        <v>0</v>
      </c>
      <c r="J167" s="1063">
        <v>0</v>
      </c>
      <c r="K167" s="1063">
        <v>0</v>
      </c>
      <c r="L167" s="1063">
        <v>0</v>
      </c>
      <c r="M167" s="1063">
        <v>0</v>
      </c>
      <c r="N167" s="1063">
        <v>0</v>
      </c>
      <c r="O167" s="1063">
        <v>0</v>
      </c>
      <c r="P167" s="1063">
        <v>0</v>
      </c>
      <c r="Q167" s="1063">
        <v>0</v>
      </c>
      <c r="R167" s="1063">
        <v>0</v>
      </c>
      <c r="S167" s="1063">
        <v>0</v>
      </c>
      <c r="T167" s="1063">
        <v>0</v>
      </c>
      <c r="U167" s="1063">
        <v>0</v>
      </c>
      <c r="V167" s="1063"/>
      <c r="W167" s="1049"/>
      <c r="X167" s="1049"/>
      <c r="Y167" s="1049"/>
      <c r="Z167" s="1049"/>
      <c r="AA167" s="1066"/>
      <c r="AT167" s="418">
        <v>0</v>
      </c>
      <c r="AU167" s="418">
        <v>0</v>
      </c>
      <c r="AV167" s="418">
        <v>0</v>
      </c>
      <c r="AW167" s="418">
        <v>0</v>
      </c>
      <c r="AX167" s="418">
        <v>0</v>
      </c>
      <c r="AY167" s="418">
        <v>0</v>
      </c>
      <c r="AZ167" s="418">
        <v>0</v>
      </c>
      <c r="BA167" s="418">
        <v>0</v>
      </c>
      <c r="BB167" s="418">
        <v>0</v>
      </c>
      <c r="BC167" s="418">
        <v>6390019</v>
      </c>
      <c r="BD167" s="418">
        <v>0</v>
      </c>
      <c r="BE167" s="418">
        <v>0</v>
      </c>
      <c r="BF167" s="418">
        <v>0</v>
      </c>
      <c r="BG167" s="418">
        <v>0</v>
      </c>
      <c r="BH167" s="418">
        <v>0</v>
      </c>
      <c r="BI167" s="418">
        <v>0</v>
      </c>
      <c r="BJ167" s="418">
        <v>0</v>
      </c>
      <c r="BK167" s="418">
        <v>0</v>
      </c>
      <c r="BL167" s="418">
        <v>0</v>
      </c>
      <c r="BM167" s="418">
        <v>0</v>
      </c>
      <c r="BN167" s="418">
        <v>0</v>
      </c>
      <c r="BO167" s="418">
        <v>0</v>
      </c>
      <c r="BP167" s="418">
        <v>0</v>
      </c>
      <c r="BQ167" s="418">
        <v>0</v>
      </c>
      <c r="BR167" s="418">
        <v>0</v>
      </c>
      <c r="BS167" s="418">
        <v>0</v>
      </c>
      <c r="BT167" s="418">
        <v>0</v>
      </c>
      <c r="BU167" s="418">
        <v>0</v>
      </c>
      <c r="BV167" s="418">
        <v>0</v>
      </c>
      <c r="BW167" s="418">
        <v>0</v>
      </c>
      <c r="BX167" s="418">
        <v>0</v>
      </c>
      <c r="BY167" s="418">
        <v>0</v>
      </c>
      <c r="BZ167" s="418">
        <v>0</v>
      </c>
      <c r="CA167" s="418">
        <v>0</v>
      </c>
      <c r="CB167" s="418">
        <v>0</v>
      </c>
    </row>
    <row r="168" spans="1:80" s="418" customFormat="1" ht="27.6" x14ac:dyDescent="0.3">
      <c r="A168" s="1052">
        <v>518</v>
      </c>
      <c r="B168" s="1049"/>
      <c r="C168" s="1060" t="s">
        <v>2049</v>
      </c>
      <c r="D168" s="1061" t="s">
        <v>280</v>
      </c>
      <c r="E168" s="1062" t="s">
        <v>485</v>
      </c>
      <c r="F168" s="1063">
        <v>0</v>
      </c>
      <c r="G168" s="1063">
        <v>0</v>
      </c>
      <c r="H168" s="1063">
        <v>0</v>
      </c>
      <c r="I168" s="1063">
        <v>0</v>
      </c>
      <c r="J168" s="1063">
        <v>0</v>
      </c>
      <c r="K168" s="1063">
        <v>0</v>
      </c>
      <c r="L168" s="1063">
        <v>0</v>
      </c>
      <c r="M168" s="1063">
        <v>0</v>
      </c>
      <c r="N168" s="1063">
        <v>0</v>
      </c>
      <c r="O168" s="1063">
        <v>0</v>
      </c>
      <c r="P168" s="1063">
        <v>0</v>
      </c>
      <c r="Q168" s="1063">
        <v>0</v>
      </c>
      <c r="R168" s="1063">
        <v>0</v>
      </c>
      <c r="S168" s="1063">
        <v>0</v>
      </c>
      <c r="T168" s="1063">
        <v>0</v>
      </c>
      <c r="U168" s="1063">
        <v>0</v>
      </c>
      <c r="V168" s="1063"/>
      <c r="W168" s="1049"/>
      <c r="X168" s="1049"/>
      <c r="Y168" s="1049"/>
      <c r="Z168" s="1049"/>
      <c r="AA168" s="1066"/>
      <c r="AT168" s="418">
        <v>82313</v>
      </c>
      <c r="AU168" s="418">
        <v>862044</v>
      </c>
      <c r="AV168" s="418">
        <v>11138956</v>
      </c>
      <c r="AW168" s="418">
        <v>20574</v>
      </c>
      <c r="AX168" s="418">
        <v>819424</v>
      </c>
      <c r="AY168" s="418">
        <v>259012</v>
      </c>
      <c r="AZ168" s="418">
        <v>506942</v>
      </c>
      <c r="BA168" s="418">
        <v>0</v>
      </c>
      <c r="BB168" s="418">
        <v>0</v>
      </c>
      <c r="BC168" s="418">
        <v>561112</v>
      </c>
      <c r="BD168" s="418">
        <v>0</v>
      </c>
      <c r="BE168" s="418">
        <v>0</v>
      </c>
      <c r="BF168" s="418">
        <v>16054287</v>
      </c>
      <c r="BG168" s="418">
        <v>0</v>
      </c>
      <c r="BH168" s="418">
        <v>0</v>
      </c>
      <c r="BI168" s="418">
        <v>1048774</v>
      </c>
      <c r="BJ168" s="418">
        <v>460765</v>
      </c>
      <c r="BK168" s="418">
        <v>0</v>
      </c>
      <c r="BL168" s="418">
        <v>1972861</v>
      </c>
      <c r="BM168" s="418">
        <v>568233</v>
      </c>
      <c r="BN168" s="418">
        <v>0</v>
      </c>
      <c r="BO168" s="418">
        <v>4516818</v>
      </c>
      <c r="BP168" s="418">
        <v>491489</v>
      </c>
      <c r="BQ168" s="418">
        <v>183278</v>
      </c>
      <c r="BR168" s="418">
        <v>720898</v>
      </c>
      <c r="BS168" s="418">
        <v>0</v>
      </c>
      <c r="BT168" s="418">
        <v>0</v>
      </c>
      <c r="BU168" s="418">
        <v>1918580</v>
      </c>
      <c r="BV168" s="418">
        <v>1128535</v>
      </c>
      <c r="BW168" s="418">
        <v>414954</v>
      </c>
      <c r="BX168" s="418">
        <v>0</v>
      </c>
      <c r="BY168" s="418">
        <v>0</v>
      </c>
      <c r="BZ168" s="418">
        <v>0</v>
      </c>
      <c r="CA168" s="418">
        <v>2376306</v>
      </c>
      <c r="CB168" s="418">
        <v>0</v>
      </c>
    </row>
    <row r="169" spans="1:80" s="418" customFormat="1" ht="15.6" x14ac:dyDescent="0.3">
      <c r="A169" s="1052">
        <v>519</v>
      </c>
      <c r="B169" s="1049"/>
      <c r="C169" s="1060" t="s">
        <v>2050</v>
      </c>
      <c r="D169" s="1061" t="s">
        <v>281</v>
      </c>
      <c r="E169" s="1062" t="s">
        <v>486</v>
      </c>
      <c r="F169" s="1063">
        <v>0</v>
      </c>
      <c r="G169" s="1063">
        <v>0</v>
      </c>
      <c r="H169" s="1063">
        <v>0</v>
      </c>
      <c r="I169" s="1063">
        <v>0</v>
      </c>
      <c r="J169" s="1063">
        <v>0</v>
      </c>
      <c r="K169" s="1063">
        <v>0</v>
      </c>
      <c r="L169" s="1063">
        <v>0</v>
      </c>
      <c r="M169" s="1063">
        <v>0</v>
      </c>
      <c r="N169" s="1063">
        <v>0</v>
      </c>
      <c r="O169" s="1063">
        <v>0</v>
      </c>
      <c r="P169" s="1063">
        <v>0</v>
      </c>
      <c r="Q169" s="1063">
        <v>0</v>
      </c>
      <c r="R169" s="1063">
        <v>0</v>
      </c>
      <c r="S169" s="1063">
        <v>0</v>
      </c>
      <c r="T169" s="1063">
        <v>0</v>
      </c>
      <c r="U169" s="1063">
        <v>0</v>
      </c>
      <c r="V169" s="1063"/>
      <c r="W169" s="1049"/>
      <c r="X169" s="1049"/>
      <c r="Y169" s="1049"/>
      <c r="Z169" s="1049"/>
      <c r="AA169" s="1066"/>
      <c r="AT169" s="418">
        <v>667</v>
      </c>
      <c r="AU169" s="418">
        <v>8453</v>
      </c>
      <c r="AV169" s="418">
        <v>337788</v>
      </c>
      <c r="AW169" s="418">
        <v>2874</v>
      </c>
      <c r="AX169" s="418">
        <v>1628</v>
      </c>
      <c r="AY169" s="418">
        <v>0</v>
      </c>
      <c r="AZ169" s="418">
        <v>0</v>
      </c>
      <c r="BA169" s="418">
        <v>20859</v>
      </c>
      <c r="BB169" s="418">
        <v>0</v>
      </c>
      <c r="BC169" s="418">
        <v>0</v>
      </c>
      <c r="BD169" s="418">
        <v>0</v>
      </c>
      <c r="BE169" s="418">
        <v>0</v>
      </c>
      <c r="BF169" s="418">
        <v>263474</v>
      </c>
      <c r="BG169" s="418">
        <v>0</v>
      </c>
      <c r="BH169" s="418">
        <v>0</v>
      </c>
      <c r="BI169" s="418">
        <v>0</v>
      </c>
      <c r="BJ169" s="418">
        <v>0</v>
      </c>
      <c r="BK169" s="418">
        <v>0</v>
      </c>
      <c r="BL169" s="418">
        <v>2255</v>
      </c>
      <c r="BM169" s="418">
        <v>0</v>
      </c>
      <c r="BN169" s="418">
        <v>0</v>
      </c>
      <c r="BO169" s="418">
        <v>133423</v>
      </c>
      <c r="BP169" s="418">
        <v>16590</v>
      </c>
      <c r="BQ169" s="418">
        <v>0</v>
      </c>
      <c r="BR169" s="418">
        <v>9546</v>
      </c>
      <c r="BS169" s="418">
        <v>0</v>
      </c>
      <c r="BT169" s="418">
        <v>0</v>
      </c>
      <c r="BU169" s="418">
        <v>111269</v>
      </c>
      <c r="BV169" s="418">
        <v>0</v>
      </c>
      <c r="BW169" s="418">
        <v>0</v>
      </c>
      <c r="BX169" s="418">
        <v>0</v>
      </c>
      <c r="BY169" s="418">
        <v>0</v>
      </c>
      <c r="BZ169" s="418">
        <v>0</v>
      </c>
      <c r="CA169" s="418">
        <v>197886</v>
      </c>
      <c r="CB169" s="418">
        <v>0</v>
      </c>
    </row>
    <row r="170" spans="1:80" s="418" customFormat="1" ht="27.6" x14ac:dyDescent="0.3">
      <c r="A170" s="1052">
        <v>520</v>
      </c>
      <c r="B170" s="1049"/>
      <c r="C170" s="1060" t="s">
        <v>2051</v>
      </c>
      <c r="D170" s="1061" t="s">
        <v>282</v>
      </c>
      <c r="E170" s="1062" t="s">
        <v>487</v>
      </c>
      <c r="F170" s="1063">
        <v>0</v>
      </c>
      <c r="G170" s="1063">
        <v>0</v>
      </c>
      <c r="H170" s="1063">
        <v>0</v>
      </c>
      <c r="I170" s="1063">
        <v>0</v>
      </c>
      <c r="J170" s="1063">
        <v>0</v>
      </c>
      <c r="K170" s="1063">
        <v>0</v>
      </c>
      <c r="L170" s="1063">
        <v>0</v>
      </c>
      <c r="M170" s="1063">
        <v>0</v>
      </c>
      <c r="N170" s="1063">
        <v>0</v>
      </c>
      <c r="O170" s="1063">
        <v>0</v>
      </c>
      <c r="P170" s="1063">
        <v>0</v>
      </c>
      <c r="Q170" s="1063">
        <v>0</v>
      </c>
      <c r="R170" s="1063">
        <v>0</v>
      </c>
      <c r="S170" s="1063">
        <v>0</v>
      </c>
      <c r="T170" s="1063">
        <v>0</v>
      </c>
      <c r="U170" s="1063">
        <v>0</v>
      </c>
      <c r="V170" s="1063"/>
      <c r="W170" s="1049"/>
      <c r="X170" s="1049"/>
      <c r="Y170" s="1049"/>
      <c r="Z170" s="1049"/>
      <c r="AA170" s="1066"/>
      <c r="AT170" s="418">
        <v>119166</v>
      </c>
      <c r="AU170" s="418">
        <v>194360</v>
      </c>
      <c r="AV170" s="418">
        <v>1091134</v>
      </c>
      <c r="AW170" s="418">
        <v>58094</v>
      </c>
      <c r="AX170" s="418">
        <v>134212</v>
      </c>
      <c r="AY170" s="418">
        <v>273158</v>
      </c>
      <c r="AZ170" s="418">
        <v>374846</v>
      </c>
      <c r="BA170" s="418">
        <v>563464</v>
      </c>
      <c r="BB170" s="418">
        <v>0</v>
      </c>
      <c r="BC170" s="418">
        <v>41169</v>
      </c>
      <c r="BD170" s="418">
        <v>0</v>
      </c>
      <c r="BE170" s="418">
        <v>0</v>
      </c>
      <c r="BF170" s="418">
        <v>1171956</v>
      </c>
      <c r="BG170" s="418">
        <v>0</v>
      </c>
      <c r="BH170" s="418">
        <v>0</v>
      </c>
      <c r="BI170" s="418">
        <v>228834</v>
      </c>
      <c r="BJ170" s="418">
        <v>168715</v>
      </c>
      <c r="BK170" s="418">
        <v>0</v>
      </c>
      <c r="BL170" s="418">
        <v>316154</v>
      </c>
      <c r="BM170" s="418">
        <v>286842</v>
      </c>
      <c r="BN170" s="418">
        <v>0</v>
      </c>
      <c r="BO170" s="418">
        <v>565284</v>
      </c>
      <c r="BP170" s="418">
        <v>243838</v>
      </c>
      <c r="BQ170" s="418">
        <v>305096</v>
      </c>
      <c r="BR170" s="418">
        <v>104558</v>
      </c>
      <c r="BS170" s="418">
        <v>0</v>
      </c>
      <c r="BT170" s="418">
        <v>0</v>
      </c>
      <c r="BU170" s="418">
        <v>60509</v>
      </c>
      <c r="BV170" s="418">
        <v>109500</v>
      </c>
      <c r="BW170" s="418">
        <v>133785</v>
      </c>
      <c r="BX170" s="418">
        <v>42547</v>
      </c>
      <c r="BY170" s="418">
        <v>0</v>
      </c>
      <c r="BZ170" s="418">
        <v>0</v>
      </c>
      <c r="CA170" s="418">
        <v>1237946</v>
      </c>
      <c r="CB170" s="418">
        <v>0</v>
      </c>
    </row>
    <row r="171" spans="1:80" s="418" customFormat="1" ht="15.6" x14ac:dyDescent="0.3">
      <c r="A171" s="1052">
        <v>521</v>
      </c>
      <c r="B171" s="1049"/>
      <c r="C171" s="1060" t="s">
        <v>2052</v>
      </c>
      <c r="D171" s="1061" t="s">
        <v>283</v>
      </c>
      <c r="E171" s="1062" t="s">
        <v>488</v>
      </c>
      <c r="F171" s="1063">
        <v>0</v>
      </c>
      <c r="G171" s="1063">
        <v>0</v>
      </c>
      <c r="H171" s="1063">
        <v>0</v>
      </c>
      <c r="I171" s="1063">
        <v>0</v>
      </c>
      <c r="J171" s="1063">
        <v>0</v>
      </c>
      <c r="K171" s="1063">
        <v>0</v>
      </c>
      <c r="L171" s="1063">
        <v>0</v>
      </c>
      <c r="M171" s="1063">
        <v>0</v>
      </c>
      <c r="N171" s="1063">
        <v>0</v>
      </c>
      <c r="O171" s="1063">
        <v>0</v>
      </c>
      <c r="P171" s="1063">
        <v>0</v>
      </c>
      <c r="Q171" s="1063">
        <v>0</v>
      </c>
      <c r="R171" s="1063">
        <v>0</v>
      </c>
      <c r="S171" s="1063">
        <v>0</v>
      </c>
      <c r="T171" s="1063">
        <v>0</v>
      </c>
      <c r="U171" s="1063">
        <v>0</v>
      </c>
      <c r="V171" s="1063"/>
      <c r="W171" s="1049"/>
      <c r="X171" s="1049"/>
      <c r="Y171" s="1049"/>
      <c r="Z171" s="1049"/>
      <c r="AA171" s="1066"/>
      <c r="AT171" s="418">
        <v>0</v>
      </c>
      <c r="AU171" s="418">
        <v>0</v>
      </c>
      <c r="AV171" s="418">
        <v>0</v>
      </c>
      <c r="AW171" s="418">
        <v>0</v>
      </c>
      <c r="AX171" s="418">
        <v>0</v>
      </c>
      <c r="AY171" s="418">
        <v>0</v>
      </c>
      <c r="AZ171" s="418">
        <v>0</v>
      </c>
      <c r="BA171" s="418">
        <v>0</v>
      </c>
      <c r="BB171" s="418">
        <v>0</v>
      </c>
      <c r="BC171" s="418">
        <v>93755</v>
      </c>
      <c r="BD171" s="418">
        <v>0</v>
      </c>
      <c r="BE171" s="418">
        <v>0</v>
      </c>
      <c r="BF171" s="418">
        <v>0</v>
      </c>
      <c r="BG171" s="418">
        <v>0</v>
      </c>
      <c r="BH171" s="418">
        <v>0</v>
      </c>
      <c r="BI171" s="418">
        <v>0</v>
      </c>
      <c r="BJ171" s="418">
        <v>0</v>
      </c>
      <c r="BK171" s="418">
        <v>0</v>
      </c>
      <c r="BL171" s="418">
        <v>0</v>
      </c>
      <c r="BM171" s="418">
        <v>0</v>
      </c>
      <c r="BN171" s="418">
        <v>0</v>
      </c>
      <c r="BO171" s="418">
        <v>0</v>
      </c>
      <c r="BP171" s="418">
        <v>0</v>
      </c>
      <c r="BQ171" s="418">
        <v>0</v>
      </c>
      <c r="BR171" s="418">
        <v>0</v>
      </c>
      <c r="BS171" s="418">
        <v>0</v>
      </c>
      <c r="BT171" s="418">
        <v>0</v>
      </c>
      <c r="BU171" s="418">
        <v>0</v>
      </c>
      <c r="BV171" s="418">
        <v>0</v>
      </c>
      <c r="BW171" s="418">
        <v>0</v>
      </c>
      <c r="BX171" s="418">
        <v>0</v>
      </c>
      <c r="BY171" s="418">
        <v>0</v>
      </c>
      <c r="BZ171" s="418">
        <v>0</v>
      </c>
      <c r="CA171" s="418">
        <v>0</v>
      </c>
      <c r="CB171" s="418">
        <v>0</v>
      </c>
    </row>
    <row r="172" spans="1:80" s="418" customFormat="1" ht="27.6" x14ac:dyDescent="0.3">
      <c r="A172" s="1052">
        <v>522</v>
      </c>
      <c r="B172" s="1049"/>
      <c r="C172" s="1060" t="s">
        <v>2053</v>
      </c>
      <c r="D172" s="1061" t="s">
        <v>284</v>
      </c>
      <c r="E172" s="1062" t="s">
        <v>489</v>
      </c>
      <c r="F172" s="1063">
        <v>0</v>
      </c>
      <c r="G172" s="1063">
        <v>0</v>
      </c>
      <c r="H172" s="1063">
        <v>0</v>
      </c>
      <c r="I172" s="1063">
        <v>0</v>
      </c>
      <c r="J172" s="1063">
        <v>0</v>
      </c>
      <c r="K172" s="1063">
        <v>0</v>
      </c>
      <c r="L172" s="1063">
        <v>0</v>
      </c>
      <c r="M172" s="1063">
        <v>0</v>
      </c>
      <c r="N172" s="1063">
        <v>0</v>
      </c>
      <c r="O172" s="1063">
        <v>0</v>
      </c>
      <c r="P172" s="1063">
        <v>0</v>
      </c>
      <c r="Q172" s="1063">
        <v>0</v>
      </c>
      <c r="R172" s="1063">
        <v>0</v>
      </c>
      <c r="S172" s="1063">
        <v>0</v>
      </c>
      <c r="T172" s="1063">
        <v>0</v>
      </c>
      <c r="U172" s="1063">
        <v>0</v>
      </c>
      <c r="V172" s="1063"/>
      <c r="W172" s="1049"/>
      <c r="X172" s="1049"/>
      <c r="Y172" s="1049"/>
      <c r="Z172" s="1049"/>
      <c r="AA172" s="1066"/>
      <c r="AT172" s="418">
        <v>478</v>
      </c>
      <c r="AU172" s="418">
        <v>57826</v>
      </c>
      <c r="AV172" s="418">
        <v>265244</v>
      </c>
      <c r="AW172" s="418">
        <v>0</v>
      </c>
      <c r="AX172" s="418">
        <v>39803</v>
      </c>
      <c r="AY172" s="418">
        <v>21272</v>
      </c>
      <c r="AZ172" s="418">
        <v>9786</v>
      </c>
      <c r="BA172" s="418">
        <v>0</v>
      </c>
      <c r="BB172" s="418">
        <v>0</v>
      </c>
      <c r="BC172" s="418">
        <v>7650</v>
      </c>
      <c r="BD172" s="418">
        <v>0</v>
      </c>
      <c r="BE172" s="418">
        <v>0</v>
      </c>
      <c r="BF172" s="418">
        <v>537278</v>
      </c>
      <c r="BG172" s="418">
        <v>0</v>
      </c>
      <c r="BH172" s="418">
        <v>0</v>
      </c>
      <c r="BI172" s="418">
        <v>8312</v>
      </c>
      <c r="BJ172" s="418">
        <v>21155</v>
      </c>
      <c r="BK172" s="418">
        <v>0</v>
      </c>
      <c r="BL172" s="418">
        <v>47398</v>
      </c>
      <c r="BM172" s="418">
        <v>37328</v>
      </c>
      <c r="BN172" s="418">
        <v>0</v>
      </c>
      <c r="BO172" s="418">
        <v>210784</v>
      </c>
      <c r="BP172" s="418">
        <v>16211</v>
      </c>
      <c r="BQ172" s="418">
        <v>14539</v>
      </c>
      <c r="BR172" s="418">
        <v>62608</v>
      </c>
      <c r="BS172" s="418">
        <v>0</v>
      </c>
      <c r="BT172" s="418">
        <v>0</v>
      </c>
      <c r="BU172" s="418">
        <v>81296</v>
      </c>
      <c r="BV172" s="418">
        <v>56598</v>
      </c>
      <c r="BW172" s="418">
        <v>15381</v>
      </c>
      <c r="BX172" s="418">
        <v>0</v>
      </c>
      <c r="BY172" s="418">
        <v>0</v>
      </c>
      <c r="BZ172" s="418">
        <v>0</v>
      </c>
      <c r="CA172" s="418">
        <v>128484</v>
      </c>
      <c r="CB172" s="418">
        <v>0</v>
      </c>
    </row>
    <row r="173" spans="1:80" s="418" customFormat="1" ht="15.6" x14ac:dyDescent="0.3">
      <c r="A173" s="1052">
        <v>523</v>
      </c>
      <c r="B173" s="1049"/>
      <c r="C173" s="1060" t="s">
        <v>2054</v>
      </c>
      <c r="D173" s="1061" t="s">
        <v>285</v>
      </c>
      <c r="E173" s="1062" t="s">
        <v>490</v>
      </c>
      <c r="F173" s="1063">
        <v>0</v>
      </c>
      <c r="G173" s="1063">
        <v>0</v>
      </c>
      <c r="H173" s="1063">
        <v>0</v>
      </c>
      <c r="I173" s="1063">
        <v>0</v>
      </c>
      <c r="J173" s="1063">
        <v>0</v>
      </c>
      <c r="K173" s="1063">
        <v>0</v>
      </c>
      <c r="L173" s="1063">
        <v>0</v>
      </c>
      <c r="M173" s="1063">
        <v>0</v>
      </c>
      <c r="N173" s="1063">
        <v>0</v>
      </c>
      <c r="O173" s="1063">
        <v>0</v>
      </c>
      <c r="P173" s="1063">
        <v>0</v>
      </c>
      <c r="Q173" s="1063">
        <v>0</v>
      </c>
      <c r="R173" s="1063">
        <v>0</v>
      </c>
      <c r="S173" s="1063">
        <v>0</v>
      </c>
      <c r="T173" s="1063">
        <v>0</v>
      </c>
      <c r="U173" s="1063">
        <v>0</v>
      </c>
      <c r="V173" s="1063"/>
      <c r="W173" s="1049"/>
      <c r="X173" s="1049"/>
      <c r="Y173" s="1049"/>
      <c r="Z173" s="1049"/>
      <c r="AA173" s="1066"/>
      <c r="AT173" s="418">
        <v>10586</v>
      </c>
      <c r="AU173" s="418">
        <v>167451</v>
      </c>
      <c r="AV173" s="418">
        <v>7257200</v>
      </c>
      <c r="AW173" s="418">
        <v>71917</v>
      </c>
      <c r="AX173" s="418">
        <v>12827</v>
      </c>
      <c r="AY173" s="418">
        <v>0</v>
      </c>
      <c r="AZ173" s="418">
        <v>0</v>
      </c>
      <c r="BA173" s="418">
        <v>187727</v>
      </c>
      <c r="BB173" s="418">
        <v>0</v>
      </c>
      <c r="BC173" s="418">
        <v>16683</v>
      </c>
      <c r="BD173" s="418">
        <v>0</v>
      </c>
      <c r="BE173" s="418">
        <v>0</v>
      </c>
      <c r="BF173" s="418">
        <v>8792857</v>
      </c>
      <c r="BG173" s="418">
        <v>0</v>
      </c>
      <c r="BH173" s="418">
        <v>0</v>
      </c>
      <c r="BI173" s="418">
        <v>0</v>
      </c>
      <c r="BJ173" s="418">
        <v>0</v>
      </c>
      <c r="BK173" s="418">
        <v>0</v>
      </c>
      <c r="BL173" s="418">
        <v>2550</v>
      </c>
      <c r="BM173" s="418">
        <v>0</v>
      </c>
      <c r="BN173" s="418">
        <v>0</v>
      </c>
      <c r="BO173" s="418">
        <v>5233733</v>
      </c>
      <c r="BP173" s="418">
        <v>192327</v>
      </c>
      <c r="BQ173" s="418">
        <v>0</v>
      </c>
      <c r="BR173" s="418">
        <v>237354</v>
      </c>
      <c r="BS173" s="418">
        <v>0</v>
      </c>
      <c r="BT173" s="418">
        <v>0</v>
      </c>
      <c r="BU173" s="418">
        <v>250288</v>
      </c>
      <c r="BV173" s="418">
        <v>0</v>
      </c>
      <c r="BW173" s="418">
        <v>0</v>
      </c>
      <c r="BX173" s="418">
        <v>0</v>
      </c>
      <c r="BY173" s="418">
        <v>0</v>
      </c>
      <c r="BZ173" s="418">
        <v>0</v>
      </c>
      <c r="CA173" s="418">
        <v>3647356</v>
      </c>
      <c r="CB173" s="418">
        <v>0</v>
      </c>
    </row>
    <row r="174" spans="1:80" s="418" customFormat="1" ht="27.6" x14ac:dyDescent="0.3">
      <c r="A174" s="1052">
        <v>524</v>
      </c>
      <c r="B174" s="1049"/>
      <c r="C174" s="1060" t="s">
        <v>2055</v>
      </c>
      <c r="D174" s="1061" t="s">
        <v>286</v>
      </c>
      <c r="E174" s="1062" t="s">
        <v>491</v>
      </c>
      <c r="F174" s="1063">
        <v>0</v>
      </c>
      <c r="G174" s="1063">
        <v>0</v>
      </c>
      <c r="H174" s="1063">
        <v>0</v>
      </c>
      <c r="I174" s="1063">
        <v>0</v>
      </c>
      <c r="J174" s="1063">
        <v>0</v>
      </c>
      <c r="K174" s="1063">
        <v>0</v>
      </c>
      <c r="L174" s="1063">
        <v>0</v>
      </c>
      <c r="M174" s="1063">
        <v>0</v>
      </c>
      <c r="N174" s="1063">
        <v>0</v>
      </c>
      <c r="O174" s="1063">
        <v>0</v>
      </c>
      <c r="P174" s="1063">
        <v>0</v>
      </c>
      <c r="Q174" s="1063">
        <v>0</v>
      </c>
      <c r="R174" s="1063">
        <v>0</v>
      </c>
      <c r="S174" s="1063">
        <v>0</v>
      </c>
      <c r="T174" s="1063">
        <v>0</v>
      </c>
      <c r="U174" s="1063">
        <v>0</v>
      </c>
      <c r="V174" s="1063"/>
      <c r="W174" s="1049"/>
      <c r="X174" s="1049"/>
      <c r="Y174" s="1049"/>
      <c r="Z174" s="1049"/>
      <c r="AA174" s="1066"/>
      <c r="AT174" s="418">
        <v>1598033</v>
      </c>
      <c r="AU174" s="418">
        <v>3185922</v>
      </c>
      <c r="AV174" s="418">
        <v>29866936</v>
      </c>
      <c r="AW174" s="418">
        <v>1176064</v>
      </c>
      <c r="AX174" s="418">
        <v>3264682</v>
      </c>
      <c r="AY174" s="418">
        <v>4713373</v>
      </c>
      <c r="AZ174" s="418">
        <v>10046797</v>
      </c>
      <c r="BA174" s="418">
        <v>14305362</v>
      </c>
      <c r="BB174" s="418">
        <v>20457</v>
      </c>
      <c r="BC174" s="418">
        <v>477405</v>
      </c>
      <c r="BD174" s="418">
        <v>0</v>
      </c>
      <c r="BE174" s="418">
        <v>0</v>
      </c>
      <c r="BF174" s="418">
        <v>29876512</v>
      </c>
      <c r="BG174" s="418">
        <v>0</v>
      </c>
      <c r="BH174" s="418">
        <v>0</v>
      </c>
      <c r="BI174" s="418">
        <v>7203144</v>
      </c>
      <c r="BJ174" s="418">
        <v>3107743</v>
      </c>
      <c r="BK174" s="418">
        <v>0</v>
      </c>
      <c r="BL174" s="418">
        <v>10000991</v>
      </c>
      <c r="BM174" s="418">
        <v>6170262</v>
      </c>
      <c r="BN174" s="418">
        <v>0</v>
      </c>
      <c r="BO174" s="418">
        <v>9803220</v>
      </c>
      <c r="BP174" s="418">
        <v>7247171</v>
      </c>
      <c r="BQ174" s="418">
        <v>7394576</v>
      </c>
      <c r="BR174" s="418">
        <v>2117287</v>
      </c>
      <c r="BS174" s="418">
        <v>0</v>
      </c>
      <c r="BT174" s="418">
        <v>0</v>
      </c>
      <c r="BU174" s="418">
        <v>1482933</v>
      </c>
      <c r="BV174" s="418">
        <v>23580566</v>
      </c>
      <c r="BW174" s="418">
        <v>2221094</v>
      </c>
      <c r="BX174" s="418">
        <v>467650</v>
      </c>
      <c r="BY174" s="418">
        <v>0</v>
      </c>
      <c r="BZ174" s="418">
        <v>0</v>
      </c>
      <c r="CA174" s="418">
        <v>16203596</v>
      </c>
      <c r="CB174" s="418">
        <v>0</v>
      </c>
    </row>
    <row r="175" spans="1:80" s="418" customFormat="1" ht="15.6" x14ac:dyDescent="0.3">
      <c r="A175" s="1052">
        <v>525</v>
      </c>
      <c r="B175" s="1049"/>
      <c r="C175" s="1060" t="s">
        <v>2056</v>
      </c>
      <c r="D175" s="1061" t="s">
        <v>287</v>
      </c>
      <c r="E175" s="1062" t="s">
        <v>492</v>
      </c>
      <c r="F175" s="1063">
        <v>0</v>
      </c>
      <c r="G175" s="1063">
        <v>0</v>
      </c>
      <c r="H175" s="1063">
        <v>0</v>
      </c>
      <c r="I175" s="1063">
        <v>0</v>
      </c>
      <c r="J175" s="1063">
        <v>0</v>
      </c>
      <c r="K175" s="1063">
        <v>0</v>
      </c>
      <c r="L175" s="1063">
        <v>0</v>
      </c>
      <c r="M175" s="1063">
        <v>0</v>
      </c>
      <c r="N175" s="1063">
        <v>0</v>
      </c>
      <c r="O175" s="1063">
        <v>0</v>
      </c>
      <c r="P175" s="1063">
        <v>0</v>
      </c>
      <c r="Q175" s="1063">
        <v>0</v>
      </c>
      <c r="R175" s="1063">
        <v>0</v>
      </c>
      <c r="S175" s="1063">
        <v>0</v>
      </c>
      <c r="T175" s="1063">
        <v>0</v>
      </c>
      <c r="U175" s="1063">
        <v>0</v>
      </c>
      <c r="V175" s="1063"/>
      <c r="W175" s="1049"/>
      <c r="X175" s="1049"/>
      <c r="Y175" s="1049"/>
      <c r="Z175" s="1049"/>
      <c r="AA175" s="1066"/>
      <c r="AT175" s="418">
        <v>0</v>
      </c>
      <c r="AU175" s="418">
        <v>0</v>
      </c>
      <c r="AV175" s="418">
        <v>0</v>
      </c>
      <c r="AW175" s="418">
        <v>0</v>
      </c>
      <c r="AX175" s="418">
        <v>0</v>
      </c>
      <c r="AY175" s="418">
        <v>0</v>
      </c>
      <c r="AZ175" s="418">
        <v>0</v>
      </c>
      <c r="BA175" s="418">
        <v>0</v>
      </c>
      <c r="BB175" s="418">
        <v>0</v>
      </c>
      <c r="BC175" s="418">
        <v>4012633</v>
      </c>
      <c r="BD175" s="418">
        <v>0</v>
      </c>
      <c r="BE175" s="418">
        <v>0</v>
      </c>
      <c r="BF175" s="418">
        <v>0</v>
      </c>
      <c r="BG175" s="418">
        <v>0</v>
      </c>
      <c r="BH175" s="418">
        <v>0</v>
      </c>
      <c r="BI175" s="418">
        <v>0</v>
      </c>
      <c r="BJ175" s="418">
        <v>0</v>
      </c>
      <c r="BK175" s="418">
        <v>0</v>
      </c>
      <c r="BL175" s="418">
        <v>0</v>
      </c>
      <c r="BM175" s="418">
        <v>0</v>
      </c>
      <c r="BN175" s="418">
        <v>0</v>
      </c>
      <c r="BO175" s="418">
        <v>0</v>
      </c>
      <c r="BP175" s="418">
        <v>0</v>
      </c>
      <c r="BQ175" s="418">
        <v>0</v>
      </c>
      <c r="BR175" s="418">
        <v>0</v>
      </c>
      <c r="BS175" s="418">
        <v>0</v>
      </c>
      <c r="BT175" s="418">
        <v>0</v>
      </c>
      <c r="BU175" s="418">
        <v>0</v>
      </c>
      <c r="BV175" s="418">
        <v>0</v>
      </c>
      <c r="BW175" s="418">
        <v>0</v>
      </c>
      <c r="BX175" s="418">
        <v>0</v>
      </c>
      <c r="BY175" s="418">
        <v>0</v>
      </c>
      <c r="BZ175" s="418">
        <v>0</v>
      </c>
      <c r="CA175" s="418">
        <v>0</v>
      </c>
      <c r="CB175" s="418">
        <v>0</v>
      </c>
    </row>
    <row r="176" spans="1:80" s="418" customFormat="1" ht="27.6" x14ac:dyDescent="0.3">
      <c r="A176" s="1052">
        <v>526</v>
      </c>
      <c r="B176" s="1049"/>
      <c r="C176" s="1060" t="s">
        <v>2057</v>
      </c>
      <c r="D176" s="1061" t="s">
        <v>288</v>
      </c>
      <c r="E176" s="1062" t="s">
        <v>493</v>
      </c>
      <c r="F176" s="1063">
        <v>0</v>
      </c>
      <c r="G176" s="1063">
        <v>0</v>
      </c>
      <c r="H176" s="1063">
        <v>0</v>
      </c>
      <c r="I176" s="1063">
        <v>0</v>
      </c>
      <c r="J176" s="1063">
        <v>0</v>
      </c>
      <c r="K176" s="1063">
        <v>0</v>
      </c>
      <c r="L176" s="1063">
        <v>0</v>
      </c>
      <c r="M176" s="1063">
        <v>0</v>
      </c>
      <c r="N176" s="1063">
        <v>0</v>
      </c>
      <c r="O176" s="1063">
        <v>0</v>
      </c>
      <c r="P176" s="1063">
        <v>0</v>
      </c>
      <c r="Q176" s="1063">
        <v>0</v>
      </c>
      <c r="R176" s="1063">
        <v>0</v>
      </c>
      <c r="S176" s="1063">
        <v>0</v>
      </c>
      <c r="T176" s="1063">
        <v>0</v>
      </c>
      <c r="U176" s="1063">
        <v>0</v>
      </c>
      <c r="V176" s="1063"/>
      <c r="W176" s="1049"/>
      <c r="X176" s="1049"/>
      <c r="Y176" s="1049"/>
      <c r="Z176" s="1049"/>
      <c r="AA176" s="1066"/>
      <c r="AT176" s="418">
        <v>80666</v>
      </c>
      <c r="AU176" s="418">
        <v>633905</v>
      </c>
      <c r="AV176" s="418">
        <v>7858548</v>
      </c>
      <c r="AW176" s="418">
        <v>20572</v>
      </c>
      <c r="AX176" s="418">
        <v>224512</v>
      </c>
      <c r="AY176" s="418">
        <v>98896</v>
      </c>
      <c r="AZ176" s="418">
        <v>468606</v>
      </c>
      <c r="BA176" s="418">
        <v>0</v>
      </c>
      <c r="BB176" s="418">
        <v>0</v>
      </c>
      <c r="BC176" s="418">
        <v>501344</v>
      </c>
      <c r="BD176" s="418">
        <v>0</v>
      </c>
      <c r="BE176" s="418">
        <v>0</v>
      </c>
      <c r="BF176" s="418">
        <v>14346498</v>
      </c>
      <c r="BG176" s="418">
        <v>0</v>
      </c>
      <c r="BH176" s="418">
        <v>0</v>
      </c>
      <c r="BI176" s="418">
        <v>1013057</v>
      </c>
      <c r="BJ176" s="418">
        <v>209403</v>
      </c>
      <c r="BK176" s="418">
        <v>0</v>
      </c>
      <c r="BL176" s="418">
        <v>1663736</v>
      </c>
      <c r="BM176" s="418">
        <v>397690</v>
      </c>
      <c r="BN176" s="418">
        <v>0</v>
      </c>
      <c r="BO176" s="418">
        <v>3246377</v>
      </c>
      <c r="BP176" s="418">
        <v>402165</v>
      </c>
      <c r="BQ176" s="418">
        <v>101742</v>
      </c>
      <c r="BR176" s="418">
        <v>610640</v>
      </c>
      <c r="BS176" s="418">
        <v>0</v>
      </c>
      <c r="BT176" s="418">
        <v>0</v>
      </c>
      <c r="BU176" s="418">
        <v>2191496</v>
      </c>
      <c r="BV176" s="418">
        <v>1128575</v>
      </c>
      <c r="BW176" s="418">
        <v>318173</v>
      </c>
      <c r="BX176" s="418">
        <v>0</v>
      </c>
      <c r="BY176" s="418">
        <v>0</v>
      </c>
      <c r="BZ176" s="418">
        <v>0</v>
      </c>
      <c r="CA176" s="418">
        <v>1283656</v>
      </c>
      <c r="CB176" s="418">
        <v>0</v>
      </c>
    </row>
    <row r="177" spans="1:80" s="418" customFormat="1" ht="27.6" x14ac:dyDescent="0.3">
      <c r="A177" s="1052">
        <v>527</v>
      </c>
      <c r="B177" s="1049"/>
      <c r="C177" s="1060" t="s">
        <v>2058</v>
      </c>
      <c r="D177" s="1061" t="s">
        <v>289</v>
      </c>
      <c r="E177" s="1062" t="s">
        <v>494</v>
      </c>
      <c r="F177" s="1063">
        <v>0</v>
      </c>
      <c r="G177" s="1063">
        <v>0</v>
      </c>
      <c r="H177" s="1063">
        <v>0</v>
      </c>
      <c r="I177" s="1063">
        <v>0</v>
      </c>
      <c r="J177" s="1063">
        <v>0</v>
      </c>
      <c r="K177" s="1063">
        <v>0</v>
      </c>
      <c r="L177" s="1063">
        <v>0</v>
      </c>
      <c r="M177" s="1063">
        <v>0</v>
      </c>
      <c r="N177" s="1063">
        <v>0</v>
      </c>
      <c r="O177" s="1063">
        <v>0</v>
      </c>
      <c r="P177" s="1063">
        <v>0</v>
      </c>
      <c r="Q177" s="1063">
        <v>0</v>
      </c>
      <c r="R177" s="1063">
        <v>0</v>
      </c>
      <c r="S177" s="1063">
        <v>0</v>
      </c>
      <c r="T177" s="1063">
        <v>0</v>
      </c>
      <c r="U177" s="1063">
        <v>0</v>
      </c>
      <c r="V177" s="1063"/>
      <c r="W177" s="1049"/>
      <c r="X177" s="1049"/>
      <c r="Y177" s="1049"/>
      <c r="Z177" s="1049"/>
      <c r="AA177" s="1066"/>
      <c r="AT177" s="418">
        <v>0</v>
      </c>
      <c r="AU177" s="418">
        <v>0</v>
      </c>
      <c r="AV177" s="418">
        <v>1730605</v>
      </c>
      <c r="AW177" s="418">
        <v>0</v>
      </c>
      <c r="AX177" s="418">
        <v>0</v>
      </c>
      <c r="AY177" s="418">
        <v>0</v>
      </c>
      <c r="AZ177" s="418">
        <v>0</v>
      </c>
      <c r="BA177" s="418">
        <v>854042</v>
      </c>
      <c r="BB177" s="418">
        <v>0</v>
      </c>
      <c r="BC177" s="418">
        <v>0</v>
      </c>
      <c r="BD177" s="418">
        <v>0</v>
      </c>
      <c r="BE177" s="418">
        <v>0</v>
      </c>
      <c r="BF177" s="418">
        <v>830073</v>
      </c>
      <c r="BG177" s="418">
        <v>0</v>
      </c>
      <c r="BH177" s="418">
        <v>0</v>
      </c>
      <c r="BI177" s="418">
        <v>0</v>
      </c>
      <c r="BJ177" s="418">
        <v>0</v>
      </c>
      <c r="BK177" s="418">
        <v>0</v>
      </c>
      <c r="BL177" s="418">
        <v>19800</v>
      </c>
      <c r="BM177" s="418">
        <v>0</v>
      </c>
      <c r="BN177" s="418">
        <v>0</v>
      </c>
      <c r="BO177" s="418">
        <v>0</v>
      </c>
      <c r="BP177" s="418">
        <v>0</v>
      </c>
      <c r="BQ177" s="418">
        <v>0</v>
      </c>
      <c r="BR177" s="418">
        <v>0</v>
      </c>
      <c r="BS177" s="418">
        <v>0</v>
      </c>
      <c r="BT177" s="418">
        <v>0</v>
      </c>
      <c r="BU177" s="418">
        <v>0</v>
      </c>
      <c r="BV177" s="418">
        <v>0</v>
      </c>
      <c r="BW177" s="418">
        <v>0</v>
      </c>
      <c r="BX177" s="418">
        <v>0</v>
      </c>
      <c r="BY177" s="418">
        <v>0</v>
      </c>
      <c r="BZ177" s="418">
        <v>0</v>
      </c>
      <c r="CA177" s="418">
        <v>0</v>
      </c>
      <c r="CB177" s="418">
        <v>0</v>
      </c>
    </row>
    <row r="178" spans="1:80" s="418" customFormat="1" ht="27.6" x14ac:dyDescent="0.3">
      <c r="A178" s="1052">
        <v>528</v>
      </c>
      <c r="B178" s="1049"/>
      <c r="C178" s="1060" t="s">
        <v>2059</v>
      </c>
      <c r="D178" s="1074" t="s">
        <v>271</v>
      </c>
      <c r="E178" s="1062" t="s">
        <v>495</v>
      </c>
      <c r="F178" s="1063">
        <v>0</v>
      </c>
      <c r="G178" s="1063">
        <v>0</v>
      </c>
      <c r="H178" s="1063">
        <v>0</v>
      </c>
      <c r="I178" s="1063">
        <v>0</v>
      </c>
      <c r="J178" s="1063">
        <v>0</v>
      </c>
      <c r="K178" s="1063">
        <v>0</v>
      </c>
      <c r="L178" s="1063">
        <v>0</v>
      </c>
      <c r="M178" s="1063">
        <v>0</v>
      </c>
      <c r="N178" s="1063">
        <v>0</v>
      </c>
      <c r="O178" s="1063">
        <v>0</v>
      </c>
      <c r="P178" s="1063">
        <v>0</v>
      </c>
      <c r="Q178" s="1063">
        <v>0</v>
      </c>
      <c r="R178" s="1063">
        <v>0</v>
      </c>
      <c r="S178" s="1063">
        <v>0</v>
      </c>
      <c r="T178" s="1063">
        <v>0</v>
      </c>
      <c r="U178" s="1063">
        <v>0</v>
      </c>
      <c r="V178" s="1063"/>
      <c r="W178" s="1049"/>
      <c r="X178" s="1049"/>
      <c r="Y178" s="1049"/>
      <c r="Z178" s="1049"/>
      <c r="AA178" s="1066"/>
      <c r="AT178" s="418">
        <v>75260</v>
      </c>
      <c r="AU178" s="418">
        <v>1684333</v>
      </c>
      <c r="AV178" s="418">
        <v>5019459</v>
      </c>
      <c r="AW178" s="418">
        <v>26101</v>
      </c>
      <c r="AX178" s="418">
        <v>205920</v>
      </c>
      <c r="AY178" s="418">
        <v>1514381</v>
      </c>
      <c r="AZ178" s="418">
        <v>1580941</v>
      </c>
      <c r="BA178" s="418">
        <v>1223742</v>
      </c>
      <c r="BB178" s="418">
        <v>25052</v>
      </c>
      <c r="BC178" s="418">
        <v>1322320</v>
      </c>
      <c r="BD178" s="418">
        <v>0</v>
      </c>
      <c r="BE178" s="418">
        <v>30348</v>
      </c>
      <c r="BF178" s="418">
        <v>9530207</v>
      </c>
      <c r="BG178" s="418">
        <v>0</v>
      </c>
      <c r="BH178" s="418">
        <v>13390</v>
      </c>
      <c r="BI178" s="418">
        <v>1637937</v>
      </c>
      <c r="BJ178" s="418">
        <v>1678928</v>
      </c>
      <c r="BK178" s="418">
        <v>0</v>
      </c>
      <c r="BL178" s="418">
        <v>6390125</v>
      </c>
      <c r="BM178" s="418">
        <v>2109279</v>
      </c>
      <c r="BN178" s="418">
        <v>0</v>
      </c>
      <c r="BO178" s="418">
        <v>2624171</v>
      </c>
      <c r="BP178" s="418">
        <v>524932</v>
      </c>
      <c r="BQ178" s="418">
        <v>443148</v>
      </c>
      <c r="BR178" s="418">
        <v>923138</v>
      </c>
      <c r="BS178" s="418">
        <v>562689</v>
      </c>
      <c r="BT178" s="418">
        <v>13106529</v>
      </c>
      <c r="BU178" s="418">
        <v>684893</v>
      </c>
      <c r="BV178" s="418">
        <v>1440331</v>
      </c>
      <c r="BW178" s="418">
        <v>225204</v>
      </c>
      <c r="BX178" s="418">
        <v>463274</v>
      </c>
      <c r="BY178" s="418">
        <v>1812</v>
      </c>
      <c r="BZ178" s="418">
        <v>8252</v>
      </c>
      <c r="CA178" s="418">
        <v>10133364</v>
      </c>
      <c r="CB178" s="418">
        <v>26674</v>
      </c>
    </row>
    <row r="179" spans="1:80" s="418" customFormat="1" ht="27.6" x14ac:dyDescent="0.3">
      <c r="A179" s="1052">
        <v>529</v>
      </c>
      <c r="B179" s="1049"/>
      <c r="C179" s="1060" t="s">
        <v>2060</v>
      </c>
      <c r="D179" s="1074" t="s">
        <v>272</v>
      </c>
      <c r="E179" s="1062" t="s">
        <v>496</v>
      </c>
      <c r="F179" s="1063">
        <v>0</v>
      </c>
      <c r="G179" s="1063">
        <v>0</v>
      </c>
      <c r="H179" s="1063">
        <v>0</v>
      </c>
      <c r="I179" s="1063">
        <v>0</v>
      </c>
      <c r="J179" s="1063">
        <v>0</v>
      </c>
      <c r="K179" s="1063">
        <v>0</v>
      </c>
      <c r="L179" s="1063">
        <v>0</v>
      </c>
      <c r="M179" s="1063">
        <v>0</v>
      </c>
      <c r="N179" s="1063">
        <v>0</v>
      </c>
      <c r="O179" s="1063">
        <v>0</v>
      </c>
      <c r="P179" s="1063">
        <v>0</v>
      </c>
      <c r="Q179" s="1063">
        <v>0</v>
      </c>
      <c r="R179" s="1063">
        <v>0</v>
      </c>
      <c r="S179" s="1063">
        <v>0</v>
      </c>
      <c r="T179" s="1063">
        <v>0</v>
      </c>
      <c r="U179" s="1063">
        <v>0</v>
      </c>
      <c r="V179" s="1063"/>
      <c r="W179" s="1049"/>
      <c r="X179" s="1049"/>
      <c r="Y179" s="1049"/>
      <c r="Z179" s="1049"/>
      <c r="AA179" s="1066"/>
      <c r="AT179" s="418">
        <v>13814</v>
      </c>
      <c r="AU179" s="418">
        <v>253793</v>
      </c>
      <c r="AV179" s="418">
        <v>464197</v>
      </c>
      <c r="AW179" s="418">
        <v>4017</v>
      </c>
      <c r="AX179" s="418">
        <v>34260</v>
      </c>
      <c r="AY179" s="418">
        <v>152954</v>
      </c>
      <c r="AZ179" s="418">
        <v>177328</v>
      </c>
      <c r="BA179" s="418">
        <v>86546</v>
      </c>
      <c r="BB179" s="418">
        <v>3779</v>
      </c>
      <c r="BC179" s="418">
        <v>128903</v>
      </c>
      <c r="BD179" s="418">
        <v>0</v>
      </c>
      <c r="BE179" s="418">
        <v>3194</v>
      </c>
      <c r="BF179" s="418">
        <v>892457</v>
      </c>
      <c r="BG179" s="418">
        <v>0</v>
      </c>
      <c r="BH179" s="418">
        <v>1925</v>
      </c>
      <c r="BI179" s="418">
        <v>118829</v>
      </c>
      <c r="BJ179" s="418">
        <v>97882</v>
      </c>
      <c r="BK179" s="418">
        <v>0</v>
      </c>
      <c r="BL179" s="418">
        <v>114048</v>
      </c>
      <c r="BM179" s="418">
        <v>85031</v>
      </c>
      <c r="BN179" s="418">
        <v>0</v>
      </c>
      <c r="BO179" s="418">
        <v>209162</v>
      </c>
      <c r="BP179" s="418">
        <v>52930</v>
      </c>
      <c r="BQ179" s="418">
        <v>25608</v>
      </c>
      <c r="BR179" s="418">
        <v>95350</v>
      </c>
      <c r="BS179" s="418">
        <v>51314</v>
      </c>
      <c r="BT179" s="418">
        <v>1460724</v>
      </c>
      <c r="BU179" s="418">
        <v>107808</v>
      </c>
      <c r="BV179" s="418">
        <v>94810</v>
      </c>
      <c r="BW179" s="418">
        <v>36879</v>
      </c>
      <c r="BX179" s="418">
        <v>33616</v>
      </c>
      <c r="BY179" s="418">
        <v>185</v>
      </c>
      <c r="BZ179" s="418">
        <v>1490</v>
      </c>
      <c r="CA179" s="418">
        <v>721200</v>
      </c>
      <c r="CB179" s="418">
        <v>6200</v>
      </c>
    </row>
    <row r="180" spans="1:80" s="418" customFormat="1" ht="27.6" x14ac:dyDescent="0.3">
      <c r="A180" s="1052">
        <v>530</v>
      </c>
      <c r="B180" s="1049"/>
      <c r="C180" s="1060" t="s">
        <v>2061</v>
      </c>
      <c r="D180" s="1074" t="s">
        <v>273</v>
      </c>
      <c r="E180" s="1062" t="s">
        <v>497</v>
      </c>
      <c r="F180" s="1063">
        <v>0</v>
      </c>
      <c r="G180" s="1063">
        <v>0</v>
      </c>
      <c r="H180" s="1063">
        <v>0</v>
      </c>
      <c r="I180" s="1063">
        <v>0</v>
      </c>
      <c r="J180" s="1063">
        <v>0</v>
      </c>
      <c r="K180" s="1063">
        <v>0</v>
      </c>
      <c r="L180" s="1063">
        <v>0</v>
      </c>
      <c r="M180" s="1063">
        <v>0</v>
      </c>
      <c r="N180" s="1063">
        <v>0</v>
      </c>
      <c r="O180" s="1063">
        <v>0</v>
      </c>
      <c r="P180" s="1063">
        <v>0</v>
      </c>
      <c r="Q180" s="1063">
        <v>0</v>
      </c>
      <c r="R180" s="1063">
        <v>0</v>
      </c>
      <c r="S180" s="1063">
        <v>0</v>
      </c>
      <c r="T180" s="1063">
        <v>0</v>
      </c>
      <c r="U180" s="1063">
        <v>0</v>
      </c>
      <c r="V180" s="1063"/>
      <c r="W180" s="1049"/>
      <c r="X180" s="1049"/>
      <c r="Y180" s="1049"/>
      <c r="Z180" s="1049"/>
      <c r="AA180" s="1066"/>
      <c r="AT180" s="418">
        <v>3765</v>
      </c>
      <c r="AU180" s="418">
        <v>7484</v>
      </c>
      <c r="AV180" s="418">
        <v>88580</v>
      </c>
      <c r="AW180" s="418">
        <v>718</v>
      </c>
      <c r="AX180" s="418">
        <v>13563</v>
      </c>
      <c r="AY180" s="418">
        <v>23043</v>
      </c>
      <c r="AZ180" s="418">
        <v>54573</v>
      </c>
      <c r="BA180" s="418">
        <v>28896</v>
      </c>
      <c r="BB180" s="418">
        <v>2553</v>
      </c>
      <c r="BC180" s="418">
        <v>15494</v>
      </c>
      <c r="BD180" s="418">
        <v>0</v>
      </c>
      <c r="BE180" s="418">
        <v>1043</v>
      </c>
      <c r="BF180" s="418">
        <v>575623</v>
      </c>
      <c r="BG180" s="418">
        <v>0</v>
      </c>
      <c r="BH180" s="418">
        <v>1230</v>
      </c>
      <c r="BI180" s="418">
        <v>15570</v>
      </c>
      <c r="BJ180" s="418">
        <v>45384</v>
      </c>
      <c r="BK180" s="418">
        <v>0</v>
      </c>
      <c r="BL180" s="418">
        <v>15672</v>
      </c>
      <c r="BM180" s="418">
        <v>27591</v>
      </c>
      <c r="BN180" s="418">
        <v>0</v>
      </c>
      <c r="BO180" s="418">
        <v>30098</v>
      </c>
      <c r="BP180" s="418">
        <v>17132</v>
      </c>
      <c r="BQ180" s="418">
        <v>13808</v>
      </c>
      <c r="BR180" s="418">
        <v>13808</v>
      </c>
      <c r="BS180" s="418">
        <v>2464</v>
      </c>
      <c r="BT180" s="418">
        <v>125395</v>
      </c>
      <c r="BU180" s="418">
        <v>110786</v>
      </c>
      <c r="BV180" s="418">
        <v>11809</v>
      </c>
      <c r="BW180" s="418">
        <v>13347</v>
      </c>
      <c r="BX180" s="418">
        <v>2860</v>
      </c>
      <c r="BY180" s="418">
        <v>90</v>
      </c>
      <c r="BZ180" s="418">
        <v>211</v>
      </c>
      <c r="CA180" s="418">
        <v>33910</v>
      </c>
      <c r="CB180" s="418">
        <v>3002</v>
      </c>
    </row>
    <row r="181" spans="1:80" s="418" customFormat="1" ht="27.6" x14ac:dyDescent="0.3">
      <c r="A181" s="1052">
        <v>531</v>
      </c>
      <c r="B181" s="1049"/>
      <c r="C181" s="1060" t="s">
        <v>2062</v>
      </c>
      <c r="D181" s="1074" t="s">
        <v>274</v>
      </c>
      <c r="E181" s="1062" t="s">
        <v>498</v>
      </c>
      <c r="F181" s="1063">
        <v>0</v>
      </c>
      <c r="G181" s="1063">
        <v>0</v>
      </c>
      <c r="H181" s="1063">
        <v>0</v>
      </c>
      <c r="I181" s="1063">
        <v>0</v>
      </c>
      <c r="J181" s="1063">
        <v>0</v>
      </c>
      <c r="K181" s="1063">
        <v>0</v>
      </c>
      <c r="L181" s="1063">
        <v>0</v>
      </c>
      <c r="M181" s="1063">
        <v>0</v>
      </c>
      <c r="N181" s="1063">
        <v>0</v>
      </c>
      <c r="O181" s="1063">
        <v>0</v>
      </c>
      <c r="P181" s="1063">
        <v>0</v>
      </c>
      <c r="Q181" s="1063">
        <v>0</v>
      </c>
      <c r="R181" s="1063">
        <v>0</v>
      </c>
      <c r="S181" s="1063">
        <v>0</v>
      </c>
      <c r="T181" s="1063">
        <v>0</v>
      </c>
      <c r="U181" s="1063">
        <v>0</v>
      </c>
      <c r="V181" s="1063"/>
      <c r="W181" s="1049"/>
      <c r="X181" s="1049"/>
      <c r="Y181" s="1049"/>
      <c r="Z181" s="1049"/>
      <c r="AA181" s="1066"/>
      <c r="AT181" s="418">
        <v>0</v>
      </c>
      <c r="AU181" s="418">
        <v>0</v>
      </c>
      <c r="AV181" s="418">
        <v>0</v>
      </c>
      <c r="AW181" s="418">
        <v>5</v>
      </c>
      <c r="AX181" s="418">
        <v>0</v>
      </c>
      <c r="AY181" s="418">
        <v>0</v>
      </c>
      <c r="AZ181" s="418">
        <v>0</v>
      </c>
      <c r="BA181" s="418">
        <v>0</v>
      </c>
      <c r="BB181" s="418">
        <v>0</v>
      </c>
      <c r="BC181" s="418">
        <v>0</v>
      </c>
      <c r="BD181" s="418">
        <v>0</v>
      </c>
      <c r="BE181" s="418">
        <v>0</v>
      </c>
      <c r="BF181" s="418">
        <v>0</v>
      </c>
      <c r="BG181" s="418">
        <v>0</v>
      </c>
      <c r="BH181" s="418">
        <v>0</v>
      </c>
      <c r="BI181" s="418">
        <v>0</v>
      </c>
      <c r="BJ181" s="418">
        <v>1183</v>
      </c>
      <c r="BK181" s="418">
        <v>0</v>
      </c>
      <c r="BL181" s="418">
        <v>0</v>
      </c>
      <c r="BM181" s="418">
        <v>0</v>
      </c>
      <c r="BN181" s="418">
        <v>0</v>
      </c>
      <c r="BO181" s="418">
        <v>0</v>
      </c>
      <c r="BP181" s="418">
        <v>0</v>
      </c>
      <c r="BQ181" s="418">
        <v>0</v>
      </c>
      <c r="BR181" s="418">
        <v>0</v>
      </c>
      <c r="BS181" s="418">
        <v>0</v>
      </c>
      <c r="BT181" s="418">
        <v>0</v>
      </c>
      <c r="BU181" s="418">
        <v>894</v>
      </c>
      <c r="BV181" s="418">
        <v>0</v>
      </c>
      <c r="BW181" s="418">
        <v>0</v>
      </c>
      <c r="BX181" s="418">
        <v>0</v>
      </c>
      <c r="BY181" s="418">
        <v>0</v>
      </c>
      <c r="BZ181" s="418">
        <v>0</v>
      </c>
      <c r="CA181" s="418">
        <v>2810</v>
      </c>
      <c r="CB181" s="418">
        <v>0</v>
      </c>
    </row>
    <row r="182" spans="1:80" s="418" customFormat="1" ht="15.6" x14ac:dyDescent="0.3">
      <c r="A182" s="1052">
        <v>532</v>
      </c>
      <c r="B182" s="1049"/>
      <c r="C182" s="1060" t="s">
        <v>1810</v>
      </c>
      <c r="D182" s="1074" t="s">
        <v>208</v>
      </c>
      <c r="E182" s="1062" t="s">
        <v>499</v>
      </c>
      <c r="F182" s="1063">
        <v>0</v>
      </c>
      <c r="G182" s="1063">
        <v>0</v>
      </c>
      <c r="H182" s="1063">
        <v>0</v>
      </c>
      <c r="I182" s="1063">
        <v>0</v>
      </c>
      <c r="J182" s="1063">
        <v>0</v>
      </c>
      <c r="K182" s="1063">
        <v>0</v>
      </c>
      <c r="L182" s="1063">
        <v>0</v>
      </c>
      <c r="M182" s="1063">
        <v>0</v>
      </c>
      <c r="N182" s="1063">
        <v>0</v>
      </c>
      <c r="O182" s="1063">
        <v>0</v>
      </c>
      <c r="P182" s="1063">
        <v>0</v>
      </c>
      <c r="Q182" s="1063">
        <v>0</v>
      </c>
      <c r="R182" s="1063">
        <v>0</v>
      </c>
      <c r="S182" s="1063">
        <v>0</v>
      </c>
      <c r="T182" s="1063">
        <v>0</v>
      </c>
      <c r="U182" s="1063">
        <v>0</v>
      </c>
      <c r="V182" s="1063"/>
      <c r="W182" s="1049"/>
      <c r="X182" s="1049"/>
      <c r="Y182" s="1049"/>
      <c r="Z182" s="1049"/>
      <c r="AA182" s="1066"/>
      <c r="AT182" s="418">
        <v>1244841</v>
      </c>
      <c r="AU182" s="418">
        <v>4881660</v>
      </c>
      <c r="AV182" s="418">
        <v>11423000</v>
      </c>
      <c r="AW182" s="418">
        <v>115739</v>
      </c>
      <c r="AX182" s="418">
        <v>840880</v>
      </c>
      <c r="AY182" s="418">
        <v>2915717</v>
      </c>
      <c r="AZ182" s="418">
        <v>4225456</v>
      </c>
      <c r="BA182" s="418">
        <v>4407949</v>
      </c>
      <c r="BB182" s="418">
        <v>52028</v>
      </c>
      <c r="BC182" s="418">
        <v>2494601</v>
      </c>
      <c r="BD182" s="418">
        <v>0</v>
      </c>
      <c r="BE182" s="418">
        <v>67554</v>
      </c>
      <c r="BF182" s="418">
        <v>28872002</v>
      </c>
      <c r="BG182" s="418">
        <v>0</v>
      </c>
      <c r="BH182" s="418">
        <v>47685</v>
      </c>
      <c r="BI182" s="418">
        <v>3009729</v>
      </c>
      <c r="BJ182" s="418">
        <v>2485704</v>
      </c>
      <c r="BK182" s="418">
        <v>0</v>
      </c>
      <c r="BL182" s="418">
        <v>9454369</v>
      </c>
      <c r="BM182" s="418">
        <v>3969664</v>
      </c>
      <c r="BN182" s="418">
        <v>40551</v>
      </c>
      <c r="BO182" s="418">
        <v>6810370</v>
      </c>
      <c r="BP182" s="418">
        <v>1565361</v>
      </c>
      <c r="BQ182" s="418">
        <v>1043552</v>
      </c>
      <c r="BR182" s="418">
        <v>1983298</v>
      </c>
      <c r="BS182" s="418">
        <v>1093978</v>
      </c>
      <c r="BT182" s="418">
        <v>24836255</v>
      </c>
      <c r="BU182" s="418">
        <v>2013876</v>
      </c>
      <c r="BV182" s="418">
        <v>2720361</v>
      </c>
      <c r="BW182" s="418">
        <v>1305887</v>
      </c>
      <c r="BX182" s="418">
        <v>782442</v>
      </c>
      <c r="BY182" s="418">
        <v>31281</v>
      </c>
      <c r="BZ182" s="418">
        <v>40519</v>
      </c>
      <c r="CA182" s="418">
        <v>17009885</v>
      </c>
      <c r="CB182" s="418">
        <v>157054</v>
      </c>
    </row>
    <row r="183" spans="1:80" s="418" customFormat="1" ht="15.6" x14ac:dyDescent="0.3">
      <c r="A183" s="1052">
        <v>533</v>
      </c>
      <c r="B183" s="1049"/>
      <c r="C183" s="1060" t="s">
        <v>1811</v>
      </c>
      <c r="D183" s="1074" t="s">
        <v>211</v>
      </c>
      <c r="E183" s="1062" t="s">
        <v>500</v>
      </c>
      <c r="F183" s="1063">
        <v>0</v>
      </c>
      <c r="G183" s="1063">
        <v>0</v>
      </c>
      <c r="H183" s="1063">
        <v>0</v>
      </c>
      <c r="I183" s="1063">
        <v>0</v>
      </c>
      <c r="J183" s="1063">
        <v>0</v>
      </c>
      <c r="K183" s="1063">
        <v>0</v>
      </c>
      <c r="L183" s="1063">
        <v>0</v>
      </c>
      <c r="M183" s="1063">
        <v>0</v>
      </c>
      <c r="N183" s="1063">
        <v>0</v>
      </c>
      <c r="O183" s="1063">
        <v>0</v>
      </c>
      <c r="P183" s="1063">
        <v>0</v>
      </c>
      <c r="Q183" s="1063">
        <v>0</v>
      </c>
      <c r="R183" s="1063">
        <v>0</v>
      </c>
      <c r="S183" s="1063">
        <v>0</v>
      </c>
      <c r="T183" s="1063">
        <v>0</v>
      </c>
      <c r="U183" s="1063">
        <v>0</v>
      </c>
      <c r="V183" s="1063"/>
      <c r="W183" s="1049"/>
      <c r="X183" s="1049"/>
      <c r="Y183" s="1049"/>
      <c r="Z183" s="1049"/>
      <c r="AA183" s="1066"/>
      <c r="AT183" s="418">
        <v>590000</v>
      </c>
      <c r="AU183" s="418">
        <v>100000</v>
      </c>
      <c r="AV183" s="418">
        <v>559000</v>
      </c>
      <c r="AW183" s="418">
        <v>0</v>
      </c>
      <c r="AX183" s="418">
        <v>0</v>
      </c>
      <c r="AY183" s="418">
        <v>0</v>
      </c>
      <c r="AZ183" s="418">
        <v>152377</v>
      </c>
      <c r="BA183" s="418">
        <v>500000</v>
      </c>
      <c r="BB183" s="418">
        <v>0</v>
      </c>
      <c r="BC183" s="418">
        <v>0</v>
      </c>
      <c r="BD183" s="418">
        <v>0</v>
      </c>
      <c r="BE183" s="418">
        <v>0</v>
      </c>
      <c r="BF183" s="418">
        <v>1163660</v>
      </c>
      <c r="BG183" s="418">
        <v>0</v>
      </c>
      <c r="BH183" s="418">
        <v>0</v>
      </c>
      <c r="BI183" s="418">
        <v>0</v>
      </c>
      <c r="BJ183" s="418">
        <v>0</v>
      </c>
      <c r="BK183" s="418">
        <v>0</v>
      </c>
      <c r="BL183" s="418">
        <v>0</v>
      </c>
      <c r="BM183" s="418">
        <v>0</v>
      </c>
      <c r="BN183" s="418">
        <v>0</v>
      </c>
      <c r="BO183" s="418">
        <v>0</v>
      </c>
      <c r="BP183" s="418">
        <v>0</v>
      </c>
      <c r="BQ183" s="418">
        <v>0</v>
      </c>
      <c r="BR183" s="418">
        <v>0</v>
      </c>
      <c r="BS183" s="418">
        <v>0</v>
      </c>
      <c r="BT183" s="418">
        <v>370723</v>
      </c>
      <c r="BU183" s="418">
        <v>0</v>
      </c>
      <c r="BV183" s="418">
        <v>0</v>
      </c>
      <c r="BW183" s="418">
        <v>0</v>
      </c>
      <c r="BX183" s="418">
        <v>0</v>
      </c>
      <c r="BY183" s="418">
        <v>0</v>
      </c>
      <c r="BZ183" s="418">
        <v>0</v>
      </c>
      <c r="CA183" s="418">
        <v>0</v>
      </c>
      <c r="CB183" s="418">
        <v>0</v>
      </c>
    </row>
    <row r="184" spans="1:80" s="418" customFormat="1" ht="27.6" x14ac:dyDescent="0.3">
      <c r="A184" s="1052">
        <v>534</v>
      </c>
      <c r="B184" s="1053">
        <v>534</v>
      </c>
      <c r="C184" s="1060" t="s">
        <v>1812</v>
      </c>
      <c r="D184" s="1061" t="s">
        <v>275</v>
      </c>
      <c r="E184" s="1062" t="s">
        <v>501</v>
      </c>
      <c r="F184" s="1063">
        <v>0</v>
      </c>
      <c r="G184" s="1063">
        <v>21983930</v>
      </c>
      <c r="H184" s="1063">
        <v>7466701</v>
      </c>
      <c r="I184" s="1063">
        <v>6262123</v>
      </c>
      <c r="J184" s="1063">
        <v>0</v>
      </c>
      <c r="K184" s="1063">
        <v>0</v>
      </c>
      <c r="L184" s="1063">
        <v>0</v>
      </c>
      <c r="M184" s="1063">
        <v>0</v>
      </c>
      <c r="N184" s="1063">
        <v>9914268</v>
      </c>
      <c r="O184" s="1063">
        <v>1582691</v>
      </c>
      <c r="P184" s="1063">
        <v>9169071</v>
      </c>
      <c r="Q184" s="1063">
        <v>0</v>
      </c>
      <c r="R184" s="1063">
        <v>3943667</v>
      </c>
      <c r="S184" s="1063">
        <v>6148556</v>
      </c>
      <c r="T184" s="1063">
        <v>2554816</v>
      </c>
      <c r="U184" s="1063">
        <v>7842688</v>
      </c>
      <c r="V184" s="1063"/>
      <c r="W184" s="1049"/>
      <c r="X184" s="1049"/>
      <c r="Y184" s="1064"/>
      <c r="Z184" s="1065"/>
      <c r="AA184" s="1066"/>
    </row>
    <row r="185" spans="1:80" s="418" customFormat="1" ht="27" x14ac:dyDescent="0.3">
      <c r="A185" s="1052">
        <v>535</v>
      </c>
      <c r="B185" s="1049"/>
      <c r="C185" s="1060" t="s">
        <v>1813</v>
      </c>
      <c r="D185" s="1075" t="s">
        <v>253</v>
      </c>
      <c r="E185" s="1062" t="s">
        <v>502</v>
      </c>
      <c r="F185" s="1063">
        <v>0</v>
      </c>
      <c r="G185" s="1063">
        <v>0</v>
      </c>
      <c r="H185" s="1063">
        <v>0</v>
      </c>
      <c r="I185" s="1063">
        <v>0</v>
      </c>
      <c r="J185" s="1063">
        <v>0</v>
      </c>
      <c r="K185" s="1063">
        <v>0</v>
      </c>
      <c r="L185" s="1063">
        <v>0</v>
      </c>
      <c r="M185" s="1063">
        <v>0</v>
      </c>
      <c r="N185" s="1063">
        <v>0</v>
      </c>
      <c r="O185" s="1063">
        <v>0</v>
      </c>
      <c r="P185" s="1063">
        <v>0</v>
      </c>
      <c r="Q185" s="1063">
        <v>0</v>
      </c>
      <c r="R185" s="1063">
        <v>0</v>
      </c>
      <c r="S185" s="1063">
        <v>0</v>
      </c>
      <c r="T185" s="1063">
        <v>0</v>
      </c>
      <c r="U185" s="1063">
        <v>0</v>
      </c>
      <c r="V185" s="1063"/>
      <c r="W185" s="1049"/>
      <c r="X185" s="1049"/>
      <c r="Y185" s="1049"/>
      <c r="Z185" s="1049"/>
      <c r="AA185" s="1066"/>
      <c r="AT185" s="418">
        <v>0</v>
      </c>
      <c r="AU185" s="418">
        <v>0</v>
      </c>
      <c r="AV185" s="418">
        <v>0</v>
      </c>
      <c r="AW185" s="418">
        <v>0</v>
      </c>
      <c r="AX185" s="418">
        <v>0</v>
      </c>
      <c r="AY185" s="418">
        <v>0</v>
      </c>
      <c r="AZ185" s="418">
        <v>0</v>
      </c>
      <c r="BA185" s="418">
        <v>0</v>
      </c>
      <c r="BB185" s="418">
        <v>0</v>
      </c>
      <c r="BC185" s="418">
        <v>0</v>
      </c>
      <c r="BD185" s="418">
        <v>0</v>
      </c>
      <c r="BE185" s="418">
        <v>0</v>
      </c>
      <c r="BF185" s="418">
        <v>1240992</v>
      </c>
      <c r="BG185" s="418">
        <v>0</v>
      </c>
      <c r="BH185" s="418">
        <v>0</v>
      </c>
      <c r="BI185" s="418">
        <v>0</v>
      </c>
      <c r="BJ185" s="418">
        <v>0</v>
      </c>
      <c r="BK185" s="418">
        <v>0</v>
      </c>
      <c r="BL185" s="418">
        <v>0</v>
      </c>
      <c r="BM185" s="418">
        <v>0</v>
      </c>
      <c r="BN185" s="418">
        <v>0</v>
      </c>
      <c r="BO185" s="418">
        <v>0</v>
      </c>
      <c r="BP185" s="418">
        <v>0</v>
      </c>
      <c r="BQ185" s="418">
        <v>0</v>
      </c>
      <c r="BR185" s="418">
        <v>0</v>
      </c>
      <c r="BS185" s="418">
        <v>0</v>
      </c>
      <c r="BT185" s="418">
        <v>0</v>
      </c>
      <c r="BU185" s="418">
        <v>1</v>
      </c>
      <c r="BV185" s="418">
        <v>0</v>
      </c>
      <c r="BW185" s="418">
        <v>0</v>
      </c>
      <c r="BX185" s="418">
        <v>0</v>
      </c>
      <c r="BY185" s="418">
        <v>1</v>
      </c>
      <c r="BZ185" s="418">
        <v>0</v>
      </c>
      <c r="CA185" s="418">
        <v>0</v>
      </c>
      <c r="CB185" s="418">
        <v>0</v>
      </c>
    </row>
    <row r="186" spans="1:80" s="418" customFormat="1" ht="27.6" x14ac:dyDescent="0.3">
      <c r="A186" s="1052">
        <v>536</v>
      </c>
      <c r="B186" s="1049"/>
      <c r="C186" s="1060" t="s">
        <v>1814</v>
      </c>
      <c r="D186" s="1071" t="s">
        <v>199</v>
      </c>
      <c r="E186" s="1062" t="s">
        <v>503</v>
      </c>
      <c r="F186" s="1063">
        <v>0</v>
      </c>
      <c r="G186" s="1063">
        <v>0</v>
      </c>
      <c r="H186" s="1063">
        <v>0</v>
      </c>
      <c r="I186" s="1063">
        <v>0</v>
      </c>
      <c r="J186" s="1063">
        <v>0</v>
      </c>
      <c r="K186" s="1063">
        <v>0</v>
      </c>
      <c r="L186" s="1063">
        <v>0</v>
      </c>
      <c r="M186" s="1063">
        <v>0</v>
      </c>
      <c r="N186" s="1063">
        <v>0</v>
      </c>
      <c r="O186" s="1063">
        <v>0</v>
      </c>
      <c r="P186" s="1063">
        <v>0</v>
      </c>
      <c r="Q186" s="1063">
        <v>0</v>
      </c>
      <c r="R186" s="1063">
        <v>0</v>
      </c>
      <c r="S186" s="1063">
        <v>0</v>
      </c>
      <c r="T186" s="1063">
        <v>0</v>
      </c>
      <c r="U186" s="1063">
        <v>0</v>
      </c>
      <c r="V186" s="1063"/>
      <c r="W186" s="1049"/>
      <c r="X186" s="1049"/>
      <c r="Y186" s="1049"/>
      <c r="Z186" s="1049"/>
      <c r="AA186" s="1066"/>
      <c r="AT186" s="418">
        <v>27462</v>
      </c>
      <c r="AU186" s="418">
        <v>142041</v>
      </c>
      <c r="AV186" s="418">
        <v>369291</v>
      </c>
      <c r="AW186" s="418">
        <v>3181</v>
      </c>
      <c r="AX186" s="418">
        <v>194412</v>
      </c>
      <c r="AY186" s="418">
        <v>321111</v>
      </c>
      <c r="AZ186" s="418">
        <v>617678</v>
      </c>
      <c r="BA186" s="418">
        <v>67700</v>
      </c>
      <c r="BB186" s="418">
        <v>27627</v>
      </c>
      <c r="BC186" s="418">
        <v>476510</v>
      </c>
      <c r="BD186" s="418">
        <v>0</v>
      </c>
      <c r="BE186" s="418">
        <v>8482</v>
      </c>
      <c r="BF186" s="418">
        <v>1193288</v>
      </c>
      <c r="BG186" s="418">
        <v>0</v>
      </c>
      <c r="BH186" s="418">
        <v>23601</v>
      </c>
      <c r="BI186" s="418">
        <v>7771</v>
      </c>
      <c r="BJ186" s="418">
        <v>145974</v>
      </c>
      <c r="BK186" s="418">
        <v>0</v>
      </c>
      <c r="BL186" s="418">
        <v>199376</v>
      </c>
      <c r="BM186" s="418">
        <v>67699</v>
      </c>
      <c r="BN186" s="418">
        <v>0</v>
      </c>
      <c r="BO186" s="418">
        <v>304084</v>
      </c>
      <c r="BP186" s="418">
        <v>141279</v>
      </c>
      <c r="BQ186" s="418">
        <v>147781</v>
      </c>
      <c r="BR186" s="418">
        <v>179396</v>
      </c>
      <c r="BS186" s="418">
        <v>51361</v>
      </c>
      <c r="BT186" s="418">
        <v>569220</v>
      </c>
      <c r="BU186" s="418">
        <v>28016</v>
      </c>
      <c r="BV186" s="418">
        <v>248609</v>
      </c>
      <c r="BW186" s="418">
        <v>38075</v>
      </c>
      <c r="BX186" s="418">
        <v>99456</v>
      </c>
      <c r="BY186" s="418">
        <v>20509</v>
      </c>
      <c r="BZ186" s="418">
        <v>18656</v>
      </c>
      <c r="CA186" s="418">
        <v>1057778</v>
      </c>
      <c r="CB186" s="418">
        <v>9721</v>
      </c>
    </row>
    <row r="187" spans="1:80" s="418" customFormat="1" ht="27.6" x14ac:dyDescent="0.3">
      <c r="A187" s="1052">
        <v>537</v>
      </c>
      <c r="B187" s="1049"/>
      <c r="C187" s="1060" t="s">
        <v>1815</v>
      </c>
      <c r="D187" s="1071" t="s">
        <v>295</v>
      </c>
      <c r="E187" s="1062" t="s">
        <v>504</v>
      </c>
      <c r="F187" s="1063">
        <v>0</v>
      </c>
      <c r="G187" s="1063">
        <v>0</v>
      </c>
      <c r="H187" s="1063">
        <v>0</v>
      </c>
      <c r="I187" s="1063">
        <v>0</v>
      </c>
      <c r="J187" s="1063">
        <v>0</v>
      </c>
      <c r="K187" s="1063">
        <v>0</v>
      </c>
      <c r="L187" s="1063">
        <v>0</v>
      </c>
      <c r="M187" s="1063">
        <v>0</v>
      </c>
      <c r="N187" s="1063">
        <v>0</v>
      </c>
      <c r="O187" s="1063">
        <v>0</v>
      </c>
      <c r="P187" s="1063">
        <v>0</v>
      </c>
      <c r="Q187" s="1063">
        <v>0</v>
      </c>
      <c r="R187" s="1063">
        <v>0</v>
      </c>
      <c r="S187" s="1063">
        <v>0</v>
      </c>
      <c r="T187" s="1063">
        <v>0</v>
      </c>
      <c r="U187" s="1063">
        <v>0</v>
      </c>
      <c r="V187" s="1063"/>
      <c r="W187" s="1049"/>
      <c r="X187" s="1049"/>
      <c r="Y187" s="1049"/>
      <c r="Z187" s="1049"/>
      <c r="AA187" s="1066"/>
      <c r="AT187" s="418">
        <v>1</v>
      </c>
      <c r="AU187" s="418">
        <v>2</v>
      </c>
      <c r="AV187" s="418">
        <v>2</v>
      </c>
      <c r="AW187" s="418">
        <v>2</v>
      </c>
      <c r="AX187" s="418">
        <v>2</v>
      </c>
      <c r="AY187" s="418">
        <v>2</v>
      </c>
      <c r="AZ187" s="418">
        <v>1</v>
      </c>
      <c r="BA187" s="418">
        <v>2</v>
      </c>
      <c r="BB187" s="418">
        <v>1</v>
      </c>
      <c r="BC187" s="418">
        <v>1</v>
      </c>
      <c r="BD187" s="418">
        <v>0</v>
      </c>
      <c r="BE187" s="418">
        <v>2</v>
      </c>
      <c r="BF187" s="418">
        <v>1</v>
      </c>
      <c r="BG187" s="418">
        <v>0</v>
      </c>
      <c r="BH187" s="418">
        <v>2</v>
      </c>
      <c r="BI187" s="418">
        <v>2</v>
      </c>
      <c r="BJ187" s="418">
        <v>2</v>
      </c>
      <c r="BK187" s="418">
        <v>0</v>
      </c>
      <c r="BL187" s="418">
        <v>1</v>
      </c>
      <c r="BM187" s="418">
        <v>2</v>
      </c>
      <c r="BN187" s="418">
        <v>2</v>
      </c>
      <c r="BO187" s="418">
        <v>1</v>
      </c>
      <c r="BP187" s="418">
        <v>1</v>
      </c>
      <c r="BQ187" s="418">
        <v>1</v>
      </c>
      <c r="BR187" s="418">
        <v>2</v>
      </c>
      <c r="BS187" s="418">
        <v>2</v>
      </c>
      <c r="BT187" s="418">
        <v>2</v>
      </c>
      <c r="BU187" s="418">
        <v>2</v>
      </c>
      <c r="BV187" s="418">
        <v>1</v>
      </c>
      <c r="BW187" s="418">
        <v>2</v>
      </c>
      <c r="BX187" s="418">
        <v>2</v>
      </c>
      <c r="BY187" s="418">
        <v>2</v>
      </c>
      <c r="BZ187" s="418">
        <v>2</v>
      </c>
      <c r="CA187" s="418">
        <v>2</v>
      </c>
      <c r="CB187" s="418">
        <v>2</v>
      </c>
    </row>
    <row r="188" spans="1:80" s="418" customFormat="1" ht="27.6" x14ac:dyDescent="0.3">
      <c r="A188" s="1052">
        <v>538</v>
      </c>
      <c r="B188" s="1049"/>
      <c r="C188" s="1060" t="s">
        <v>1816</v>
      </c>
      <c r="D188" s="1071" t="s">
        <v>294</v>
      </c>
      <c r="E188" s="1062" t="s">
        <v>505</v>
      </c>
      <c r="F188" s="1063">
        <v>0</v>
      </c>
      <c r="G188" s="1063">
        <v>0</v>
      </c>
      <c r="H188" s="1063">
        <v>0</v>
      </c>
      <c r="I188" s="1063">
        <v>0</v>
      </c>
      <c r="J188" s="1063">
        <v>0</v>
      </c>
      <c r="K188" s="1063">
        <v>0</v>
      </c>
      <c r="L188" s="1063">
        <v>0</v>
      </c>
      <c r="M188" s="1063">
        <v>0</v>
      </c>
      <c r="N188" s="1063">
        <v>0</v>
      </c>
      <c r="O188" s="1063">
        <v>0</v>
      </c>
      <c r="P188" s="1063">
        <v>0</v>
      </c>
      <c r="Q188" s="1063">
        <v>0</v>
      </c>
      <c r="R188" s="1063">
        <v>0</v>
      </c>
      <c r="S188" s="1063">
        <v>0</v>
      </c>
      <c r="T188" s="1063">
        <v>0</v>
      </c>
      <c r="U188" s="1063">
        <v>0</v>
      </c>
      <c r="V188" s="1063"/>
      <c r="W188" s="1049"/>
      <c r="X188" s="1049"/>
      <c r="Y188" s="1049"/>
      <c r="Z188" s="1049"/>
      <c r="AA188" s="1066"/>
      <c r="AT188" s="418">
        <v>1</v>
      </c>
      <c r="AU188" s="418">
        <v>1</v>
      </c>
      <c r="AV188" s="418">
        <v>2</v>
      </c>
      <c r="AW188" s="418">
        <v>2</v>
      </c>
      <c r="AX188" s="418">
        <v>2</v>
      </c>
      <c r="AY188" s="418">
        <v>2</v>
      </c>
      <c r="AZ188" s="418">
        <v>1</v>
      </c>
      <c r="BA188" s="418">
        <v>2</v>
      </c>
      <c r="BB188" s="418">
        <v>1</v>
      </c>
      <c r="BC188" s="418">
        <v>1</v>
      </c>
      <c r="BD188" s="418">
        <v>0</v>
      </c>
      <c r="BE188" s="418">
        <v>2</v>
      </c>
      <c r="BF188" s="418">
        <v>2</v>
      </c>
      <c r="BG188" s="418">
        <v>0</v>
      </c>
      <c r="BH188" s="418">
        <v>2</v>
      </c>
      <c r="BI188" s="418">
        <v>2</v>
      </c>
      <c r="BJ188" s="418">
        <v>2</v>
      </c>
      <c r="BK188" s="418">
        <v>0</v>
      </c>
      <c r="BL188" s="418">
        <v>2</v>
      </c>
      <c r="BM188" s="418">
        <v>2</v>
      </c>
      <c r="BN188" s="418">
        <v>2</v>
      </c>
      <c r="BO188" s="418">
        <v>1</v>
      </c>
      <c r="BP188" s="418">
        <v>1</v>
      </c>
      <c r="BQ188" s="418">
        <v>1</v>
      </c>
      <c r="BR188" s="418">
        <v>2</v>
      </c>
      <c r="BS188" s="418">
        <v>2</v>
      </c>
      <c r="BT188" s="418">
        <v>2</v>
      </c>
      <c r="BU188" s="418">
        <v>2</v>
      </c>
      <c r="BV188" s="418">
        <v>1</v>
      </c>
      <c r="BW188" s="418">
        <v>2</v>
      </c>
      <c r="BX188" s="418">
        <v>2</v>
      </c>
      <c r="BY188" s="418">
        <v>2</v>
      </c>
      <c r="BZ188" s="418">
        <v>2</v>
      </c>
      <c r="CA188" s="418">
        <v>2</v>
      </c>
      <c r="CB188" s="418">
        <v>2</v>
      </c>
    </row>
    <row r="189" spans="1:80" s="418" customFormat="1" ht="15.6" x14ac:dyDescent="0.3">
      <c r="A189" s="1052">
        <v>539</v>
      </c>
      <c r="B189" s="1049"/>
      <c r="C189" s="1060" t="s">
        <v>1817</v>
      </c>
      <c r="D189" s="1076" t="s">
        <v>1818</v>
      </c>
      <c r="E189" s="1062" t="s">
        <v>506</v>
      </c>
      <c r="F189" s="1063">
        <v>0</v>
      </c>
      <c r="G189" s="1063">
        <v>0</v>
      </c>
      <c r="H189" s="1063">
        <v>0</v>
      </c>
      <c r="I189" s="1063">
        <v>0</v>
      </c>
      <c r="J189" s="1063">
        <v>0</v>
      </c>
      <c r="K189" s="1063">
        <v>0</v>
      </c>
      <c r="L189" s="1063">
        <v>0</v>
      </c>
      <c r="M189" s="1063">
        <v>0</v>
      </c>
      <c r="N189" s="1063">
        <v>0</v>
      </c>
      <c r="O189" s="1063">
        <v>0</v>
      </c>
      <c r="P189" s="1063">
        <v>0</v>
      </c>
      <c r="Q189" s="1063">
        <v>0</v>
      </c>
      <c r="R189" s="1063">
        <v>0</v>
      </c>
      <c r="S189" s="1063">
        <v>0</v>
      </c>
      <c r="T189" s="1063">
        <v>0</v>
      </c>
      <c r="U189" s="1063">
        <v>0</v>
      </c>
      <c r="V189" s="1063"/>
      <c r="W189" s="1049"/>
      <c r="X189" s="1049"/>
      <c r="Y189" s="1049"/>
      <c r="Z189" s="1049"/>
      <c r="AA189" s="1066"/>
    </row>
    <row r="190" spans="1:80" s="418" customFormat="1" ht="27.6" x14ac:dyDescent="0.3">
      <c r="A190" s="1052">
        <v>540</v>
      </c>
      <c r="B190" s="1049"/>
      <c r="C190" s="1060" t="s">
        <v>1819</v>
      </c>
      <c r="D190" s="1071" t="s">
        <v>267</v>
      </c>
      <c r="E190" s="1062" t="s">
        <v>507</v>
      </c>
      <c r="F190" s="1063">
        <v>0</v>
      </c>
      <c r="G190" s="1063">
        <v>0</v>
      </c>
      <c r="H190" s="1063">
        <v>0</v>
      </c>
      <c r="I190" s="1063">
        <v>0</v>
      </c>
      <c r="J190" s="1063">
        <v>0</v>
      </c>
      <c r="K190" s="1063">
        <v>0</v>
      </c>
      <c r="L190" s="1063">
        <v>0</v>
      </c>
      <c r="M190" s="1063">
        <v>0</v>
      </c>
      <c r="N190" s="1063">
        <v>0</v>
      </c>
      <c r="O190" s="1063">
        <v>0</v>
      </c>
      <c r="P190" s="1063">
        <v>0</v>
      </c>
      <c r="Q190" s="1063">
        <v>0</v>
      </c>
      <c r="R190" s="1063">
        <v>0</v>
      </c>
      <c r="S190" s="1063">
        <v>0</v>
      </c>
      <c r="T190" s="1063">
        <v>0</v>
      </c>
      <c r="U190" s="1063">
        <v>0</v>
      </c>
      <c r="V190" s="1063"/>
      <c r="W190" s="1049"/>
      <c r="X190" s="1049"/>
      <c r="Y190" s="1049"/>
      <c r="Z190" s="1049"/>
      <c r="AA190" s="1066"/>
      <c r="AT190" s="418">
        <v>0</v>
      </c>
      <c r="AU190" s="418">
        <v>0</v>
      </c>
      <c r="AV190" s="418">
        <v>405000</v>
      </c>
      <c r="AW190" s="418">
        <v>0</v>
      </c>
      <c r="AX190" s="418">
        <v>0</v>
      </c>
      <c r="AY190" s="418">
        <v>0</v>
      </c>
      <c r="AZ190" s="418">
        <v>0</v>
      </c>
      <c r="BA190" s="418">
        <v>0</v>
      </c>
      <c r="BB190" s="418">
        <v>0</v>
      </c>
      <c r="BC190" s="418">
        <v>0</v>
      </c>
      <c r="BD190" s="418">
        <v>0</v>
      </c>
      <c r="BE190" s="418">
        <v>41335</v>
      </c>
      <c r="BF190" s="418">
        <v>2046175</v>
      </c>
      <c r="BG190" s="418">
        <v>0</v>
      </c>
      <c r="BH190" s="418">
        <v>0</v>
      </c>
      <c r="BI190" s="418">
        <v>38000</v>
      </c>
      <c r="BJ190" s="418">
        <v>72552</v>
      </c>
      <c r="BK190" s="418">
        <v>0</v>
      </c>
      <c r="BL190" s="418">
        <v>212392</v>
      </c>
      <c r="BM190" s="418">
        <v>1050907</v>
      </c>
      <c r="BN190" s="418">
        <v>0</v>
      </c>
      <c r="BO190" s="418">
        <v>12534</v>
      </c>
      <c r="BP190" s="418">
        <v>125000</v>
      </c>
      <c r="BQ190" s="418">
        <v>510362</v>
      </c>
      <c r="BR190" s="418">
        <v>297313</v>
      </c>
      <c r="BS190" s="418">
        <v>0</v>
      </c>
      <c r="BT190" s="418">
        <v>0</v>
      </c>
      <c r="BU190" s="418">
        <v>424000</v>
      </c>
      <c r="BV190" s="418">
        <v>0</v>
      </c>
      <c r="BW190" s="418">
        <v>0</v>
      </c>
      <c r="BX190" s="418">
        <v>0</v>
      </c>
      <c r="BY190" s="418">
        <v>0</v>
      </c>
      <c r="BZ190" s="418">
        <v>20000</v>
      </c>
      <c r="CA190" s="418">
        <v>1823718</v>
      </c>
      <c r="CB190" s="418">
        <v>0</v>
      </c>
    </row>
    <row r="191" spans="1:80" s="418" customFormat="1" ht="41.4" x14ac:dyDescent="0.3">
      <c r="A191" s="1052">
        <v>541</v>
      </c>
      <c r="B191" s="1049"/>
      <c r="C191" s="1060" t="s">
        <v>1820</v>
      </c>
      <c r="D191" s="1071" t="s">
        <v>555</v>
      </c>
      <c r="E191" s="1062" t="s">
        <v>508</v>
      </c>
      <c r="F191" s="1063">
        <v>0</v>
      </c>
      <c r="G191" s="1063">
        <v>0</v>
      </c>
      <c r="H191" s="1063">
        <v>0</v>
      </c>
      <c r="I191" s="1063">
        <v>0</v>
      </c>
      <c r="J191" s="1063">
        <v>0</v>
      </c>
      <c r="K191" s="1063">
        <v>0</v>
      </c>
      <c r="L191" s="1063">
        <v>0</v>
      </c>
      <c r="M191" s="1063">
        <v>0</v>
      </c>
      <c r="N191" s="1063">
        <v>0</v>
      </c>
      <c r="O191" s="1063">
        <v>0</v>
      </c>
      <c r="P191" s="1063">
        <v>0</v>
      </c>
      <c r="Q191" s="1063">
        <v>0</v>
      </c>
      <c r="R191" s="1063">
        <v>0</v>
      </c>
      <c r="S191" s="1063">
        <v>0</v>
      </c>
      <c r="T191" s="1063">
        <v>0</v>
      </c>
      <c r="U191" s="1063">
        <v>0</v>
      </c>
      <c r="V191" s="1063"/>
      <c r="W191" s="1049"/>
      <c r="X191" s="1049"/>
      <c r="Y191" s="1049"/>
      <c r="Z191" s="1049"/>
      <c r="AA191" s="1066"/>
      <c r="AT191" s="418">
        <v>22524</v>
      </c>
      <c r="AU191" s="418">
        <v>583869</v>
      </c>
      <c r="AV191" s="418">
        <v>-1928907</v>
      </c>
      <c r="AW191" s="418">
        <v>96762</v>
      </c>
      <c r="AX191" s="418">
        <v>506185</v>
      </c>
      <c r="AY191" s="418">
        <v>135469</v>
      </c>
      <c r="AZ191" s="418">
        <v>282648</v>
      </c>
      <c r="BA191" s="418">
        <v>-138085</v>
      </c>
      <c r="BB191" s="418">
        <v>0</v>
      </c>
      <c r="BC191" s="418">
        <v>87623</v>
      </c>
      <c r="BD191" s="418">
        <v>0</v>
      </c>
      <c r="BE191" s="418">
        <v>0</v>
      </c>
      <c r="BF191" s="418">
        <v>94485</v>
      </c>
      <c r="BG191" s="418">
        <v>0</v>
      </c>
      <c r="BH191" s="418">
        <v>0</v>
      </c>
      <c r="BI191" s="418">
        <v>-90360</v>
      </c>
      <c r="BJ191" s="418">
        <v>117866</v>
      </c>
      <c r="BK191" s="418">
        <v>0</v>
      </c>
      <c r="BL191" s="418">
        <v>119318</v>
      </c>
      <c r="BM191" s="418">
        <v>514211</v>
      </c>
      <c r="BN191" s="418">
        <v>0</v>
      </c>
      <c r="BO191" s="418">
        <v>164909</v>
      </c>
      <c r="BP191" s="418">
        <v>236783</v>
      </c>
      <c r="BQ191" s="418">
        <v>175989</v>
      </c>
      <c r="BR191" s="418">
        <v>40510</v>
      </c>
      <c r="BS191" s="418">
        <v>0</v>
      </c>
      <c r="BT191" s="418">
        <v>0</v>
      </c>
      <c r="BU191" s="418">
        <v>-10142</v>
      </c>
      <c r="BV191" s="418">
        <v>58538</v>
      </c>
      <c r="BW191" s="418">
        <v>73860</v>
      </c>
      <c r="BX191" s="418">
        <v>259060</v>
      </c>
      <c r="BY191" s="418">
        <v>0</v>
      </c>
      <c r="BZ191" s="418">
        <v>0</v>
      </c>
      <c r="CA191" s="418">
        <v>146315</v>
      </c>
      <c r="CB191" s="418">
        <v>0</v>
      </c>
    </row>
    <row r="192" spans="1:80" s="418" customFormat="1" ht="41.4" x14ac:dyDescent="0.3">
      <c r="A192" s="1052">
        <v>542</v>
      </c>
      <c r="B192" s="1049"/>
      <c r="C192" s="1060" t="s">
        <v>1821</v>
      </c>
      <c r="D192" s="1070" t="s">
        <v>845</v>
      </c>
      <c r="E192" s="1062" t="s">
        <v>509</v>
      </c>
      <c r="F192" s="1063">
        <v>0</v>
      </c>
      <c r="G192" s="1063">
        <v>0</v>
      </c>
      <c r="H192" s="1063">
        <v>0</v>
      </c>
      <c r="I192" s="1063">
        <v>0</v>
      </c>
      <c r="J192" s="1063">
        <v>0</v>
      </c>
      <c r="K192" s="1063">
        <v>0</v>
      </c>
      <c r="L192" s="1063">
        <v>0</v>
      </c>
      <c r="M192" s="1063">
        <v>0</v>
      </c>
      <c r="N192" s="1063">
        <v>0</v>
      </c>
      <c r="O192" s="1063">
        <v>0</v>
      </c>
      <c r="P192" s="1063">
        <v>0</v>
      </c>
      <c r="Q192" s="1063">
        <v>0</v>
      </c>
      <c r="R192" s="1063">
        <v>0</v>
      </c>
      <c r="S192" s="1063">
        <v>0</v>
      </c>
      <c r="T192" s="1063">
        <v>0</v>
      </c>
      <c r="U192" s="1063">
        <v>0</v>
      </c>
      <c r="V192" s="1063"/>
      <c r="W192" s="1049"/>
      <c r="X192" s="1049"/>
      <c r="Y192" s="1049"/>
      <c r="Z192" s="1049"/>
      <c r="AA192" s="1066"/>
      <c r="AT192" s="418">
        <v>0</v>
      </c>
      <c r="AU192" s="418">
        <v>0</v>
      </c>
      <c r="AV192" s="418">
        <v>0</v>
      </c>
      <c r="AW192" s="418">
        <v>0</v>
      </c>
      <c r="AX192" s="418">
        <v>0</v>
      </c>
      <c r="AY192" s="418">
        <v>0</v>
      </c>
      <c r="AZ192" s="418">
        <v>0</v>
      </c>
      <c r="BA192" s="418">
        <v>0</v>
      </c>
      <c r="BB192" s="418">
        <v>0</v>
      </c>
      <c r="BC192" s="418">
        <v>0</v>
      </c>
      <c r="BD192" s="418">
        <v>0</v>
      </c>
      <c r="BE192" s="418">
        <v>0</v>
      </c>
      <c r="BF192" s="418">
        <v>463330</v>
      </c>
      <c r="BG192" s="418">
        <v>0</v>
      </c>
      <c r="BH192" s="418">
        <v>0</v>
      </c>
      <c r="BI192" s="418">
        <v>0</v>
      </c>
      <c r="BJ192" s="418">
        <v>148454</v>
      </c>
      <c r="BK192" s="418">
        <v>0</v>
      </c>
      <c r="BL192" s="418">
        <v>179724</v>
      </c>
      <c r="BM192" s="418">
        <v>299901</v>
      </c>
      <c r="BN192" s="418">
        <v>0</v>
      </c>
      <c r="BO192" s="418">
        <v>196995</v>
      </c>
      <c r="BP192" s="418">
        <v>25000</v>
      </c>
      <c r="BQ192" s="418">
        <v>0</v>
      </c>
      <c r="BR192" s="418">
        <v>0</v>
      </c>
      <c r="BS192" s="418">
        <v>0</v>
      </c>
      <c r="BT192" s="418">
        <v>0</v>
      </c>
      <c r="BU192" s="418">
        <v>0</v>
      </c>
      <c r="BV192" s="418">
        <v>0</v>
      </c>
      <c r="BW192" s="418">
        <v>0</v>
      </c>
      <c r="BX192" s="418">
        <v>0</v>
      </c>
      <c r="BY192" s="418">
        <v>0</v>
      </c>
      <c r="BZ192" s="418">
        <v>0</v>
      </c>
      <c r="CA192" s="418">
        <v>1900315</v>
      </c>
      <c r="CB192" s="418">
        <v>0</v>
      </c>
    </row>
    <row r="193" spans="1:80" s="418" customFormat="1" ht="28.2" x14ac:dyDescent="0.3">
      <c r="A193" s="1052">
        <v>543</v>
      </c>
      <c r="B193" s="1049"/>
      <c r="C193" s="1060" t="s">
        <v>1822</v>
      </c>
      <c r="D193" s="1076" t="s">
        <v>1823</v>
      </c>
      <c r="E193" s="1062" t="s">
        <v>510</v>
      </c>
      <c r="F193" s="1063">
        <v>0</v>
      </c>
      <c r="G193" s="1063">
        <v>0</v>
      </c>
      <c r="H193" s="1063">
        <v>0</v>
      </c>
      <c r="I193" s="1063">
        <v>0</v>
      </c>
      <c r="J193" s="1063">
        <v>0</v>
      </c>
      <c r="K193" s="1063">
        <v>0</v>
      </c>
      <c r="L193" s="1063">
        <v>0</v>
      </c>
      <c r="M193" s="1063">
        <v>0</v>
      </c>
      <c r="N193" s="1063">
        <v>0</v>
      </c>
      <c r="O193" s="1063">
        <v>0</v>
      </c>
      <c r="P193" s="1063">
        <v>0</v>
      </c>
      <c r="Q193" s="1063">
        <v>0</v>
      </c>
      <c r="R193" s="1063">
        <v>0</v>
      </c>
      <c r="S193" s="1063">
        <v>0</v>
      </c>
      <c r="T193" s="1063">
        <v>0</v>
      </c>
      <c r="U193" s="1063">
        <v>0</v>
      </c>
      <c r="V193" s="1063"/>
      <c r="W193" s="1049"/>
      <c r="X193" s="1049"/>
      <c r="Y193" s="1049"/>
      <c r="Z193" s="1049"/>
      <c r="AA193" s="1066"/>
      <c r="AT193" s="418">
        <v>0</v>
      </c>
      <c r="AU193" s="418">
        <v>0</v>
      </c>
      <c r="AV193" s="418">
        <v>0</v>
      </c>
      <c r="AW193" s="418">
        <v>0</v>
      </c>
      <c r="AX193" s="418">
        <v>0</v>
      </c>
      <c r="AY193" s="418">
        <v>0</v>
      </c>
      <c r="AZ193" s="418">
        <v>0</v>
      </c>
      <c r="BA193" s="418">
        <v>0</v>
      </c>
      <c r="BB193" s="418">
        <v>0</v>
      </c>
      <c r="BC193" s="418">
        <v>0</v>
      </c>
      <c r="BD193" s="418">
        <v>0</v>
      </c>
      <c r="BE193" s="418">
        <v>0</v>
      </c>
      <c r="BF193" s="418">
        <v>0</v>
      </c>
      <c r="BG193" s="418">
        <v>0</v>
      </c>
      <c r="BH193" s="418">
        <v>0</v>
      </c>
      <c r="BI193" s="418">
        <v>0</v>
      </c>
      <c r="BJ193" s="418">
        <v>0</v>
      </c>
      <c r="BK193" s="418">
        <v>0</v>
      </c>
      <c r="BL193" s="418">
        <v>0</v>
      </c>
      <c r="BM193" s="418">
        <v>0</v>
      </c>
      <c r="BN193" s="418">
        <v>0</v>
      </c>
      <c r="BO193" s="418">
        <v>0</v>
      </c>
      <c r="BP193" s="418">
        <v>0</v>
      </c>
      <c r="BQ193" s="418">
        <v>0</v>
      </c>
      <c r="BR193" s="418">
        <v>0</v>
      </c>
      <c r="BS193" s="418">
        <v>0</v>
      </c>
      <c r="BT193" s="418">
        <v>0</v>
      </c>
      <c r="BU193" s="418">
        <v>0</v>
      </c>
      <c r="BV193" s="418">
        <v>0</v>
      </c>
      <c r="BW193" s="418">
        <v>0</v>
      </c>
      <c r="BX193" s="418">
        <v>0</v>
      </c>
      <c r="BY193" s="418">
        <v>0</v>
      </c>
      <c r="BZ193" s="418">
        <v>0</v>
      </c>
      <c r="CA193" s="418">
        <v>0</v>
      </c>
      <c r="CB193" s="418">
        <v>0</v>
      </c>
    </row>
    <row r="194" spans="1:80" s="418" customFormat="1" ht="28.2" x14ac:dyDescent="0.3">
      <c r="A194" s="1052">
        <v>544</v>
      </c>
      <c r="B194" s="1049"/>
      <c r="C194" s="1060" t="s">
        <v>1824</v>
      </c>
      <c r="D194" s="1076" t="s">
        <v>53</v>
      </c>
      <c r="E194" s="1062" t="s">
        <v>511</v>
      </c>
      <c r="F194" s="1063">
        <v>0</v>
      </c>
      <c r="G194" s="1063">
        <v>0</v>
      </c>
      <c r="H194" s="1063">
        <v>0</v>
      </c>
      <c r="I194" s="1063">
        <v>0</v>
      </c>
      <c r="J194" s="1063">
        <v>0</v>
      </c>
      <c r="K194" s="1063">
        <v>0</v>
      </c>
      <c r="L194" s="1063">
        <v>0</v>
      </c>
      <c r="M194" s="1063">
        <v>0</v>
      </c>
      <c r="N194" s="1063">
        <v>0</v>
      </c>
      <c r="O194" s="1063">
        <v>0</v>
      </c>
      <c r="P194" s="1063">
        <v>0</v>
      </c>
      <c r="Q194" s="1063">
        <v>0</v>
      </c>
      <c r="R194" s="1063">
        <v>0</v>
      </c>
      <c r="S194" s="1063">
        <v>0</v>
      </c>
      <c r="T194" s="1063">
        <v>0</v>
      </c>
      <c r="U194" s="1063">
        <v>0</v>
      </c>
      <c r="V194" s="1063"/>
      <c r="W194" s="1049"/>
      <c r="X194" s="1049"/>
      <c r="Y194" s="1049"/>
      <c r="Z194" s="1049"/>
      <c r="AA194" s="1066"/>
      <c r="AT194" s="418">
        <v>0</v>
      </c>
      <c r="AU194" s="418">
        <v>0</v>
      </c>
      <c r="AV194" s="418">
        <v>0</v>
      </c>
      <c r="AW194" s="418">
        <v>0</v>
      </c>
      <c r="AX194" s="418">
        <v>0</v>
      </c>
      <c r="AY194" s="418">
        <v>0</v>
      </c>
      <c r="AZ194" s="418">
        <v>0</v>
      </c>
      <c r="BA194" s="418">
        <v>0</v>
      </c>
      <c r="BB194" s="418">
        <v>0</v>
      </c>
      <c r="BC194" s="418">
        <v>0</v>
      </c>
      <c r="BD194" s="418">
        <v>0</v>
      </c>
      <c r="BE194" s="418">
        <v>0</v>
      </c>
      <c r="BF194" s="418">
        <v>0</v>
      </c>
      <c r="BG194" s="418">
        <v>0</v>
      </c>
      <c r="BH194" s="418">
        <v>0</v>
      </c>
      <c r="BI194" s="418">
        <v>0</v>
      </c>
      <c r="BJ194" s="418">
        <v>0</v>
      </c>
      <c r="BK194" s="418">
        <v>0</v>
      </c>
      <c r="BL194" s="418">
        <v>0</v>
      </c>
      <c r="BM194" s="418">
        <v>0</v>
      </c>
      <c r="BN194" s="418">
        <v>0</v>
      </c>
      <c r="BO194" s="418">
        <v>0</v>
      </c>
      <c r="BP194" s="418">
        <v>0</v>
      </c>
      <c r="BQ194" s="418">
        <v>0</v>
      </c>
      <c r="BR194" s="418">
        <v>0</v>
      </c>
      <c r="BS194" s="418">
        <v>0</v>
      </c>
      <c r="BT194" s="418">
        <v>0.28000000000000003</v>
      </c>
      <c r="BU194" s="418">
        <v>0</v>
      </c>
      <c r="BV194" s="418">
        <v>0</v>
      </c>
      <c r="BW194" s="418">
        <v>0</v>
      </c>
      <c r="BX194" s="418">
        <v>0</v>
      </c>
      <c r="BY194" s="418">
        <v>0</v>
      </c>
      <c r="BZ194" s="418">
        <v>0</v>
      </c>
      <c r="CA194" s="418">
        <v>0</v>
      </c>
      <c r="CB194" s="418">
        <v>0</v>
      </c>
    </row>
    <row r="195" spans="1:80" s="418" customFormat="1" ht="28.2" x14ac:dyDescent="0.3">
      <c r="A195" s="1052">
        <v>545</v>
      </c>
      <c r="B195" s="1049"/>
      <c r="C195" s="1060" t="s">
        <v>1825</v>
      </c>
      <c r="D195" s="1076" t="s">
        <v>54</v>
      </c>
      <c r="E195" s="1062" t="s">
        <v>512</v>
      </c>
      <c r="F195" s="1063">
        <v>0</v>
      </c>
      <c r="G195" s="1063">
        <v>0</v>
      </c>
      <c r="H195" s="1063">
        <v>0</v>
      </c>
      <c r="I195" s="1063">
        <v>0</v>
      </c>
      <c r="J195" s="1063">
        <v>0</v>
      </c>
      <c r="K195" s="1063">
        <v>0</v>
      </c>
      <c r="L195" s="1063">
        <v>0</v>
      </c>
      <c r="M195" s="1063">
        <v>0</v>
      </c>
      <c r="N195" s="1063">
        <v>0</v>
      </c>
      <c r="O195" s="1063">
        <v>0</v>
      </c>
      <c r="P195" s="1063">
        <v>0</v>
      </c>
      <c r="Q195" s="1063">
        <v>0</v>
      </c>
      <c r="R195" s="1063">
        <v>0</v>
      </c>
      <c r="S195" s="1063">
        <v>0</v>
      </c>
      <c r="T195" s="1063">
        <v>0</v>
      </c>
      <c r="U195" s="1063">
        <v>0</v>
      </c>
      <c r="V195" s="1063"/>
      <c r="W195" s="1049"/>
      <c r="X195" s="1049"/>
      <c r="Y195" s="1049"/>
      <c r="Z195" s="1049"/>
      <c r="AA195" s="1066"/>
      <c r="AT195" s="418">
        <v>0</v>
      </c>
      <c r="AU195" s="418">
        <v>0</v>
      </c>
      <c r="AV195" s="418">
        <v>0</v>
      </c>
      <c r="AW195" s="418">
        <v>0</v>
      </c>
      <c r="AX195" s="418">
        <v>0</v>
      </c>
      <c r="AY195" s="418">
        <v>0</v>
      </c>
      <c r="AZ195" s="418">
        <v>0</v>
      </c>
      <c r="BA195" s="418">
        <v>0</v>
      </c>
      <c r="BB195" s="418">
        <v>0</v>
      </c>
      <c r="BC195" s="418">
        <v>0</v>
      </c>
      <c r="BD195" s="418">
        <v>0</v>
      </c>
      <c r="BE195" s="418">
        <v>0</v>
      </c>
      <c r="BF195" s="418">
        <v>0</v>
      </c>
      <c r="BG195" s="418">
        <v>0</v>
      </c>
      <c r="BH195" s="418">
        <v>0</v>
      </c>
      <c r="BI195" s="418">
        <v>0</v>
      </c>
      <c r="BJ195" s="418">
        <v>0</v>
      </c>
      <c r="BK195" s="418">
        <v>0</v>
      </c>
      <c r="BL195" s="418">
        <v>0</v>
      </c>
      <c r="BM195" s="418">
        <v>0</v>
      </c>
      <c r="BN195" s="418">
        <v>0</v>
      </c>
      <c r="BO195" s="418">
        <v>0</v>
      </c>
      <c r="BP195" s="418">
        <v>0</v>
      </c>
      <c r="BQ195" s="418">
        <v>0</v>
      </c>
      <c r="BR195" s="418">
        <v>0</v>
      </c>
      <c r="BS195" s="418">
        <v>0</v>
      </c>
      <c r="BT195" s="418">
        <v>0</v>
      </c>
      <c r="BU195" s="418">
        <v>0</v>
      </c>
      <c r="BV195" s="418">
        <v>0</v>
      </c>
      <c r="BW195" s="418">
        <v>0</v>
      </c>
      <c r="BX195" s="418">
        <v>0</v>
      </c>
      <c r="BY195" s="418">
        <v>0</v>
      </c>
      <c r="BZ195" s="418">
        <v>0</v>
      </c>
      <c r="CA195" s="418">
        <v>0</v>
      </c>
      <c r="CB195" s="418">
        <v>0</v>
      </c>
    </row>
    <row r="196" spans="1:80" s="418" customFormat="1" ht="15.6" x14ac:dyDescent="0.3">
      <c r="A196" s="1052">
        <v>546</v>
      </c>
      <c r="B196" s="1049"/>
      <c r="C196" s="1060" t="s">
        <v>1826</v>
      </c>
      <c r="D196" s="1076" t="s">
        <v>846</v>
      </c>
      <c r="E196" s="1062" t="s">
        <v>513</v>
      </c>
      <c r="F196" s="1063">
        <v>0</v>
      </c>
      <c r="G196" s="1063">
        <v>0</v>
      </c>
      <c r="H196" s="1063">
        <v>0</v>
      </c>
      <c r="I196" s="1063">
        <v>0</v>
      </c>
      <c r="J196" s="1063">
        <v>0</v>
      </c>
      <c r="K196" s="1063">
        <v>0</v>
      </c>
      <c r="L196" s="1063">
        <v>0</v>
      </c>
      <c r="M196" s="1063">
        <v>0</v>
      </c>
      <c r="N196" s="1063">
        <v>0</v>
      </c>
      <c r="O196" s="1063">
        <v>0</v>
      </c>
      <c r="P196" s="1063">
        <v>0</v>
      </c>
      <c r="Q196" s="1063">
        <v>0</v>
      </c>
      <c r="R196" s="1063">
        <v>0</v>
      </c>
      <c r="S196" s="1063">
        <v>0</v>
      </c>
      <c r="T196" s="1063">
        <v>0</v>
      </c>
      <c r="U196" s="1063">
        <v>0</v>
      </c>
      <c r="V196" s="1063"/>
      <c r="W196" s="1049"/>
      <c r="X196" s="1049"/>
      <c r="Y196" s="1049"/>
      <c r="Z196" s="1049"/>
      <c r="AA196" s="1066"/>
    </row>
    <row r="197" spans="1:80" s="418" customFormat="1" ht="28.2" x14ac:dyDescent="0.3">
      <c r="A197" s="1052">
        <v>547</v>
      </c>
      <c r="B197" s="1053">
        <v>547</v>
      </c>
      <c r="C197" s="1060" t="s">
        <v>1827</v>
      </c>
      <c r="D197" s="1076" t="s">
        <v>1828</v>
      </c>
      <c r="E197" s="1062" t="s">
        <v>514</v>
      </c>
      <c r="F197" s="1063">
        <v>2</v>
      </c>
      <c r="G197" s="1063">
        <v>3</v>
      </c>
      <c r="H197" s="1063">
        <v>2</v>
      </c>
      <c r="I197" s="1063">
        <v>2</v>
      </c>
      <c r="J197" s="1063">
        <v>0</v>
      </c>
      <c r="K197" s="1063">
        <v>0</v>
      </c>
      <c r="L197" s="1063">
        <v>0</v>
      </c>
      <c r="M197" s="1063">
        <v>0</v>
      </c>
      <c r="N197" s="1063">
        <v>2</v>
      </c>
      <c r="O197" s="1063">
        <v>2</v>
      </c>
      <c r="P197" s="1063">
        <v>3</v>
      </c>
      <c r="Q197" s="1063">
        <v>0</v>
      </c>
      <c r="R197" s="1063">
        <v>2</v>
      </c>
      <c r="S197" s="1063">
        <v>1</v>
      </c>
      <c r="T197" s="1063">
        <v>2</v>
      </c>
      <c r="U197" s="1063">
        <v>2</v>
      </c>
      <c r="V197" s="1063"/>
      <c r="W197" s="1049"/>
      <c r="X197" s="1049"/>
      <c r="Y197" s="1049"/>
      <c r="Z197" s="1049"/>
      <c r="AA197" s="1066"/>
      <c r="AT197" s="418">
        <v>3</v>
      </c>
      <c r="AU197" s="418">
        <v>3</v>
      </c>
      <c r="AV197" s="418">
        <v>3</v>
      </c>
      <c r="AW197" s="418">
        <v>2</v>
      </c>
      <c r="AX197" s="418">
        <v>2</v>
      </c>
      <c r="AY197" s="418">
        <v>2</v>
      </c>
      <c r="AZ197" s="418">
        <v>1</v>
      </c>
      <c r="BA197" s="418">
        <v>3</v>
      </c>
      <c r="BB197" s="418">
        <v>2</v>
      </c>
      <c r="BC197" s="418">
        <v>3</v>
      </c>
      <c r="BD197" s="418">
        <v>0</v>
      </c>
      <c r="BE197" s="418">
        <v>2</v>
      </c>
      <c r="BF197" s="418">
        <v>3</v>
      </c>
      <c r="BG197" s="418">
        <v>0</v>
      </c>
      <c r="BH197" s="418">
        <v>2</v>
      </c>
      <c r="BI197" s="418">
        <v>3</v>
      </c>
      <c r="BJ197" s="418">
        <v>3</v>
      </c>
      <c r="BK197" s="418">
        <v>0</v>
      </c>
      <c r="BL197" s="418">
        <v>3</v>
      </c>
      <c r="BM197" s="418">
        <v>3</v>
      </c>
      <c r="BN197" s="418">
        <v>2</v>
      </c>
      <c r="BO197" s="418">
        <v>3</v>
      </c>
      <c r="BP197" s="418">
        <v>2</v>
      </c>
      <c r="BQ197" s="418">
        <v>2</v>
      </c>
      <c r="BR197" s="418">
        <v>2</v>
      </c>
      <c r="BS197" s="418">
        <v>2</v>
      </c>
      <c r="BT197" s="418">
        <v>2</v>
      </c>
      <c r="BU197" s="418">
        <v>2</v>
      </c>
      <c r="BV197" s="418">
        <v>3</v>
      </c>
      <c r="BW197" s="418">
        <v>2</v>
      </c>
      <c r="BX197" s="418">
        <v>2</v>
      </c>
      <c r="BY197" s="418">
        <v>2</v>
      </c>
      <c r="BZ197" s="418">
        <v>2</v>
      </c>
      <c r="CA197" s="418">
        <v>3</v>
      </c>
      <c r="CB197" s="418">
        <v>2</v>
      </c>
    </row>
    <row r="198" spans="1:80" s="418" customFormat="1" ht="15.6" x14ac:dyDescent="0.3">
      <c r="A198" s="1052">
        <v>548</v>
      </c>
      <c r="B198" s="1049"/>
      <c r="C198" s="1060" t="s">
        <v>1829</v>
      </c>
      <c r="D198" s="1071" t="s">
        <v>540</v>
      </c>
      <c r="E198" s="1062" t="s">
        <v>569</v>
      </c>
      <c r="F198" s="1063">
        <v>0</v>
      </c>
      <c r="G198" s="1063">
        <v>0</v>
      </c>
      <c r="H198" s="1063">
        <v>0</v>
      </c>
      <c r="I198" s="1063">
        <v>0</v>
      </c>
      <c r="J198" s="1063">
        <v>0</v>
      </c>
      <c r="K198" s="1063">
        <v>0</v>
      </c>
      <c r="L198" s="1063">
        <v>0</v>
      </c>
      <c r="M198" s="1063">
        <v>0</v>
      </c>
      <c r="N198" s="1063">
        <v>0</v>
      </c>
      <c r="O198" s="1063">
        <v>0</v>
      </c>
      <c r="P198" s="1063">
        <v>0</v>
      </c>
      <c r="Q198" s="1063">
        <v>0</v>
      </c>
      <c r="R198" s="1063">
        <v>0</v>
      </c>
      <c r="S198" s="1063">
        <v>0</v>
      </c>
      <c r="T198" s="1063">
        <v>0</v>
      </c>
      <c r="U198" s="1063">
        <v>0</v>
      </c>
      <c r="V198" s="1063"/>
      <c r="W198" s="1049"/>
      <c r="X198" s="1049"/>
      <c r="Y198" s="1049"/>
      <c r="Z198" s="1049"/>
      <c r="AA198" s="1066"/>
      <c r="AT198" s="418">
        <v>0</v>
      </c>
      <c r="AU198" s="418">
        <v>0</v>
      </c>
      <c r="AV198" s="418">
        <v>0</v>
      </c>
      <c r="AW198" s="418">
        <v>0</v>
      </c>
      <c r="AX198" s="418">
        <v>0</v>
      </c>
      <c r="AY198" s="418">
        <v>0</v>
      </c>
      <c r="AZ198" s="418">
        <v>0</v>
      </c>
      <c r="BA198" s="418">
        <v>0</v>
      </c>
      <c r="BB198" s="418">
        <v>0</v>
      </c>
      <c r="BC198" s="418">
        <v>0</v>
      </c>
      <c r="BD198" s="418">
        <v>0</v>
      </c>
      <c r="BE198" s="418">
        <v>0</v>
      </c>
      <c r="BF198" s="418">
        <v>0</v>
      </c>
      <c r="BG198" s="418">
        <v>0</v>
      </c>
      <c r="BH198" s="418">
        <v>0</v>
      </c>
      <c r="BI198" s="418">
        <v>0</v>
      </c>
      <c r="BJ198" s="418">
        <v>0</v>
      </c>
      <c r="BK198" s="418">
        <v>0</v>
      </c>
      <c r="BL198" s="418">
        <v>0</v>
      </c>
      <c r="BM198" s="418">
        <v>0</v>
      </c>
      <c r="BN198" s="418">
        <v>0</v>
      </c>
      <c r="BO198" s="418">
        <v>0</v>
      </c>
      <c r="BP198" s="418">
        <v>0</v>
      </c>
      <c r="BQ198" s="418">
        <v>0</v>
      </c>
      <c r="BR198" s="418">
        <v>0</v>
      </c>
      <c r="BS198" s="418">
        <v>0</v>
      </c>
      <c r="BT198" s="418">
        <v>0</v>
      </c>
      <c r="BU198" s="418">
        <v>0</v>
      </c>
      <c r="BV198" s="418">
        <v>0</v>
      </c>
      <c r="BW198" s="418">
        <v>0</v>
      </c>
      <c r="BX198" s="418">
        <v>0</v>
      </c>
      <c r="BY198" s="418">
        <v>0</v>
      </c>
      <c r="BZ198" s="418">
        <v>0</v>
      </c>
      <c r="CA198" s="418">
        <v>0</v>
      </c>
      <c r="CB198" s="418">
        <v>0</v>
      </c>
    </row>
    <row r="199" spans="1:80" s="418" customFormat="1" ht="27.6" x14ac:dyDescent="0.3">
      <c r="A199" s="1052">
        <v>549</v>
      </c>
      <c r="B199" s="1049"/>
      <c r="C199" s="1060" t="s">
        <v>1830</v>
      </c>
      <c r="D199" s="1077" t="s">
        <v>1831</v>
      </c>
      <c r="E199" s="1062" t="s">
        <v>570</v>
      </c>
      <c r="F199" s="1063">
        <v>0</v>
      </c>
      <c r="G199" s="1063">
        <v>0</v>
      </c>
      <c r="H199" s="1063">
        <v>0</v>
      </c>
      <c r="I199" s="1063">
        <v>0</v>
      </c>
      <c r="J199" s="1063">
        <v>0</v>
      </c>
      <c r="K199" s="1063">
        <v>0</v>
      </c>
      <c r="L199" s="1063">
        <v>0</v>
      </c>
      <c r="M199" s="1063">
        <v>0</v>
      </c>
      <c r="N199" s="1063">
        <v>0</v>
      </c>
      <c r="O199" s="1063">
        <v>0</v>
      </c>
      <c r="P199" s="1063">
        <v>0</v>
      </c>
      <c r="Q199" s="1063">
        <v>0</v>
      </c>
      <c r="R199" s="1063">
        <v>0</v>
      </c>
      <c r="S199" s="1063">
        <v>0</v>
      </c>
      <c r="T199" s="1063">
        <v>0</v>
      </c>
      <c r="U199" s="1063">
        <v>0</v>
      </c>
      <c r="V199" s="1063"/>
      <c r="W199" s="1049"/>
      <c r="X199" s="1049"/>
      <c r="Y199" s="1049"/>
      <c r="Z199" s="1049"/>
      <c r="AA199" s="1066"/>
      <c r="AT199" s="418">
        <v>0</v>
      </c>
      <c r="AU199" s="418">
        <v>0</v>
      </c>
      <c r="AV199" s="418">
        <v>0</v>
      </c>
      <c r="AW199" s="418">
        <v>0</v>
      </c>
      <c r="AX199" s="418">
        <v>0</v>
      </c>
      <c r="AY199" s="418">
        <v>0</v>
      </c>
      <c r="AZ199" s="418">
        <v>0</v>
      </c>
      <c r="BA199" s="418">
        <v>0</v>
      </c>
      <c r="BB199" s="418">
        <v>0</v>
      </c>
      <c r="BC199" s="418">
        <v>0</v>
      </c>
      <c r="BD199" s="418">
        <v>0</v>
      </c>
      <c r="BE199" s="418">
        <v>0</v>
      </c>
      <c r="BF199" s="418">
        <v>0</v>
      </c>
      <c r="BG199" s="418">
        <v>0</v>
      </c>
      <c r="BH199" s="418">
        <v>0</v>
      </c>
      <c r="BI199" s="418">
        <v>0</v>
      </c>
      <c r="BJ199" s="418">
        <v>0</v>
      </c>
      <c r="BK199" s="418">
        <v>0</v>
      </c>
      <c r="BL199" s="418">
        <v>0</v>
      </c>
      <c r="BM199" s="418">
        <v>0</v>
      </c>
      <c r="BN199" s="418">
        <v>0</v>
      </c>
      <c r="BO199" s="418">
        <v>0</v>
      </c>
      <c r="BP199" s="418">
        <v>0</v>
      </c>
      <c r="BQ199" s="418">
        <v>0</v>
      </c>
      <c r="BR199" s="418">
        <v>0</v>
      </c>
      <c r="BS199" s="418">
        <v>0</v>
      </c>
      <c r="BT199" s="418">
        <v>0</v>
      </c>
      <c r="BU199" s="418">
        <v>0</v>
      </c>
      <c r="BV199" s="418">
        <v>0</v>
      </c>
      <c r="BW199" s="418">
        <v>0</v>
      </c>
      <c r="BX199" s="418">
        <v>0</v>
      </c>
      <c r="BY199" s="418">
        <v>0</v>
      </c>
      <c r="BZ199" s="418">
        <v>0</v>
      </c>
      <c r="CA199" s="418">
        <v>0</v>
      </c>
      <c r="CB199" s="418">
        <v>0</v>
      </c>
    </row>
    <row r="200" spans="1:80" s="418" customFormat="1" ht="27.6" x14ac:dyDescent="0.3">
      <c r="A200" s="1052">
        <v>550</v>
      </c>
      <c r="B200" s="1049"/>
      <c r="C200" s="1060" t="s">
        <v>1832</v>
      </c>
      <c r="D200" s="1071" t="s">
        <v>571</v>
      </c>
      <c r="E200" s="1062" t="s">
        <v>572</v>
      </c>
      <c r="F200" s="1063">
        <v>0</v>
      </c>
      <c r="G200" s="1063">
        <v>0</v>
      </c>
      <c r="H200" s="1063">
        <v>0</v>
      </c>
      <c r="I200" s="1063">
        <v>0</v>
      </c>
      <c r="J200" s="1063">
        <v>0</v>
      </c>
      <c r="K200" s="1063">
        <v>0</v>
      </c>
      <c r="L200" s="1063">
        <v>0</v>
      </c>
      <c r="M200" s="1063">
        <v>0</v>
      </c>
      <c r="N200" s="1063">
        <v>0</v>
      </c>
      <c r="O200" s="1063">
        <v>0</v>
      </c>
      <c r="P200" s="1063">
        <v>0</v>
      </c>
      <c r="Q200" s="1063">
        <v>0</v>
      </c>
      <c r="R200" s="1063">
        <v>0</v>
      </c>
      <c r="S200" s="1063">
        <v>0</v>
      </c>
      <c r="T200" s="1063">
        <v>0</v>
      </c>
      <c r="U200" s="1063">
        <v>0</v>
      </c>
      <c r="V200" s="1063"/>
      <c r="W200" s="1049"/>
      <c r="X200" s="1049"/>
      <c r="Y200" s="1049"/>
      <c r="Z200" s="1049"/>
      <c r="AA200" s="1066"/>
      <c r="AT200" s="418">
        <v>0</v>
      </c>
      <c r="AU200" s="418">
        <v>0</v>
      </c>
      <c r="AV200" s="418">
        <v>0</v>
      </c>
      <c r="AW200" s="418">
        <v>0</v>
      </c>
      <c r="AX200" s="418">
        <v>0</v>
      </c>
      <c r="AY200" s="418">
        <v>0</v>
      </c>
      <c r="AZ200" s="418">
        <v>0</v>
      </c>
      <c r="BA200" s="418">
        <v>0</v>
      </c>
      <c r="BB200" s="418">
        <v>0</v>
      </c>
      <c r="BC200" s="418">
        <v>0</v>
      </c>
      <c r="BD200" s="418">
        <v>0</v>
      </c>
      <c r="BE200" s="418">
        <v>0</v>
      </c>
      <c r="BF200" s="418">
        <v>0</v>
      </c>
      <c r="BG200" s="418">
        <v>0</v>
      </c>
      <c r="BH200" s="418">
        <v>0</v>
      </c>
      <c r="BI200" s="418">
        <v>0</v>
      </c>
      <c r="BJ200" s="418">
        <v>0</v>
      </c>
      <c r="BK200" s="418">
        <v>0</v>
      </c>
      <c r="BL200" s="418">
        <v>0</v>
      </c>
      <c r="BM200" s="418">
        <v>0</v>
      </c>
      <c r="BN200" s="418">
        <v>0</v>
      </c>
      <c r="BO200" s="418">
        <v>0</v>
      </c>
      <c r="BP200" s="418">
        <v>0</v>
      </c>
      <c r="BQ200" s="418">
        <v>0</v>
      </c>
      <c r="BR200" s="418">
        <v>0</v>
      </c>
      <c r="BS200" s="418">
        <v>0</v>
      </c>
      <c r="BT200" s="418">
        <v>0</v>
      </c>
      <c r="BU200" s="418">
        <v>0</v>
      </c>
      <c r="BV200" s="418">
        <v>0</v>
      </c>
      <c r="BW200" s="418">
        <v>0</v>
      </c>
      <c r="BX200" s="418">
        <v>0</v>
      </c>
      <c r="BY200" s="418">
        <v>0</v>
      </c>
      <c r="BZ200" s="418">
        <v>0</v>
      </c>
      <c r="CA200" s="418">
        <v>0</v>
      </c>
      <c r="CB200" s="418">
        <v>0</v>
      </c>
    </row>
    <row r="201" spans="1:80" s="418" customFormat="1" ht="41.4" x14ac:dyDescent="0.3">
      <c r="A201" s="1052">
        <v>551</v>
      </c>
      <c r="B201" s="1049"/>
      <c r="C201" s="1060" t="s">
        <v>1833</v>
      </c>
      <c r="D201" s="1071" t="s">
        <v>1834</v>
      </c>
      <c r="E201" s="1062" t="s">
        <v>573</v>
      </c>
      <c r="F201" s="1063">
        <v>0</v>
      </c>
      <c r="G201" s="1063">
        <v>0</v>
      </c>
      <c r="H201" s="1063">
        <v>0</v>
      </c>
      <c r="I201" s="1063">
        <v>0</v>
      </c>
      <c r="J201" s="1063">
        <v>0</v>
      </c>
      <c r="K201" s="1063">
        <v>0</v>
      </c>
      <c r="L201" s="1063">
        <v>0</v>
      </c>
      <c r="M201" s="1063">
        <v>0</v>
      </c>
      <c r="N201" s="1063">
        <v>0</v>
      </c>
      <c r="O201" s="1063">
        <v>0</v>
      </c>
      <c r="P201" s="1063">
        <v>0</v>
      </c>
      <c r="Q201" s="1063">
        <v>0</v>
      </c>
      <c r="R201" s="1063">
        <v>0</v>
      </c>
      <c r="S201" s="1063">
        <v>0</v>
      </c>
      <c r="T201" s="1063">
        <v>0</v>
      </c>
      <c r="U201" s="1063">
        <v>0</v>
      </c>
      <c r="V201" s="1063"/>
      <c r="W201" s="1049"/>
      <c r="X201" s="1049"/>
      <c r="Y201" s="1049"/>
      <c r="Z201" s="1049"/>
      <c r="AA201" s="1066"/>
      <c r="AT201" s="418">
        <v>0</v>
      </c>
      <c r="AU201" s="418">
        <v>0</v>
      </c>
      <c r="AV201" s="418">
        <v>0</v>
      </c>
      <c r="AW201" s="418">
        <v>0</v>
      </c>
      <c r="AX201" s="418">
        <v>0</v>
      </c>
      <c r="AY201" s="418">
        <v>0</v>
      </c>
      <c r="AZ201" s="418">
        <v>0</v>
      </c>
      <c r="BA201" s="418">
        <v>0</v>
      </c>
      <c r="BB201" s="418">
        <v>0</v>
      </c>
      <c r="BC201" s="418">
        <v>0</v>
      </c>
      <c r="BD201" s="418">
        <v>0</v>
      </c>
      <c r="BE201" s="418">
        <v>0</v>
      </c>
      <c r="BF201" s="418">
        <v>0</v>
      </c>
      <c r="BG201" s="418">
        <v>0</v>
      </c>
      <c r="BH201" s="418">
        <v>0</v>
      </c>
      <c r="BI201" s="418">
        <v>0</v>
      </c>
      <c r="BJ201" s="418">
        <v>0</v>
      </c>
      <c r="BK201" s="418">
        <v>0</v>
      </c>
      <c r="BL201" s="418">
        <v>0</v>
      </c>
      <c r="BM201" s="418">
        <v>0</v>
      </c>
      <c r="BN201" s="418">
        <v>0</v>
      </c>
      <c r="BO201" s="418">
        <v>0</v>
      </c>
      <c r="BP201" s="418">
        <v>0</v>
      </c>
      <c r="BQ201" s="418">
        <v>0</v>
      </c>
      <c r="BR201" s="418">
        <v>0</v>
      </c>
      <c r="BS201" s="418">
        <v>0</v>
      </c>
      <c r="BT201" s="418">
        <v>0</v>
      </c>
      <c r="BU201" s="418">
        <v>0</v>
      </c>
      <c r="BV201" s="418">
        <v>0</v>
      </c>
      <c r="BW201" s="418">
        <v>0</v>
      </c>
      <c r="BX201" s="418">
        <v>0</v>
      </c>
      <c r="BY201" s="418">
        <v>0</v>
      </c>
      <c r="BZ201" s="418">
        <v>0</v>
      </c>
      <c r="CA201" s="418">
        <v>0</v>
      </c>
      <c r="CB201" s="418">
        <v>0</v>
      </c>
    </row>
    <row r="202" spans="1:80" s="418" customFormat="1" ht="27.6" x14ac:dyDescent="0.3">
      <c r="A202" s="1052">
        <v>552</v>
      </c>
      <c r="B202" s="1049"/>
      <c r="C202" s="1060" t="s">
        <v>1835</v>
      </c>
      <c r="D202" s="1078" t="s">
        <v>542</v>
      </c>
      <c r="E202" s="1062" t="s">
        <v>574</v>
      </c>
      <c r="F202" s="1063">
        <v>0</v>
      </c>
      <c r="G202" s="1063">
        <v>0</v>
      </c>
      <c r="H202" s="1063">
        <v>0</v>
      </c>
      <c r="I202" s="1063">
        <v>0</v>
      </c>
      <c r="J202" s="1063">
        <v>0</v>
      </c>
      <c r="K202" s="1063">
        <v>0</v>
      </c>
      <c r="L202" s="1063">
        <v>0</v>
      </c>
      <c r="M202" s="1063">
        <v>0</v>
      </c>
      <c r="N202" s="1063">
        <v>0</v>
      </c>
      <c r="O202" s="1063">
        <v>0</v>
      </c>
      <c r="P202" s="1063">
        <v>0</v>
      </c>
      <c r="Q202" s="1063">
        <v>0</v>
      </c>
      <c r="R202" s="1063">
        <v>0</v>
      </c>
      <c r="S202" s="1063">
        <v>0</v>
      </c>
      <c r="T202" s="1063">
        <v>0</v>
      </c>
      <c r="U202" s="1063">
        <v>0</v>
      </c>
      <c r="V202" s="1063"/>
      <c r="W202" s="1049"/>
      <c r="X202" s="1049"/>
      <c r="Y202" s="1049"/>
      <c r="Z202" s="1049"/>
      <c r="AA202" s="1066"/>
      <c r="AT202" s="418">
        <v>0</v>
      </c>
      <c r="AU202" s="418">
        <v>0</v>
      </c>
      <c r="AV202" s="418">
        <v>0</v>
      </c>
      <c r="AW202" s="418">
        <v>0</v>
      </c>
      <c r="AX202" s="418">
        <v>0</v>
      </c>
      <c r="AY202" s="418">
        <v>0</v>
      </c>
      <c r="AZ202" s="418">
        <v>0</v>
      </c>
      <c r="BA202" s="418">
        <v>0</v>
      </c>
      <c r="BB202" s="418">
        <v>0</v>
      </c>
      <c r="BC202" s="418">
        <v>0</v>
      </c>
      <c r="BD202" s="418">
        <v>0</v>
      </c>
      <c r="BE202" s="418">
        <v>0</v>
      </c>
      <c r="BF202" s="418">
        <v>0</v>
      </c>
      <c r="BG202" s="418">
        <v>0</v>
      </c>
      <c r="BH202" s="418">
        <v>0</v>
      </c>
      <c r="BI202" s="418">
        <v>0</v>
      </c>
      <c r="BJ202" s="418">
        <v>0</v>
      </c>
      <c r="BK202" s="418">
        <v>0</v>
      </c>
      <c r="BL202" s="418">
        <v>0</v>
      </c>
      <c r="BM202" s="418">
        <v>0</v>
      </c>
      <c r="BN202" s="418">
        <v>0</v>
      </c>
      <c r="BO202" s="418">
        <v>0</v>
      </c>
      <c r="BP202" s="418">
        <v>0</v>
      </c>
      <c r="BQ202" s="418">
        <v>0</v>
      </c>
      <c r="BR202" s="418">
        <v>0</v>
      </c>
      <c r="BS202" s="418">
        <v>0</v>
      </c>
      <c r="BT202" s="418">
        <v>0</v>
      </c>
      <c r="BU202" s="418">
        <v>0</v>
      </c>
      <c r="BV202" s="418">
        <v>0</v>
      </c>
      <c r="BW202" s="418">
        <v>0</v>
      </c>
      <c r="BX202" s="418">
        <v>0</v>
      </c>
      <c r="BY202" s="418">
        <v>0</v>
      </c>
      <c r="BZ202" s="418">
        <v>0</v>
      </c>
      <c r="CA202" s="418">
        <v>0</v>
      </c>
      <c r="CB202" s="418">
        <v>0</v>
      </c>
    </row>
    <row r="203" spans="1:80" s="418" customFormat="1" ht="15.6" x14ac:dyDescent="0.3">
      <c r="A203" s="1052">
        <v>553</v>
      </c>
      <c r="B203" s="1049"/>
      <c r="C203" s="1060" t="s">
        <v>1836</v>
      </c>
      <c r="D203" s="1079" t="s">
        <v>575</v>
      </c>
      <c r="E203" s="1062" t="s">
        <v>576</v>
      </c>
      <c r="F203" s="1063">
        <v>0</v>
      </c>
      <c r="G203" s="1063">
        <v>0</v>
      </c>
      <c r="H203" s="1063">
        <v>0</v>
      </c>
      <c r="I203" s="1063">
        <v>0</v>
      </c>
      <c r="J203" s="1063">
        <v>0</v>
      </c>
      <c r="K203" s="1063">
        <v>0</v>
      </c>
      <c r="L203" s="1063">
        <v>0</v>
      </c>
      <c r="M203" s="1063">
        <v>0</v>
      </c>
      <c r="N203" s="1063">
        <v>0</v>
      </c>
      <c r="O203" s="1063">
        <v>0</v>
      </c>
      <c r="P203" s="1063">
        <v>0</v>
      </c>
      <c r="Q203" s="1063">
        <v>0</v>
      </c>
      <c r="R203" s="1063">
        <v>0</v>
      </c>
      <c r="S203" s="1063">
        <v>0</v>
      </c>
      <c r="T203" s="1063">
        <v>0</v>
      </c>
      <c r="U203" s="1063">
        <v>0</v>
      </c>
      <c r="V203" s="1063"/>
      <c r="W203" s="1049"/>
      <c r="X203" s="1049"/>
      <c r="Y203" s="1049"/>
      <c r="Z203" s="1049"/>
      <c r="AA203" s="1066"/>
    </row>
    <row r="204" spans="1:80" s="418" customFormat="1" ht="41.4" x14ac:dyDescent="0.3">
      <c r="A204" s="1052">
        <v>554</v>
      </c>
      <c r="B204" s="1053">
        <v>554</v>
      </c>
      <c r="C204" s="1060" t="s">
        <v>1837</v>
      </c>
      <c r="D204" s="1080" t="s">
        <v>577</v>
      </c>
      <c r="E204" s="1062" t="s">
        <v>578</v>
      </c>
      <c r="F204" s="1063">
        <v>0</v>
      </c>
      <c r="G204" s="1063">
        <v>0</v>
      </c>
      <c r="H204" s="1063">
        <v>0</v>
      </c>
      <c r="I204" s="1063">
        <v>1143425</v>
      </c>
      <c r="J204" s="1063">
        <v>0</v>
      </c>
      <c r="K204" s="1063">
        <v>0</v>
      </c>
      <c r="L204" s="1063">
        <v>0</v>
      </c>
      <c r="M204" s="1063">
        <v>0</v>
      </c>
      <c r="N204" s="1063">
        <v>0</v>
      </c>
      <c r="O204" s="1063">
        <v>0</v>
      </c>
      <c r="P204" s="1063">
        <v>0</v>
      </c>
      <c r="Q204" s="1063">
        <v>0</v>
      </c>
      <c r="R204" s="1063">
        <v>0</v>
      </c>
      <c r="S204" s="1063">
        <v>0</v>
      </c>
      <c r="T204" s="1063">
        <v>0</v>
      </c>
      <c r="U204" s="1063">
        <v>0</v>
      </c>
      <c r="V204" s="1063"/>
      <c r="W204" s="1049"/>
      <c r="X204" s="1049"/>
      <c r="Y204" s="1064"/>
      <c r="Z204" s="1065"/>
      <c r="AA204" s="1066"/>
      <c r="AT204" s="418">
        <v>0</v>
      </c>
      <c r="AU204" s="418">
        <v>0</v>
      </c>
      <c r="AV204" s="418">
        <v>940284</v>
      </c>
      <c r="AW204" s="418">
        <v>0</v>
      </c>
      <c r="AX204" s="418">
        <v>0</v>
      </c>
      <c r="AY204" s="418">
        <v>0</v>
      </c>
      <c r="AZ204" s="418">
        <v>0</v>
      </c>
      <c r="BA204" s="418">
        <v>0</v>
      </c>
      <c r="BB204" s="418">
        <v>0</v>
      </c>
      <c r="BC204" s="418">
        <v>0</v>
      </c>
      <c r="BD204" s="418">
        <v>0</v>
      </c>
      <c r="BE204" s="418">
        <v>0</v>
      </c>
      <c r="BF204" s="418">
        <v>0</v>
      </c>
      <c r="BG204" s="418">
        <v>0</v>
      </c>
      <c r="BH204" s="418">
        <v>0</v>
      </c>
      <c r="BI204" s="418">
        <v>0</v>
      </c>
      <c r="BJ204" s="418">
        <v>0</v>
      </c>
      <c r="BK204" s="418">
        <v>0</v>
      </c>
      <c r="BL204" s="418">
        <v>0</v>
      </c>
      <c r="BM204" s="418">
        <v>0</v>
      </c>
      <c r="BN204" s="418">
        <v>0</v>
      </c>
      <c r="BO204" s="418">
        <v>781525</v>
      </c>
      <c r="BP204" s="418">
        <v>0</v>
      </c>
      <c r="BQ204" s="418">
        <v>0</v>
      </c>
      <c r="BR204" s="418">
        <v>0</v>
      </c>
      <c r="BS204" s="418">
        <v>0</v>
      </c>
      <c r="BT204" s="418">
        <v>641260</v>
      </c>
      <c r="BU204" s="418">
        <v>0</v>
      </c>
      <c r="BV204" s="418">
        <v>0</v>
      </c>
      <c r="BW204" s="418">
        <v>1438678</v>
      </c>
      <c r="BX204" s="418">
        <v>0</v>
      </c>
      <c r="BY204" s="418">
        <v>0</v>
      </c>
      <c r="BZ204" s="418">
        <v>0</v>
      </c>
      <c r="CA204" s="418">
        <v>152518</v>
      </c>
      <c r="CB204" s="418">
        <v>0</v>
      </c>
    </row>
    <row r="205" spans="1:80" s="418" customFormat="1" ht="41.4" x14ac:dyDescent="0.3">
      <c r="A205" s="1052">
        <v>555</v>
      </c>
      <c r="B205" s="1053">
        <v>555</v>
      </c>
      <c r="C205" s="1060" t="s">
        <v>1838</v>
      </c>
      <c r="D205" s="1080" t="s">
        <v>579</v>
      </c>
      <c r="E205" s="1062" t="s">
        <v>580</v>
      </c>
      <c r="F205" s="1063">
        <v>0</v>
      </c>
      <c r="G205" s="1063">
        <v>0</v>
      </c>
      <c r="H205" s="1063">
        <v>0</v>
      </c>
      <c r="I205" s="1063">
        <v>718830</v>
      </c>
      <c r="J205" s="1063">
        <v>0</v>
      </c>
      <c r="K205" s="1063">
        <v>0</v>
      </c>
      <c r="L205" s="1063">
        <v>0</v>
      </c>
      <c r="M205" s="1063">
        <v>0</v>
      </c>
      <c r="N205" s="1063">
        <v>0</v>
      </c>
      <c r="O205" s="1063">
        <v>0</v>
      </c>
      <c r="P205" s="1063">
        <v>0</v>
      </c>
      <c r="Q205" s="1063">
        <v>0</v>
      </c>
      <c r="R205" s="1063">
        <v>0</v>
      </c>
      <c r="S205" s="1063">
        <v>0</v>
      </c>
      <c r="T205" s="1063">
        <v>0</v>
      </c>
      <c r="U205" s="1063">
        <v>0</v>
      </c>
      <c r="V205" s="1063"/>
      <c r="W205" s="1049"/>
      <c r="X205" s="1049"/>
      <c r="Y205" s="1064"/>
      <c r="Z205" s="1065"/>
      <c r="AA205" s="1066"/>
      <c r="AT205" s="418">
        <v>0</v>
      </c>
      <c r="AU205" s="418">
        <v>0</v>
      </c>
      <c r="AV205" s="418">
        <v>830367</v>
      </c>
      <c r="AW205" s="418">
        <v>0</v>
      </c>
      <c r="AX205" s="418">
        <v>0</v>
      </c>
      <c r="AY205" s="418">
        <v>0</v>
      </c>
      <c r="AZ205" s="418">
        <v>0</v>
      </c>
      <c r="BA205" s="418">
        <v>0</v>
      </c>
      <c r="BB205" s="418">
        <v>0</v>
      </c>
      <c r="BC205" s="418">
        <v>0</v>
      </c>
      <c r="BD205" s="418">
        <v>0</v>
      </c>
      <c r="BE205" s="418">
        <v>0</v>
      </c>
      <c r="BF205" s="418">
        <v>0</v>
      </c>
      <c r="BG205" s="418">
        <v>0</v>
      </c>
      <c r="BH205" s="418">
        <v>0</v>
      </c>
      <c r="BI205" s="418">
        <v>0</v>
      </c>
      <c r="BJ205" s="418">
        <v>0</v>
      </c>
      <c r="BK205" s="418">
        <v>0</v>
      </c>
      <c r="BL205" s="418">
        <v>0</v>
      </c>
      <c r="BM205" s="418">
        <v>0</v>
      </c>
      <c r="BN205" s="418">
        <v>0</v>
      </c>
      <c r="BO205" s="418">
        <v>499643</v>
      </c>
      <c r="BP205" s="418">
        <v>0</v>
      </c>
      <c r="BQ205" s="418">
        <v>0</v>
      </c>
      <c r="BR205" s="418">
        <v>0</v>
      </c>
      <c r="BS205" s="418">
        <v>0</v>
      </c>
      <c r="BT205" s="418">
        <v>0</v>
      </c>
      <c r="BU205" s="418">
        <v>0</v>
      </c>
      <c r="BV205" s="418">
        <v>0</v>
      </c>
      <c r="BW205" s="418">
        <v>1371002</v>
      </c>
      <c r="BX205" s="418">
        <v>0</v>
      </c>
      <c r="BY205" s="418">
        <v>0</v>
      </c>
      <c r="BZ205" s="418">
        <v>0</v>
      </c>
      <c r="CA205" s="418">
        <v>0</v>
      </c>
      <c r="CB205" s="418">
        <v>0</v>
      </c>
    </row>
    <row r="206" spans="1:80" s="418" customFormat="1" ht="41.4" x14ac:dyDescent="0.3">
      <c r="A206" s="1052">
        <v>556</v>
      </c>
      <c r="B206" s="1053">
        <v>556</v>
      </c>
      <c r="C206" s="1060" t="s">
        <v>1839</v>
      </c>
      <c r="D206" s="1080" t="s">
        <v>581</v>
      </c>
      <c r="E206" s="1062" t="s">
        <v>582</v>
      </c>
      <c r="F206" s="1063">
        <v>0</v>
      </c>
      <c r="G206" s="1063">
        <v>0</v>
      </c>
      <c r="H206" s="1063">
        <v>0</v>
      </c>
      <c r="I206" s="1063">
        <v>0</v>
      </c>
      <c r="J206" s="1063">
        <v>0</v>
      </c>
      <c r="K206" s="1063">
        <v>0</v>
      </c>
      <c r="L206" s="1063">
        <v>0</v>
      </c>
      <c r="M206" s="1063">
        <v>0</v>
      </c>
      <c r="N206" s="1063">
        <v>0</v>
      </c>
      <c r="O206" s="1063">
        <v>0</v>
      </c>
      <c r="P206" s="1063">
        <v>0</v>
      </c>
      <c r="Q206" s="1063">
        <v>0</v>
      </c>
      <c r="R206" s="1063">
        <v>0</v>
      </c>
      <c r="S206" s="1063">
        <v>0</v>
      </c>
      <c r="T206" s="1063">
        <v>0</v>
      </c>
      <c r="U206" s="1063">
        <v>0</v>
      </c>
      <c r="V206" s="1063"/>
      <c r="W206" s="1049"/>
      <c r="X206" s="1049"/>
      <c r="Y206" s="1064"/>
      <c r="Z206" s="1065"/>
      <c r="AA206" s="1066"/>
      <c r="AT206" s="418">
        <v>0</v>
      </c>
      <c r="AU206" s="418">
        <v>0</v>
      </c>
      <c r="AV206" s="418">
        <v>385183</v>
      </c>
      <c r="AW206" s="418">
        <v>0</v>
      </c>
      <c r="AX206" s="418">
        <v>0</v>
      </c>
      <c r="AY206" s="418">
        <v>0</v>
      </c>
      <c r="AZ206" s="418">
        <v>563425</v>
      </c>
      <c r="BA206" s="418">
        <v>0</v>
      </c>
      <c r="BB206" s="418">
        <v>0</v>
      </c>
      <c r="BC206" s="418">
        <v>0</v>
      </c>
      <c r="BD206" s="418">
        <v>0</v>
      </c>
      <c r="BE206" s="418">
        <v>0</v>
      </c>
      <c r="BF206" s="418">
        <v>0</v>
      </c>
      <c r="BG206" s="418">
        <v>0</v>
      </c>
      <c r="BH206" s="418">
        <v>0</v>
      </c>
      <c r="BI206" s="418">
        <v>0</v>
      </c>
      <c r="BJ206" s="418">
        <v>0</v>
      </c>
      <c r="BK206" s="418">
        <v>0</v>
      </c>
      <c r="BL206" s="418">
        <v>0</v>
      </c>
      <c r="BM206" s="418">
        <v>0</v>
      </c>
      <c r="BN206" s="418">
        <v>0</v>
      </c>
      <c r="BO206" s="418">
        <v>274270</v>
      </c>
      <c r="BP206" s="418">
        <v>0</v>
      </c>
      <c r="BQ206" s="418">
        <v>0</v>
      </c>
      <c r="BR206" s="418">
        <v>0</v>
      </c>
      <c r="BS206" s="418">
        <v>0</v>
      </c>
      <c r="BT206" s="418">
        <v>939281</v>
      </c>
      <c r="BU206" s="418">
        <v>0</v>
      </c>
      <c r="BV206" s="418">
        <v>0</v>
      </c>
      <c r="BW206" s="418">
        <v>561499</v>
      </c>
      <c r="BX206" s="418">
        <v>0</v>
      </c>
      <c r="BY206" s="418">
        <v>0</v>
      </c>
      <c r="BZ206" s="418">
        <v>0</v>
      </c>
      <c r="CA206" s="418">
        <v>540334</v>
      </c>
      <c r="CB206" s="418">
        <v>0</v>
      </c>
    </row>
    <row r="207" spans="1:80" s="418" customFormat="1" ht="41.4" x14ac:dyDescent="0.3">
      <c r="A207" s="1052">
        <v>557</v>
      </c>
      <c r="B207" s="1053">
        <v>557</v>
      </c>
      <c r="C207" s="1060" t="s">
        <v>1840</v>
      </c>
      <c r="D207" s="1080" t="s">
        <v>583</v>
      </c>
      <c r="E207" s="1062" t="s">
        <v>584</v>
      </c>
      <c r="F207" s="1063">
        <v>0</v>
      </c>
      <c r="G207" s="1063">
        <v>0</v>
      </c>
      <c r="H207" s="1063">
        <v>0</v>
      </c>
      <c r="I207" s="1063">
        <v>0</v>
      </c>
      <c r="J207" s="1063">
        <v>0</v>
      </c>
      <c r="K207" s="1063">
        <v>0</v>
      </c>
      <c r="L207" s="1063">
        <v>0</v>
      </c>
      <c r="M207" s="1063">
        <v>0</v>
      </c>
      <c r="N207" s="1063">
        <v>0</v>
      </c>
      <c r="O207" s="1063">
        <v>0</v>
      </c>
      <c r="P207" s="1063">
        <v>0</v>
      </c>
      <c r="Q207" s="1063">
        <v>0</v>
      </c>
      <c r="R207" s="1063">
        <v>0</v>
      </c>
      <c r="S207" s="1063">
        <v>0</v>
      </c>
      <c r="T207" s="1063">
        <v>0</v>
      </c>
      <c r="U207" s="1063">
        <v>0</v>
      </c>
      <c r="V207" s="1063"/>
      <c r="W207" s="1049"/>
      <c r="X207" s="1049"/>
      <c r="Y207" s="1064"/>
      <c r="Z207" s="1065"/>
      <c r="AA207" s="1066"/>
      <c r="AT207" s="418">
        <v>0</v>
      </c>
      <c r="AU207" s="418">
        <v>0</v>
      </c>
      <c r="AV207" s="418">
        <v>380189</v>
      </c>
      <c r="AW207" s="418">
        <v>0</v>
      </c>
      <c r="AX207" s="418">
        <v>0</v>
      </c>
      <c r="AY207" s="418">
        <v>0</v>
      </c>
      <c r="AZ207" s="418">
        <v>244111</v>
      </c>
      <c r="BA207" s="418">
        <v>0</v>
      </c>
      <c r="BB207" s="418">
        <v>0</v>
      </c>
      <c r="BC207" s="418">
        <v>0</v>
      </c>
      <c r="BD207" s="418">
        <v>0</v>
      </c>
      <c r="BE207" s="418">
        <v>0</v>
      </c>
      <c r="BF207" s="418">
        <v>0</v>
      </c>
      <c r="BG207" s="418">
        <v>0</v>
      </c>
      <c r="BH207" s="418">
        <v>0</v>
      </c>
      <c r="BI207" s="418">
        <v>0</v>
      </c>
      <c r="BJ207" s="418">
        <v>0</v>
      </c>
      <c r="BK207" s="418">
        <v>0</v>
      </c>
      <c r="BL207" s="418">
        <v>0</v>
      </c>
      <c r="BM207" s="418">
        <v>0</v>
      </c>
      <c r="BN207" s="418">
        <v>0</v>
      </c>
      <c r="BO207" s="418">
        <v>0</v>
      </c>
      <c r="BP207" s="418">
        <v>0</v>
      </c>
      <c r="BQ207" s="418">
        <v>0</v>
      </c>
      <c r="BR207" s="418">
        <v>0</v>
      </c>
      <c r="BS207" s="418">
        <v>0</v>
      </c>
      <c r="BT207" s="418">
        <v>890616</v>
      </c>
      <c r="BU207" s="418">
        <v>0</v>
      </c>
      <c r="BV207" s="418">
        <v>0</v>
      </c>
      <c r="BW207" s="418">
        <v>450000</v>
      </c>
      <c r="BX207" s="418">
        <v>0</v>
      </c>
      <c r="BY207" s="418">
        <v>0</v>
      </c>
      <c r="BZ207" s="418">
        <v>0</v>
      </c>
      <c r="CA207" s="418">
        <v>360334</v>
      </c>
      <c r="CB207" s="418">
        <v>0</v>
      </c>
    </row>
    <row r="208" spans="1:80" s="418" customFormat="1" ht="27.6" x14ac:dyDescent="0.3">
      <c r="A208" s="1052">
        <v>558</v>
      </c>
      <c r="B208" s="1049"/>
      <c r="C208" s="1060" t="s">
        <v>1841</v>
      </c>
      <c r="D208" s="1071" t="s">
        <v>1433</v>
      </c>
      <c r="E208" s="1062" t="s">
        <v>585</v>
      </c>
      <c r="F208" s="1063">
        <v>0</v>
      </c>
      <c r="G208" s="1063">
        <v>0</v>
      </c>
      <c r="H208" s="1063">
        <v>0</v>
      </c>
      <c r="I208" s="1063">
        <v>0</v>
      </c>
      <c r="J208" s="1063">
        <v>0</v>
      </c>
      <c r="K208" s="1063">
        <v>0</v>
      </c>
      <c r="L208" s="1063">
        <v>0</v>
      </c>
      <c r="M208" s="1063">
        <v>0</v>
      </c>
      <c r="N208" s="1063">
        <v>0</v>
      </c>
      <c r="O208" s="1063">
        <v>0</v>
      </c>
      <c r="P208" s="1063">
        <v>0</v>
      </c>
      <c r="Q208" s="1063">
        <v>0</v>
      </c>
      <c r="R208" s="1063">
        <v>0</v>
      </c>
      <c r="S208" s="1063">
        <v>0</v>
      </c>
      <c r="T208" s="1063">
        <v>0</v>
      </c>
      <c r="U208" s="1063">
        <v>0</v>
      </c>
      <c r="V208" s="1063"/>
      <c r="W208" s="1049"/>
      <c r="X208" s="1049"/>
      <c r="Y208" s="1049"/>
      <c r="Z208" s="1049"/>
      <c r="AA208" s="1066"/>
    </row>
    <row r="209" spans="1:27" s="418" customFormat="1" ht="27.6" x14ac:dyDescent="0.3">
      <c r="A209" s="1052">
        <v>559</v>
      </c>
      <c r="B209" s="1049"/>
      <c r="C209" s="1060" t="s">
        <v>1842</v>
      </c>
      <c r="D209" s="1071" t="s">
        <v>1434</v>
      </c>
      <c r="E209" s="1062" t="s">
        <v>586</v>
      </c>
      <c r="F209" s="1063">
        <v>0</v>
      </c>
      <c r="G209" s="1063">
        <v>0</v>
      </c>
      <c r="H209" s="1063">
        <v>0</v>
      </c>
      <c r="I209" s="1063">
        <v>0</v>
      </c>
      <c r="J209" s="1063">
        <v>0</v>
      </c>
      <c r="K209" s="1063">
        <v>0</v>
      </c>
      <c r="L209" s="1063">
        <v>0</v>
      </c>
      <c r="M209" s="1063">
        <v>0</v>
      </c>
      <c r="N209" s="1063">
        <v>0</v>
      </c>
      <c r="O209" s="1063">
        <v>0</v>
      </c>
      <c r="P209" s="1063">
        <v>0</v>
      </c>
      <c r="Q209" s="1063">
        <v>0</v>
      </c>
      <c r="R209" s="1063">
        <v>0</v>
      </c>
      <c r="S209" s="1063">
        <v>0</v>
      </c>
      <c r="T209" s="1063">
        <v>0</v>
      </c>
      <c r="U209" s="1063">
        <v>0</v>
      </c>
      <c r="V209" s="1063"/>
      <c r="W209" s="1049"/>
      <c r="X209" s="1049"/>
      <c r="Y209" s="1049"/>
      <c r="Z209" s="1049"/>
      <c r="AA209" s="1066"/>
    </row>
    <row r="210" spans="1:27" s="418" customFormat="1" ht="27.6" x14ac:dyDescent="0.3">
      <c r="A210" s="1052">
        <v>560</v>
      </c>
      <c r="B210" s="1049"/>
      <c r="C210" s="1060" t="s">
        <v>1843</v>
      </c>
      <c r="D210" s="1061" t="s">
        <v>1435</v>
      </c>
      <c r="E210" s="1062" t="s">
        <v>587</v>
      </c>
      <c r="F210" s="1063">
        <v>0</v>
      </c>
      <c r="G210" s="1063">
        <v>0</v>
      </c>
      <c r="H210" s="1063">
        <v>0</v>
      </c>
      <c r="I210" s="1063">
        <v>0</v>
      </c>
      <c r="J210" s="1063">
        <v>0</v>
      </c>
      <c r="K210" s="1063">
        <v>0</v>
      </c>
      <c r="L210" s="1063">
        <v>0</v>
      </c>
      <c r="M210" s="1063">
        <v>0</v>
      </c>
      <c r="N210" s="1063">
        <v>0</v>
      </c>
      <c r="O210" s="1063">
        <v>0</v>
      </c>
      <c r="P210" s="1063">
        <v>0</v>
      </c>
      <c r="Q210" s="1063">
        <v>0</v>
      </c>
      <c r="R210" s="1063">
        <v>0</v>
      </c>
      <c r="S210" s="1063">
        <v>0</v>
      </c>
      <c r="T210" s="1063">
        <v>0</v>
      </c>
      <c r="U210" s="1063">
        <v>0</v>
      </c>
      <c r="V210" s="1063"/>
      <c r="W210" s="1049"/>
      <c r="X210" s="1049"/>
      <c r="Y210" s="1049"/>
      <c r="Z210" s="1049"/>
      <c r="AA210" s="1066"/>
    </row>
    <row r="211" spans="1:27" s="418" customFormat="1" ht="41.4" x14ac:dyDescent="0.3">
      <c r="A211" s="1052">
        <v>561</v>
      </c>
      <c r="B211" s="1049"/>
      <c r="C211" s="1060" t="s">
        <v>1844</v>
      </c>
      <c r="D211" s="1071" t="s">
        <v>1436</v>
      </c>
      <c r="E211" s="1062" t="s">
        <v>588</v>
      </c>
      <c r="F211" s="1063">
        <v>0</v>
      </c>
      <c r="G211" s="1063">
        <v>0</v>
      </c>
      <c r="H211" s="1063">
        <v>0</v>
      </c>
      <c r="I211" s="1063">
        <v>0</v>
      </c>
      <c r="J211" s="1063">
        <v>0</v>
      </c>
      <c r="K211" s="1063">
        <v>0</v>
      </c>
      <c r="L211" s="1063">
        <v>0</v>
      </c>
      <c r="M211" s="1063">
        <v>0</v>
      </c>
      <c r="N211" s="1063">
        <v>0</v>
      </c>
      <c r="O211" s="1063">
        <v>0</v>
      </c>
      <c r="P211" s="1063">
        <v>0</v>
      </c>
      <c r="Q211" s="1063">
        <v>0</v>
      </c>
      <c r="R211" s="1063">
        <v>0</v>
      </c>
      <c r="S211" s="1063">
        <v>0</v>
      </c>
      <c r="T211" s="1063">
        <v>0</v>
      </c>
      <c r="U211" s="1063">
        <v>0</v>
      </c>
      <c r="V211" s="1063"/>
      <c r="W211" s="1049"/>
      <c r="X211" s="1049"/>
      <c r="Y211" s="1049"/>
      <c r="Z211" s="1049"/>
      <c r="AA211" s="1066"/>
    </row>
    <row r="212" spans="1:27" s="418" customFormat="1" ht="27.6" x14ac:dyDescent="0.3">
      <c r="A212" s="1052">
        <v>562</v>
      </c>
      <c r="B212" s="1049"/>
      <c r="C212" s="1060" t="s">
        <v>1845</v>
      </c>
      <c r="D212" s="1071" t="s">
        <v>1442</v>
      </c>
      <c r="E212" s="1062" t="s">
        <v>589</v>
      </c>
      <c r="F212" s="1063">
        <v>0</v>
      </c>
      <c r="G212" s="1063">
        <v>0</v>
      </c>
      <c r="H212" s="1063">
        <v>0</v>
      </c>
      <c r="I212" s="1063">
        <v>0</v>
      </c>
      <c r="J212" s="1063">
        <v>0</v>
      </c>
      <c r="K212" s="1063">
        <v>0</v>
      </c>
      <c r="L212" s="1063">
        <v>0</v>
      </c>
      <c r="M212" s="1063">
        <v>0</v>
      </c>
      <c r="N212" s="1063">
        <v>0</v>
      </c>
      <c r="O212" s="1063">
        <v>0</v>
      </c>
      <c r="P212" s="1063">
        <v>0</v>
      </c>
      <c r="Q212" s="1063">
        <v>0</v>
      </c>
      <c r="R212" s="1063">
        <v>0</v>
      </c>
      <c r="S212" s="1063">
        <v>0</v>
      </c>
      <c r="T212" s="1063">
        <v>0</v>
      </c>
      <c r="U212" s="1063">
        <v>0</v>
      </c>
      <c r="V212" s="1063"/>
      <c r="W212" s="1049"/>
      <c r="X212" s="1049"/>
      <c r="Y212" s="1049"/>
      <c r="Z212" s="1049"/>
      <c r="AA212" s="1066"/>
    </row>
    <row r="213" spans="1:27" s="418" customFormat="1" ht="27.6" x14ac:dyDescent="0.3">
      <c r="A213" s="1052">
        <v>563</v>
      </c>
      <c r="B213" s="1049"/>
      <c r="C213" s="1060" t="s">
        <v>1846</v>
      </c>
      <c r="D213" s="1071" t="s">
        <v>1437</v>
      </c>
      <c r="E213" s="1062" t="s">
        <v>590</v>
      </c>
      <c r="F213" s="1063">
        <v>0</v>
      </c>
      <c r="G213" s="1063">
        <v>0</v>
      </c>
      <c r="H213" s="1063">
        <v>0</v>
      </c>
      <c r="I213" s="1063">
        <v>0</v>
      </c>
      <c r="J213" s="1063">
        <v>0</v>
      </c>
      <c r="K213" s="1063">
        <v>0</v>
      </c>
      <c r="L213" s="1063">
        <v>0</v>
      </c>
      <c r="M213" s="1063">
        <v>0</v>
      </c>
      <c r="N213" s="1063">
        <v>0</v>
      </c>
      <c r="O213" s="1063">
        <v>0</v>
      </c>
      <c r="P213" s="1063">
        <v>0</v>
      </c>
      <c r="Q213" s="1063">
        <v>0</v>
      </c>
      <c r="R213" s="1063">
        <v>0</v>
      </c>
      <c r="S213" s="1063">
        <v>0</v>
      </c>
      <c r="T213" s="1063">
        <v>0</v>
      </c>
      <c r="U213" s="1063">
        <v>0</v>
      </c>
      <c r="V213" s="1063"/>
      <c r="W213" s="1049"/>
      <c r="X213" s="1049"/>
      <c r="Y213" s="1049"/>
      <c r="Z213" s="1049"/>
      <c r="AA213" s="1066"/>
    </row>
    <row r="214" spans="1:27" s="418" customFormat="1" ht="27.6" x14ac:dyDescent="0.3">
      <c r="A214" s="1052">
        <v>564</v>
      </c>
      <c r="B214" s="1049"/>
      <c r="C214" s="1060" t="s">
        <v>1847</v>
      </c>
      <c r="D214" s="1071" t="s">
        <v>1438</v>
      </c>
      <c r="E214" s="1062" t="s">
        <v>591</v>
      </c>
      <c r="F214" s="1063">
        <v>0</v>
      </c>
      <c r="G214" s="1063">
        <v>0</v>
      </c>
      <c r="H214" s="1063">
        <v>0</v>
      </c>
      <c r="I214" s="1063">
        <v>0</v>
      </c>
      <c r="J214" s="1063">
        <v>0</v>
      </c>
      <c r="K214" s="1063">
        <v>0</v>
      </c>
      <c r="L214" s="1063">
        <v>0</v>
      </c>
      <c r="M214" s="1063">
        <v>0</v>
      </c>
      <c r="N214" s="1063">
        <v>0</v>
      </c>
      <c r="O214" s="1063">
        <v>0</v>
      </c>
      <c r="P214" s="1063">
        <v>0</v>
      </c>
      <c r="Q214" s="1063">
        <v>0</v>
      </c>
      <c r="R214" s="1063">
        <v>0</v>
      </c>
      <c r="S214" s="1063">
        <v>0</v>
      </c>
      <c r="T214" s="1063">
        <v>0</v>
      </c>
      <c r="U214" s="1063">
        <v>0</v>
      </c>
      <c r="V214" s="1063"/>
      <c r="W214" s="1049"/>
      <c r="X214" s="1049"/>
      <c r="Y214" s="1049"/>
      <c r="Z214" s="1049"/>
      <c r="AA214" s="1066"/>
    </row>
    <row r="215" spans="1:27" s="418" customFormat="1" ht="27.6" x14ac:dyDescent="0.3">
      <c r="A215" s="1052">
        <v>565</v>
      </c>
      <c r="B215" s="1049"/>
      <c r="C215" s="1060" t="s">
        <v>1848</v>
      </c>
      <c r="D215" s="1071" t="s">
        <v>1573</v>
      </c>
      <c r="E215" s="1062" t="s">
        <v>592</v>
      </c>
      <c r="F215" s="1063">
        <v>0</v>
      </c>
      <c r="G215" s="1063">
        <v>0</v>
      </c>
      <c r="H215" s="1063">
        <v>0</v>
      </c>
      <c r="I215" s="1063">
        <v>0</v>
      </c>
      <c r="J215" s="1063">
        <v>0</v>
      </c>
      <c r="K215" s="1063">
        <v>0</v>
      </c>
      <c r="L215" s="1063">
        <v>0</v>
      </c>
      <c r="M215" s="1063">
        <v>0</v>
      </c>
      <c r="N215" s="1063">
        <v>0</v>
      </c>
      <c r="O215" s="1063">
        <v>0</v>
      </c>
      <c r="P215" s="1063">
        <v>0</v>
      </c>
      <c r="Q215" s="1063">
        <v>0</v>
      </c>
      <c r="R215" s="1063">
        <v>0</v>
      </c>
      <c r="S215" s="1063">
        <v>0</v>
      </c>
      <c r="T215" s="1063">
        <v>0</v>
      </c>
      <c r="U215" s="1063">
        <v>0</v>
      </c>
      <c r="V215" s="1063"/>
      <c r="W215" s="1049"/>
      <c r="X215" s="1049"/>
      <c r="Y215" s="1049"/>
      <c r="Z215" s="1049"/>
      <c r="AA215" s="1066"/>
    </row>
    <row r="216" spans="1:27" s="418" customFormat="1" ht="27.6" x14ac:dyDescent="0.3">
      <c r="A216" s="1052">
        <v>566</v>
      </c>
      <c r="B216" s="1049"/>
      <c r="C216" s="1060" t="s">
        <v>1849</v>
      </c>
      <c r="D216" s="1071" t="s">
        <v>1440</v>
      </c>
      <c r="E216" s="1062" t="s">
        <v>593</v>
      </c>
      <c r="F216" s="1063">
        <v>0</v>
      </c>
      <c r="G216" s="1063">
        <v>0</v>
      </c>
      <c r="H216" s="1063">
        <v>0</v>
      </c>
      <c r="I216" s="1063">
        <v>0</v>
      </c>
      <c r="J216" s="1063">
        <v>0</v>
      </c>
      <c r="K216" s="1063">
        <v>0</v>
      </c>
      <c r="L216" s="1063">
        <v>0</v>
      </c>
      <c r="M216" s="1063">
        <v>0</v>
      </c>
      <c r="N216" s="1063">
        <v>0</v>
      </c>
      <c r="O216" s="1063">
        <v>0</v>
      </c>
      <c r="P216" s="1063">
        <v>0</v>
      </c>
      <c r="Q216" s="1063">
        <v>0</v>
      </c>
      <c r="R216" s="1063">
        <v>0</v>
      </c>
      <c r="S216" s="1063">
        <v>0</v>
      </c>
      <c r="T216" s="1063">
        <v>0</v>
      </c>
      <c r="U216" s="1063">
        <v>0</v>
      </c>
      <c r="V216" s="1063"/>
      <c r="W216" s="1049"/>
      <c r="X216" s="1049"/>
      <c r="Y216" s="1049"/>
      <c r="Z216" s="1049"/>
      <c r="AA216" s="1066"/>
    </row>
    <row r="217" spans="1:27" s="418" customFormat="1" ht="27.6" x14ac:dyDescent="0.3">
      <c r="A217" s="1052">
        <v>567</v>
      </c>
      <c r="B217" s="1049"/>
      <c r="C217" s="1060" t="s">
        <v>1850</v>
      </c>
      <c r="D217" s="1071" t="s">
        <v>1441</v>
      </c>
      <c r="E217" s="1062" t="s">
        <v>594</v>
      </c>
      <c r="F217" s="1063">
        <v>0</v>
      </c>
      <c r="G217" s="1063">
        <v>0</v>
      </c>
      <c r="H217" s="1063">
        <v>0</v>
      </c>
      <c r="I217" s="1063">
        <v>0</v>
      </c>
      <c r="J217" s="1063">
        <v>0</v>
      </c>
      <c r="K217" s="1063">
        <v>0</v>
      </c>
      <c r="L217" s="1063">
        <v>0</v>
      </c>
      <c r="M217" s="1063">
        <v>0</v>
      </c>
      <c r="N217" s="1063">
        <v>0</v>
      </c>
      <c r="O217" s="1063">
        <v>0</v>
      </c>
      <c r="P217" s="1063">
        <v>0</v>
      </c>
      <c r="Q217" s="1063">
        <v>0</v>
      </c>
      <c r="R217" s="1063">
        <v>0</v>
      </c>
      <c r="S217" s="1063">
        <v>0</v>
      </c>
      <c r="T217" s="1063">
        <v>0</v>
      </c>
      <c r="U217" s="1063">
        <v>0</v>
      </c>
      <c r="V217" s="1063"/>
      <c r="W217" s="1049"/>
      <c r="X217" s="1049"/>
      <c r="Y217" s="1049"/>
      <c r="Z217" s="1049"/>
      <c r="AA217" s="1066"/>
    </row>
    <row r="218" spans="1:27" s="418" customFormat="1" ht="15.6" x14ac:dyDescent="0.3">
      <c r="A218" s="1052">
        <v>568</v>
      </c>
      <c r="B218" s="1049"/>
      <c r="C218" s="1060" t="s">
        <v>1851</v>
      </c>
      <c r="D218" s="1071" t="s">
        <v>1439</v>
      </c>
      <c r="E218" s="1062" t="s">
        <v>595</v>
      </c>
      <c r="F218" s="1063">
        <v>0</v>
      </c>
      <c r="G218" s="1063">
        <v>0</v>
      </c>
      <c r="H218" s="1063">
        <v>0</v>
      </c>
      <c r="I218" s="1063">
        <v>0</v>
      </c>
      <c r="J218" s="1063">
        <v>0</v>
      </c>
      <c r="K218" s="1063">
        <v>0</v>
      </c>
      <c r="L218" s="1063">
        <v>0</v>
      </c>
      <c r="M218" s="1063">
        <v>0</v>
      </c>
      <c r="N218" s="1063">
        <v>0</v>
      </c>
      <c r="O218" s="1063">
        <v>0</v>
      </c>
      <c r="P218" s="1063">
        <v>0</v>
      </c>
      <c r="Q218" s="1063">
        <v>0</v>
      </c>
      <c r="R218" s="1063">
        <v>0</v>
      </c>
      <c r="S218" s="1063">
        <v>0</v>
      </c>
      <c r="T218" s="1063">
        <v>0</v>
      </c>
      <c r="U218" s="1063">
        <v>0</v>
      </c>
      <c r="V218" s="1063"/>
      <c r="W218" s="1049"/>
      <c r="X218" s="1049"/>
      <c r="Y218" s="1049"/>
      <c r="Z218" s="1049"/>
      <c r="AA218" s="1066"/>
    </row>
    <row r="219" spans="1:27" s="418" customFormat="1" ht="27.6" x14ac:dyDescent="0.3">
      <c r="A219" s="1052">
        <v>569</v>
      </c>
      <c r="B219" s="1049"/>
      <c r="C219" s="1060" t="s">
        <v>1852</v>
      </c>
      <c r="D219" s="1071" t="s">
        <v>1443</v>
      </c>
      <c r="E219" s="1062" t="s">
        <v>596</v>
      </c>
      <c r="F219" s="1063">
        <v>0</v>
      </c>
      <c r="G219" s="1063">
        <v>0</v>
      </c>
      <c r="H219" s="1063">
        <v>0</v>
      </c>
      <c r="I219" s="1063">
        <v>0</v>
      </c>
      <c r="J219" s="1063">
        <v>0</v>
      </c>
      <c r="K219" s="1063">
        <v>0</v>
      </c>
      <c r="L219" s="1063">
        <v>0</v>
      </c>
      <c r="M219" s="1063">
        <v>0</v>
      </c>
      <c r="N219" s="1063">
        <v>0</v>
      </c>
      <c r="O219" s="1063">
        <v>0</v>
      </c>
      <c r="P219" s="1063">
        <v>0</v>
      </c>
      <c r="Q219" s="1063">
        <v>0</v>
      </c>
      <c r="R219" s="1063">
        <v>0</v>
      </c>
      <c r="S219" s="1063">
        <v>0</v>
      </c>
      <c r="T219" s="1063">
        <v>0</v>
      </c>
      <c r="U219" s="1063">
        <v>0</v>
      </c>
      <c r="V219" s="1063"/>
      <c r="W219" s="1049"/>
      <c r="X219" s="1049"/>
      <c r="Y219" s="1049"/>
      <c r="Z219" s="1049"/>
      <c r="AA219" s="1066"/>
    </row>
    <row r="220" spans="1:27" s="418" customFormat="1" ht="27.6" x14ac:dyDescent="0.3">
      <c r="A220" s="1052">
        <v>570</v>
      </c>
      <c r="B220" s="1049"/>
      <c r="C220" s="1060" t="s">
        <v>1853</v>
      </c>
      <c r="D220" s="1071" t="s">
        <v>1854</v>
      </c>
      <c r="E220" s="1062" t="s">
        <v>597</v>
      </c>
      <c r="F220" s="1063">
        <v>0</v>
      </c>
      <c r="G220" s="1063">
        <v>0</v>
      </c>
      <c r="H220" s="1063">
        <v>0</v>
      </c>
      <c r="I220" s="1063">
        <v>0</v>
      </c>
      <c r="J220" s="1063">
        <v>0</v>
      </c>
      <c r="K220" s="1063">
        <v>0</v>
      </c>
      <c r="L220" s="1063">
        <v>0</v>
      </c>
      <c r="M220" s="1063">
        <v>0</v>
      </c>
      <c r="N220" s="1063">
        <v>0</v>
      </c>
      <c r="O220" s="1063">
        <v>0</v>
      </c>
      <c r="P220" s="1063">
        <v>0</v>
      </c>
      <c r="Q220" s="1063">
        <v>0</v>
      </c>
      <c r="R220" s="1063">
        <v>0</v>
      </c>
      <c r="S220" s="1063">
        <v>0</v>
      </c>
      <c r="T220" s="1063">
        <v>0</v>
      </c>
      <c r="U220" s="1063">
        <v>0</v>
      </c>
      <c r="V220" s="1063"/>
      <c r="W220" s="1049"/>
      <c r="X220" s="1049"/>
      <c r="Y220" s="1049"/>
      <c r="Z220" s="1049"/>
      <c r="AA220" s="1066"/>
    </row>
    <row r="221" spans="1:27" s="418" customFormat="1" ht="27.6" x14ac:dyDescent="0.3">
      <c r="A221" s="1052">
        <v>571</v>
      </c>
      <c r="B221" s="1049"/>
      <c r="C221" s="1060" t="s">
        <v>1855</v>
      </c>
      <c r="D221" s="1071" t="s">
        <v>1415</v>
      </c>
      <c r="E221" s="1062" t="s">
        <v>598</v>
      </c>
      <c r="F221" s="1063">
        <v>0</v>
      </c>
      <c r="G221" s="1063">
        <v>0</v>
      </c>
      <c r="H221" s="1063">
        <v>0</v>
      </c>
      <c r="I221" s="1063">
        <v>0</v>
      </c>
      <c r="J221" s="1063">
        <v>0</v>
      </c>
      <c r="K221" s="1063">
        <v>0</v>
      </c>
      <c r="L221" s="1063">
        <v>0</v>
      </c>
      <c r="M221" s="1063">
        <v>0</v>
      </c>
      <c r="N221" s="1063">
        <v>0</v>
      </c>
      <c r="O221" s="1063">
        <v>0</v>
      </c>
      <c r="P221" s="1063">
        <v>0</v>
      </c>
      <c r="Q221" s="1063">
        <v>0</v>
      </c>
      <c r="R221" s="1063">
        <v>0</v>
      </c>
      <c r="S221" s="1063">
        <v>0</v>
      </c>
      <c r="T221" s="1063">
        <v>0</v>
      </c>
      <c r="U221" s="1063">
        <v>0</v>
      </c>
      <c r="V221" s="1063"/>
      <c r="W221" s="1049"/>
      <c r="X221" s="1049"/>
      <c r="Y221" s="1049"/>
      <c r="Z221" s="1049"/>
      <c r="AA221" s="1066"/>
    </row>
    <row r="222" spans="1:27" s="418" customFormat="1" ht="27.6" x14ac:dyDescent="0.3">
      <c r="A222" s="1052">
        <v>572</v>
      </c>
      <c r="B222" s="1049"/>
      <c r="C222" s="1060" t="s">
        <v>1856</v>
      </c>
      <c r="D222" s="1071" t="s">
        <v>1416</v>
      </c>
      <c r="E222" s="1062" t="s">
        <v>599</v>
      </c>
      <c r="F222" s="1063">
        <v>0</v>
      </c>
      <c r="G222" s="1063">
        <v>0</v>
      </c>
      <c r="H222" s="1063">
        <v>0</v>
      </c>
      <c r="I222" s="1063">
        <v>0</v>
      </c>
      <c r="J222" s="1063">
        <v>0</v>
      </c>
      <c r="K222" s="1063">
        <v>0</v>
      </c>
      <c r="L222" s="1063">
        <v>0</v>
      </c>
      <c r="M222" s="1063">
        <v>0</v>
      </c>
      <c r="N222" s="1063">
        <v>0</v>
      </c>
      <c r="O222" s="1063">
        <v>0</v>
      </c>
      <c r="P222" s="1063">
        <v>0</v>
      </c>
      <c r="Q222" s="1063">
        <v>0</v>
      </c>
      <c r="R222" s="1063">
        <v>0</v>
      </c>
      <c r="S222" s="1063">
        <v>0</v>
      </c>
      <c r="T222" s="1063">
        <v>0</v>
      </c>
      <c r="U222" s="1063">
        <v>0</v>
      </c>
      <c r="V222" s="1063"/>
      <c r="W222" s="1049"/>
      <c r="X222" s="1049"/>
      <c r="Y222" s="1049"/>
      <c r="Z222" s="1049"/>
      <c r="AA222" s="1066"/>
    </row>
    <row r="223" spans="1:27" s="418" customFormat="1" ht="27.6" x14ac:dyDescent="0.3">
      <c r="A223" s="1052">
        <v>573</v>
      </c>
      <c r="B223" s="1049"/>
      <c r="C223" s="1060" t="s">
        <v>1857</v>
      </c>
      <c r="D223" s="1071" t="s">
        <v>1574</v>
      </c>
      <c r="E223" s="1062" t="s">
        <v>600</v>
      </c>
      <c r="F223" s="1063">
        <v>0</v>
      </c>
      <c r="G223" s="1063">
        <v>0</v>
      </c>
      <c r="H223" s="1063">
        <v>0</v>
      </c>
      <c r="I223" s="1063">
        <v>0</v>
      </c>
      <c r="J223" s="1063">
        <v>0</v>
      </c>
      <c r="K223" s="1063">
        <v>0</v>
      </c>
      <c r="L223" s="1063">
        <v>0</v>
      </c>
      <c r="M223" s="1063">
        <v>0</v>
      </c>
      <c r="N223" s="1063">
        <v>0</v>
      </c>
      <c r="O223" s="1063">
        <v>0</v>
      </c>
      <c r="P223" s="1063">
        <v>0</v>
      </c>
      <c r="Q223" s="1063">
        <v>0</v>
      </c>
      <c r="R223" s="1063">
        <v>0</v>
      </c>
      <c r="S223" s="1063">
        <v>0</v>
      </c>
      <c r="T223" s="1063">
        <v>0</v>
      </c>
      <c r="U223" s="1063">
        <v>0</v>
      </c>
      <c r="V223" s="1063"/>
      <c r="W223" s="1049"/>
      <c r="X223" s="1049"/>
      <c r="Y223" s="1049"/>
      <c r="Z223" s="1049"/>
      <c r="AA223" s="1066"/>
    </row>
    <row r="224" spans="1:27" s="418" customFormat="1" ht="15.6" x14ac:dyDescent="0.3">
      <c r="A224" s="1052">
        <v>574</v>
      </c>
      <c r="B224" s="1049"/>
      <c r="C224" s="1060" t="s">
        <v>1858</v>
      </c>
      <c r="D224" s="1071" t="s">
        <v>1859</v>
      </c>
      <c r="E224" s="1062" t="s">
        <v>601</v>
      </c>
      <c r="F224" s="1063">
        <v>0</v>
      </c>
      <c r="G224" s="1063">
        <v>0</v>
      </c>
      <c r="H224" s="1063">
        <v>0</v>
      </c>
      <c r="I224" s="1063">
        <v>0</v>
      </c>
      <c r="J224" s="1063">
        <v>0</v>
      </c>
      <c r="K224" s="1063">
        <v>0</v>
      </c>
      <c r="L224" s="1063">
        <v>0</v>
      </c>
      <c r="M224" s="1063">
        <v>0</v>
      </c>
      <c r="N224" s="1063">
        <v>0</v>
      </c>
      <c r="O224" s="1063">
        <v>0</v>
      </c>
      <c r="P224" s="1063">
        <v>0</v>
      </c>
      <c r="Q224" s="1063">
        <v>0</v>
      </c>
      <c r="R224" s="1063">
        <v>0</v>
      </c>
      <c r="S224" s="1063">
        <v>0</v>
      </c>
      <c r="T224" s="1063">
        <v>0</v>
      </c>
      <c r="U224" s="1063">
        <v>0</v>
      </c>
      <c r="V224" s="1063"/>
      <c r="W224" s="1049"/>
      <c r="X224" s="1049"/>
      <c r="Y224" s="1049"/>
      <c r="Z224" s="1049"/>
      <c r="AA224" s="1066"/>
    </row>
    <row r="225" spans="1:80" s="418" customFormat="1" x14ac:dyDescent="0.3">
      <c r="A225" s="1052">
        <v>575</v>
      </c>
      <c r="B225" s="1049"/>
      <c r="C225" s="1056">
        <v>575</v>
      </c>
      <c r="D225" s="1052" t="s">
        <v>547</v>
      </c>
      <c r="E225" s="1052" t="s">
        <v>622</v>
      </c>
      <c r="F225" s="1063">
        <v>0</v>
      </c>
      <c r="G225" s="1063">
        <v>0</v>
      </c>
      <c r="H225" s="1063">
        <v>0</v>
      </c>
      <c r="I225" s="1063">
        <v>0</v>
      </c>
      <c r="J225" s="1063">
        <v>0</v>
      </c>
      <c r="K225" s="1063">
        <v>0</v>
      </c>
      <c r="L225" s="1063">
        <v>0</v>
      </c>
      <c r="M225" s="1063">
        <v>0</v>
      </c>
      <c r="N225" s="1063">
        <v>0</v>
      </c>
      <c r="O225" s="1063">
        <v>0</v>
      </c>
      <c r="P225" s="1063">
        <v>0</v>
      </c>
      <c r="Q225" s="1063">
        <v>0</v>
      </c>
      <c r="R225" s="1063">
        <v>0</v>
      </c>
      <c r="S225" s="1063">
        <v>0</v>
      </c>
      <c r="T225" s="1063">
        <v>0</v>
      </c>
      <c r="U225" s="1063">
        <v>0</v>
      </c>
      <c r="V225" s="1063"/>
      <c r="W225" s="1049"/>
      <c r="X225" s="1049"/>
      <c r="Y225" s="1049"/>
      <c r="Z225" s="1049"/>
      <c r="AA225" s="1066"/>
      <c r="AT225" s="418">
        <v>0</v>
      </c>
      <c r="AU225" s="418">
        <v>0</v>
      </c>
      <c r="AV225" s="418">
        <v>0</v>
      </c>
      <c r="AW225" s="418">
        <v>0</v>
      </c>
      <c r="AX225" s="418">
        <v>0</v>
      </c>
      <c r="AY225" s="418">
        <v>0</v>
      </c>
      <c r="AZ225" s="418">
        <v>8</v>
      </c>
      <c r="BA225" s="418">
        <v>50000</v>
      </c>
      <c r="BB225" s="418">
        <v>16123</v>
      </c>
      <c r="BC225" s="418">
        <v>0</v>
      </c>
      <c r="BD225" s="418">
        <v>0</v>
      </c>
      <c r="BE225" s="418">
        <v>0</v>
      </c>
      <c r="BF225" s="418">
        <v>0</v>
      </c>
      <c r="BG225" s="418">
        <v>0</v>
      </c>
      <c r="BH225" s="418">
        <v>0</v>
      </c>
      <c r="BI225" s="418">
        <v>0</v>
      </c>
      <c r="BJ225" s="418">
        <v>0</v>
      </c>
      <c r="BK225" s="418">
        <v>0</v>
      </c>
      <c r="BL225" s="418">
        <v>0</v>
      </c>
      <c r="BM225" s="418">
        <v>0</v>
      </c>
      <c r="BN225" s="418">
        <v>0</v>
      </c>
      <c r="BO225" s="418">
        <v>96223</v>
      </c>
      <c r="BP225" s="418">
        <v>0</v>
      </c>
      <c r="BQ225" s="418">
        <v>0</v>
      </c>
      <c r="BR225" s="418">
        <v>0</v>
      </c>
      <c r="BS225" s="418">
        <v>0</v>
      </c>
      <c r="BT225" s="418">
        <v>0</v>
      </c>
      <c r="BU225" s="418">
        <v>0</v>
      </c>
      <c r="BV225" s="418">
        <v>0</v>
      </c>
      <c r="BW225" s="418">
        <v>9257</v>
      </c>
      <c r="BX225" s="418">
        <v>21797</v>
      </c>
      <c r="BY225" s="418">
        <v>0</v>
      </c>
      <c r="BZ225" s="418">
        <v>0</v>
      </c>
      <c r="CA225" s="418">
        <v>0</v>
      </c>
      <c r="CB225" s="418">
        <v>0</v>
      </c>
    </row>
    <row r="226" spans="1:80" s="418" customFormat="1" x14ac:dyDescent="0.3">
      <c r="A226" s="1052">
        <v>576</v>
      </c>
      <c r="B226" s="1049"/>
      <c r="C226" s="1056">
        <v>576</v>
      </c>
      <c r="D226" s="1052" t="s">
        <v>548</v>
      </c>
      <c r="E226" s="1052" t="s">
        <v>623</v>
      </c>
      <c r="F226" s="1063">
        <v>0</v>
      </c>
      <c r="G226" s="1063">
        <v>0</v>
      </c>
      <c r="H226" s="1063">
        <v>0</v>
      </c>
      <c r="I226" s="1063">
        <v>0</v>
      </c>
      <c r="J226" s="1063">
        <v>0</v>
      </c>
      <c r="K226" s="1063">
        <v>0</v>
      </c>
      <c r="L226" s="1063">
        <v>0</v>
      </c>
      <c r="M226" s="1063">
        <v>0</v>
      </c>
      <c r="N226" s="1063">
        <v>0</v>
      </c>
      <c r="O226" s="1063">
        <v>0</v>
      </c>
      <c r="P226" s="1063">
        <v>0</v>
      </c>
      <c r="Q226" s="1063">
        <v>0</v>
      </c>
      <c r="R226" s="1063">
        <v>0</v>
      </c>
      <c r="S226" s="1063">
        <v>0</v>
      </c>
      <c r="T226" s="1063">
        <v>0</v>
      </c>
      <c r="U226" s="1063">
        <v>0</v>
      </c>
      <c r="V226" s="1063"/>
      <c r="W226" s="1049"/>
      <c r="X226" s="1049"/>
      <c r="Y226" s="1049"/>
      <c r="Z226" s="1049"/>
      <c r="AA226" s="1066"/>
      <c r="AT226" s="418">
        <v>0</v>
      </c>
      <c r="AU226" s="418">
        <v>0</v>
      </c>
      <c r="AV226" s="418">
        <v>954156</v>
      </c>
      <c r="AW226" s="418">
        <v>44217</v>
      </c>
      <c r="AX226" s="418">
        <v>0</v>
      </c>
      <c r="AY226" s="418">
        <v>0</v>
      </c>
      <c r="AZ226" s="418">
        <v>0</v>
      </c>
      <c r="BA226" s="418">
        <v>0</v>
      </c>
      <c r="BB226" s="418">
        <v>0</v>
      </c>
      <c r="BC226" s="418">
        <v>0</v>
      </c>
      <c r="BD226" s="418">
        <v>0</v>
      </c>
      <c r="BE226" s="418">
        <v>0</v>
      </c>
      <c r="BF226" s="418">
        <v>1627000</v>
      </c>
      <c r="BG226" s="418">
        <v>0</v>
      </c>
      <c r="BH226" s="418">
        <v>0</v>
      </c>
      <c r="BI226" s="418">
        <v>0</v>
      </c>
      <c r="BJ226" s="418">
        <v>0</v>
      </c>
      <c r="BK226" s="418">
        <v>0</v>
      </c>
      <c r="BL226" s="418">
        <v>0</v>
      </c>
      <c r="BM226" s="418">
        <v>0</v>
      </c>
      <c r="BN226" s="418">
        <v>0</v>
      </c>
      <c r="BO226" s="418">
        <v>0</v>
      </c>
      <c r="BP226" s="418">
        <v>348103</v>
      </c>
      <c r="BQ226" s="418">
        <v>0</v>
      </c>
      <c r="BR226" s="418">
        <v>0</v>
      </c>
      <c r="BS226" s="418">
        <v>0</v>
      </c>
      <c r="BT226" s="418">
        <v>0</v>
      </c>
      <c r="BU226" s="418">
        <v>40000</v>
      </c>
      <c r="BV226" s="418">
        <v>16959</v>
      </c>
      <c r="BW226" s="418">
        <v>0</v>
      </c>
      <c r="BX226" s="418">
        <v>0</v>
      </c>
      <c r="BY226" s="418">
        <v>0</v>
      </c>
      <c r="BZ226" s="418">
        <v>0</v>
      </c>
      <c r="CA226" s="418">
        <v>0</v>
      </c>
      <c r="CB226" s="418">
        <v>0</v>
      </c>
    </row>
    <row r="227" spans="1:80" s="418" customFormat="1" x14ac:dyDescent="0.3">
      <c r="A227" s="1052">
        <v>577</v>
      </c>
      <c r="B227" s="1053">
        <v>577</v>
      </c>
      <c r="C227" s="1056">
        <v>577</v>
      </c>
      <c r="D227" s="1052" t="s">
        <v>624</v>
      </c>
      <c r="E227" s="1052" t="s">
        <v>625</v>
      </c>
      <c r="F227" s="1063">
        <v>0</v>
      </c>
      <c r="G227" s="1063">
        <v>1</v>
      </c>
      <c r="H227" s="1063">
        <v>0</v>
      </c>
      <c r="I227" s="1063">
        <v>1</v>
      </c>
      <c r="J227" s="1063">
        <v>0</v>
      </c>
      <c r="K227" s="1063">
        <v>0</v>
      </c>
      <c r="L227" s="1063">
        <v>0</v>
      </c>
      <c r="M227" s="1063">
        <v>0</v>
      </c>
      <c r="N227" s="1063">
        <v>0</v>
      </c>
      <c r="O227" s="1063">
        <v>0</v>
      </c>
      <c r="P227" s="1063">
        <v>0</v>
      </c>
      <c r="Q227" s="1063">
        <v>0</v>
      </c>
      <c r="R227" s="1063">
        <v>1</v>
      </c>
      <c r="S227" s="1063">
        <v>0</v>
      </c>
      <c r="T227" s="1063">
        <v>0</v>
      </c>
      <c r="U227" s="1063">
        <v>0</v>
      </c>
      <c r="V227" s="1063"/>
      <c r="W227" s="1049"/>
      <c r="X227" s="1049"/>
      <c r="Y227" s="1064"/>
      <c r="Z227" s="1065"/>
      <c r="AA227" s="1066"/>
      <c r="AT227" s="418">
        <v>2</v>
      </c>
      <c r="AU227" s="418">
        <v>2</v>
      </c>
      <c r="AV227" s="418">
        <v>2</v>
      </c>
      <c r="AW227" s="418">
        <v>2</v>
      </c>
      <c r="AX227" s="418">
        <v>2</v>
      </c>
      <c r="AY227" s="418">
        <v>2</v>
      </c>
      <c r="AZ227" s="418">
        <v>2</v>
      </c>
      <c r="BA227" s="418">
        <v>0</v>
      </c>
      <c r="BB227" s="418">
        <v>2</v>
      </c>
      <c r="BC227" s="418">
        <v>2</v>
      </c>
      <c r="BD227" s="418">
        <v>0</v>
      </c>
      <c r="BE227" s="418">
        <v>0</v>
      </c>
      <c r="BF227" s="418">
        <v>2</v>
      </c>
      <c r="BG227" s="418">
        <v>0</v>
      </c>
      <c r="BH227" s="418">
        <v>0</v>
      </c>
      <c r="BI227" s="418">
        <v>2</v>
      </c>
      <c r="BJ227" s="418">
        <v>2</v>
      </c>
      <c r="BK227" s="418">
        <v>0</v>
      </c>
      <c r="BL227" s="418">
        <v>2</v>
      </c>
      <c r="BM227" s="418">
        <v>2</v>
      </c>
      <c r="BN227" s="418">
        <v>0</v>
      </c>
      <c r="BO227" s="418">
        <v>2</v>
      </c>
      <c r="BP227" s="418">
        <v>2</v>
      </c>
      <c r="BQ227" s="418">
        <v>2</v>
      </c>
      <c r="BR227" s="418">
        <v>2</v>
      </c>
      <c r="BS227" s="418">
        <v>2</v>
      </c>
      <c r="BT227" s="418">
        <v>2</v>
      </c>
      <c r="BU227" s="418">
        <v>2</v>
      </c>
      <c r="BV227" s="418">
        <v>2</v>
      </c>
      <c r="BW227" s="418">
        <v>2</v>
      </c>
      <c r="BX227" s="418">
        <v>2</v>
      </c>
      <c r="BY227" s="418">
        <v>0</v>
      </c>
      <c r="BZ227" s="418">
        <v>2</v>
      </c>
      <c r="CA227" s="418">
        <v>2</v>
      </c>
      <c r="CB227" s="418">
        <v>0</v>
      </c>
    </row>
    <row r="228" spans="1:80" s="418" customFormat="1" x14ac:dyDescent="0.3">
      <c r="A228" s="1052">
        <v>578</v>
      </c>
      <c r="B228" s="1049"/>
      <c r="C228" s="1056">
        <v>578</v>
      </c>
      <c r="D228" s="1052" t="s">
        <v>626</v>
      </c>
      <c r="E228" s="1052" t="s">
        <v>627</v>
      </c>
      <c r="F228" s="1063">
        <v>0</v>
      </c>
      <c r="G228" s="1063">
        <v>0</v>
      </c>
      <c r="H228" s="1063">
        <v>0</v>
      </c>
      <c r="I228" s="1063">
        <v>0</v>
      </c>
      <c r="J228" s="1063">
        <v>0</v>
      </c>
      <c r="K228" s="1063">
        <v>0</v>
      </c>
      <c r="L228" s="1063">
        <v>0</v>
      </c>
      <c r="M228" s="1063">
        <v>0</v>
      </c>
      <c r="N228" s="1063">
        <v>0</v>
      </c>
      <c r="O228" s="1063">
        <v>0</v>
      </c>
      <c r="P228" s="1063">
        <v>0</v>
      </c>
      <c r="Q228" s="1063">
        <v>0</v>
      </c>
      <c r="R228" s="1063">
        <v>0</v>
      </c>
      <c r="S228" s="1063">
        <v>0</v>
      </c>
      <c r="T228" s="1063">
        <v>0</v>
      </c>
      <c r="U228" s="1063">
        <v>0</v>
      </c>
      <c r="V228" s="1063"/>
      <c r="W228" s="1049"/>
      <c r="X228" s="1049"/>
      <c r="Y228" s="1049"/>
      <c r="Z228" s="1049"/>
      <c r="AA228" s="1066"/>
      <c r="AT228" s="418">
        <v>0</v>
      </c>
      <c r="AU228" s="418">
        <v>0</v>
      </c>
      <c r="AV228" s="418">
        <v>0</v>
      </c>
      <c r="AW228" s="418">
        <v>0</v>
      </c>
      <c r="AX228" s="418">
        <v>0</v>
      </c>
      <c r="AY228" s="418">
        <v>0</v>
      </c>
      <c r="AZ228" s="418">
        <v>0</v>
      </c>
      <c r="BA228" s="418">
        <v>0</v>
      </c>
      <c r="BB228" s="418">
        <v>0</v>
      </c>
      <c r="BC228" s="418">
        <v>0</v>
      </c>
      <c r="BD228" s="418">
        <v>0</v>
      </c>
      <c r="BE228" s="418">
        <v>0</v>
      </c>
      <c r="BF228" s="418">
        <v>0</v>
      </c>
      <c r="BG228" s="418">
        <v>0</v>
      </c>
      <c r="BH228" s="418">
        <v>0</v>
      </c>
      <c r="BI228" s="418">
        <v>0</v>
      </c>
      <c r="BJ228" s="418">
        <v>0</v>
      </c>
      <c r="BK228" s="418">
        <v>0</v>
      </c>
      <c r="BL228" s="418">
        <v>0</v>
      </c>
      <c r="BM228" s="418">
        <v>0</v>
      </c>
      <c r="BN228" s="418">
        <v>0</v>
      </c>
      <c r="BO228" s="418">
        <v>0</v>
      </c>
      <c r="BP228" s="418">
        <v>0</v>
      </c>
      <c r="BQ228" s="418">
        <v>0</v>
      </c>
      <c r="BR228" s="418">
        <v>0</v>
      </c>
      <c r="BS228" s="418">
        <v>0</v>
      </c>
      <c r="BT228" s="418">
        <v>0</v>
      </c>
      <c r="BU228" s="418">
        <v>0</v>
      </c>
      <c r="BV228" s="418">
        <v>0</v>
      </c>
      <c r="BW228" s="418">
        <v>0</v>
      </c>
      <c r="BX228" s="418">
        <v>0</v>
      </c>
      <c r="BY228" s="418">
        <v>0</v>
      </c>
      <c r="BZ228" s="418">
        <v>0</v>
      </c>
      <c r="CA228" s="418">
        <v>0</v>
      </c>
      <c r="CB228" s="418">
        <v>0</v>
      </c>
    </row>
    <row r="229" spans="1:80" s="418" customFormat="1" x14ac:dyDescent="0.3">
      <c r="A229" s="1052">
        <v>579</v>
      </c>
      <c r="B229" s="1049"/>
      <c r="C229" s="1056">
        <v>579</v>
      </c>
      <c r="D229" s="1052" t="s">
        <v>628</v>
      </c>
      <c r="E229" s="1052" t="s">
        <v>629</v>
      </c>
      <c r="F229" s="1063">
        <v>0</v>
      </c>
      <c r="G229" s="1063">
        <v>0</v>
      </c>
      <c r="H229" s="1063">
        <v>0</v>
      </c>
      <c r="I229" s="1063">
        <v>0</v>
      </c>
      <c r="J229" s="1063">
        <v>0</v>
      </c>
      <c r="K229" s="1063">
        <v>0</v>
      </c>
      <c r="L229" s="1063">
        <v>0</v>
      </c>
      <c r="M229" s="1063">
        <v>0</v>
      </c>
      <c r="N229" s="1063">
        <v>0</v>
      </c>
      <c r="O229" s="1063">
        <v>0</v>
      </c>
      <c r="P229" s="1063">
        <v>0</v>
      </c>
      <c r="Q229" s="1063">
        <v>0</v>
      </c>
      <c r="R229" s="1063">
        <v>0</v>
      </c>
      <c r="S229" s="1063">
        <v>0</v>
      </c>
      <c r="T229" s="1063">
        <v>0</v>
      </c>
      <c r="U229" s="1063">
        <v>0</v>
      </c>
      <c r="V229" s="1063"/>
      <c r="W229" s="1049"/>
      <c r="X229" s="1049"/>
      <c r="Y229" s="1049"/>
      <c r="Z229" s="1049"/>
      <c r="AA229" s="1066"/>
      <c r="AT229" s="418">
        <v>0</v>
      </c>
      <c r="AU229" s="418">
        <v>0</v>
      </c>
      <c r="AV229" s="418">
        <v>0</v>
      </c>
      <c r="AW229" s="418">
        <v>0</v>
      </c>
      <c r="AX229" s="418">
        <v>0</v>
      </c>
      <c r="AY229" s="418">
        <v>0</v>
      </c>
      <c r="AZ229" s="418">
        <v>0</v>
      </c>
      <c r="BA229" s="418">
        <v>0</v>
      </c>
      <c r="BB229" s="418">
        <v>0</v>
      </c>
      <c r="BC229" s="418">
        <v>0</v>
      </c>
      <c r="BD229" s="418">
        <v>0</v>
      </c>
      <c r="BE229" s="418">
        <v>0</v>
      </c>
      <c r="BF229" s="418">
        <v>0</v>
      </c>
      <c r="BG229" s="418">
        <v>0</v>
      </c>
      <c r="BH229" s="418">
        <v>0</v>
      </c>
      <c r="BI229" s="418">
        <v>0</v>
      </c>
      <c r="BJ229" s="418">
        <v>0</v>
      </c>
      <c r="BK229" s="418">
        <v>0</v>
      </c>
      <c r="BL229" s="418">
        <v>0</v>
      </c>
      <c r="BM229" s="418">
        <v>0</v>
      </c>
      <c r="BN229" s="418">
        <v>0</v>
      </c>
      <c r="BO229" s="418">
        <v>0</v>
      </c>
      <c r="BP229" s="418">
        <v>0</v>
      </c>
      <c r="BQ229" s="418">
        <v>0</v>
      </c>
      <c r="BR229" s="418">
        <v>0</v>
      </c>
      <c r="BS229" s="418">
        <v>0</v>
      </c>
      <c r="BT229" s="418">
        <v>0</v>
      </c>
      <c r="BU229" s="418">
        <v>0</v>
      </c>
      <c r="BV229" s="418">
        <v>0</v>
      </c>
      <c r="BW229" s="418">
        <v>0</v>
      </c>
      <c r="BX229" s="418">
        <v>0</v>
      </c>
      <c r="BY229" s="418">
        <v>0</v>
      </c>
      <c r="BZ229" s="418">
        <v>0</v>
      </c>
      <c r="CA229" s="418">
        <v>0</v>
      </c>
      <c r="CB229" s="418">
        <v>0</v>
      </c>
    </row>
    <row r="230" spans="1:80" s="418" customFormat="1" x14ac:dyDescent="0.3">
      <c r="A230" s="1052">
        <v>580</v>
      </c>
      <c r="B230" s="1049"/>
      <c r="C230" s="1056">
        <v>580</v>
      </c>
      <c r="D230" s="1052" t="s">
        <v>630</v>
      </c>
      <c r="E230" s="1052" t="s">
        <v>631</v>
      </c>
      <c r="F230" s="1063">
        <v>0</v>
      </c>
      <c r="G230" s="1063">
        <v>0</v>
      </c>
      <c r="H230" s="1063">
        <v>0</v>
      </c>
      <c r="I230" s="1063">
        <v>0</v>
      </c>
      <c r="J230" s="1063">
        <v>0</v>
      </c>
      <c r="K230" s="1063">
        <v>0</v>
      </c>
      <c r="L230" s="1063">
        <v>0</v>
      </c>
      <c r="M230" s="1063">
        <v>0</v>
      </c>
      <c r="N230" s="1063">
        <v>0</v>
      </c>
      <c r="O230" s="1063">
        <v>0</v>
      </c>
      <c r="P230" s="1063">
        <v>0</v>
      </c>
      <c r="Q230" s="1063">
        <v>0</v>
      </c>
      <c r="R230" s="1063">
        <v>0</v>
      </c>
      <c r="S230" s="1063">
        <v>0</v>
      </c>
      <c r="T230" s="1063">
        <v>0</v>
      </c>
      <c r="U230" s="1063">
        <v>0</v>
      </c>
      <c r="V230" s="1063"/>
      <c r="W230" s="1049"/>
      <c r="X230" s="1049"/>
      <c r="Y230" s="1049"/>
      <c r="Z230" s="1049"/>
      <c r="AA230" s="1066"/>
      <c r="AT230" s="418">
        <v>0</v>
      </c>
      <c r="AU230" s="418">
        <v>0</v>
      </c>
      <c r="AV230" s="418">
        <v>0</v>
      </c>
      <c r="AW230" s="418">
        <v>0</v>
      </c>
      <c r="AX230" s="418">
        <v>0</v>
      </c>
      <c r="AY230" s="418">
        <v>0</v>
      </c>
      <c r="AZ230" s="418">
        <v>0</v>
      </c>
      <c r="BA230" s="418">
        <v>0</v>
      </c>
      <c r="BB230" s="418">
        <v>0</v>
      </c>
      <c r="BC230" s="418">
        <v>0</v>
      </c>
      <c r="BD230" s="418">
        <v>0</v>
      </c>
      <c r="BE230" s="418">
        <v>0</v>
      </c>
      <c r="BF230" s="418">
        <v>0</v>
      </c>
      <c r="BG230" s="418">
        <v>0</v>
      </c>
      <c r="BH230" s="418">
        <v>0</v>
      </c>
      <c r="BI230" s="418">
        <v>0</v>
      </c>
      <c r="BJ230" s="418">
        <v>0</v>
      </c>
      <c r="BK230" s="418">
        <v>0</v>
      </c>
      <c r="BL230" s="418">
        <v>0</v>
      </c>
      <c r="BM230" s="418">
        <v>0</v>
      </c>
      <c r="BN230" s="418">
        <v>0</v>
      </c>
      <c r="BO230" s="418">
        <v>0</v>
      </c>
      <c r="BP230" s="418">
        <v>0</v>
      </c>
      <c r="BQ230" s="418">
        <v>0</v>
      </c>
      <c r="BR230" s="418">
        <v>0</v>
      </c>
      <c r="BS230" s="418">
        <v>0</v>
      </c>
      <c r="BT230" s="418">
        <v>0</v>
      </c>
      <c r="BU230" s="418">
        <v>0</v>
      </c>
      <c r="BV230" s="418">
        <v>0</v>
      </c>
      <c r="BW230" s="418">
        <v>0</v>
      </c>
      <c r="BX230" s="418">
        <v>0</v>
      </c>
      <c r="BY230" s="418">
        <v>0</v>
      </c>
      <c r="BZ230" s="418">
        <v>0</v>
      </c>
      <c r="CA230" s="418">
        <v>0</v>
      </c>
      <c r="CB230" s="418">
        <v>0</v>
      </c>
    </row>
    <row r="231" spans="1:80" s="418" customFormat="1" x14ac:dyDescent="0.3">
      <c r="A231" s="1052">
        <v>581</v>
      </c>
      <c r="B231" s="1049"/>
      <c r="C231" s="1056">
        <v>581</v>
      </c>
      <c r="D231" s="1052" t="s">
        <v>632</v>
      </c>
      <c r="E231" s="1052" t="s">
        <v>633</v>
      </c>
      <c r="F231" s="1063">
        <v>0</v>
      </c>
      <c r="G231" s="1063">
        <v>0</v>
      </c>
      <c r="H231" s="1063">
        <v>0</v>
      </c>
      <c r="I231" s="1063">
        <v>0</v>
      </c>
      <c r="J231" s="1063">
        <v>0</v>
      </c>
      <c r="K231" s="1063">
        <v>0</v>
      </c>
      <c r="L231" s="1063">
        <v>0</v>
      </c>
      <c r="M231" s="1063">
        <v>0</v>
      </c>
      <c r="N231" s="1063">
        <v>0</v>
      </c>
      <c r="O231" s="1063">
        <v>0</v>
      </c>
      <c r="P231" s="1063">
        <v>0</v>
      </c>
      <c r="Q231" s="1063">
        <v>0</v>
      </c>
      <c r="R231" s="1063">
        <v>0</v>
      </c>
      <c r="S231" s="1063">
        <v>0</v>
      </c>
      <c r="T231" s="1063">
        <v>0</v>
      </c>
      <c r="U231" s="1063">
        <v>0</v>
      </c>
      <c r="V231" s="1063"/>
      <c r="W231" s="1049"/>
      <c r="X231" s="1049"/>
      <c r="Y231" s="1049"/>
      <c r="Z231" s="1049"/>
      <c r="AA231" s="1066"/>
      <c r="AT231" s="418">
        <v>0</v>
      </c>
      <c r="AU231" s="418">
        <v>0</v>
      </c>
      <c r="AV231" s="418">
        <v>893312</v>
      </c>
      <c r="AW231" s="418">
        <v>0</v>
      </c>
      <c r="AX231" s="418">
        <v>0</v>
      </c>
      <c r="AY231" s="418">
        <v>0</v>
      </c>
      <c r="AZ231" s="418">
        <v>0</v>
      </c>
      <c r="BA231" s="418">
        <v>0</v>
      </c>
      <c r="BB231" s="418">
        <v>0</v>
      </c>
      <c r="BC231" s="418">
        <v>0</v>
      </c>
      <c r="BD231" s="418">
        <v>0</v>
      </c>
      <c r="BE231" s="418">
        <v>0</v>
      </c>
      <c r="BF231" s="418">
        <v>0</v>
      </c>
      <c r="BG231" s="418">
        <v>0</v>
      </c>
      <c r="BH231" s="418">
        <v>0</v>
      </c>
      <c r="BI231" s="418">
        <v>0</v>
      </c>
      <c r="BJ231" s="418">
        <v>0</v>
      </c>
      <c r="BK231" s="418">
        <v>0</v>
      </c>
      <c r="BL231" s="418">
        <v>0</v>
      </c>
      <c r="BM231" s="418">
        <v>0</v>
      </c>
      <c r="BN231" s="418">
        <v>0</v>
      </c>
      <c r="BO231" s="418">
        <v>0</v>
      </c>
      <c r="BP231" s="418">
        <v>0</v>
      </c>
      <c r="BQ231" s="418">
        <v>0</v>
      </c>
      <c r="BR231" s="418">
        <v>0</v>
      </c>
      <c r="BS231" s="418">
        <v>0</v>
      </c>
      <c r="BT231" s="418">
        <v>0</v>
      </c>
      <c r="BU231" s="418">
        <v>0</v>
      </c>
      <c r="BV231" s="418">
        <v>0</v>
      </c>
      <c r="BW231" s="418">
        <v>0</v>
      </c>
      <c r="BX231" s="418">
        <v>0</v>
      </c>
      <c r="BY231" s="418">
        <v>0</v>
      </c>
      <c r="BZ231" s="418">
        <v>0</v>
      </c>
      <c r="CA231" s="418">
        <v>0</v>
      </c>
      <c r="CB231" s="418">
        <v>0</v>
      </c>
    </row>
    <row r="232" spans="1:80" s="418" customFormat="1" x14ac:dyDescent="0.3">
      <c r="A232" s="1052">
        <v>582</v>
      </c>
      <c r="B232" s="1049"/>
      <c r="C232" s="1056">
        <v>582</v>
      </c>
      <c r="D232" s="1052" t="s">
        <v>634</v>
      </c>
      <c r="E232" s="1052" t="s">
        <v>635</v>
      </c>
      <c r="F232" s="1063">
        <v>0</v>
      </c>
      <c r="G232" s="1063">
        <v>0</v>
      </c>
      <c r="H232" s="1063">
        <v>0</v>
      </c>
      <c r="I232" s="1063">
        <v>0</v>
      </c>
      <c r="J232" s="1063">
        <v>0</v>
      </c>
      <c r="K232" s="1063">
        <v>0</v>
      </c>
      <c r="L232" s="1063">
        <v>0</v>
      </c>
      <c r="M232" s="1063">
        <v>0</v>
      </c>
      <c r="N232" s="1063">
        <v>0</v>
      </c>
      <c r="O232" s="1063">
        <v>0</v>
      </c>
      <c r="P232" s="1063">
        <v>0</v>
      </c>
      <c r="Q232" s="1063">
        <v>0</v>
      </c>
      <c r="R232" s="1063">
        <v>0</v>
      </c>
      <c r="S232" s="1063">
        <v>0</v>
      </c>
      <c r="T232" s="1063">
        <v>0</v>
      </c>
      <c r="U232" s="1063">
        <v>0</v>
      </c>
      <c r="V232" s="1063"/>
      <c r="W232" s="1049"/>
      <c r="X232" s="1049"/>
      <c r="Y232" s="1049"/>
      <c r="Z232" s="1049"/>
      <c r="AA232" s="1066"/>
    </row>
    <row r="233" spans="1:80" s="418" customFormat="1" x14ac:dyDescent="0.3">
      <c r="A233" s="1052">
        <v>583</v>
      </c>
      <c r="B233" s="1049"/>
      <c r="C233" s="1056">
        <v>583</v>
      </c>
      <c r="D233" s="1052" t="s">
        <v>636</v>
      </c>
      <c r="E233" s="1052" t="s">
        <v>637</v>
      </c>
      <c r="F233" s="1063">
        <v>0</v>
      </c>
      <c r="G233" s="1063">
        <v>0</v>
      </c>
      <c r="H233" s="1063">
        <v>0</v>
      </c>
      <c r="I233" s="1063">
        <v>0</v>
      </c>
      <c r="J233" s="1063">
        <v>0</v>
      </c>
      <c r="K233" s="1063">
        <v>0</v>
      </c>
      <c r="L233" s="1063">
        <v>0</v>
      </c>
      <c r="M233" s="1063">
        <v>0</v>
      </c>
      <c r="N233" s="1063">
        <v>0</v>
      </c>
      <c r="O233" s="1063">
        <v>0</v>
      </c>
      <c r="P233" s="1063">
        <v>0</v>
      </c>
      <c r="Q233" s="1063">
        <v>0</v>
      </c>
      <c r="R233" s="1063">
        <v>0</v>
      </c>
      <c r="S233" s="1063">
        <v>0</v>
      </c>
      <c r="T233" s="1063">
        <v>0</v>
      </c>
      <c r="U233" s="1063">
        <v>0</v>
      </c>
      <c r="V233" s="1063"/>
      <c r="W233" s="1049"/>
      <c r="X233" s="1049"/>
      <c r="Y233" s="1049"/>
      <c r="Z233" s="1049"/>
      <c r="AA233" s="1066"/>
    </row>
    <row r="234" spans="1:80" s="418" customFormat="1" x14ac:dyDescent="0.3">
      <c r="A234" s="1052">
        <v>584</v>
      </c>
      <c r="B234" s="1049"/>
      <c r="C234" s="1056">
        <v>584</v>
      </c>
      <c r="D234" s="1052" t="s">
        <v>638</v>
      </c>
      <c r="E234" s="1052" t="s">
        <v>639</v>
      </c>
      <c r="F234" s="1063">
        <v>0</v>
      </c>
      <c r="G234" s="1063">
        <v>0</v>
      </c>
      <c r="H234" s="1063">
        <v>0</v>
      </c>
      <c r="I234" s="1063">
        <v>0</v>
      </c>
      <c r="J234" s="1063">
        <v>0</v>
      </c>
      <c r="K234" s="1063">
        <v>0</v>
      </c>
      <c r="L234" s="1063">
        <v>0</v>
      </c>
      <c r="M234" s="1063">
        <v>0</v>
      </c>
      <c r="N234" s="1063">
        <v>0</v>
      </c>
      <c r="O234" s="1063">
        <v>0</v>
      </c>
      <c r="P234" s="1063">
        <v>0</v>
      </c>
      <c r="Q234" s="1063">
        <v>0</v>
      </c>
      <c r="R234" s="1063">
        <v>0</v>
      </c>
      <c r="S234" s="1063">
        <v>0</v>
      </c>
      <c r="T234" s="1063">
        <v>0</v>
      </c>
      <c r="U234" s="1063">
        <v>0</v>
      </c>
      <c r="V234" s="1063"/>
      <c r="W234" s="1049"/>
      <c r="X234" s="1049"/>
      <c r="Y234" s="1049"/>
      <c r="Z234" s="1049"/>
      <c r="AA234" s="1066"/>
    </row>
    <row r="235" spans="1:80" s="418" customFormat="1" x14ac:dyDescent="0.3">
      <c r="A235" s="1052">
        <v>585</v>
      </c>
      <c r="B235" s="1049"/>
      <c r="C235" s="1056">
        <v>585</v>
      </c>
      <c r="D235" s="1052" t="s">
        <v>640</v>
      </c>
      <c r="E235" s="1052" t="s">
        <v>641</v>
      </c>
      <c r="F235" s="1063">
        <v>0</v>
      </c>
      <c r="G235" s="1063">
        <v>0</v>
      </c>
      <c r="H235" s="1063">
        <v>0</v>
      </c>
      <c r="I235" s="1063">
        <v>0</v>
      </c>
      <c r="J235" s="1063">
        <v>0</v>
      </c>
      <c r="K235" s="1063">
        <v>0</v>
      </c>
      <c r="L235" s="1063">
        <v>0</v>
      </c>
      <c r="M235" s="1063">
        <v>0</v>
      </c>
      <c r="N235" s="1063">
        <v>0</v>
      </c>
      <c r="O235" s="1063">
        <v>0</v>
      </c>
      <c r="P235" s="1063">
        <v>0</v>
      </c>
      <c r="Q235" s="1063">
        <v>0</v>
      </c>
      <c r="R235" s="1063">
        <v>0</v>
      </c>
      <c r="S235" s="1063">
        <v>0</v>
      </c>
      <c r="T235" s="1063">
        <v>0</v>
      </c>
      <c r="U235" s="1063">
        <v>0</v>
      </c>
      <c r="V235" s="1063"/>
      <c r="W235" s="1049"/>
      <c r="X235" s="1049"/>
      <c r="Y235" s="1049"/>
      <c r="Z235" s="1049"/>
      <c r="AA235" s="1066"/>
    </row>
    <row r="236" spans="1:80" s="418" customFormat="1" x14ac:dyDescent="0.3">
      <c r="A236" s="1052">
        <v>586</v>
      </c>
      <c r="B236" s="1049"/>
      <c r="C236" s="1056">
        <v>586</v>
      </c>
      <c r="D236" s="1052" t="s">
        <v>642</v>
      </c>
      <c r="E236" s="1052" t="s">
        <v>643</v>
      </c>
      <c r="F236" s="1063">
        <v>0</v>
      </c>
      <c r="G236" s="1063">
        <v>0</v>
      </c>
      <c r="H236" s="1063">
        <v>0</v>
      </c>
      <c r="I236" s="1063">
        <v>0</v>
      </c>
      <c r="J236" s="1063">
        <v>0</v>
      </c>
      <c r="K236" s="1063">
        <v>0</v>
      </c>
      <c r="L236" s="1063">
        <v>0</v>
      </c>
      <c r="M236" s="1063">
        <v>0</v>
      </c>
      <c r="N236" s="1063">
        <v>0</v>
      </c>
      <c r="O236" s="1063">
        <v>0</v>
      </c>
      <c r="P236" s="1063">
        <v>0</v>
      </c>
      <c r="Q236" s="1063">
        <v>0</v>
      </c>
      <c r="R236" s="1063">
        <v>0</v>
      </c>
      <c r="S236" s="1063">
        <v>0</v>
      </c>
      <c r="T236" s="1063">
        <v>0</v>
      </c>
      <c r="U236" s="1063">
        <v>0</v>
      </c>
      <c r="V236" s="1063"/>
      <c r="W236" s="1049"/>
      <c r="X236" s="1049"/>
      <c r="Y236" s="1049"/>
      <c r="Z236" s="1049"/>
      <c r="AA236" s="1066"/>
      <c r="AT236" s="418">
        <v>0</v>
      </c>
      <c r="AU236" s="418">
        <v>0</v>
      </c>
      <c r="AV236" s="418">
        <v>0</v>
      </c>
      <c r="AW236" s="418">
        <v>0</v>
      </c>
      <c r="AX236" s="418">
        <v>0</v>
      </c>
      <c r="AY236" s="418">
        <v>0</v>
      </c>
      <c r="AZ236" s="418">
        <v>0</v>
      </c>
      <c r="BA236" s="418">
        <v>0</v>
      </c>
      <c r="BB236" s="418">
        <v>0</v>
      </c>
      <c r="BC236" s="418">
        <v>0</v>
      </c>
      <c r="BD236" s="418">
        <v>0</v>
      </c>
      <c r="BE236" s="418">
        <v>0</v>
      </c>
      <c r="BF236" s="418">
        <v>0</v>
      </c>
      <c r="BG236" s="418">
        <v>0</v>
      </c>
      <c r="BH236" s="418">
        <v>0</v>
      </c>
      <c r="BI236" s="418">
        <v>0</v>
      </c>
      <c r="BJ236" s="418">
        <v>0</v>
      </c>
      <c r="BK236" s="418">
        <v>0</v>
      </c>
      <c r="BL236" s="418">
        <v>0</v>
      </c>
      <c r="BM236" s="418">
        <v>0</v>
      </c>
      <c r="BN236" s="418">
        <v>0</v>
      </c>
      <c r="BO236" s="418">
        <v>0</v>
      </c>
      <c r="BP236" s="418">
        <v>0</v>
      </c>
      <c r="BQ236" s="418">
        <v>0</v>
      </c>
      <c r="BR236" s="418">
        <v>0</v>
      </c>
      <c r="BS236" s="418">
        <v>0</v>
      </c>
      <c r="BT236" s="418">
        <v>0</v>
      </c>
      <c r="BU236" s="418">
        <v>0</v>
      </c>
      <c r="BV236" s="418">
        <v>0</v>
      </c>
      <c r="BW236" s="418">
        <v>0</v>
      </c>
      <c r="BX236" s="418">
        <v>0</v>
      </c>
      <c r="BY236" s="418">
        <v>0</v>
      </c>
      <c r="BZ236" s="418">
        <v>0</v>
      </c>
      <c r="CA236" s="418">
        <v>0</v>
      </c>
      <c r="CB236" s="418">
        <v>0</v>
      </c>
    </row>
    <row r="237" spans="1:80" s="418" customFormat="1" x14ac:dyDescent="0.3">
      <c r="A237" s="1052">
        <v>587</v>
      </c>
      <c r="B237" s="1049"/>
      <c r="C237" s="1056">
        <v>587</v>
      </c>
      <c r="D237" s="1052" t="s">
        <v>644</v>
      </c>
      <c r="E237" s="1052" t="s">
        <v>645</v>
      </c>
      <c r="F237" s="1063">
        <v>0</v>
      </c>
      <c r="G237" s="1063">
        <v>0</v>
      </c>
      <c r="H237" s="1063">
        <v>0</v>
      </c>
      <c r="I237" s="1063">
        <v>0</v>
      </c>
      <c r="J237" s="1063">
        <v>0</v>
      </c>
      <c r="K237" s="1063">
        <v>0</v>
      </c>
      <c r="L237" s="1063">
        <v>0</v>
      </c>
      <c r="M237" s="1063">
        <v>0</v>
      </c>
      <c r="N237" s="1063">
        <v>0</v>
      </c>
      <c r="O237" s="1063">
        <v>0</v>
      </c>
      <c r="P237" s="1063">
        <v>0</v>
      </c>
      <c r="Q237" s="1063">
        <v>0</v>
      </c>
      <c r="R237" s="1063">
        <v>0</v>
      </c>
      <c r="S237" s="1063">
        <v>0</v>
      </c>
      <c r="T237" s="1063">
        <v>0</v>
      </c>
      <c r="U237" s="1063">
        <v>0</v>
      </c>
      <c r="V237" s="1063"/>
      <c r="W237" s="1049"/>
      <c r="X237" s="1049"/>
      <c r="Y237" s="1049"/>
      <c r="Z237" s="1049"/>
      <c r="AA237" s="1066"/>
    </row>
    <row r="238" spans="1:80" s="418" customFormat="1" x14ac:dyDescent="0.3">
      <c r="A238" s="1052">
        <v>588</v>
      </c>
      <c r="B238" s="1049"/>
      <c r="C238" s="1056">
        <v>588</v>
      </c>
      <c r="D238" s="1052" t="s">
        <v>646</v>
      </c>
      <c r="E238" s="1052" t="s">
        <v>647</v>
      </c>
      <c r="F238" s="1063">
        <v>0</v>
      </c>
      <c r="G238" s="1063">
        <v>0</v>
      </c>
      <c r="H238" s="1063">
        <v>0</v>
      </c>
      <c r="I238" s="1063">
        <v>0</v>
      </c>
      <c r="J238" s="1063">
        <v>0</v>
      </c>
      <c r="K238" s="1063">
        <v>0</v>
      </c>
      <c r="L238" s="1063">
        <v>0</v>
      </c>
      <c r="M238" s="1063">
        <v>0</v>
      </c>
      <c r="N238" s="1063">
        <v>0</v>
      </c>
      <c r="O238" s="1063">
        <v>0</v>
      </c>
      <c r="P238" s="1063">
        <v>0</v>
      </c>
      <c r="Q238" s="1063">
        <v>0</v>
      </c>
      <c r="R238" s="1063">
        <v>0</v>
      </c>
      <c r="S238" s="1063">
        <v>0</v>
      </c>
      <c r="T238" s="1063">
        <v>0</v>
      </c>
      <c r="U238" s="1063">
        <v>0</v>
      </c>
      <c r="V238" s="1063"/>
      <c r="W238" s="1049"/>
      <c r="X238" s="1049"/>
      <c r="Y238" s="1049"/>
      <c r="Z238" s="1049"/>
      <c r="AA238" s="1066"/>
    </row>
    <row r="239" spans="1:80" s="418" customFormat="1" x14ac:dyDescent="0.3">
      <c r="A239" s="1052">
        <v>589</v>
      </c>
      <c r="B239" s="1049"/>
      <c r="C239" s="1056">
        <v>589</v>
      </c>
      <c r="D239" s="1052" t="s">
        <v>648</v>
      </c>
      <c r="E239" s="1052" t="s">
        <v>649</v>
      </c>
      <c r="F239" s="1063">
        <v>0</v>
      </c>
      <c r="G239" s="1063">
        <v>0</v>
      </c>
      <c r="H239" s="1063">
        <v>0</v>
      </c>
      <c r="I239" s="1063">
        <v>0</v>
      </c>
      <c r="J239" s="1063">
        <v>0</v>
      </c>
      <c r="K239" s="1063">
        <v>0</v>
      </c>
      <c r="L239" s="1063">
        <v>0</v>
      </c>
      <c r="M239" s="1063">
        <v>0</v>
      </c>
      <c r="N239" s="1063">
        <v>0</v>
      </c>
      <c r="O239" s="1063">
        <v>0</v>
      </c>
      <c r="P239" s="1063">
        <v>0</v>
      </c>
      <c r="Q239" s="1063">
        <v>0</v>
      </c>
      <c r="R239" s="1063">
        <v>0</v>
      </c>
      <c r="S239" s="1063">
        <v>0</v>
      </c>
      <c r="T239" s="1063">
        <v>0</v>
      </c>
      <c r="U239" s="1063">
        <v>0</v>
      </c>
      <c r="V239" s="1063"/>
      <c r="W239" s="1049"/>
      <c r="X239" s="1049"/>
      <c r="Y239" s="1049"/>
      <c r="Z239" s="1049"/>
      <c r="AA239" s="1066"/>
    </row>
    <row r="240" spans="1:80" s="418" customFormat="1" ht="57.6" x14ac:dyDescent="0.3">
      <c r="A240" s="1052">
        <v>590</v>
      </c>
      <c r="B240" s="1049"/>
      <c r="C240" s="1056">
        <v>590</v>
      </c>
      <c r="D240" s="1081" t="s">
        <v>650</v>
      </c>
      <c r="E240" s="1052" t="s">
        <v>651</v>
      </c>
      <c r="F240" s="1063">
        <v>0</v>
      </c>
      <c r="G240" s="1063">
        <v>0</v>
      </c>
      <c r="H240" s="1063">
        <v>0</v>
      </c>
      <c r="I240" s="1063">
        <v>0</v>
      </c>
      <c r="J240" s="1063">
        <v>0</v>
      </c>
      <c r="K240" s="1063">
        <v>0</v>
      </c>
      <c r="L240" s="1063">
        <v>0</v>
      </c>
      <c r="M240" s="1063">
        <v>0</v>
      </c>
      <c r="N240" s="1063">
        <v>0</v>
      </c>
      <c r="O240" s="1063">
        <v>0</v>
      </c>
      <c r="P240" s="1063">
        <v>0</v>
      </c>
      <c r="Q240" s="1063">
        <v>0</v>
      </c>
      <c r="R240" s="1063">
        <v>0</v>
      </c>
      <c r="S240" s="1063">
        <v>0</v>
      </c>
      <c r="T240" s="1063">
        <v>0</v>
      </c>
      <c r="U240" s="1063">
        <v>0</v>
      </c>
      <c r="V240" s="1063"/>
      <c r="W240" s="1049"/>
      <c r="X240" s="1049"/>
      <c r="Y240" s="1049"/>
      <c r="Z240" s="1049"/>
      <c r="AA240" s="1066"/>
    </row>
    <row r="241" spans="1:80" s="418" customFormat="1" ht="27" x14ac:dyDescent="0.3">
      <c r="A241" s="1052">
        <v>992</v>
      </c>
      <c r="B241" s="1053">
        <v>992</v>
      </c>
      <c r="C241" s="1060" t="s">
        <v>1860</v>
      </c>
      <c r="D241" s="1082" t="s">
        <v>1750</v>
      </c>
      <c r="E241" s="1062" t="s">
        <v>602</v>
      </c>
      <c r="F241" s="1063">
        <v>0</v>
      </c>
      <c r="G241" s="1063">
        <v>2</v>
      </c>
      <c r="H241" s="1063">
        <v>0</v>
      </c>
      <c r="I241" s="1063">
        <v>1</v>
      </c>
      <c r="J241" s="1063">
        <v>0</v>
      </c>
      <c r="K241" s="1063">
        <v>0</v>
      </c>
      <c r="L241" s="1063">
        <v>0</v>
      </c>
      <c r="M241" s="1063">
        <v>0</v>
      </c>
      <c r="N241" s="1063">
        <v>1</v>
      </c>
      <c r="O241" s="1063">
        <v>3</v>
      </c>
      <c r="P241" s="1063">
        <v>2</v>
      </c>
      <c r="Q241" s="1063">
        <v>0</v>
      </c>
      <c r="R241" s="1063">
        <v>3</v>
      </c>
      <c r="S241" s="1063">
        <v>2</v>
      </c>
      <c r="T241" s="1063">
        <v>1</v>
      </c>
      <c r="U241" s="1063">
        <v>1</v>
      </c>
      <c r="V241" s="1063"/>
      <c r="W241" s="1049"/>
      <c r="X241" s="1049"/>
      <c r="Y241" s="1049"/>
      <c r="Z241" s="1049"/>
      <c r="AA241" s="1066"/>
    </row>
    <row r="242" spans="1:80" s="421" customFormat="1" ht="15.6" x14ac:dyDescent="0.3">
      <c r="A242" s="1052">
        <v>993</v>
      </c>
      <c r="B242" s="1053">
        <v>993</v>
      </c>
      <c r="C242" s="1083">
        <v>993</v>
      </c>
      <c r="D242" s="1084" t="s">
        <v>515</v>
      </c>
      <c r="E242" s="1085" t="s">
        <v>516</v>
      </c>
      <c r="F242" s="1086">
        <v>0</v>
      </c>
      <c r="G242" s="1066">
        <v>0</v>
      </c>
      <c r="H242" s="1086">
        <v>0</v>
      </c>
      <c r="I242" s="1086">
        <v>0</v>
      </c>
      <c r="J242" s="1086">
        <v>0</v>
      </c>
      <c r="K242" s="1086">
        <v>0</v>
      </c>
      <c r="L242" s="1086">
        <v>0</v>
      </c>
      <c r="M242" s="1086">
        <v>0</v>
      </c>
      <c r="N242" s="1086">
        <v>0</v>
      </c>
      <c r="O242" s="1086">
        <v>0</v>
      </c>
      <c r="P242" s="1086">
        <v>0</v>
      </c>
      <c r="Q242" s="1086">
        <v>0</v>
      </c>
      <c r="R242" s="1086">
        <v>0</v>
      </c>
      <c r="S242" s="1086">
        <v>0</v>
      </c>
      <c r="T242" s="1086">
        <v>0</v>
      </c>
      <c r="U242" s="1086">
        <v>0</v>
      </c>
      <c r="V242" s="1086"/>
      <c r="W242" s="1049"/>
      <c r="X242" s="1049"/>
      <c r="Y242" s="1049"/>
      <c r="Z242" s="1049"/>
      <c r="AA242" s="1066"/>
    </row>
    <row r="243" spans="1:80" s="421" customFormat="1" ht="15.6" x14ac:dyDescent="0.3">
      <c r="A243" s="1052">
        <v>994</v>
      </c>
      <c r="B243" s="1053">
        <v>994</v>
      </c>
      <c r="C243" s="1083">
        <v>994</v>
      </c>
      <c r="D243" s="1084" t="s">
        <v>517</v>
      </c>
      <c r="E243" s="1085" t="s">
        <v>518</v>
      </c>
      <c r="F243" s="1086">
        <v>0</v>
      </c>
      <c r="G243" s="1066">
        <v>0</v>
      </c>
      <c r="H243" s="1086">
        <v>0</v>
      </c>
      <c r="I243" s="1086">
        <v>0</v>
      </c>
      <c r="J243" s="1086">
        <v>0</v>
      </c>
      <c r="K243" s="1086">
        <v>0</v>
      </c>
      <c r="L243" s="1086">
        <v>0</v>
      </c>
      <c r="M243" s="1086">
        <v>0</v>
      </c>
      <c r="N243" s="1086">
        <v>0</v>
      </c>
      <c r="O243" s="1086">
        <v>0</v>
      </c>
      <c r="P243" s="1086">
        <v>0</v>
      </c>
      <c r="Q243" s="1086">
        <v>0</v>
      </c>
      <c r="R243" s="1086">
        <v>0</v>
      </c>
      <c r="S243" s="1086">
        <v>0</v>
      </c>
      <c r="T243" s="1086">
        <v>0</v>
      </c>
      <c r="U243" s="1086">
        <v>0</v>
      </c>
      <c r="V243" s="1086"/>
      <c r="W243" s="1049"/>
      <c r="X243" s="1049"/>
      <c r="Y243" s="1049"/>
      <c r="Z243" s="1049"/>
      <c r="AA243" s="1066"/>
    </row>
    <row r="244" spans="1:80" s="421" customFormat="1" ht="27.6" x14ac:dyDescent="0.3">
      <c r="A244" s="1052">
        <v>995</v>
      </c>
      <c r="B244" s="1049"/>
      <c r="C244" s="1087">
        <v>995</v>
      </c>
      <c r="D244" s="1084" t="s">
        <v>519</v>
      </c>
      <c r="E244" s="1085" t="s">
        <v>520</v>
      </c>
      <c r="F244" s="1063">
        <v>0</v>
      </c>
      <c r="G244" s="1063">
        <v>0</v>
      </c>
      <c r="H244" s="1063">
        <v>0</v>
      </c>
      <c r="I244" s="1063">
        <v>0</v>
      </c>
      <c r="J244" s="1063">
        <v>0</v>
      </c>
      <c r="K244" s="1063">
        <v>0</v>
      </c>
      <c r="L244" s="1063">
        <v>0</v>
      </c>
      <c r="M244" s="1063">
        <v>0</v>
      </c>
      <c r="N244" s="1063">
        <v>0</v>
      </c>
      <c r="O244" s="1063">
        <v>0</v>
      </c>
      <c r="P244" s="1063">
        <v>0</v>
      </c>
      <c r="Q244" s="1063">
        <v>0</v>
      </c>
      <c r="R244" s="1063">
        <v>0</v>
      </c>
      <c r="S244" s="1063">
        <v>0</v>
      </c>
      <c r="T244" s="1063">
        <v>0</v>
      </c>
      <c r="U244" s="1063">
        <v>0</v>
      </c>
      <c r="V244" s="1063"/>
      <c r="W244" s="1049"/>
      <c r="X244" s="1049"/>
      <c r="Y244" s="1049"/>
      <c r="Z244" s="1049"/>
      <c r="AA244" s="1066"/>
      <c r="AT244" s="421">
        <v>0</v>
      </c>
      <c r="AU244" s="421">
        <v>0</v>
      </c>
      <c r="AV244" s="421">
        <v>7.0000000000000007E-2</v>
      </c>
      <c r="AW244" s="421">
        <v>0</v>
      </c>
      <c r="AX244" s="421">
        <v>0</v>
      </c>
      <c r="AY244" s="421">
        <v>0</v>
      </c>
      <c r="AZ244" s="421">
        <v>0</v>
      </c>
      <c r="BA244" s="421">
        <v>0.08</v>
      </c>
      <c r="BB244" s="421">
        <v>0</v>
      </c>
      <c r="BC244" s="421">
        <v>0</v>
      </c>
      <c r="BD244" s="421">
        <v>0.09</v>
      </c>
      <c r="BE244" s="421">
        <v>0</v>
      </c>
      <c r="BF244" s="421">
        <v>0.08</v>
      </c>
      <c r="BG244" s="421">
        <v>0.09</v>
      </c>
      <c r="BH244" s="421">
        <v>0</v>
      </c>
      <c r="BI244" s="421">
        <v>0</v>
      </c>
      <c r="BJ244" s="421">
        <v>0</v>
      </c>
      <c r="BK244" s="421">
        <v>0</v>
      </c>
      <c r="BL244" s="421">
        <v>7.0000000000000007E-2</v>
      </c>
      <c r="BM244" s="421">
        <v>0</v>
      </c>
      <c r="BN244" s="421">
        <v>0</v>
      </c>
      <c r="BO244" s="421">
        <v>0</v>
      </c>
      <c r="BP244" s="421">
        <v>0</v>
      </c>
      <c r="BQ244" s="421">
        <v>0</v>
      </c>
      <c r="BR244" s="421">
        <v>0</v>
      </c>
      <c r="BS244" s="421">
        <v>0</v>
      </c>
      <c r="BT244" s="421">
        <v>0</v>
      </c>
      <c r="BU244" s="421">
        <v>0</v>
      </c>
      <c r="BV244" s="421">
        <v>0</v>
      </c>
      <c r="BW244" s="421">
        <v>0</v>
      </c>
      <c r="BX244" s="421">
        <v>0</v>
      </c>
      <c r="BY244" s="421">
        <v>0</v>
      </c>
      <c r="BZ244" s="421">
        <v>0</v>
      </c>
      <c r="CA244" s="421">
        <v>0</v>
      </c>
      <c r="CB244" s="421">
        <v>0</v>
      </c>
    </row>
    <row r="245" spans="1:80" s="421" customFormat="1" ht="27.6" x14ac:dyDescent="0.3">
      <c r="A245" s="1052">
        <v>996</v>
      </c>
      <c r="B245" s="1049"/>
      <c r="C245" s="1088">
        <v>996</v>
      </c>
      <c r="D245" s="1084" t="s">
        <v>521</v>
      </c>
      <c r="E245" s="1085" t="s">
        <v>522</v>
      </c>
      <c r="F245" s="1063">
        <v>0</v>
      </c>
      <c r="G245" s="1063">
        <v>0</v>
      </c>
      <c r="H245" s="1063">
        <v>0</v>
      </c>
      <c r="I245" s="1063">
        <v>0</v>
      </c>
      <c r="J245" s="1063">
        <v>0</v>
      </c>
      <c r="K245" s="1063">
        <v>0</v>
      </c>
      <c r="L245" s="1063">
        <v>0</v>
      </c>
      <c r="M245" s="1063">
        <v>0</v>
      </c>
      <c r="N245" s="1063">
        <v>0</v>
      </c>
      <c r="O245" s="1063">
        <v>0</v>
      </c>
      <c r="P245" s="1063">
        <v>0</v>
      </c>
      <c r="Q245" s="1063">
        <v>0</v>
      </c>
      <c r="R245" s="1063">
        <v>0</v>
      </c>
      <c r="S245" s="1063">
        <v>0</v>
      </c>
      <c r="T245" s="1063">
        <v>0</v>
      </c>
      <c r="U245" s="1063">
        <v>0</v>
      </c>
      <c r="V245" s="1063"/>
      <c r="W245" s="1049"/>
      <c r="X245" s="1049"/>
      <c r="Y245" s="1049"/>
      <c r="Z245" s="1049"/>
      <c r="AA245" s="1066"/>
      <c r="AT245" s="421">
        <v>0.01</v>
      </c>
      <c r="AU245" s="421">
        <v>0.01</v>
      </c>
      <c r="AV245" s="421">
        <v>0.01</v>
      </c>
      <c r="AW245" s="421">
        <v>0.01</v>
      </c>
      <c r="AX245" s="421">
        <v>0.01</v>
      </c>
      <c r="AY245" s="421">
        <v>0.01</v>
      </c>
      <c r="AZ245" s="421">
        <v>0.01</v>
      </c>
      <c r="BA245" s="421">
        <v>0.01</v>
      </c>
      <c r="BB245" s="421">
        <v>0.01</v>
      </c>
      <c r="BC245" s="421">
        <v>0.01</v>
      </c>
      <c r="BD245" s="421">
        <v>0.01</v>
      </c>
      <c r="BE245" s="421">
        <v>0</v>
      </c>
      <c r="BF245" s="421">
        <v>0.01</v>
      </c>
      <c r="BG245" s="421">
        <v>0.01</v>
      </c>
      <c r="BH245" s="421">
        <v>0</v>
      </c>
      <c r="BI245" s="421">
        <v>0.01</v>
      </c>
      <c r="BJ245" s="421">
        <v>0.01</v>
      </c>
      <c r="BK245" s="421">
        <v>0.01</v>
      </c>
      <c r="BL245" s="421">
        <v>0.01</v>
      </c>
      <c r="BM245" s="421">
        <v>0.01</v>
      </c>
      <c r="BN245" s="421">
        <v>0</v>
      </c>
      <c r="BO245" s="421">
        <v>0.01</v>
      </c>
      <c r="BP245" s="421">
        <v>0.01</v>
      </c>
      <c r="BQ245" s="421">
        <v>0.01</v>
      </c>
      <c r="BR245" s="421">
        <v>0.01</v>
      </c>
      <c r="BS245" s="421">
        <v>0</v>
      </c>
      <c r="BT245" s="421">
        <v>0</v>
      </c>
      <c r="BU245" s="421">
        <v>0.01</v>
      </c>
      <c r="BV245" s="421">
        <v>0.01</v>
      </c>
      <c r="BW245" s="421">
        <v>0.01</v>
      </c>
      <c r="BX245" s="421">
        <v>0.01</v>
      </c>
      <c r="BY245" s="421">
        <v>0</v>
      </c>
      <c r="BZ245" s="421">
        <v>0</v>
      </c>
      <c r="CA245" s="421">
        <v>0.01</v>
      </c>
      <c r="CB245" s="421">
        <v>0</v>
      </c>
    </row>
    <row r="246" spans="1:80" s="418" customFormat="1" ht="27.6" x14ac:dyDescent="0.3">
      <c r="A246" s="1052">
        <v>997</v>
      </c>
      <c r="B246" s="1049"/>
      <c r="C246" s="1073" t="s">
        <v>1861</v>
      </c>
      <c r="D246" s="1071" t="s">
        <v>1862</v>
      </c>
      <c r="E246" s="1085" t="s">
        <v>1863</v>
      </c>
      <c r="F246" s="1063">
        <v>0</v>
      </c>
      <c r="G246" s="1063">
        <v>0</v>
      </c>
      <c r="H246" s="1063">
        <v>0</v>
      </c>
      <c r="I246" s="1063">
        <v>0</v>
      </c>
      <c r="J246" s="1063">
        <v>0</v>
      </c>
      <c r="K246" s="1063">
        <v>0</v>
      </c>
      <c r="L246" s="1063">
        <v>0</v>
      </c>
      <c r="M246" s="1063">
        <v>0</v>
      </c>
      <c r="N246" s="1063">
        <v>0</v>
      </c>
      <c r="O246" s="1063">
        <v>0</v>
      </c>
      <c r="P246" s="1063">
        <v>0</v>
      </c>
      <c r="Q246" s="1063">
        <v>0</v>
      </c>
      <c r="R246" s="1063">
        <v>0</v>
      </c>
      <c r="S246" s="1063">
        <v>0</v>
      </c>
      <c r="T246" s="1063">
        <v>0</v>
      </c>
      <c r="U246" s="1063">
        <v>0</v>
      </c>
      <c r="V246" s="1063"/>
      <c r="W246" s="1049"/>
      <c r="X246" s="1049"/>
      <c r="Y246" s="1049"/>
      <c r="Z246" s="1049"/>
      <c r="AA246" s="1066"/>
    </row>
    <row r="247" spans="1:80" s="418" customFormat="1" ht="15.6" x14ac:dyDescent="0.3">
      <c r="A247" s="1052">
        <v>998</v>
      </c>
      <c r="B247" s="1053">
        <v>998</v>
      </c>
      <c r="C247" s="1088">
        <v>998</v>
      </c>
      <c r="D247" s="1084" t="s">
        <v>292</v>
      </c>
      <c r="E247" s="1085" t="s">
        <v>523</v>
      </c>
      <c r="F247" s="1063">
        <v>53</v>
      </c>
      <c r="G247" s="1063">
        <v>53</v>
      </c>
      <c r="H247" s="1063">
        <v>0</v>
      </c>
      <c r="I247" s="1063">
        <v>53</v>
      </c>
      <c r="J247" s="1063">
        <v>53</v>
      </c>
      <c r="K247" s="1063">
        <v>53</v>
      </c>
      <c r="L247" s="1063">
        <v>53</v>
      </c>
      <c r="M247" s="1063">
        <v>53</v>
      </c>
      <c r="N247" s="1063">
        <v>53</v>
      </c>
      <c r="O247" s="1063">
        <v>53</v>
      </c>
      <c r="P247" s="1063">
        <v>53</v>
      </c>
      <c r="Q247" s="1063">
        <v>53</v>
      </c>
      <c r="R247" s="1063">
        <v>53</v>
      </c>
      <c r="S247" s="1063">
        <v>53</v>
      </c>
      <c r="T247" s="1063">
        <v>53</v>
      </c>
      <c r="U247" s="1063">
        <v>53</v>
      </c>
      <c r="V247" s="1063"/>
      <c r="W247" s="1049"/>
      <c r="X247" s="1049"/>
      <c r="Y247" s="1049"/>
      <c r="Z247" s="1049"/>
      <c r="AA247" s="1066"/>
      <c r="AT247" s="418">
        <v>50</v>
      </c>
      <c r="AU247" s="418">
        <v>50</v>
      </c>
      <c r="AV247" s="418">
        <v>50</v>
      </c>
      <c r="AW247" s="418">
        <v>50</v>
      </c>
      <c r="AX247" s="418">
        <v>50</v>
      </c>
      <c r="AY247" s="418">
        <v>50</v>
      </c>
      <c r="AZ247" s="418">
        <v>50</v>
      </c>
      <c r="BA247" s="418">
        <v>50</v>
      </c>
      <c r="BB247" s="418">
        <v>50</v>
      </c>
      <c r="BC247" s="418">
        <v>50</v>
      </c>
      <c r="BD247" s="418">
        <v>0</v>
      </c>
      <c r="BE247" s="418">
        <v>50</v>
      </c>
      <c r="BF247" s="418">
        <v>50</v>
      </c>
      <c r="BG247" s="418">
        <v>0</v>
      </c>
      <c r="BH247" s="418">
        <v>50</v>
      </c>
      <c r="BI247" s="418">
        <v>50</v>
      </c>
      <c r="BJ247" s="418">
        <v>50</v>
      </c>
      <c r="BK247" s="418">
        <v>0</v>
      </c>
      <c r="BL247" s="418">
        <v>50</v>
      </c>
      <c r="BM247" s="418">
        <v>50</v>
      </c>
      <c r="BN247" s="418">
        <v>50</v>
      </c>
      <c r="BO247" s="418">
        <v>50</v>
      </c>
      <c r="BP247" s="418">
        <v>50</v>
      </c>
      <c r="BQ247" s="418">
        <v>50</v>
      </c>
      <c r="BR247" s="418">
        <v>50</v>
      </c>
      <c r="BS247" s="418">
        <v>50</v>
      </c>
      <c r="BT247" s="418">
        <v>50</v>
      </c>
      <c r="BU247" s="418">
        <v>0</v>
      </c>
      <c r="BV247" s="418">
        <v>50</v>
      </c>
      <c r="BW247" s="418">
        <v>50</v>
      </c>
      <c r="BX247" s="418">
        <v>50</v>
      </c>
      <c r="BY247" s="418">
        <v>50</v>
      </c>
      <c r="BZ247" s="418">
        <v>50</v>
      </c>
      <c r="CA247" s="418">
        <v>50</v>
      </c>
      <c r="CB247" s="418">
        <v>50</v>
      </c>
    </row>
    <row r="248" spans="1:80" s="418" customFormat="1" ht="15.6" x14ac:dyDescent="0.3">
      <c r="A248" s="1052">
        <v>999</v>
      </c>
      <c r="B248" s="1053">
        <v>999</v>
      </c>
      <c r="C248" s="1088">
        <v>999</v>
      </c>
      <c r="D248" s="1084" t="s">
        <v>293</v>
      </c>
      <c r="E248" s="1085" t="s">
        <v>524</v>
      </c>
      <c r="F248" s="1089">
        <v>53876</v>
      </c>
      <c r="G248" s="1089">
        <v>53926</v>
      </c>
      <c r="H248" s="1089">
        <v>53880</v>
      </c>
      <c r="I248" s="1089">
        <v>53881</v>
      </c>
      <c r="J248" s="1089">
        <v>53938</v>
      </c>
      <c r="K248" s="1089">
        <v>53884</v>
      </c>
      <c r="L248" s="1089">
        <v>53889</v>
      </c>
      <c r="M248" s="1089">
        <v>53890</v>
      </c>
      <c r="N248" s="1089">
        <v>53897</v>
      </c>
      <c r="O248" s="1089">
        <v>53970</v>
      </c>
      <c r="P248" s="1089">
        <v>53950</v>
      </c>
      <c r="Q248" s="1089">
        <v>53901</v>
      </c>
      <c r="R248" s="1089">
        <v>53902</v>
      </c>
      <c r="S248" s="1089">
        <v>53923</v>
      </c>
      <c r="T248" s="1089">
        <v>53908</v>
      </c>
      <c r="U248" s="1089">
        <v>53913</v>
      </c>
      <c r="V248" s="1089"/>
      <c r="W248" s="1049"/>
      <c r="X248" s="1049"/>
      <c r="Y248" s="1049"/>
      <c r="Z248" s="1049"/>
      <c r="AA248" s="1066"/>
      <c r="AT248" s="418">
        <v>50223</v>
      </c>
      <c r="AU248" s="418">
        <v>50224</v>
      </c>
      <c r="AV248" s="418">
        <v>50225</v>
      </c>
      <c r="AW248" s="418">
        <v>50226</v>
      </c>
      <c r="AX248" s="418">
        <v>50227</v>
      </c>
      <c r="AY248" s="418">
        <v>50455</v>
      </c>
      <c r="AZ248" s="418">
        <v>50229</v>
      </c>
      <c r="BA248" s="418">
        <v>50230</v>
      </c>
      <c r="BB248" s="418">
        <v>50231</v>
      </c>
      <c r="BC248" s="418">
        <v>50232</v>
      </c>
      <c r="BD248" s="418">
        <v>0</v>
      </c>
      <c r="BE248" s="418">
        <v>50234</v>
      </c>
      <c r="BF248" s="418">
        <v>50235</v>
      </c>
      <c r="BG248" s="418">
        <v>0</v>
      </c>
      <c r="BH248" s="418">
        <v>50237</v>
      </c>
      <c r="BI248" s="418">
        <v>50238</v>
      </c>
      <c r="BJ248" s="418">
        <v>50444</v>
      </c>
      <c r="BK248" s="418">
        <v>0</v>
      </c>
      <c r="BL248" s="418">
        <v>50240</v>
      </c>
      <c r="BM248" s="418">
        <v>50241</v>
      </c>
      <c r="BN248" s="418">
        <v>50521</v>
      </c>
      <c r="BO248" s="418">
        <v>50242</v>
      </c>
      <c r="BP248" s="418">
        <v>50244</v>
      </c>
      <c r="BQ248" s="418">
        <v>50243</v>
      </c>
      <c r="BR248" s="418">
        <v>50245</v>
      </c>
      <c r="BS248" s="418">
        <v>50522</v>
      </c>
      <c r="BT248" s="418">
        <v>50246</v>
      </c>
      <c r="BU248" s="418">
        <v>0</v>
      </c>
      <c r="BV248" s="418">
        <v>50248</v>
      </c>
      <c r="BW248" s="418">
        <v>50249</v>
      </c>
      <c r="BX248" s="418">
        <v>50250</v>
      </c>
      <c r="BY248" s="418">
        <v>50251</v>
      </c>
      <c r="BZ248" s="418">
        <v>50252</v>
      </c>
      <c r="CA248" s="418">
        <v>50253</v>
      </c>
      <c r="CB248" s="418">
        <v>50454</v>
      </c>
    </row>
    <row r="249" spans="1:80" ht="15.6" x14ac:dyDescent="0.3">
      <c r="A249" s="1052">
        <v>1000</v>
      </c>
      <c r="B249" s="1049"/>
      <c r="C249" s="1088">
        <v>1000</v>
      </c>
      <c r="D249" s="1084"/>
      <c r="E249" s="1085"/>
      <c r="F249" s="1063">
        <v>0</v>
      </c>
      <c r="G249" s="1063">
        <v>0</v>
      </c>
      <c r="H249" s="1063">
        <v>0</v>
      </c>
      <c r="I249" s="1063">
        <v>0</v>
      </c>
      <c r="J249" s="1063">
        <v>0</v>
      </c>
      <c r="K249" s="1063">
        <v>0</v>
      </c>
      <c r="L249" s="1063">
        <v>0</v>
      </c>
      <c r="M249" s="1063">
        <v>0</v>
      </c>
      <c r="N249" s="1063">
        <v>0</v>
      </c>
      <c r="O249" s="1063">
        <v>0</v>
      </c>
      <c r="P249" s="1063">
        <v>0</v>
      </c>
      <c r="Q249" s="1063">
        <v>0</v>
      </c>
      <c r="R249" s="1063">
        <v>0</v>
      </c>
      <c r="S249" s="1063">
        <v>0</v>
      </c>
      <c r="T249" s="1063">
        <v>0</v>
      </c>
      <c r="U249" s="1063">
        <v>0</v>
      </c>
      <c r="V249" s="1063"/>
      <c r="W249" s="1049"/>
      <c r="X249" s="1049"/>
      <c r="Y249" s="1049"/>
      <c r="Z249" s="1049"/>
      <c r="AA249" s="1066"/>
      <c r="AT249" s="99" t="s">
        <v>847</v>
      </c>
      <c r="AU249" s="99" t="s">
        <v>847</v>
      </c>
      <c r="AV249" s="99" t="s">
        <v>847</v>
      </c>
      <c r="AW249" s="99" t="s">
        <v>847</v>
      </c>
      <c r="AX249" s="99" t="s">
        <v>847</v>
      </c>
      <c r="AY249" s="99" t="s">
        <v>847</v>
      </c>
      <c r="AZ249" s="99" t="s">
        <v>847</v>
      </c>
      <c r="BA249" s="99" t="s">
        <v>847</v>
      </c>
      <c r="BB249" s="99" t="s">
        <v>847</v>
      </c>
      <c r="BC249" s="99" t="s">
        <v>847</v>
      </c>
      <c r="BD249" s="99" t="s">
        <v>847</v>
      </c>
      <c r="BE249" s="99" t="s">
        <v>31</v>
      </c>
      <c r="BF249" s="99" t="s">
        <v>847</v>
      </c>
      <c r="BG249" s="99" t="s">
        <v>847</v>
      </c>
      <c r="BH249" s="99" t="s">
        <v>31</v>
      </c>
      <c r="BI249" s="99" t="s">
        <v>847</v>
      </c>
      <c r="BJ249" s="99" t="s">
        <v>847</v>
      </c>
      <c r="BK249" s="99" t="s">
        <v>847</v>
      </c>
      <c r="BL249" s="99" t="s">
        <v>847</v>
      </c>
      <c r="BM249" s="99" t="s">
        <v>847</v>
      </c>
      <c r="BN249" s="99" t="s">
        <v>31</v>
      </c>
      <c r="BO249" s="99" t="s">
        <v>847</v>
      </c>
      <c r="BP249" s="99" t="s">
        <v>847</v>
      </c>
      <c r="BQ249" s="99" t="s">
        <v>847</v>
      </c>
      <c r="BR249" s="99" t="s">
        <v>847</v>
      </c>
      <c r="BS249" s="99" t="s">
        <v>31</v>
      </c>
      <c r="BT249" s="99" t="s">
        <v>31</v>
      </c>
      <c r="BU249" s="99" t="s">
        <v>847</v>
      </c>
      <c r="BV249" s="99" t="s">
        <v>847</v>
      </c>
      <c r="BW249" s="99" t="s">
        <v>847</v>
      </c>
      <c r="BX249" s="99" t="s">
        <v>847</v>
      </c>
      <c r="BY249" s="99" t="s">
        <v>31</v>
      </c>
      <c r="BZ249" s="99" t="s">
        <v>31</v>
      </c>
      <c r="CA249" s="99" t="s">
        <v>847</v>
      </c>
      <c r="CB249" s="99" t="s">
        <v>31</v>
      </c>
    </row>
    <row r="250" spans="1:80" x14ac:dyDescent="0.3">
      <c r="A250" s="1052">
        <v>537</v>
      </c>
      <c r="B250" s="1049"/>
      <c r="C250" s="1090">
        <v>537</v>
      </c>
      <c r="D250" s="1084"/>
      <c r="E250" s="1085"/>
      <c r="F250" s="1063">
        <v>0</v>
      </c>
      <c r="G250" s="1063">
        <v>0</v>
      </c>
      <c r="H250" s="1063">
        <v>0</v>
      </c>
      <c r="I250" s="1063">
        <v>0</v>
      </c>
      <c r="J250" s="1063">
        <v>0</v>
      </c>
      <c r="K250" s="1063">
        <v>0</v>
      </c>
      <c r="L250" s="1063">
        <v>0</v>
      </c>
      <c r="M250" s="1063">
        <v>0</v>
      </c>
      <c r="N250" s="1063">
        <v>0</v>
      </c>
      <c r="O250" s="1063">
        <v>0</v>
      </c>
      <c r="P250" s="1063">
        <v>0</v>
      </c>
      <c r="Q250" s="1063">
        <v>0</v>
      </c>
      <c r="R250" s="1063">
        <v>0</v>
      </c>
      <c r="S250" s="1063">
        <v>0</v>
      </c>
      <c r="T250" s="1063">
        <v>0</v>
      </c>
      <c r="U250" s="1063">
        <v>0</v>
      </c>
      <c r="V250" s="1063"/>
      <c r="W250" s="1049"/>
      <c r="X250" s="1049"/>
      <c r="Y250" s="1049"/>
      <c r="Z250" s="1049"/>
      <c r="AA250" s="1066"/>
      <c r="AT250" s="99" t="s">
        <v>51</v>
      </c>
      <c r="AU250" s="99" t="s">
        <v>52</v>
      </c>
      <c r="AV250" s="99" t="s">
        <v>52</v>
      </c>
      <c r="AW250" s="99" t="s">
        <v>52</v>
      </c>
      <c r="AX250" s="99" t="s">
        <v>52</v>
      </c>
      <c r="AY250" s="99" t="s">
        <v>52</v>
      </c>
      <c r="AZ250" s="99" t="s">
        <v>51</v>
      </c>
      <c r="BA250" s="99" t="s">
        <v>52</v>
      </c>
      <c r="BB250" s="99" t="s">
        <v>51</v>
      </c>
      <c r="BC250" s="99" t="s">
        <v>51</v>
      </c>
      <c r="BD250" s="99" t="s">
        <v>681</v>
      </c>
      <c r="BE250" s="99" t="s">
        <v>52</v>
      </c>
      <c r="BF250" s="99" t="s">
        <v>51</v>
      </c>
      <c r="BG250" s="99" t="s">
        <v>681</v>
      </c>
      <c r="BH250" s="99" t="s">
        <v>52</v>
      </c>
      <c r="BI250" s="99" t="s">
        <v>52</v>
      </c>
      <c r="BJ250" s="99" t="s">
        <v>52</v>
      </c>
      <c r="BK250" s="99" t="s">
        <v>681</v>
      </c>
      <c r="BL250" s="99" t="s">
        <v>51</v>
      </c>
      <c r="BM250" s="99" t="s">
        <v>52</v>
      </c>
      <c r="BN250" s="99" t="s">
        <v>52</v>
      </c>
      <c r="BO250" s="99" t="s">
        <v>51</v>
      </c>
      <c r="BP250" s="99" t="s">
        <v>51</v>
      </c>
      <c r="BQ250" s="99" t="s">
        <v>51</v>
      </c>
      <c r="BR250" s="99" t="s">
        <v>52</v>
      </c>
      <c r="BS250" s="99" t="s">
        <v>52</v>
      </c>
      <c r="BT250" s="99" t="s">
        <v>52</v>
      </c>
      <c r="BU250" s="99" t="s">
        <v>52</v>
      </c>
      <c r="BV250" s="99" t="s">
        <v>51</v>
      </c>
      <c r="BW250" s="99" t="s">
        <v>52</v>
      </c>
      <c r="BX250" s="99" t="s">
        <v>52</v>
      </c>
      <c r="BY250" s="99" t="s">
        <v>52</v>
      </c>
      <c r="BZ250" s="99" t="s">
        <v>52</v>
      </c>
      <c r="CA250" s="99" t="s">
        <v>52</v>
      </c>
      <c r="CB250" s="99" t="s">
        <v>52</v>
      </c>
    </row>
    <row r="251" spans="1:80" x14ac:dyDescent="0.3">
      <c r="A251" s="1052">
        <v>538</v>
      </c>
      <c r="B251" s="1049"/>
      <c r="C251" s="1090">
        <v>538</v>
      </c>
      <c r="D251" s="1084"/>
      <c r="E251" s="1085"/>
      <c r="F251" s="1063">
        <v>0</v>
      </c>
      <c r="G251" s="1063">
        <v>0</v>
      </c>
      <c r="H251" s="1063">
        <v>0</v>
      </c>
      <c r="I251" s="1063">
        <v>0</v>
      </c>
      <c r="J251" s="1063">
        <v>0</v>
      </c>
      <c r="K251" s="1063">
        <v>0</v>
      </c>
      <c r="L251" s="1063">
        <v>0</v>
      </c>
      <c r="M251" s="1063">
        <v>0</v>
      </c>
      <c r="N251" s="1063">
        <v>0</v>
      </c>
      <c r="O251" s="1063">
        <v>0</v>
      </c>
      <c r="P251" s="1063">
        <v>0</v>
      </c>
      <c r="Q251" s="1063">
        <v>0</v>
      </c>
      <c r="R251" s="1063">
        <v>0</v>
      </c>
      <c r="S251" s="1063">
        <v>0</v>
      </c>
      <c r="T251" s="1063">
        <v>0</v>
      </c>
      <c r="U251" s="1063">
        <v>0</v>
      </c>
      <c r="V251" s="1063"/>
      <c r="W251" s="1049"/>
      <c r="X251" s="1049"/>
      <c r="Y251" s="1049"/>
      <c r="Z251" s="1049"/>
      <c r="AA251" s="1066"/>
      <c r="AT251" s="99" t="s">
        <v>51</v>
      </c>
      <c r="AU251" s="99" t="s">
        <v>51</v>
      </c>
      <c r="AV251" s="99" t="s">
        <v>52</v>
      </c>
      <c r="AW251" s="99" t="s">
        <v>52</v>
      </c>
      <c r="AX251" s="99" t="s">
        <v>52</v>
      </c>
      <c r="AY251" s="99" t="s">
        <v>52</v>
      </c>
      <c r="AZ251" s="99" t="s">
        <v>51</v>
      </c>
      <c r="BA251" s="99" t="s">
        <v>52</v>
      </c>
      <c r="BB251" s="99" t="s">
        <v>51</v>
      </c>
      <c r="BC251" s="99" t="s">
        <v>51</v>
      </c>
      <c r="BD251" s="99" t="s">
        <v>681</v>
      </c>
      <c r="BE251" s="99" t="s">
        <v>52</v>
      </c>
      <c r="BF251" s="99" t="s">
        <v>52</v>
      </c>
      <c r="BG251" s="99" t="s">
        <v>681</v>
      </c>
      <c r="BH251" s="99" t="s">
        <v>52</v>
      </c>
      <c r="BI251" s="99" t="s">
        <v>52</v>
      </c>
      <c r="BJ251" s="99" t="s">
        <v>52</v>
      </c>
      <c r="BK251" s="99" t="s">
        <v>681</v>
      </c>
      <c r="BL251" s="99" t="s">
        <v>52</v>
      </c>
      <c r="BM251" s="99" t="s">
        <v>52</v>
      </c>
      <c r="BN251" s="99" t="s">
        <v>52</v>
      </c>
      <c r="BO251" s="99" t="s">
        <v>51</v>
      </c>
      <c r="BP251" s="99" t="s">
        <v>51</v>
      </c>
      <c r="BQ251" s="99" t="s">
        <v>51</v>
      </c>
      <c r="BR251" s="99" t="s">
        <v>52</v>
      </c>
      <c r="BS251" s="99" t="s">
        <v>52</v>
      </c>
      <c r="BT251" s="99" t="s">
        <v>52</v>
      </c>
      <c r="BU251" s="99" t="s">
        <v>52</v>
      </c>
      <c r="BV251" s="99" t="s">
        <v>51</v>
      </c>
      <c r="BW251" s="99" t="s">
        <v>52</v>
      </c>
      <c r="BX251" s="99" t="s">
        <v>52</v>
      </c>
      <c r="BY251" s="99" t="s">
        <v>52</v>
      </c>
      <c r="BZ251" s="99" t="s">
        <v>52</v>
      </c>
      <c r="CA251" s="99" t="s">
        <v>52</v>
      </c>
      <c r="CB251" s="99" t="s">
        <v>52</v>
      </c>
    </row>
    <row r="252" spans="1:80" s="418" customFormat="1" x14ac:dyDescent="0.3">
      <c r="A252" s="1052">
        <v>591</v>
      </c>
      <c r="B252" s="1053">
        <v>591</v>
      </c>
      <c r="C252" s="1090">
        <v>591</v>
      </c>
      <c r="D252" s="1091" t="s">
        <v>609</v>
      </c>
      <c r="E252" s="1049"/>
      <c r="F252" s="1063">
        <v>636377</v>
      </c>
      <c r="G252" s="1063">
        <v>431677457</v>
      </c>
      <c r="H252" s="1063">
        <v>153865519</v>
      </c>
      <c r="I252" s="1063">
        <v>303013710</v>
      </c>
      <c r="J252" s="1063">
        <v>0</v>
      </c>
      <c r="K252" s="1063">
        <v>0</v>
      </c>
      <c r="L252" s="1063">
        <v>0</v>
      </c>
      <c r="M252" s="1063">
        <v>0</v>
      </c>
      <c r="N252" s="1063">
        <v>257347944</v>
      </c>
      <c r="O252" s="1063">
        <v>44212094</v>
      </c>
      <c r="P252" s="1063">
        <v>246200216</v>
      </c>
      <c r="Q252" s="1063">
        <v>0</v>
      </c>
      <c r="R252" s="1063">
        <v>103869405</v>
      </c>
      <c r="S252" s="1063">
        <v>141902425</v>
      </c>
      <c r="T252" s="1063">
        <v>64480890</v>
      </c>
      <c r="U252" s="1063">
        <v>199380472</v>
      </c>
      <c r="V252" s="1063"/>
      <c r="W252" s="1049"/>
      <c r="X252" s="1049"/>
      <c r="Y252" s="1049"/>
      <c r="Z252" s="1049"/>
      <c r="AA252" s="1066"/>
      <c r="AT252" s="418">
        <v>405809</v>
      </c>
      <c r="AU252" s="418">
        <v>2380042</v>
      </c>
      <c r="AV252" s="418">
        <v>13472148</v>
      </c>
      <c r="AW252" s="418">
        <v>350372</v>
      </c>
      <c r="AX252" s="418">
        <v>598345</v>
      </c>
      <c r="AY252" s="418">
        <v>1181011</v>
      </c>
      <c r="AZ252" s="418">
        <v>2077526</v>
      </c>
      <c r="BA252" s="418">
        <v>9650203</v>
      </c>
      <c r="BB252" s="418">
        <v>102357</v>
      </c>
      <c r="BC252" s="418">
        <v>1313775</v>
      </c>
      <c r="BD252" s="418">
        <v>0</v>
      </c>
      <c r="BE252" s="418">
        <v>0</v>
      </c>
      <c r="BF252" s="418">
        <v>42333670</v>
      </c>
      <c r="BG252" s="418">
        <v>0</v>
      </c>
      <c r="BH252" s="418">
        <v>0</v>
      </c>
      <c r="BI252" s="418">
        <v>1435080</v>
      </c>
      <c r="BJ252" s="418">
        <v>893146</v>
      </c>
      <c r="BK252" s="418">
        <v>0</v>
      </c>
      <c r="BL252" s="418">
        <v>9491340</v>
      </c>
      <c r="BM252" s="418">
        <v>1817940</v>
      </c>
      <c r="BN252" s="418">
        <v>0</v>
      </c>
      <c r="BO252" s="418">
        <v>3978631</v>
      </c>
      <c r="BP252" s="418">
        <v>971216</v>
      </c>
      <c r="BQ252" s="418">
        <v>840373</v>
      </c>
      <c r="BR252" s="418">
        <v>1326355</v>
      </c>
      <c r="BS252" s="418">
        <v>0</v>
      </c>
      <c r="BT252" s="418">
        <v>0</v>
      </c>
      <c r="BU252" s="418">
        <v>975277</v>
      </c>
      <c r="BV252" s="418">
        <v>2655874</v>
      </c>
      <c r="BW252" s="418">
        <v>590683</v>
      </c>
      <c r="BX252" s="418">
        <v>1359151</v>
      </c>
      <c r="BY252" s="418">
        <v>0</v>
      </c>
      <c r="BZ252" s="418">
        <v>0</v>
      </c>
      <c r="CA252" s="418">
        <v>7298336</v>
      </c>
      <c r="CB252" s="418">
        <v>0</v>
      </c>
    </row>
    <row r="253" spans="1:80" s="418" customFormat="1" ht="27.6" x14ac:dyDescent="0.3">
      <c r="A253" s="1052">
        <v>592</v>
      </c>
      <c r="B253" s="1053">
        <v>592</v>
      </c>
      <c r="C253" s="1090">
        <v>592</v>
      </c>
      <c r="D253" s="1092" t="s">
        <v>610</v>
      </c>
      <c r="E253" s="1049"/>
      <c r="F253" s="1063">
        <v>-509166</v>
      </c>
      <c r="G253" s="1063">
        <v>45487764</v>
      </c>
      <c r="H253" s="1063">
        <v>22151466</v>
      </c>
      <c r="I253" s="1063">
        <v>14248712</v>
      </c>
      <c r="J253" s="1063">
        <v>0</v>
      </c>
      <c r="K253" s="1063">
        <v>0</v>
      </c>
      <c r="L253" s="1063">
        <v>0</v>
      </c>
      <c r="M253" s="1063">
        <v>0</v>
      </c>
      <c r="N253" s="1063">
        <v>6150782</v>
      </c>
      <c r="O253" s="1063">
        <v>-1261008</v>
      </c>
      <c r="P253" s="1063">
        <v>-1322033</v>
      </c>
      <c r="Q253" s="1063">
        <v>0</v>
      </c>
      <c r="R253" s="1063">
        <v>4800310</v>
      </c>
      <c r="S253" s="1063">
        <v>6880864</v>
      </c>
      <c r="T253" s="1063">
        <v>1196385</v>
      </c>
      <c r="U253" s="1063">
        <v>4807542</v>
      </c>
      <c r="V253" s="1063"/>
      <c r="W253" s="1049"/>
      <c r="X253" s="1049"/>
      <c r="Y253" s="1049"/>
      <c r="Z253" s="1049"/>
      <c r="AA253" s="1049"/>
      <c r="AT253" s="418">
        <v>-94826</v>
      </c>
      <c r="AU253" s="418">
        <v>379073</v>
      </c>
      <c r="AV253" s="418">
        <v>1775351</v>
      </c>
      <c r="AW253" s="418">
        <v>50432</v>
      </c>
      <c r="AX253" s="418">
        <v>338783</v>
      </c>
      <c r="AY253" s="418">
        <v>609194</v>
      </c>
      <c r="AZ253" s="418">
        <v>-88837</v>
      </c>
      <c r="BA253" s="418">
        <v>-199473</v>
      </c>
      <c r="BB253" s="418">
        <v>-14536</v>
      </c>
      <c r="BC253" s="418">
        <v>3398</v>
      </c>
      <c r="BD253" s="418">
        <v>0</v>
      </c>
      <c r="BE253" s="418">
        <v>0</v>
      </c>
      <c r="BF253" s="418">
        <v>2151881</v>
      </c>
      <c r="BG253" s="418">
        <v>0</v>
      </c>
      <c r="BH253" s="418">
        <v>0</v>
      </c>
      <c r="BI253" s="418">
        <v>217225</v>
      </c>
      <c r="BJ253" s="418">
        <v>131142</v>
      </c>
      <c r="BK253" s="418">
        <v>0</v>
      </c>
      <c r="BL253" s="418">
        <v>927449</v>
      </c>
      <c r="BM253" s="418">
        <v>223201</v>
      </c>
      <c r="BN253" s="418">
        <v>0</v>
      </c>
      <c r="BO253" s="418">
        <v>-364243</v>
      </c>
      <c r="BP253" s="418">
        <v>247720</v>
      </c>
      <c r="BQ253" s="418">
        <v>-136759</v>
      </c>
      <c r="BR253" s="418">
        <v>-1475913</v>
      </c>
      <c r="BS253" s="418">
        <v>0</v>
      </c>
      <c r="BT253" s="418">
        <v>0</v>
      </c>
      <c r="BU253" s="418">
        <v>-164984</v>
      </c>
      <c r="BV253" s="418">
        <v>-21398</v>
      </c>
      <c r="BW253" s="418">
        <v>866377</v>
      </c>
      <c r="BX253" s="418">
        <v>-856853</v>
      </c>
      <c r="BY253" s="418">
        <v>0</v>
      </c>
      <c r="BZ253" s="418">
        <v>0</v>
      </c>
      <c r="CA253" s="418">
        <v>5854413</v>
      </c>
      <c r="CB253" s="418">
        <v>0</v>
      </c>
    </row>
    <row r="254" spans="1:80" s="418" customFormat="1" x14ac:dyDescent="0.3">
      <c r="A254" s="1052">
        <v>595</v>
      </c>
      <c r="B254" s="1049"/>
      <c r="C254" s="1090">
        <v>595</v>
      </c>
      <c r="D254" s="1092" t="s">
        <v>1864</v>
      </c>
      <c r="E254" s="1052" t="s">
        <v>1865</v>
      </c>
      <c r="F254" s="1063">
        <v>0</v>
      </c>
      <c r="G254" s="1063">
        <v>0</v>
      </c>
      <c r="H254" s="1063">
        <v>0</v>
      </c>
      <c r="I254" s="1063">
        <v>0</v>
      </c>
      <c r="J254" s="1063">
        <v>0</v>
      </c>
      <c r="K254" s="1063">
        <v>0</v>
      </c>
      <c r="L254" s="1063">
        <v>0</v>
      </c>
      <c r="M254" s="1063">
        <v>0</v>
      </c>
      <c r="N254" s="1063">
        <v>0</v>
      </c>
      <c r="O254" s="1063">
        <v>0</v>
      </c>
      <c r="P254" s="1063">
        <v>0</v>
      </c>
      <c r="Q254" s="1063">
        <v>0</v>
      </c>
      <c r="R254" s="1063">
        <v>0</v>
      </c>
      <c r="S254" s="1063">
        <v>0</v>
      </c>
      <c r="T254" s="1063">
        <v>0</v>
      </c>
      <c r="U254" s="1063">
        <v>0</v>
      </c>
      <c r="V254" s="1063"/>
      <c r="W254" s="1049"/>
      <c r="X254" s="1049"/>
      <c r="Y254" s="1049"/>
      <c r="Z254" s="1049"/>
      <c r="AA254" s="1049"/>
    </row>
    <row r="255" spans="1:80" s="418" customFormat="1" x14ac:dyDescent="0.3">
      <c r="A255" s="1052">
        <v>596</v>
      </c>
      <c r="B255" s="1049"/>
      <c r="C255" s="1090">
        <v>596</v>
      </c>
      <c r="D255" s="1092"/>
      <c r="E255" s="1049"/>
      <c r="F255" s="1063">
        <v>0</v>
      </c>
      <c r="G255" s="1063">
        <v>0</v>
      </c>
      <c r="H255" s="1063">
        <v>0</v>
      </c>
      <c r="I255" s="1063">
        <v>0</v>
      </c>
      <c r="J255" s="1063">
        <v>0</v>
      </c>
      <c r="K255" s="1063">
        <v>0</v>
      </c>
      <c r="L255" s="1063">
        <v>0</v>
      </c>
      <c r="M255" s="1063">
        <v>0</v>
      </c>
      <c r="N255" s="1063">
        <v>0</v>
      </c>
      <c r="O255" s="1063">
        <v>0</v>
      </c>
      <c r="P255" s="1063">
        <v>0</v>
      </c>
      <c r="Q255" s="1063">
        <v>0</v>
      </c>
      <c r="R255" s="1063">
        <v>0</v>
      </c>
      <c r="S255" s="1063">
        <v>0</v>
      </c>
      <c r="T255" s="1063">
        <v>0</v>
      </c>
      <c r="U255" s="1063">
        <v>0</v>
      </c>
      <c r="V255" s="1063"/>
      <c r="W255" s="1049"/>
      <c r="X255" s="1049"/>
      <c r="Y255" s="1049"/>
      <c r="Z255" s="1049"/>
      <c r="AA255" s="1049"/>
      <c r="AT255" s="418">
        <v>52</v>
      </c>
      <c r="AU255" s="418">
        <v>52</v>
      </c>
      <c r="AV255" s="418">
        <v>52</v>
      </c>
      <c r="AW255" s="418">
        <v>52</v>
      </c>
      <c r="AX255" s="418">
        <v>52</v>
      </c>
      <c r="AY255" s="418">
        <v>52</v>
      </c>
      <c r="AZ255" s="418">
        <v>52</v>
      </c>
      <c r="BA255" s="418">
        <v>52</v>
      </c>
      <c r="BB255" s="418">
        <v>50</v>
      </c>
      <c r="BC255" s="418">
        <v>52</v>
      </c>
      <c r="BD255" s="418">
        <v>0</v>
      </c>
      <c r="BE255" s="418">
        <v>52</v>
      </c>
      <c r="BF255" s="418">
        <v>52</v>
      </c>
      <c r="BG255" s="418">
        <v>0</v>
      </c>
      <c r="BH255" s="418">
        <v>52</v>
      </c>
      <c r="BI255" s="418">
        <v>52</v>
      </c>
      <c r="BJ255" s="418">
        <v>52</v>
      </c>
      <c r="BK255" s="418">
        <v>0</v>
      </c>
      <c r="BL255" s="418">
        <v>52</v>
      </c>
      <c r="BM255" s="418">
        <v>52</v>
      </c>
      <c r="BN255" s="418">
        <v>52</v>
      </c>
      <c r="BO255" s="418">
        <v>52</v>
      </c>
      <c r="BP255" s="418">
        <v>52</v>
      </c>
      <c r="BQ255" s="418">
        <v>52</v>
      </c>
      <c r="BR255" s="418">
        <v>52</v>
      </c>
      <c r="BS255" s="418">
        <v>52</v>
      </c>
      <c r="BT255" s="418">
        <v>52</v>
      </c>
      <c r="BU255" s="418">
        <v>52</v>
      </c>
      <c r="BV255" s="418">
        <v>52</v>
      </c>
      <c r="BW255" s="418">
        <v>52</v>
      </c>
      <c r="BX255" s="418">
        <v>52</v>
      </c>
      <c r="BY255" s="418">
        <v>52</v>
      </c>
      <c r="BZ255" s="418">
        <v>0</v>
      </c>
      <c r="CA255" s="418">
        <v>52</v>
      </c>
      <c r="CB255" s="418">
        <v>52</v>
      </c>
    </row>
    <row r="256" spans="1:80" s="418" customFormat="1" x14ac:dyDescent="0.3">
      <c r="A256" s="1052">
        <v>597</v>
      </c>
      <c r="B256" s="1049"/>
      <c r="C256" s="1090">
        <v>597</v>
      </c>
      <c r="D256" s="1092"/>
      <c r="E256" s="1049"/>
      <c r="F256" s="1063">
        <v>0</v>
      </c>
      <c r="G256" s="1063">
        <v>0</v>
      </c>
      <c r="H256" s="1063">
        <v>0</v>
      </c>
      <c r="I256" s="1063">
        <v>0</v>
      </c>
      <c r="J256" s="1063">
        <v>0</v>
      </c>
      <c r="K256" s="1063">
        <v>0</v>
      </c>
      <c r="L256" s="1063">
        <v>0</v>
      </c>
      <c r="M256" s="1063">
        <v>0</v>
      </c>
      <c r="N256" s="1063">
        <v>0</v>
      </c>
      <c r="O256" s="1063">
        <v>0</v>
      </c>
      <c r="P256" s="1063">
        <v>0</v>
      </c>
      <c r="Q256" s="1063">
        <v>0</v>
      </c>
      <c r="R256" s="1063">
        <v>0</v>
      </c>
      <c r="S256" s="1063">
        <v>0</v>
      </c>
      <c r="T256" s="1063">
        <v>0</v>
      </c>
      <c r="U256" s="1063">
        <v>0</v>
      </c>
      <c r="V256" s="1063"/>
      <c r="W256" s="1049"/>
      <c r="X256" s="1049"/>
      <c r="Y256" s="1049"/>
      <c r="Z256" s="1049"/>
      <c r="AA256" s="1049"/>
      <c r="AT256" s="418">
        <v>5021</v>
      </c>
      <c r="AU256" s="418">
        <v>43239</v>
      </c>
      <c r="AV256" s="418">
        <v>305978</v>
      </c>
      <c r="AW256" s="418">
        <v>3682</v>
      </c>
      <c r="AX256" s="418">
        <v>5571</v>
      </c>
      <c r="AY256" s="418">
        <v>26534</v>
      </c>
      <c r="AZ256" s="418">
        <v>33976</v>
      </c>
      <c r="BA256" s="418">
        <v>90937</v>
      </c>
      <c r="BB256" s="418">
        <v>155</v>
      </c>
      <c r="BC256" s="418">
        <v>15938</v>
      </c>
      <c r="BD256" s="418">
        <v>0</v>
      </c>
      <c r="BE256" s="418">
        <v>4899</v>
      </c>
      <c r="BF256" s="418">
        <v>144092</v>
      </c>
      <c r="BG256" s="418">
        <v>0</v>
      </c>
      <c r="BH256" s="418">
        <v>465</v>
      </c>
      <c r="BI256" s="418">
        <v>35397</v>
      </c>
      <c r="BJ256" s="418">
        <v>82734</v>
      </c>
      <c r="BK256" s="418">
        <v>0</v>
      </c>
      <c r="BL256" s="418">
        <v>0</v>
      </c>
      <c r="BM256" s="418">
        <v>127606</v>
      </c>
      <c r="BN256" s="418">
        <v>1105</v>
      </c>
      <c r="BO256" s="418">
        <v>24388</v>
      </c>
      <c r="BP256" s="418">
        <v>80237</v>
      </c>
      <c r="BQ256" s="418">
        <v>5176</v>
      </c>
      <c r="BR256" s="418">
        <v>23757</v>
      </c>
      <c r="BS256" s="418">
        <v>11060</v>
      </c>
      <c r="BT256" s="418">
        <v>234247</v>
      </c>
      <c r="BU256" s="418">
        <v>0</v>
      </c>
      <c r="BV256" s="418">
        <v>59179</v>
      </c>
      <c r="BW256" s="418">
        <v>0</v>
      </c>
      <c r="BX256" s="418">
        <v>13202</v>
      </c>
      <c r="BY256" s="418">
        <v>1730</v>
      </c>
      <c r="BZ256" s="418">
        <v>1418</v>
      </c>
      <c r="CA256" s="418">
        <v>242315</v>
      </c>
      <c r="CB256" s="418">
        <v>506</v>
      </c>
    </row>
    <row r="257" spans="1:80" s="418" customFormat="1" x14ac:dyDescent="0.3">
      <c r="A257" s="1049"/>
      <c r="B257" s="1049"/>
      <c r="C257" s="1049"/>
      <c r="D257" s="1092"/>
      <c r="E257" s="1049"/>
      <c r="F257" s="1063">
        <v>0</v>
      </c>
      <c r="G257" s="1063">
        <v>0</v>
      </c>
      <c r="H257" s="1063">
        <v>0</v>
      </c>
      <c r="I257" s="1063">
        <v>0</v>
      </c>
      <c r="J257" s="1063">
        <v>0</v>
      </c>
      <c r="K257" s="1063">
        <v>0</v>
      </c>
      <c r="L257" s="1063">
        <v>0</v>
      </c>
      <c r="M257" s="1063">
        <v>0</v>
      </c>
      <c r="N257" s="1063">
        <v>0</v>
      </c>
      <c r="O257" s="1063">
        <v>0</v>
      </c>
      <c r="P257" s="1063">
        <v>0</v>
      </c>
      <c r="Q257" s="1063">
        <v>0</v>
      </c>
      <c r="R257" s="1063">
        <v>0</v>
      </c>
      <c r="S257" s="1063">
        <v>0</v>
      </c>
      <c r="T257" s="1063">
        <v>0</v>
      </c>
      <c r="U257" s="1063">
        <v>0</v>
      </c>
      <c r="V257" s="1063"/>
    </row>
    <row r="258" spans="1:80" s="418" customFormat="1" x14ac:dyDescent="0.3">
      <c r="A258" s="1052">
        <v>598</v>
      </c>
      <c r="B258" s="1049"/>
      <c r="C258" s="1090">
        <v>598</v>
      </c>
      <c r="D258" s="1092"/>
      <c r="E258" s="1049"/>
      <c r="F258" s="1063">
        <v>0</v>
      </c>
      <c r="G258" s="1063">
        <v>0</v>
      </c>
      <c r="H258" s="1063">
        <v>0</v>
      </c>
      <c r="I258" s="1063">
        <v>0</v>
      </c>
      <c r="J258" s="1063">
        <v>0</v>
      </c>
      <c r="K258" s="1063">
        <v>0</v>
      </c>
      <c r="L258" s="1063">
        <v>0</v>
      </c>
      <c r="M258" s="1063">
        <v>0</v>
      </c>
      <c r="N258" s="1063">
        <v>0</v>
      </c>
      <c r="O258" s="1063">
        <v>0</v>
      </c>
      <c r="P258" s="1063">
        <v>0</v>
      </c>
      <c r="Q258" s="1063">
        <v>0</v>
      </c>
      <c r="R258" s="1063">
        <v>0</v>
      </c>
      <c r="S258" s="1063">
        <v>0</v>
      </c>
      <c r="T258" s="1063">
        <v>0</v>
      </c>
      <c r="U258" s="1063">
        <v>0</v>
      </c>
      <c r="V258" s="1063"/>
      <c r="AT258" s="418">
        <v>0</v>
      </c>
      <c r="AU258" s="418">
        <v>0</v>
      </c>
      <c r="AV258" s="418">
        <v>82013</v>
      </c>
      <c r="AW258" s="418">
        <v>0</v>
      </c>
      <c r="AX258" s="418">
        <v>4095</v>
      </c>
      <c r="AY258" s="418">
        <v>0</v>
      </c>
      <c r="AZ258" s="418">
        <v>16935</v>
      </c>
      <c r="BA258" s="418">
        <v>16250</v>
      </c>
      <c r="BB258" s="418">
        <v>0</v>
      </c>
      <c r="BC258" s="418">
        <v>22644</v>
      </c>
      <c r="BD258" s="418">
        <v>0</v>
      </c>
      <c r="BE258" s="418">
        <v>0</v>
      </c>
      <c r="BF258" s="418">
        <v>222811</v>
      </c>
      <c r="BG258" s="418">
        <v>0</v>
      </c>
      <c r="BH258" s="418">
        <v>0</v>
      </c>
      <c r="BI258" s="418">
        <v>21458</v>
      </c>
      <c r="BJ258" s="418">
        <v>30429</v>
      </c>
      <c r="BK258" s="418">
        <v>0</v>
      </c>
      <c r="BL258" s="418">
        <v>9228</v>
      </c>
      <c r="BM258" s="418">
        <v>15779</v>
      </c>
      <c r="BN258" s="418">
        <v>0</v>
      </c>
      <c r="BO258" s="418">
        <v>53234</v>
      </c>
      <c r="BP258" s="418">
        <v>0</v>
      </c>
      <c r="BQ258" s="418">
        <v>0</v>
      </c>
      <c r="BR258" s="418">
        <v>0</v>
      </c>
      <c r="BS258" s="418">
        <v>0</v>
      </c>
      <c r="BT258" s="418">
        <v>97803</v>
      </c>
      <c r="BU258" s="418">
        <v>12379</v>
      </c>
      <c r="BV258" s="418">
        <v>13197</v>
      </c>
      <c r="BW258" s="418">
        <v>0</v>
      </c>
      <c r="BX258" s="418">
        <v>0</v>
      </c>
      <c r="BY258" s="418">
        <v>0</v>
      </c>
      <c r="BZ258" s="418">
        <v>0</v>
      </c>
      <c r="CA258" s="418">
        <v>0</v>
      </c>
      <c r="CB258" s="418">
        <v>0</v>
      </c>
    </row>
    <row r="259" spans="1:80" s="418" customFormat="1" x14ac:dyDescent="0.3">
      <c r="A259" s="1052">
        <v>599</v>
      </c>
      <c r="B259" s="1049"/>
      <c r="C259" s="1090">
        <v>599</v>
      </c>
      <c r="D259" s="1092"/>
      <c r="E259" s="1049"/>
      <c r="F259" s="1063">
        <v>0</v>
      </c>
      <c r="G259" s="1063">
        <v>0</v>
      </c>
      <c r="H259" s="1063">
        <v>0</v>
      </c>
      <c r="I259" s="1063">
        <v>0</v>
      </c>
      <c r="J259" s="1063">
        <v>0</v>
      </c>
      <c r="K259" s="1063">
        <v>0</v>
      </c>
      <c r="L259" s="1063">
        <v>0</v>
      </c>
      <c r="M259" s="1063">
        <v>0</v>
      </c>
      <c r="N259" s="1063">
        <v>0</v>
      </c>
      <c r="O259" s="1063">
        <v>0</v>
      </c>
      <c r="P259" s="1063">
        <v>0</v>
      </c>
      <c r="Q259" s="1063">
        <v>0</v>
      </c>
      <c r="R259" s="1063">
        <v>0</v>
      </c>
      <c r="S259" s="1063">
        <v>0</v>
      </c>
      <c r="T259" s="1063">
        <v>0</v>
      </c>
      <c r="U259" s="1063">
        <v>0</v>
      </c>
      <c r="V259" s="1063"/>
      <c r="AT259" s="418">
        <v>37637</v>
      </c>
      <c r="AU259" s="418">
        <v>325055</v>
      </c>
      <c r="AV259" s="418">
        <v>1019789</v>
      </c>
      <c r="AW259" s="418">
        <v>0</v>
      </c>
      <c r="AX259" s="418">
        <v>25810</v>
      </c>
      <c r="AY259" s="418">
        <v>281454</v>
      </c>
      <c r="AZ259" s="418">
        <v>473850</v>
      </c>
      <c r="BA259" s="418">
        <v>567171</v>
      </c>
      <c r="BB259" s="418">
        <v>0</v>
      </c>
      <c r="BC259" s="418">
        <v>215186</v>
      </c>
      <c r="BD259" s="418">
        <v>0</v>
      </c>
      <c r="BE259" s="418">
        <v>0</v>
      </c>
      <c r="BF259" s="418">
        <v>3320741</v>
      </c>
      <c r="BG259" s="418">
        <v>0</v>
      </c>
      <c r="BH259" s="418">
        <v>0</v>
      </c>
      <c r="BI259" s="418">
        <v>388699</v>
      </c>
      <c r="BJ259" s="418">
        <v>441720</v>
      </c>
      <c r="BK259" s="418">
        <v>0</v>
      </c>
      <c r="BL259" s="418">
        <v>402237</v>
      </c>
      <c r="BM259" s="418">
        <v>260077</v>
      </c>
      <c r="BN259" s="418">
        <v>0</v>
      </c>
      <c r="BO259" s="418">
        <v>728793</v>
      </c>
      <c r="BP259" s="418">
        <v>73272</v>
      </c>
      <c r="BQ259" s="418">
        <v>68824</v>
      </c>
      <c r="BR259" s="418">
        <v>247319</v>
      </c>
      <c r="BS259" s="418">
        <v>0</v>
      </c>
      <c r="BT259" s="418">
        <v>2473471</v>
      </c>
      <c r="BU259" s="418">
        <v>174958</v>
      </c>
      <c r="BV259" s="418">
        <v>449498</v>
      </c>
      <c r="BW259" s="418">
        <v>28522</v>
      </c>
      <c r="BX259" s="418">
        <v>0</v>
      </c>
      <c r="BY259" s="418">
        <v>0</v>
      </c>
      <c r="BZ259" s="418">
        <v>0</v>
      </c>
      <c r="CA259" s="418">
        <v>802190</v>
      </c>
      <c r="CB259" s="418">
        <v>0</v>
      </c>
    </row>
    <row r="260" spans="1:80" s="418" customFormat="1" ht="100.8" x14ac:dyDescent="0.3">
      <c r="A260" s="1052">
        <v>600</v>
      </c>
      <c r="B260" s="1049"/>
      <c r="C260" s="1056">
        <v>600</v>
      </c>
      <c r="D260" s="1093" t="s">
        <v>848</v>
      </c>
      <c r="E260" s="1049"/>
      <c r="F260" s="1063">
        <v>0</v>
      </c>
      <c r="G260" s="1063">
        <v>0</v>
      </c>
      <c r="H260" s="1063">
        <v>0</v>
      </c>
      <c r="I260" s="1063">
        <v>0</v>
      </c>
      <c r="J260" s="1063">
        <v>0</v>
      </c>
      <c r="K260" s="1063">
        <v>0</v>
      </c>
      <c r="L260" s="1063">
        <v>0</v>
      </c>
      <c r="M260" s="1063">
        <v>0</v>
      </c>
      <c r="N260" s="1063">
        <v>0</v>
      </c>
      <c r="O260" s="1063">
        <v>0</v>
      </c>
      <c r="P260" s="1063">
        <v>0</v>
      </c>
      <c r="Q260" s="1063">
        <v>0</v>
      </c>
      <c r="R260" s="1063">
        <v>0</v>
      </c>
      <c r="S260" s="1063">
        <v>0</v>
      </c>
      <c r="T260" s="1063">
        <v>0</v>
      </c>
      <c r="U260" s="1063">
        <v>0</v>
      </c>
      <c r="V260" s="1063"/>
    </row>
    <row r="261" spans="1:80" s="418" customFormat="1" ht="201.6" x14ac:dyDescent="0.3">
      <c r="A261" s="1052">
        <v>601</v>
      </c>
      <c r="B261" s="1049"/>
      <c r="C261" s="1056">
        <v>601</v>
      </c>
      <c r="D261" s="1093" t="s">
        <v>849</v>
      </c>
      <c r="E261" s="1049"/>
      <c r="F261" s="1063">
        <v>0</v>
      </c>
      <c r="G261" s="1063">
        <v>0</v>
      </c>
      <c r="H261" s="1063">
        <v>0</v>
      </c>
      <c r="I261" s="1063">
        <v>0</v>
      </c>
      <c r="J261" s="1063">
        <v>0</v>
      </c>
      <c r="K261" s="1063">
        <v>0</v>
      </c>
      <c r="L261" s="1063">
        <v>0</v>
      </c>
      <c r="M261" s="1063">
        <v>0</v>
      </c>
      <c r="N261" s="1063">
        <v>0</v>
      </c>
      <c r="O261" s="1063">
        <v>0</v>
      </c>
      <c r="P261" s="1063">
        <v>0</v>
      </c>
      <c r="Q261" s="1063">
        <v>0</v>
      </c>
      <c r="R261" s="1063">
        <v>0</v>
      </c>
      <c r="S261" s="1063">
        <v>0</v>
      </c>
      <c r="T261" s="1063">
        <v>0</v>
      </c>
      <c r="U261" s="1063">
        <v>0</v>
      </c>
      <c r="V261" s="1063"/>
    </row>
    <row r="262" spans="1:80" s="418" customFormat="1" x14ac:dyDescent="0.3">
      <c r="A262" s="1052">
        <v>602</v>
      </c>
      <c r="B262" s="1049"/>
      <c r="C262" s="1056">
        <v>602</v>
      </c>
      <c r="D262" s="1094"/>
      <c r="E262" s="1049"/>
      <c r="F262" s="1063">
        <v>0</v>
      </c>
      <c r="G262" s="1063">
        <v>0</v>
      </c>
      <c r="H262" s="1063">
        <v>0</v>
      </c>
      <c r="I262" s="1063">
        <v>0</v>
      </c>
      <c r="J262" s="1063">
        <v>0</v>
      </c>
      <c r="K262" s="1063">
        <v>0</v>
      </c>
      <c r="L262" s="1063">
        <v>0</v>
      </c>
      <c r="M262" s="1063">
        <v>0</v>
      </c>
      <c r="N262" s="1063">
        <v>0</v>
      </c>
      <c r="O262" s="1063">
        <v>0</v>
      </c>
      <c r="P262" s="1063">
        <v>0</v>
      </c>
      <c r="Q262" s="1063">
        <v>0</v>
      </c>
      <c r="R262" s="1063">
        <v>0</v>
      </c>
      <c r="S262" s="1063">
        <v>0</v>
      </c>
      <c r="T262" s="1063">
        <v>0</v>
      </c>
      <c r="U262" s="1063">
        <v>0</v>
      </c>
      <c r="V262" s="1063"/>
      <c r="AT262" s="418">
        <v>0</v>
      </c>
      <c r="AU262" s="418">
        <v>0</v>
      </c>
      <c r="AV262" s="418">
        <v>0</v>
      </c>
      <c r="AW262" s="418">
        <v>0</v>
      </c>
      <c r="AX262" s="418">
        <v>0</v>
      </c>
      <c r="AY262" s="418">
        <v>0</v>
      </c>
      <c r="AZ262" s="418">
        <v>0</v>
      </c>
      <c r="BA262" s="418">
        <v>0</v>
      </c>
      <c r="BB262" s="418">
        <v>0</v>
      </c>
      <c r="BC262" s="418">
        <v>0</v>
      </c>
      <c r="BD262" s="418">
        <v>0</v>
      </c>
      <c r="BE262" s="418">
        <v>0</v>
      </c>
      <c r="BF262" s="418">
        <v>0</v>
      </c>
      <c r="BG262" s="418">
        <v>0</v>
      </c>
      <c r="BH262" s="418">
        <v>0</v>
      </c>
      <c r="BI262" s="418">
        <v>0</v>
      </c>
      <c r="BJ262" s="418">
        <v>0</v>
      </c>
      <c r="BK262" s="418">
        <v>0</v>
      </c>
      <c r="BL262" s="418">
        <v>0</v>
      </c>
      <c r="BM262" s="418">
        <v>0</v>
      </c>
      <c r="BN262" s="418">
        <v>0</v>
      </c>
      <c r="BO262" s="418">
        <v>0</v>
      </c>
      <c r="BP262" s="418">
        <v>0</v>
      </c>
      <c r="BQ262" s="418">
        <v>0</v>
      </c>
      <c r="BR262" s="418">
        <v>0</v>
      </c>
      <c r="BS262" s="418">
        <v>0</v>
      </c>
      <c r="BT262" s="418">
        <v>0</v>
      </c>
      <c r="BU262" s="418">
        <v>0</v>
      </c>
      <c r="BV262" s="418">
        <v>0</v>
      </c>
      <c r="BW262" s="418">
        <v>0</v>
      </c>
      <c r="BX262" s="418">
        <v>0</v>
      </c>
      <c r="BY262" s="418">
        <v>0</v>
      </c>
      <c r="BZ262" s="418">
        <v>0</v>
      </c>
      <c r="CA262" s="418">
        <v>0</v>
      </c>
      <c r="CB262" s="418">
        <v>0</v>
      </c>
    </row>
    <row r="263" spans="1:80" s="418" customFormat="1" ht="158.4" x14ac:dyDescent="0.3">
      <c r="A263" s="1053" t="s">
        <v>1866</v>
      </c>
      <c r="B263" s="1049"/>
      <c r="C263" s="1055">
        <v>603</v>
      </c>
      <c r="D263" s="1094" t="s">
        <v>670</v>
      </c>
      <c r="E263" s="1049"/>
      <c r="F263" s="1063">
        <v>0</v>
      </c>
      <c r="G263" s="1063">
        <v>0</v>
      </c>
      <c r="H263" s="1063">
        <v>0</v>
      </c>
      <c r="I263" s="1063">
        <v>0</v>
      </c>
      <c r="J263" s="1063">
        <v>0</v>
      </c>
      <c r="K263" s="1063">
        <v>0</v>
      </c>
      <c r="L263" s="1063">
        <v>0</v>
      </c>
      <c r="M263" s="1063">
        <v>0</v>
      </c>
      <c r="N263" s="1063">
        <v>0</v>
      </c>
      <c r="O263" s="1063">
        <v>0</v>
      </c>
      <c r="P263" s="1063">
        <v>0</v>
      </c>
      <c r="Q263" s="1063">
        <v>0</v>
      </c>
      <c r="R263" s="1063">
        <v>0</v>
      </c>
      <c r="S263" s="1063">
        <v>0</v>
      </c>
      <c r="T263" s="1063">
        <v>0</v>
      </c>
      <c r="U263" s="1063">
        <v>0</v>
      </c>
      <c r="V263" s="1063"/>
    </row>
    <row r="264" spans="1:80" s="418" customFormat="1" ht="115.2" x14ac:dyDescent="0.3">
      <c r="A264" s="1052">
        <v>604</v>
      </c>
      <c r="B264" s="1049"/>
      <c r="C264" s="1055">
        <v>604</v>
      </c>
      <c r="D264" s="1094" t="s">
        <v>671</v>
      </c>
      <c r="E264" s="1049"/>
      <c r="F264" s="1063">
        <v>0</v>
      </c>
      <c r="G264" s="1063">
        <v>0</v>
      </c>
      <c r="H264" s="1063">
        <v>0</v>
      </c>
      <c r="I264" s="1063">
        <v>0</v>
      </c>
      <c r="J264" s="1063">
        <v>0</v>
      </c>
      <c r="K264" s="1063">
        <v>0</v>
      </c>
      <c r="L264" s="1063">
        <v>0</v>
      </c>
      <c r="M264" s="1063">
        <v>0</v>
      </c>
      <c r="N264" s="1063">
        <v>0</v>
      </c>
      <c r="O264" s="1063">
        <v>0</v>
      </c>
      <c r="P264" s="1063">
        <v>0</v>
      </c>
      <c r="Q264" s="1063">
        <v>0</v>
      </c>
      <c r="R264" s="1063">
        <v>0</v>
      </c>
      <c r="S264" s="1063">
        <v>0</v>
      </c>
      <c r="T264" s="1063">
        <v>0</v>
      </c>
      <c r="U264" s="1063">
        <v>0</v>
      </c>
      <c r="V264" s="1063"/>
      <c r="AT264" s="418">
        <v>0</v>
      </c>
      <c r="AU264" s="418">
        <v>0</v>
      </c>
      <c r="AV264" s="418">
        <v>0</v>
      </c>
      <c r="AW264" s="418">
        <v>0</v>
      </c>
      <c r="AX264" s="418">
        <v>0</v>
      </c>
      <c r="AY264" s="418">
        <v>0</v>
      </c>
      <c r="AZ264" s="418">
        <v>0</v>
      </c>
      <c r="BA264" s="418">
        <v>0</v>
      </c>
      <c r="BB264" s="418">
        <v>0</v>
      </c>
      <c r="BC264" s="418">
        <v>0</v>
      </c>
      <c r="BD264" s="418">
        <v>0</v>
      </c>
      <c r="BE264" s="418">
        <v>0</v>
      </c>
      <c r="BF264" s="418">
        <v>0</v>
      </c>
      <c r="BG264" s="418">
        <v>0</v>
      </c>
      <c r="BH264" s="418">
        <v>0</v>
      </c>
      <c r="BI264" s="418">
        <v>0</v>
      </c>
      <c r="BJ264" s="418">
        <v>0</v>
      </c>
      <c r="BK264" s="418">
        <v>0</v>
      </c>
      <c r="BL264" s="418">
        <v>0</v>
      </c>
      <c r="BM264" s="418">
        <v>0</v>
      </c>
      <c r="BN264" s="418">
        <v>0</v>
      </c>
      <c r="BO264" s="418">
        <v>0</v>
      </c>
      <c r="BP264" s="418">
        <v>0</v>
      </c>
      <c r="BQ264" s="418">
        <v>0</v>
      </c>
      <c r="BR264" s="418">
        <v>0</v>
      </c>
      <c r="BS264" s="418">
        <v>0</v>
      </c>
      <c r="BT264" s="418">
        <v>0</v>
      </c>
      <c r="BU264" s="418">
        <v>0</v>
      </c>
      <c r="BV264" s="418">
        <v>0</v>
      </c>
      <c r="BW264" s="418">
        <v>0</v>
      </c>
      <c r="BX264" s="418">
        <v>0</v>
      </c>
      <c r="BY264" s="418">
        <v>0</v>
      </c>
      <c r="BZ264" s="418">
        <v>0</v>
      </c>
      <c r="CA264" s="418">
        <v>0</v>
      </c>
      <c r="CB264" s="418">
        <v>0</v>
      </c>
    </row>
    <row r="265" spans="1:80" s="418" customFormat="1" ht="28.8" x14ac:dyDescent="0.3">
      <c r="A265" s="1052">
        <v>605</v>
      </c>
      <c r="B265" s="1049"/>
      <c r="C265" s="1055">
        <v>605</v>
      </c>
      <c r="D265" s="1094" t="s">
        <v>673</v>
      </c>
      <c r="E265" s="1049"/>
      <c r="F265" s="1063">
        <v>0</v>
      </c>
      <c r="G265" s="1063">
        <v>0</v>
      </c>
      <c r="H265" s="1063">
        <v>0</v>
      </c>
      <c r="I265" s="1063">
        <v>0</v>
      </c>
      <c r="J265" s="1063">
        <v>0</v>
      </c>
      <c r="K265" s="1063">
        <v>0</v>
      </c>
      <c r="L265" s="1063">
        <v>0</v>
      </c>
      <c r="M265" s="1063">
        <v>0</v>
      </c>
      <c r="N265" s="1063">
        <v>0</v>
      </c>
      <c r="O265" s="1063">
        <v>0</v>
      </c>
      <c r="P265" s="1063">
        <v>0</v>
      </c>
      <c r="Q265" s="1063">
        <v>0</v>
      </c>
      <c r="R265" s="1063">
        <v>0</v>
      </c>
      <c r="S265" s="1063">
        <v>0</v>
      </c>
      <c r="T265" s="1063">
        <v>0</v>
      </c>
      <c r="U265" s="1063">
        <v>0</v>
      </c>
      <c r="V265" s="1063"/>
      <c r="AT265" s="418">
        <v>0</v>
      </c>
      <c r="AU265" s="418">
        <v>0</v>
      </c>
      <c r="AV265" s="418">
        <v>0</v>
      </c>
      <c r="AW265" s="418">
        <v>0</v>
      </c>
      <c r="AX265" s="418">
        <v>0</v>
      </c>
      <c r="AY265" s="418">
        <v>0</v>
      </c>
      <c r="AZ265" s="418">
        <v>0</v>
      </c>
      <c r="BA265" s="418">
        <v>0</v>
      </c>
      <c r="BB265" s="418">
        <v>0</v>
      </c>
      <c r="BC265" s="418">
        <v>0</v>
      </c>
      <c r="BD265" s="418">
        <v>0</v>
      </c>
      <c r="BE265" s="418">
        <v>0</v>
      </c>
      <c r="BF265" s="418">
        <v>0</v>
      </c>
      <c r="BG265" s="418">
        <v>0</v>
      </c>
      <c r="BH265" s="418">
        <v>0</v>
      </c>
      <c r="BI265" s="418">
        <v>0</v>
      </c>
      <c r="BJ265" s="418">
        <v>0</v>
      </c>
      <c r="BK265" s="418">
        <v>0</v>
      </c>
      <c r="BL265" s="418">
        <v>0</v>
      </c>
      <c r="BM265" s="418">
        <v>0</v>
      </c>
      <c r="BN265" s="418">
        <v>0</v>
      </c>
      <c r="BO265" s="418">
        <v>0</v>
      </c>
      <c r="BP265" s="418">
        <v>0</v>
      </c>
      <c r="BQ265" s="418">
        <v>0</v>
      </c>
      <c r="BR265" s="418">
        <v>0</v>
      </c>
      <c r="BS265" s="418">
        <v>0</v>
      </c>
      <c r="BT265" s="418">
        <v>0</v>
      </c>
      <c r="BU265" s="418">
        <v>0</v>
      </c>
      <c r="BV265" s="418">
        <v>0</v>
      </c>
      <c r="BW265" s="418">
        <v>0</v>
      </c>
      <c r="BX265" s="418">
        <v>0</v>
      </c>
      <c r="BY265" s="418">
        <v>0</v>
      </c>
      <c r="BZ265" s="418">
        <v>0</v>
      </c>
      <c r="CA265" s="418">
        <v>0</v>
      </c>
      <c r="CB265" s="418">
        <v>0</v>
      </c>
    </row>
    <row r="266" spans="1:80" s="418" customFormat="1" ht="28.8" x14ac:dyDescent="0.3">
      <c r="A266" s="1052">
        <v>606</v>
      </c>
      <c r="B266" s="1053">
        <v>606</v>
      </c>
      <c r="C266" s="1055">
        <v>606</v>
      </c>
      <c r="D266" s="1094" t="s">
        <v>688</v>
      </c>
      <c r="E266" s="1049"/>
      <c r="F266" s="1063">
        <v>0</v>
      </c>
      <c r="G266" s="1063">
        <v>0</v>
      </c>
      <c r="H266" s="1063">
        <v>0</v>
      </c>
      <c r="I266" s="1063">
        <v>1</v>
      </c>
      <c r="J266" s="1063">
        <v>0</v>
      </c>
      <c r="K266" s="1063">
        <v>0</v>
      </c>
      <c r="L266" s="1063">
        <v>0</v>
      </c>
      <c r="M266" s="1063">
        <v>0</v>
      </c>
      <c r="N266" s="1063">
        <v>0</v>
      </c>
      <c r="O266" s="1063">
        <v>0</v>
      </c>
      <c r="P266" s="1063">
        <v>0</v>
      </c>
      <c r="Q266" s="1063">
        <v>0</v>
      </c>
      <c r="R266" s="1063">
        <v>0</v>
      </c>
      <c r="S266" s="1063">
        <v>0</v>
      </c>
      <c r="T266" s="1063">
        <v>0</v>
      </c>
      <c r="U266" s="1063">
        <v>0</v>
      </c>
      <c r="V266" s="1063"/>
      <c r="AT266" s="418">
        <v>0</v>
      </c>
      <c r="AU266" s="418">
        <v>0</v>
      </c>
      <c r="AV266" s="418">
        <v>1</v>
      </c>
      <c r="AW266" s="418">
        <v>0</v>
      </c>
      <c r="AX266" s="418">
        <v>0</v>
      </c>
      <c r="AY266" s="418">
        <v>0</v>
      </c>
      <c r="AZ266" s="418">
        <v>1</v>
      </c>
      <c r="BA266" s="418">
        <v>0</v>
      </c>
      <c r="BB266" s="418">
        <v>0</v>
      </c>
      <c r="BC266" s="418">
        <v>0</v>
      </c>
      <c r="BD266" s="418">
        <v>0</v>
      </c>
      <c r="BE266" s="418">
        <v>0</v>
      </c>
      <c r="BF266" s="418">
        <v>0</v>
      </c>
      <c r="BG266" s="418">
        <v>0</v>
      </c>
      <c r="BH266" s="418">
        <v>0</v>
      </c>
      <c r="BI266" s="418">
        <v>0</v>
      </c>
      <c r="BJ266" s="418">
        <v>0</v>
      </c>
      <c r="BK266" s="418">
        <v>0</v>
      </c>
      <c r="BL266" s="418">
        <v>0</v>
      </c>
      <c r="BM266" s="418">
        <v>0</v>
      </c>
      <c r="BN266" s="418">
        <v>0</v>
      </c>
      <c r="BO266" s="418">
        <v>1</v>
      </c>
      <c r="BP266" s="418">
        <v>0</v>
      </c>
      <c r="BQ266" s="418">
        <v>0</v>
      </c>
      <c r="BR266" s="418">
        <v>0</v>
      </c>
      <c r="BS266" s="418">
        <v>0</v>
      </c>
      <c r="BT266" s="418">
        <v>1</v>
      </c>
      <c r="BU266" s="418">
        <v>0</v>
      </c>
      <c r="BV266" s="418">
        <v>0</v>
      </c>
      <c r="BW266" s="418">
        <v>1</v>
      </c>
      <c r="BX266" s="418">
        <v>0</v>
      </c>
      <c r="BY266" s="418">
        <v>0</v>
      </c>
      <c r="BZ266" s="418">
        <v>0</v>
      </c>
      <c r="CA266" s="418">
        <v>1</v>
      </c>
      <c r="CB266" s="418">
        <v>0</v>
      </c>
    </row>
    <row r="267" spans="1:80" s="418" customFormat="1" x14ac:dyDescent="0.3">
      <c r="A267" s="1052">
        <v>607</v>
      </c>
      <c r="B267" s="1049"/>
      <c r="C267" s="1055">
        <v>607</v>
      </c>
      <c r="D267" s="1094" t="s">
        <v>663</v>
      </c>
      <c r="E267" s="1049"/>
      <c r="F267" s="1063">
        <v>0</v>
      </c>
      <c r="G267" s="1063">
        <v>0</v>
      </c>
      <c r="H267" s="1063">
        <v>0</v>
      </c>
      <c r="I267" s="1063">
        <v>0</v>
      </c>
      <c r="J267" s="1063">
        <v>0</v>
      </c>
      <c r="K267" s="1063">
        <v>0</v>
      </c>
      <c r="L267" s="1063">
        <v>0</v>
      </c>
      <c r="M267" s="1063">
        <v>0</v>
      </c>
      <c r="N267" s="1063">
        <v>0</v>
      </c>
      <c r="O267" s="1063">
        <v>0</v>
      </c>
      <c r="P267" s="1063">
        <v>0</v>
      </c>
      <c r="Q267" s="1063">
        <v>0</v>
      </c>
      <c r="R267" s="1063">
        <v>0</v>
      </c>
      <c r="S267" s="1063">
        <v>0</v>
      </c>
      <c r="T267" s="1063">
        <v>0</v>
      </c>
      <c r="U267" s="1063">
        <v>0</v>
      </c>
      <c r="V267" s="1063"/>
      <c r="AT267" s="418">
        <v>0</v>
      </c>
      <c r="AU267" s="418">
        <v>0</v>
      </c>
      <c r="AV267" s="418">
        <v>0</v>
      </c>
      <c r="AW267" s="418">
        <v>0</v>
      </c>
      <c r="AX267" s="418">
        <v>0</v>
      </c>
      <c r="AY267" s="418">
        <v>0</v>
      </c>
      <c r="AZ267" s="418">
        <v>0</v>
      </c>
      <c r="BA267" s="418">
        <v>0</v>
      </c>
      <c r="BB267" s="418">
        <v>0</v>
      </c>
      <c r="BC267" s="418">
        <v>0</v>
      </c>
      <c r="BD267" s="418">
        <v>0</v>
      </c>
      <c r="BE267" s="418">
        <v>0</v>
      </c>
      <c r="BF267" s="418">
        <v>0</v>
      </c>
      <c r="BG267" s="418">
        <v>0</v>
      </c>
      <c r="BH267" s="418">
        <v>0</v>
      </c>
      <c r="BI267" s="418">
        <v>0</v>
      </c>
      <c r="BJ267" s="418">
        <v>0</v>
      </c>
      <c r="BK267" s="418">
        <v>0</v>
      </c>
      <c r="BL267" s="418">
        <v>0</v>
      </c>
      <c r="BM267" s="418">
        <v>0</v>
      </c>
      <c r="BN267" s="418">
        <v>0</v>
      </c>
      <c r="BO267" s="418">
        <v>0</v>
      </c>
      <c r="BP267" s="418">
        <v>0</v>
      </c>
      <c r="BQ267" s="418">
        <v>0</v>
      </c>
      <c r="BR267" s="418">
        <v>0</v>
      </c>
      <c r="BS267" s="418">
        <v>0</v>
      </c>
      <c r="BT267" s="418">
        <v>0</v>
      </c>
      <c r="BU267" s="418">
        <v>0</v>
      </c>
      <c r="BV267" s="418">
        <v>0</v>
      </c>
      <c r="BW267" s="418">
        <v>0</v>
      </c>
      <c r="BX267" s="418">
        <v>0</v>
      </c>
      <c r="BY267" s="418">
        <v>0</v>
      </c>
      <c r="BZ267" s="418">
        <v>0</v>
      </c>
      <c r="CA267" s="418">
        <v>0</v>
      </c>
      <c r="CB267" s="418">
        <v>0</v>
      </c>
    </row>
    <row r="268" spans="1:80" s="418" customFormat="1" ht="28.8" x14ac:dyDescent="0.3">
      <c r="A268" s="1052">
        <v>608</v>
      </c>
      <c r="B268" s="1049"/>
      <c r="C268" s="1055">
        <v>608</v>
      </c>
      <c r="D268" s="1094" t="s">
        <v>664</v>
      </c>
      <c r="E268" s="1049"/>
      <c r="F268" s="1063">
        <v>0</v>
      </c>
      <c r="G268" s="1063">
        <v>0</v>
      </c>
      <c r="H268" s="1063">
        <v>0</v>
      </c>
      <c r="I268" s="1063">
        <v>0</v>
      </c>
      <c r="J268" s="1063">
        <v>0</v>
      </c>
      <c r="K268" s="1063">
        <v>0</v>
      </c>
      <c r="L268" s="1063">
        <v>0</v>
      </c>
      <c r="M268" s="1063">
        <v>0</v>
      </c>
      <c r="N268" s="1063">
        <v>0</v>
      </c>
      <c r="O268" s="1063">
        <v>0</v>
      </c>
      <c r="P268" s="1063">
        <v>0</v>
      </c>
      <c r="Q268" s="1063">
        <v>0</v>
      </c>
      <c r="R268" s="1063">
        <v>0</v>
      </c>
      <c r="S268" s="1063">
        <v>0</v>
      </c>
      <c r="T268" s="1063">
        <v>0</v>
      </c>
      <c r="U268" s="1063">
        <v>0</v>
      </c>
      <c r="V268" s="1063"/>
      <c r="AT268" s="418">
        <v>0</v>
      </c>
      <c r="AU268" s="418">
        <v>0</v>
      </c>
      <c r="AV268" s="418">
        <v>0</v>
      </c>
      <c r="AW268" s="418">
        <v>0</v>
      </c>
      <c r="AX268" s="418">
        <v>0</v>
      </c>
      <c r="AY268" s="418">
        <v>0</v>
      </c>
      <c r="AZ268" s="418">
        <v>0</v>
      </c>
      <c r="BA268" s="418">
        <v>0</v>
      </c>
      <c r="BB268" s="418">
        <v>0</v>
      </c>
      <c r="BC268" s="418">
        <v>0</v>
      </c>
      <c r="BD268" s="418">
        <v>0</v>
      </c>
      <c r="BE268" s="418">
        <v>0</v>
      </c>
      <c r="BF268" s="418">
        <v>0</v>
      </c>
      <c r="BG268" s="418">
        <v>0</v>
      </c>
      <c r="BH268" s="418">
        <v>0</v>
      </c>
      <c r="BI268" s="418">
        <v>0</v>
      </c>
      <c r="BJ268" s="418">
        <v>0</v>
      </c>
      <c r="BK268" s="418">
        <v>0</v>
      </c>
      <c r="BL268" s="418">
        <v>0</v>
      </c>
      <c r="BM268" s="418">
        <v>0</v>
      </c>
      <c r="BN268" s="418">
        <v>0</v>
      </c>
      <c r="BO268" s="418">
        <v>0</v>
      </c>
      <c r="BP268" s="418">
        <v>0</v>
      </c>
      <c r="BQ268" s="418">
        <v>0</v>
      </c>
      <c r="BR268" s="418">
        <v>0</v>
      </c>
      <c r="BS268" s="418">
        <v>0</v>
      </c>
      <c r="BT268" s="418">
        <v>0</v>
      </c>
      <c r="BU268" s="418">
        <v>0</v>
      </c>
      <c r="BV268" s="418">
        <v>0</v>
      </c>
      <c r="BW268" s="418">
        <v>0</v>
      </c>
      <c r="BX268" s="418">
        <v>0</v>
      </c>
      <c r="BY268" s="418">
        <v>0</v>
      </c>
      <c r="BZ268" s="418">
        <v>0</v>
      </c>
      <c r="CA268" s="418">
        <v>0</v>
      </c>
      <c r="CB268" s="418">
        <v>0</v>
      </c>
    </row>
    <row r="269" spans="1:80" s="418" customFormat="1" ht="28.8" x14ac:dyDescent="0.3">
      <c r="A269" s="1052">
        <v>609</v>
      </c>
      <c r="B269" s="1049"/>
      <c r="C269" s="1055">
        <v>609</v>
      </c>
      <c r="D269" s="1094" t="s">
        <v>682</v>
      </c>
      <c r="E269" s="1049"/>
      <c r="F269" s="1063">
        <v>0</v>
      </c>
      <c r="G269" s="1063">
        <v>0</v>
      </c>
      <c r="H269" s="1063">
        <v>0</v>
      </c>
      <c r="I269" s="1063">
        <v>0</v>
      </c>
      <c r="J269" s="1063">
        <v>0</v>
      </c>
      <c r="K269" s="1063">
        <v>0</v>
      </c>
      <c r="L269" s="1063">
        <v>0</v>
      </c>
      <c r="M269" s="1063">
        <v>0</v>
      </c>
      <c r="N269" s="1063">
        <v>0</v>
      </c>
      <c r="O269" s="1063">
        <v>0</v>
      </c>
      <c r="P269" s="1063">
        <v>0</v>
      </c>
      <c r="Q269" s="1063">
        <v>0</v>
      </c>
      <c r="R269" s="1063">
        <v>0</v>
      </c>
      <c r="S269" s="1063">
        <v>0</v>
      </c>
      <c r="T269" s="1063">
        <v>0</v>
      </c>
      <c r="U269" s="1063">
        <v>0</v>
      </c>
      <c r="V269" s="1063"/>
      <c r="AT269" s="418">
        <v>0</v>
      </c>
      <c r="AU269" s="418">
        <v>0</v>
      </c>
      <c r="AV269" s="418">
        <v>0</v>
      </c>
      <c r="AW269" s="418">
        <v>0</v>
      </c>
      <c r="AX269" s="418">
        <v>0</v>
      </c>
      <c r="AY269" s="418">
        <v>0</v>
      </c>
      <c r="AZ269" s="418">
        <v>0</v>
      </c>
      <c r="BA269" s="418">
        <v>0</v>
      </c>
      <c r="BB269" s="418">
        <v>0</v>
      </c>
      <c r="BC269" s="418">
        <v>0</v>
      </c>
      <c r="BD269" s="418">
        <v>0</v>
      </c>
      <c r="BE269" s="418">
        <v>0</v>
      </c>
      <c r="BF269" s="418">
        <v>0</v>
      </c>
      <c r="BG269" s="418">
        <v>0</v>
      </c>
      <c r="BH269" s="418">
        <v>0</v>
      </c>
      <c r="BI269" s="418">
        <v>0</v>
      </c>
      <c r="BJ269" s="418">
        <v>0</v>
      </c>
      <c r="BK269" s="418">
        <v>0</v>
      </c>
      <c r="BL269" s="418">
        <v>0</v>
      </c>
      <c r="BM269" s="418">
        <v>0</v>
      </c>
      <c r="BN269" s="418">
        <v>0</v>
      </c>
      <c r="BO269" s="418">
        <v>0</v>
      </c>
      <c r="BP269" s="418">
        <v>0</v>
      </c>
      <c r="BQ269" s="418">
        <v>0</v>
      </c>
      <c r="BR269" s="418">
        <v>0</v>
      </c>
      <c r="BS269" s="418">
        <v>0</v>
      </c>
      <c r="BT269" s="418">
        <v>0</v>
      </c>
      <c r="BU269" s="418">
        <v>0</v>
      </c>
      <c r="BV269" s="418">
        <v>0</v>
      </c>
      <c r="BW269" s="418">
        <v>0</v>
      </c>
      <c r="BX269" s="418">
        <v>0</v>
      </c>
      <c r="BY269" s="418">
        <v>0</v>
      </c>
      <c r="BZ269" s="418">
        <v>0</v>
      </c>
      <c r="CA269" s="418">
        <v>0</v>
      </c>
      <c r="CB269" s="418">
        <v>0</v>
      </c>
    </row>
    <row r="270" spans="1:80" s="418" customFormat="1" x14ac:dyDescent="0.3">
      <c r="A270" s="1052">
        <v>610</v>
      </c>
      <c r="B270" s="1049"/>
      <c r="C270" s="1055">
        <v>610</v>
      </c>
      <c r="D270" s="1094" t="s">
        <v>665</v>
      </c>
      <c r="E270" s="1049"/>
      <c r="F270" s="1063">
        <v>0</v>
      </c>
      <c r="G270" s="1063">
        <v>0</v>
      </c>
      <c r="H270" s="1063">
        <v>0</v>
      </c>
      <c r="I270" s="1063">
        <v>0</v>
      </c>
      <c r="J270" s="1063">
        <v>0</v>
      </c>
      <c r="K270" s="1063">
        <v>0</v>
      </c>
      <c r="L270" s="1063">
        <v>0</v>
      </c>
      <c r="M270" s="1063">
        <v>0</v>
      </c>
      <c r="N270" s="1063">
        <v>0</v>
      </c>
      <c r="O270" s="1063">
        <v>0</v>
      </c>
      <c r="P270" s="1063">
        <v>0</v>
      </c>
      <c r="Q270" s="1063">
        <v>0</v>
      </c>
      <c r="R270" s="1063">
        <v>0</v>
      </c>
      <c r="S270" s="1063">
        <v>0</v>
      </c>
      <c r="T270" s="1063">
        <v>0</v>
      </c>
      <c r="U270" s="1063">
        <v>0</v>
      </c>
      <c r="V270" s="1063"/>
      <c r="AT270" s="418">
        <v>0</v>
      </c>
      <c r="AU270" s="418">
        <v>0</v>
      </c>
      <c r="AV270" s="418">
        <v>0</v>
      </c>
      <c r="AW270" s="418">
        <v>0</v>
      </c>
      <c r="AX270" s="418">
        <v>0</v>
      </c>
      <c r="AY270" s="418">
        <v>0</v>
      </c>
      <c r="AZ270" s="418">
        <v>0</v>
      </c>
      <c r="BA270" s="418">
        <v>0</v>
      </c>
      <c r="BB270" s="418">
        <v>0</v>
      </c>
      <c r="BC270" s="418">
        <v>0</v>
      </c>
      <c r="BD270" s="418">
        <v>0</v>
      </c>
      <c r="BE270" s="418">
        <v>0</v>
      </c>
      <c r="BF270" s="418">
        <v>0</v>
      </c>
      <c r="BG270" s="418">
        <v>0</v>
      </c>
      <c r="BH270" s="418">
        <v>0</v>
      </c>
      <c r="BI270" s="418">
        <v>0</v>
      </c>
      <c r="BJ270" s="418">
        <v>0</v>
      </c>
      <c r="BK270" s="418">
        <v>0</v>
      </c>
      <c r="BL270" s="418">
        <v>0</v>
      </c>
      <c r="BM270" s="418">
        <v>0</v>
      </c>
      <c r="BN270" s="418">
        <v>0</v>
      </c>
      <c r="BO270" s="418">
        <v>0</v>
      </c>
      <c r="BP270" s="418">
        <v>0</v>
      </c>
      <c r="BQ270" s="418">
        <v>0</v>
      </c>
      <c r="BR270" s="418">
        <v>0</v>
      </c>
      <c r="BS270" s="418">
        <v>0</v>
      </c>
      <c r="BT270" s="418">
        <v>0</v>
      </c>
      <c r="BU270" s="418">
        <v>0</v>
      </c>
      <c r="BV270" s="418">
        <v>0</v>
      </c>
      <c r="BW270" s="418">
        <v>0</v>
      </c>
      <c r="BX270" s="418">
        <v>0</v>
      </c>
      <c r="BY270" s="418">
        <v>0</v>
      </c>
      <c r="BZ270" s="418">
        <v>0</v>
      </c>
      <c r="CA270" s="418">
        <v>0</v>
      </c>
      <c r="CB270" s="418">
        <v>0</v>
      </c>
    </row>
    <row r="271" spans="1:80" s="418" customFormat="1" ht="28.8" x14ac:dyDescent="0.3">
      <c r="A271" s="1052">
        <v>611</v>
      </c>
      <c r="B271" s="1049"/>
      <c r="C271" s="1055">
        <v>611</v>
      </c>
      <c r="D271" s="1094" t="s">
        <v>666</v>
      </c>
      <c r="E271" s="1049"/>
      <c r="F271" s="1063">
        <v>0</v>
      </c>
      <c r="G271" s="1063">
        <v>0</v>
      </c>
      <c r="H271" s="1063">
        <v>0</v>
      </c>
      <c r="I271" s="1063">
        <v>0</v>
      </c>
      <c r="J271" s="1063">
        <v>0</v>
      </c>
      <c r="K271" s="1063">
        <v>0</v>
      </c>
      <c r="L271" s="1063">
        <v>0</v>
      </c>
      <c r="M271" s="1063">
        <v>0</v>
      </c>
      <c r="N271" s="1063">
        <v>0</v>
      </c>
      <c r="O271" s="1063">
        <v>0</v>
      </c>
      <c r="P271" s="1063">
        <v>0</v>
      </c>
      <c r="Q271" s="1063">
        <v>0</v>
      </c>
      <c r="R271" s="1063">
        <v>0</v>
      </c>
      <c r="S271" s="1063">
        <v>0</v>
      </c>
      <c r="T271" s="1063">
        <v>0</v>
      </c>
      <c r="U271" s="1063">
        <v>0</v>
      </c>
      <c r="V271" s="1063"/>
      <c r="AT271" s="418">
        <v>0</v>
      </c>
      <c r="AU271" s="418">
        <v>0</v>
      </c>
      <c r="AV271" s="418">
        <v>0</v>
      </c>
      <c r="AW271" s="418">
        <v>0</v>
      </c>
      <c r="AX271" s="418">
        <v>0</v>
      </c>
      <c r="AY271" s="418">
        <v>0</v>
      </c>
      <c r="AZ271" s="418">
        <v>0</v>
      </c>
      <c r="BA271" s="418">
        <v>0</v>
      </c>
      <c r="BB271" s="418">
        <v>0</v>
      </c>
      <c r="BC271" s="418">
        <v>0</v>
      </c>
      <c r="BD271" s="418">
        <v>0</v>
      </c>
      <c r="BE271" s="418">
        <v>0</v>
      </c>
      <c r="BF271" s="418">
        <v>0</v>
      </c>
      <c r="BG271" s="418">
        <v>0</v>
      </c>
      <c r="BH271" s="418">
        <v>0</v>
      </c>
      <c r="BI271" s="418">
        <v>0</v>
      </c>
      <c r="BJ271" s="418">
        <v>0</v>
      </c>
      <c r="BK271" s="418">
        <v>0</v>
      </c>
      <c r="BL271" s="418">
        <v>0</v>
      </c>
      <c r="BM271" s="418">
        <v>0</v>
      </c>
      <c r="BN271" s="418">
        <v>0</v>
      </c>
      <c r="BO271" s="418">
        <v>0</v>
      </c>
      <c r="BP271" s="418">
        <v>0</v>
      </c>
      <c r="BQ271" s="418">
        <v>0</v>
      </c>
      <c r="BR271" s="418">
        <v>0</v>
      </c>
      <c r="BS271" s="418">
        <v>0</v>
      </c>
      <c r="BT271" s="418">
        <v>0</v>
      </c>
      <c r="BU271" s="418">
        <v>0</v>
      </c>
      <c r="BV271" s="418">
        <v>0</v>
      </c>
      <c r="BW271" s="418">
        <v>0</v>
      </c>
      <c r="BX271" s="418">
        <v>0</v>
      </c>
      <c r="BY271" s="418">
        <v>0</v>
      </c>
      <c r="BZ271" s="418">
        <v>0</v>
      </c>
      <c r="CA271" s="418">
        <v>0</v>
      </c>
      <c r="CB271" s="418">
        <v>0</v>
      </c>
    </row>
    <row r="272" spans="1:80" s="418" customFormat="1" ht="28.8" x14ac:dyDescent="0.3">
      <c r="A272" s="1052">
        <v>612</v>
      </c>
      <c r="B272" s="1049"/>
      <c r="C272" s="1055">
        <v>612</v>
      </c>
      <c r="D272" s="1094" t="s">
        <v>683</v>
      </c>
      <c r="E272" s="1049"/>
      <c r="F272" s="1063">
        <v>0</v>
      </c>
      <c r="G272" s="1063">
        <v>0</v>
      </c>
      <c r="H272" s="1063">
        <v>0</v>
      </c>
      <c r="I272" s="1063">
        <v>0</v>
      </c>
      <c r="J272" s="1063">
        <v>0</v>
      </c>
      <c r="K272" s="1063">
        <v>0</v>
      </c>
      <c r="L272" s="1063">
        <v>0</v>
      </c>
      <c r="M272" s="1063">
        <v>0</v>
      </c>
      <c r="N272" s="1063">
        <v>0</v>
      </c>
      <c r="O272" s="1063">
        <v>0</v>
      </c>
      <c r="P272" s="1063">
        <v>0</v>
      </c>
      <c r="Q272" s="1063">
        <v>0</v>
      </c>
      <c r="R272" s="1063">
        <v>0</v>
      </c>
      <c r="S272" s="1063">
        <v>0</v>
      </c>
      <c r="T272" s="1063">
        <v>0</v>
      </c>
      <c r="U272" s="1063">
        <v>0</v>
      </c>
      <c r="V272" s="1063"/>
      <c r="AT272" s="418">
        <v>0</v>
      </c>
      <c r="AU272" s="418">
        <v>0</v>
      </c>
      <c r="AV272" s="418">
        <v>0</v>
      </c>
      <c r="AW272" s="418">
        <v>0</v>
      </c>
      <c r="AX272" s="418">
        <v>0</v>
      </c>
      <c r="AY272" s="418">
        <v>0</v>
      </c>
      <c r="AZ272" s="418">
        <v>0</v>
      </c>
      <c r="BA272" s="418">
        <v>0</v>
      </c>
      <c r="BB272" s="418">
        <v>0</v>
      </c>
      <c r="BC272" s="418">
        <v>0</v>
      </c>
      <c r="BD272" s="418">
        <v>0</v>
      </c>
      <c r="BE272" s="418">
        <v>0</v>
      </c>
      <c r="BF272" s="418">
        <v>0</v>
      </c>
      <c r="BG272" s="418">
        <v>0</v>
      </c>
      <c r="BH272" s="418">
        <v>0</v>
      </c>
      <c r="BI272" s="418">
        <v>0</v>
      </c>
      <c r="BJ272" s="418">
        <v>0</v>
      </c>
      <c r="BK272" s="418">
        <v>0</v>
      </c>
      <c r="BL272" s="418">
        <v>0</v>
      </c>
      <c r="BM272" s="418">
        <v>0</v>
      </c>
      <c r="BN272" s="418">
        <v>0</v>
      </c>
      <c r="BO272" s="418">
        <v>0</v>
      </c>
      <c r="BP272" s="418">
        <v>0</v>
      </c>
      <c r="BQ272" s="418">
        <v>0</v>
      </c>
      <c r="BR272" s="418">
        <v>0</v>
      </c>
      <c r="BS272" s="418">
        <v>0</v>
      </c>
      <c r="BT272" s="418">
        <v>0</v>
      </c>
      <c r="BU272" s="418">
        <v>0</v>
      </c>
      <c r="BV272" s="418">
        <v>0</v>
      </c>
      <c r="BW272" s="418">
        <v>0</v>
      </c>
      <c r="BX272" s="418">
        <v>0</v>
      </c>
      <c r="BY272" s="418">
        <v>0</v>
      </c>
      <c r="BZ272" s="418">
        <v>0</v>
      </c>
      <c r="CA272" s="418">
        <v>0</v>
      </c>
      <c r="CB272" s="418">
        <v>0</v>
      </c>
    </row>
    <row r="273" spans="1:80" s="418" customFormat="1" x14ac:dyDescent="0.3">
      <c r="A273" s="1052">
        <v>613</v>
      </c>
      <c r="B273" s="1049"/>
      <c r="C273" s="1055">
        <v>613</v>
      </c>
      <c r="D273" s="1094" t="s">
        <v>674</v>
      </c>
      <c r="E273" s="1049"/>
      <c r="F273" s="1063">
        <v>0</v>
      </c>
      <c r="G273" s="1063">
        <v>0</v>
      </c>
      <c r="H273" s="1063">
        <v>0</v>
      </c>
      <c r="I273" s="1063">
        <v>0</v>
      </c>
      <c r="J273" s="1063">
        <v>0</v>
      </c>
      <c r="K273" s="1063">
        <v>0</v>
      </c>
      <c r="L273" s="1063">
        <v>0</v>
      </c>
      <c r="M273" s="1063">
        <v>0</v>
      </c>
      <c r="N273" s="1063">
        <v>0</v>
      </c>
      <c r="O273" s="1063">
        <v>0</v>
      </c>
      <c r="P273" s="1063">
        <v>0</v>
      </c>
      <c r="Q273" s="1063">
        <v>0</v>
      </c>
      <c r="R273" s="1063">
        <v>0</v>
      </c>
      <c r="S273" s="1063">
        <v>0</v>
      </c>
      <c r="T273" s="1063">
        <v>0</v>
      </c>
      <c r="U273" s="1063">
        <v>0</v>
      </c>
      <c r="V273" s="1063"/>
      <c r="W273" s="1049"/>
      <c r="AT273" s="418">
        <v>0</v>
      </c>
      <c r="AU273" s="418">
        <v>0</v>
      </c>
      <c r="AV273" s="418">
        <v>0</v>
      </c>
      <c r="AW273" s="418">
        <v>0</v>
      </c>
      <c r="AX273" s="418">
        <v>0</v>
      </c>
      <c r="AY273" s="418">
        <v>0</v>
      </c>
      <c r="AZ273" s="418">
        <v>0</v>
      </c>
      <c r="BA273" s="418">
        <v>0</v>
      </c>
      <c r="BB273" s="418">
        <v>0</v>
      </c>
      <c r="BC273" s="418">
        <v>0</v>
      </c>
      <c r="BD273" s="418">
        <v>0</v>
      </c>
      <c r="BE273" s="418">
        <v>0</v>
      </c>
      <c r="BF273" s="418">
        <v>0</v>
      </c>
      <c r="BG273" s="418">
        <v>0</v>
      </c>
      <c r="BH273" s="418">
        <v>0</v>
      </c>
      <c r="BI273" s="418">
        <v>0</v>
      </c>
      <c r="BJ273" s="418">
        <v>0</v>
      </c>
      <c r="BK273" s="418">
        <v>0</v>
      </c>
      <c r="BL273" s="418">
        <v>0</v>
      </c>
      <c r="BM273" s="418">
        <v>0</v>
      </c>
      <c r="BN273" s="418">
        <v>0</v>
      </c>
      <c r="BO273" s="418">
        <v>0</v>
      </c>
      <c r="BP273" s="418">
        <v>0</v>
      </c>
      <c r="BQ273" s="418">
        <v>0</v>
      </c>
      <c r="BR273" s="418">
        <v>0</v>
      </c>
      <c r="BS273" s="418">
        <v>0</v>
      </c>
      <c r="BT273" s="418">
        <v>0</v>
      </c>
      <c r="BU273" s="418">
        <v>0</v>
      </c>
      <c r="BV273" s="418">
        <v>0</v>
      </c>
      <c r="BW273" s="418">
        <v>0</v>
      </c>
      <c r="BX273" s="418">
        <v>0</v>
      </c>
      <c r="BY273" s="418">
        <v>0</v>
      </c>
      <c r="BZ273" s="418">
        <v>0</v>
      </c>
      <c r="CA273" s="418">
        <v>0</v>
      </c>
      <c r="CB273" s="418">
        <v>0</v>
      </c>
    </row>
    <row r="274" spans="1:80" s="418" customFormat="1" ht="28.8" x14ac:dyDescent="0.3">
      <c r="A274" s="1052">
        <v>614</v>
      </c>
      <c r="B274" s="1049"/>
      <c r="C274" s="1055">
        <v>614</v>
      </c>
      <c r="D274" s="1094" t="s">
        <v>667</v>
      </c>
      <c r="E274" s="1049"/>
      <c r="F274" s="1063">
        <v>0</v>
      </c>
      <c r="G274" s="1063">
        <v>0</v>
      </c>
      <c r="H274" s="1063">
        <v>0</v>
      </c>
      <c r="I274" s="1063">
        <v>0</v>
      </c>
      <c r="J274" s="1063">
        <v>0</v>
      </c>
      <c r="K274" s="1063">
        <v>0</v>
      </c>
      <c r="L274" s="1063">
        <v>0</v>
      </c>
      <c r="M274" s="1063">
        <v>0</v>
      </c>
      <c r="N274" s="1063">
        <v>0</v>
      </c>
      <c r="O274" s="1063">
        <v>0</v>
      </c>
      <c r="P274" s="1063">
        <v>0</v>
      </c>
      <c r="Q274" s="1063">
        <v>0</v>
      </c>
      <c r="R274" s="1063">
        <v>0</v>
      </c>
      <c r="S274" s="1063">
        <v>0</v>
      </c>
      <c r="T274" s="1063">
        <v>0</v>
      </c>
      <c r="U274" s="1063">
        <v>0</v>
      </c>
      <c r="V274" s="1063"/>
      <c r="W274" s="1049"/>
      <c r="AT274" s="418">
        <v>0</v>
      </c>
      <c r="AU274" s="418">
        <v>0</v>
      </c>
      <c r="AV274" s="418">
        <v>0</v>
      </c>
      <c r="AW274" s="418">
        <v>0</v>
      </c>
      <c r="AX274" s="418">
        <v>0</v>
      </c>
      <c r="AY274" s="418">
        <v>0</v>
      </c>
      <c r="AZ274" s="418">
        <v>0</v>
      </c>
      <c r="BA274" s="418">
        <v>0</v>
      </c>
      <c r="BB274" s="418">
        <v>0</v>
      </c>
      <c r="BC274" s="418">
        <v>0</v>
      </c>
      <c r="BD274" s="418">
        <v>0</v>
      </c>
      <c r="BE274" s="418">
        <v>0</v>
      </c>
      <c r="BF274" s="418">
        <v>0</v>
      </c>
      <c r="BG274" s="418">
        <v>0</v>
      </c>
      <c r="BH274" s="418">
        <v>0</v>
      </c>
      <c r="BI274" s="418">
        <v>0</v>
      </c>
      <c r="BJ274" s="418">
        <v>0</v>
      </c>
      <c r="BK274" s="418">
        <v>0</v>
      </c>
      <c r="BL274" s="418">
        <v>0</v>
      </c>
      <c r="BM274" s="418">
        <v>0</v>
      </c>
      <c r="BN274" s="418">
        <v>0</v>
      </c>
      <c r="BO274" s="418">
        <v>0</v>
      </c>
      <c r="BP274" s="418">
        <v>0</v>
      </c>
      <c r="BQ274" s="418">
        <v>0</v>
      </c>
      <c r="BR274" s="418">
        <v>0</v>
      </c>
      <c r="BS274" s="418">
        <v>0</v>
      </c>
      <c r="BT274" s="418">
        <v>0</v>
      </c>
      <c r="BU274" s="418">
        <v>0</v>
      </c>
      <c r="BV274" s="418">
        <v>0</v>
      </c>
      <c r="BW274" s="418">
        <v>0</v>
      </c>
      <c r="BX274" s="418">
        <v>0</v>
      </c>
      <c r="BY274" s="418">
        <v>0</v>
      </c>
      <c r="BZ274" s="418">
        <v>0</v>
      </c>
      <c r="CA274" s="418">
        <v>0</v>
      </c>
      <c r="CB274" s="418">
        <v>0</v>
      </c>
    </row>
    <row r="275" spans="1:80" s="418" customFormat="1" ht="28.8" x14ac:dyDescent="0.3">
      <c r="A275" s="1052">
        <v>615</v>
      </c>
      <c r="B275" s="1049"/>
      <c r="C275" s="1055">
        <v>615</v>
      </c>
      <c r="D275" s="1094" t="s">
        <v>684</v>
      </c>
      <c r="E275" s="1049"/>
      <c r="F275" s="1063">
        <v>0</v>
      </c>
      <c r="G275" s="1063">
        <v>0</v>
      </c>
      <c r="H275" s="1063">
        <v>0</v>
      </c>
      <c r="I275" s="1063">
        <v>0</v>
      </c>
      <c r="J275" s="1063">
        <v>0</v>
      </c>
      <c r="K275" s="1063">
        <v>0</v>
      </c>
      <c r="L275" s="1063">
        <v>0</v>
      </c>
      <c r="M275" s="1063">
        <v>0</v>
      </c>
      <c r="N275" s="1063">
        <v>0</v>
      </c>
      <c r="O275" s="1063">
        <v>0</v>
      </c>
      <c r="P275" s="1063">
        <v>0</v>
      </c>
      <c r="Q275" s="1063">
        <v>0</v>
      </c>
      <c r="R275" s="1063">
        <v>0</v>
      </c>
      <c r="S275" s="1063">
        <v>0</v>
      </c>
      <c r="T275" s="1063">
        <v>0</v>
      </c>
      <c r="U275" s="1063">
        <v>0</v>
      </c>
      <c r="V275" s="1063"/>
      <c r="W275" s="1049"/>
      <c r="AT275" s="418">
        <v>0</v>
      </c>
      <c r="AU275" s="418">
        <v>0</v>
      </c>
      <c r="AV275" s="418">
        <v>0</v>
      </c>
      <c r="AW275" s="418">
        <v>0</v>
      </c>
      <c r="AX275" s="418">
        <v>0</v>
      </c>
      <c r="AY275" s="418">
        <v>0</v>
      </c>
      <c r="AZ275" s="418">
        <v>0</v>
      </c>
      <c r="BA275" s="418">
        <v>0</v>
      </c>
      <c r="BB275" s="418">
        <v>0</v>
      </c>
      <c r="BC275" s="418">
        <v>0</v>
      </c>
      <c r="BD275" s="418">
        <v>0</v>
      </c>
      <c r="BE275" s="418">
        <v>0</v>
      </c>
      <c r="BF275" s="418">
        <v>0</v>
      </c>
      <c r="BG275" s="418">
        <v>0</v>
      </c>
      <c r="BH275" s="418">
        <v>0</v>
      </c>
      <c r="BI275" s="418">
        <v>0</v>
      </c>
      <c r="BJ275" s="418">
        <v>0</v>
      </c>
      <c r="BK275" s="418">
        <v>0</v>
      </c>
      <c r="BL275" s="418">
        <v>0</v>
      </c>
      <c r="BM275" s="418">
        <v>0</v>
      </c>
      <c r="BN275" s="418">
        <v>0</v>
      </c>
      <c r="BO275" s="418">
        <v>0</v>
      </c>
      <c r="BP275" s="418">
        <v>0</v>
      </c>
      <c r="BQ275" s="418">
        <v>0</v>
      </c>
      <c r="BR275" s="418">
        <v>0</v>
      </c>
      <c r="BS275" s="418">
        <v>0</v>
      </c>
      <c r="BT275" s="418">
        <v>0</v>
      </c>
      <c r="BU275" s="418">
        <v>0</v>
      </c>
      <c r="BV275" s="418">
        <v>0</v>
      </c>
      <c r="BW275" s="418">
        <v>0</v>
      </c>
      <c r="BX275" s="418">
        <v>0</v>
      </c>
      <c r="BY275" s="418">
        <v>0</v>
      </c>
      <c r="BZ275" s="418">
        <v>0</v>
      </c>
      <c r="CA275" s="418">
        <v>0</v>
      </c>
      <c r="CB275" s="418">
        <v>0</v>
      </c>
    </row>
    <row r="276" spans="1:80" s="418" customFormat="1" x14ac:dyDescent="0.3">
      <c r="A276" s="1052">
        <v>616</v>
      </c>
      <c r="B276" s="1049"/>
      <c r="C276" s="1055">
        <v>616</v>
      </c>
      <c r="D276" s="1094" t="s">
        <v>668</v>
      </c>
      <c r="E276" s="1049"/>
      <c r="F276" s="1063">
        <v>0</v>
      </c>
      <c r="G276" s="1063">
        <v>0</v>
      </c>
      <c r="H276" s="1063">
        <v>0</v>
      </c>
      <c r="I276" s="1063">
        <v>0</v>
      </c>
      <c r="J276" s="1063">
        <v>0</v>
      </c>
      <c r="K276" s="1063">
        <v>0</v>
      </c>
      <c r="L276" s="1063">
        <v>0</v>
      </c>
      <c r="M276" s="1063">
        <v>0</v>
      </c>
      <c r="N276" s="1063">
        <v>0</v>
      </c>
      <c r="O276" s="1063">
        <v>0</v>
      </c>
      <c r="P276" s="1063">
        <v>0</v>
      </c>
      <c r="Q276" s="1063">
        <v>0</v>
      </c>
      <c r="R276" s="1063">
        <v>0</v>
      </c>
      <c r="S276" s="1063">
        <v>0</v>
      </c>
      <c r="T276" s="1063">
        <v>0</v>
      </c>
      <c r="U276" s="1063">
        <v>0</v>
      </c>
      <c r="V276" s="1063"/>
      <c r="W276" s="1049"/>
      <c r="AT276" s="418">
        <v>0</v>
      </c>
      <c r="AU276" s="418">
        <v>0</v>
      </c>
      <c r="AV276" s="418">
        <v>0</v>
      </c>
      <c r="AW276" s="418">
        <v>0</v>
      </c>
      <c r="AX276" s="418">
        <v>0</v>
      </c>
      <c r="AY276" s="418">
        <v>0</v>
      </c>
      <c r="AZ276" s="418">
        <v>0</v>
      </c>
      <c r="BA276" s="418">
        <v>0</v>
      </c>
      <c r="BB276" s="418">
        <v>0</v>
      </c>
      <c r="BC276" s="418">
        <v>0</v>
      </c>
      <c r="BD276" s="418">
        <v>0</v>
      </c>
      <c r="BE276" s="418">
        <v>0</v>
      </c>
      <c r="BF276" s="418">
        <v>0</v>
      </c>
      <c r="BG276" s="418">
        <v>0</v>
      </c>
      <c r="BH276" s="418">
        <v>0</v>
      </c>
      <c r="BI276" s="418">
        <v>0</v>
      </c>
      <c r="BJ276" s="418">
        <v>0</v>
      </c>
      <c r="BK276" s="418">
        <v>0</v>
      </c>
      <c r="BL276" s="418">
        <v>0</v>
      </c>
      <c r="BM276" s="418">
        <v>0</v>
      </c>
      <c r="BN276" s="418">
        <v>0</v>
      </c>
      <c r="BO276" s="418">
        <v>0</v>
      </c>
      <c r="BP276" s="418">
        <v>0</v>
      </c>
      <c r="BQ276" s="418">
        <v>0</v>
      </c>
      <c r="BR276" s="418">
        <v>0</v>
      </c>
      <c r="BS276" s="418">
        <v>0</v>
      </c>
      <c r="BT276" s="418">
        <v>0</v>
      </c>
      <c r="BU276" s="418">
        <v>0</v>
      </c>
      <c r="BV276" s="418">
        <v>0</v>
      </c>
      <c r="BW276" s="418">
        <v>0</v>
      </c>
      <c r="BX276" s="418">
        <v>0</v>
      </c>
      <c r="BY276" s="418">
        <v>0</v>
      </c>
      <c r="BZ276" s="418">
        <v>0</v>
      </c>
      <c r="CA276" s="418">
        <v>0</v>
      </c>
      <c r="CB276" s="418">
        <v>0</v>
      </c>
    </row>
    <row r="277" spans="1:80" s="418" customFormat="1" ht="28.8" x14ac:dyDescent="0.3">
      <c r="A277" s="1052">
        <v>617</v>
      </c>
      <c r="B277" s="1049"/>
      <c r="C277" s="1055">
        <v>617</v>
      </c>
      <c r="D277" s="1094" t="s">
        <v>669</v>
      </c>
      <c r="E277" s="1049"/>
      <c r="F277" s="1063">
        <v>0</v>
      </c>
      <c r="G277" s="1063">
        <v>0</v>
      </c>
      <c r="H277" s="1063">
        <v>0</v>
      </c>
      <c r="I277" s="1063">
        <v>0</v>
      </c>
      <c r="J277" s="1063">
        <v>0</v>
      </c>
      <c r="K277" s="1063">
        <v>0</v>
      </c>
      <c r="L277" s="1063">
        <v>0</v>
      </c>
      <c r="M277" s="1063">
        <v>0</v>
      </c>
      <c r="N277" s="1063">
        <v>0</v>
      </c>
      <c r="O277" s="1063">
        <v>0</v>
      </c>
      <c r="P277" s="1063">
        <v>0</v>
      </c>
      <c r="Q277" s="1063">
        <v>0</v>
      </c>
      <c r="R277" s="1063">
        <v>0</v>
      </c>
      <c r="S277" s="1063">
        <v>0</v>
      </c>
      <c r="T277" s="1063">
        <v>0</v>
      </c>
      <c r="U277" s="1063">
        <v>0</v>
      </c>
      <c r="V277" s="1063"/>
      <c r="W277" s="1049"/>
      <c r="AT277" s="418">
        <v>0</v>
      </c>
      <c r="AU277" s="418">
        <v>0</v>
      </c>
      <c r="AV277" s="418">
        <v>0</v>
      </c>
      <c r="AW277" s="418">
        <v>0</v>
      </c>
      <c r="AX277" s="418">
        <v>0</v>
      </c>
      <c r="AY277" s="418">
        <v>0</v>
      </c>
      <c r="AZ277" s="418">
        <v>0</v>
      </c>
      <c r="BA277" s="418">
        <v>0</v>
      </c>
      <c r="BB277" s="418">
        <v>0</v>
      </c>
      <c r="BC277" s="418">
        <v>0</v>
      </c>
      <c r="BD277" s="418">
        <v>0</v>
      </c>
      <c r="BE277" s="418">
        <v>0</v>
      </c>
      <c r="BF277" s="418">
        <v>0</v>
      </c>
      <c r="BG277" s="418">
        <v>0</v>
      </c>
      <c r="BH277" s="418">
        <v>0</v>
      </c>
      <c r="BI277" s="418">
        <v>0</v>
      </c>
      <c r="BJ277" s="418">
        <v>0</v>
      </c>
      <c r="BK277" s="418">
        <v>0</v>
      </c>
      <c r="BL277" s="418">
        <v>0</v>
      </c>
      <c r="BM277" s="418">
        <v>0</v>
      </c>
      <c r="BN277" s="418">
        <v>0</v>
      </c>
      <c r="BO277" s="418">
        <v>0</v>
      </c>
      <c r="BP277" s="418">
        <v>0</v>
      </c>
      <c r="BQ277" s="418">
        <v>0</v>
      </c>
      <c r="BR277" s="418">
        <v>0</v>
      </c>
      <c r="BS277" s="418">
        <v>0</v>
      </c>
      <c r="BT277" s="418">
        <v>0</v>
      </c>
      <c r="BU277" s="418">
        <v>0</v>
      </c>
      <c r="BV277" s="418">
        <v>0</v>
      </c>
      <c r="BW277" s="418">
        <v>0</v>
      </c>
      <c r="BX277" s="418">
        <v>0</v>
      </c>
      <c r="BY277" s="418">
        <v>0</v>
      </c>
      <c r="BZ277" s="418">
        <v>0</v>
      </c>
      <c r="CA277" s="418">
        <v>0</v>
      </c>
      <c r="CB277" s="418">
        <v>0</v>
      </c>
    </row>
    <row r="278" spans="1:80" s="418" customFormat="1" ht="28.8" x14ac:dyDescent="0.3">
      <c r="A278" s="1052">
        <v>618</v>
      </c>
      <c r="B278" s="1049"/>
      <c r="C278" s="1055">
        <v>618</v>
      </c>
      <c r="D278" s="1094" t="s">
        <v>685</v>
      </c>
      <c r="E278" s="1049"/>
      <c r="F278" s="1063">
        <v>0</v>
      </c>
      <c r="G278" s="1063">
        <v>0</v>
      </c>
      <c r="H278" s="1063">
        <v>0</v>
      </c>
      <c r="I278" s="1063">
        <v>0</v>
      </c>
      <c r="J278" s="1063">
        <v>0</v>
      </c>
      <c r="K278" s="1063">
        <v>0</v>
      </c>
      <c r="L278" s="1063">
        <v>0</v>
      </c>
      <c r="M278" s="1063">
        <v>0</v>
      </c>
      <c r="N278" s="1063">
        <v>0</v>
      </c>
      <c r="O278" s="1063">
        <v>0</v>
      </c>
      <c r="P278" s="1063">
        <v>0</v>
      </c>
      <c r="Q278" s="1063">
        <v>0</v>
      </c>
      <c r="R278" s="1063">
        <v>0</v>
      </c>
      <c r="S278" s="1063">
        <v>0</v>
      </c>
      <c r="T278" s="1063">
        <v>0</v>
      </c>
      <c r="U278" s="1063">
        <v>0</v>
      </c>
      <c r="V278" s="1063"/>
      <c r="W278" s="1049"/>
      <c r="AT278" s="418">
        <v>0</v>
      </c>
      <c r="AU278" s="418">
        <v>0</v>
      </c>
      <c r="AV278" s="418">
        <v>0</v>
      </c>
      <c r="AW278" s="418">
        <v>0</v>
      </c>
      <c r="AX278" s="418">
        <v>0</v>
      </c>
      <c r="AY278" s="418">
        <v>0</v>
      </c>
      <c r="AZ278" s="418">
        <v>0</v>
      </c>
      <c r="BA278" s="418">
        <v>0</v>
      </c>
      <c r="BB278" s="418">
        <v>0</v>
      </c>
      <c r="BC278" s="418">
        <v>0</v>
      </c>
      <c r="BD278" s="418">
        <v>0</v>
      </c>
      <c r="BE278" s="418">
        <v>0</v>
      </c>
      <c r="BF278" s="418">
        <v>0</v>
      </c>
      <c r="BG278" s="418">
        <v>0</v>
      </c>
      <c r="BH278" s="418">
        <v>0</v>
      </c>
      <c r="BI278" s="418">
        <v>0</v>
      </c>
      <c r="BJ278" s="418">
        <v>0</v>
      </c>
      <c r="BK278" s="418">
        <v>0</v>
      </c>
      <c r="BL278" s="418">
        <v>0</v>
      </c>
      <c r="BM278" s="418">
        <v>0</v>
      </c>
      <c r="BN278" s="418">
        <v>0</v>
      </c>
      <c r="BO278" s="418">
        <v>0</v>
      </c>
      <c r="BP278" s="418">
        <v>0</v>
      </c>
      <c r="BQ278" s="418">
        <v>0</v>
      </c>
      <c r="BR278" s="418">
        <v>0</v>
      </c>
      <c r="BS278" s="418">
        <v>0</v>
      </c>
      <c r="BT278" s="418">
        <v>0</v>
      </c>
      <c r="BU278" s="418">
        <v>0</v>
      </c>
      <c r="BV278" s="418">
        <v>0</v>
      </c>
      <c r="BW278" s="418">
        <v>0</v>
      </c>
      <c r="BX278" s="418">
        <v>0</v>
      </c>
      <c r="BY278" s="418">
        <v>0</v>
      </c>
      <c r="BZ278" s="418">
        <v>0</v>
      </c>
      <c r="CA278" s="418">
        <v>0</v>
      </c>
      <c r="CB278" s="418">
        <v>0</v>
      </c>
    </row>
    <row r="279" spans="1:80" s="418" customFormat="1" x14ac:dyDescent="0.3">
      <c r="A279" s="1052">
        <v>619</v>
      </c>
      <c r="B279" s="1049"/>
      <c r="C279" s="1055">
        <v>619</v>
      </c>
      <c r="D279" s="1094"/>
      <c r="E279" s="1049"/>
      <c r="F279" s="1063">
        <v>0</v>
      </c>
      <c r="G279" s="1063">
        <v>0</v>
      </c>
      <c r="H279" s="1063">
        <v>0</v>
      </c>
      <c r="I279" s="1063">
        <v>0</v>
      </c>
      <c r="J279" s="1063">
        <v>0</v>
      </c>
      <c r="K279" s="1063">
        <v>0</v>
      </c>
      <c r="L279" s="1063">
        <v>0</v>
      </c>
      <c r="M279" s="1063">
        <v>0</v>
      </c>
      <c r="N279" s="1063">
        <v>0</v>
      </c>
      <c r="O279" s="1063">
        <v>0</v>
      </c>
      <c r="P279" s="1063">
        <v>0</v>
      </c>
      <c r="Q279" s="1063">
        <v>0</v>
      </c>
      <c r="R279" s="1063">
        <v>0</v>
      </c>
      <c r="S279" s="1063">
        <v>0</v>
      </c>
      <c r="T279" s="1063">
        <v>0</v>
      </c>
      <c r="U279" s="1063">
        <v>0</v>
      </c>
      <c r="V279" s="1063"/>
      <c r="W279" s="1049"/>
      <c r="AT279" s="418">
        <v>0</v>
      </c>
      <c r="AU279" s="418">
        <v>0</v>
      </c>
      <c r="AV279" s="418">
        <v>0</v>
      </c>
      <c r="AW279" s="418">
        <v>0</v>
      </c>
      <c r="AX279" s="418">
        <v>0</v>
      </c>
      <c r="AY279" s="418">
        <v>0</v>
      </c>
      <c r="AZ279" s="418">
        <v>0</v>
      </c>
      <c r="BA279" s="418">
        <v>0</v>
      </c>
      <c r="BB279" s="418">
        <v>0</v>
      </c>
      <c r="BC279" s="418">
        <v>0</v>
      </c>
      <c r="BD279" s="418">
        <v>0</v>
      </c>
      <c r="BE279" s="418">
        <v>0</v>
      </c>
      <c r="BF279" s="418">
        <v>0</v>
      </c>
      <c r="BG279" s="418">
        <v>0</v>
      </c>
      <c r="BH279" s="418">
        <v>0</v>
      </c>
      <c r="BI279" s="418">
        <v>0</v>
      </c>
      <c r="BJ279" s="418">
        <v>0</v>
      </c>
      <c r="BK279" s="418">
        <v>0</v>
      </c>
      <c r="BL279" s="418">
        <v>0</v>
      </c>
      <c r="BM279" s="418">
        <v>0</v>
      </c>
      <c r="BN279" s="418">
        <v>0</v>
      </c>
      <c r="BO279" s="418">
        <v>0</v>
      </c>
      <c r="BP279" s="418">
        <v>0</v>
      </c>
      <c r="BQ279" s="418">
        <v>0</v>
      </c>
      <c r="BR279" s="418">
        <v>0</v>
      </c>
      <c r="BS279" s="418">
        <v>0</v>
      </c>
      <c r="BT279" s="418">
        <v>0</v>
      </c>
      <c r="BU279" s="418">
        <v>0</v>
      </c>
      <c r="BV279" s="418">
        <v>0</v>
      </c>
      <c r="BW279" s="418">
        <v>0</v>
      </c>
      <c r="BX279" s="418">
        <v>0</v>
      </c>
      <c r="BY279" s="418">
        <v>0</v>
      </c>
      <c r="BZ279" s="418">
        <v>0</v>
      </c>
      <c r="CA279" s="418">
        <v>0</v>
      </c>
      <c r="CB279" s="418">
        <v>0</v>
      </c>
    </row>
    <row r="280" spans="1:80" s="418" customFormat="1" ht="57.6" x14ac:dyDescent="0.3">
      <c r="A280" s="1052">
        <v>620</v>
      </c>
      <c r="B280" s="1053">
        <v>620</v>
      </c>
      <c r="C280" s="1055">
        <v>620</v>
      </c>
      <c r="D280" s="1094" t="s">
        <v>678</v>
      </c>
      <c r="E280" s="1049"/>
      <c r="F280" s="1063">
        <v>2</v>
      </c>
      <c r="G280" s="1063">
        <v>2</v>
      </c>
      <c r="H280" s="1063">
        <v>2</v>
      </c>
      <c r="I280" s="1063">
        <v>1</v>
      </c>
      <c r="J280" s="1063">
        <v>0</v>
      </c>
      <c r="K280" s="1063">
        <v>0</v>
      </c>
      <c r="L280" s="1063">
        <v>0</v>
      </c>
      <c r="M280" s="1063">
        <v>0</v>
      </c>
      <c r="N280" s="1063">
        <v>1</v>
      </c>
      <c r="O280" s="1063">
        <v>2</v>
      </c>
      <c r="P280" s="1063">
        <v>1</v>
      </c>
      <c r="Q280" s="1063">
        <v>0</v>
      </c>
      <c r="R280" s="1063">
        <v>2</v>
      </c>
      <c r="S280" s="1063">
        <v>2</v>
      </c>
      <c r="T280" s="1063">
        <v>2</v>
      </c>
      <c r="U280" s="1063">
        <v>2</v>
      </c>
      <c r="V280" s="1063"/>
      <c r="W280" s="1049"/>
      <c r="AT280" s="418">
        <v>2</v>
      </c>
      <c r="AU280" s="418">
        <v>2</v>
      </c>
      <c r="AV280" s="418">
        <v>2</v>
      </c>
      <c r="AW280" s="418">
        <v>2</v>
      </c>
      <c r="AX280" s="418">
        <v>2</v>
      </c>
      <c r="AY280" s="418">
        <v>2</v>
      </c>
      <c r="AZ280" s="418">
        <v>2</v>
      </c>
      <c r="BA280" s="418">
        <v>1</v>
      </c>
      <c r="BB280" s="418">
        <v>2</v>
      </c>
      <c r="BC280" s="418">
        <v>2</v>
      </c>
      <c r="BD280" s="418">
        <v>0</v>
      </c>
      <c r="BE280" s="418">
        <v>2</v>
      </c>
      <c r="BF280" s="418">
        <v>2</v>
      </c>
      <c r="BG280" s="418">
        <v>0</v>
      </c>
      <c r="BH280" s="418">
        <v>2</v>
      </c>
      <c r="BI280" s="418">
        <v>2</v>
      </c>
      <c r="BJ280" s="418">
        <v>2</v>
      </c>
      <c r="BK280" s="418">
        <v>0</v>
      </c>
      <c r="BL280" s="418">
        <v>2</v>
      </c>
      <c r="BM280" s="418">
        <v>2</v>
      </c>
      <c r="BN280" s="418">
        <v>2</v>
      </c>
      <c r="BO280" s="418">
        <v>2</v>
      </c>
      <c r="BP280" s="418">
        <v>2</v>
      </c>
      <c r="BQ280" s="418">
        <v>2</v>
      </c>
      <c r="BR280" s="418">
        <v>2</v>
      </c>
      <c r="BS280" s="418">
        <v>2</v>
      </c>
      <c r="BT280" s="418">
        <v>2</v>
      </c>
      <c r="BU280" s="418">
        <v>1</v>
      </c>
      <c r="BV280" s="418">
        <v>2</v>
      </c>
      <c r="BW280" s="418">
        <v>2</v>
      </c>
      <c r="BX280" s="418">
        <v>2</v>
      </c>
      <c r="BY280" s="418">
        <v>2</v>
      </c>
      <c r="BZ280" s="418">
        <v>2</v>
      </c>
      <c r="CA280" s="418">
        <v>1</v>
      </c>
      <c r="CB280" s="418">
        <v>2</v>
      </c>
    </row>
    <row r="281" spans="1:80" s="418" customFormat="1" x14ac:dyDescent="0.3">
      <c r="A281" s="1052">
        <v>621</v>
      </c>
      <c r="B281" s="1053">
        <v>621</v>
      </c>
      <c r="C281" s="1055">
        <v>621</v>
      </c>
      <c r="D281" s="1094" t="s">
        <v>1745</v>
      </c>
      <c r="E281" s="1049"/>
      <c r="F281" s="1063">
        <v>0</v>
      </c>
      <c r="G281" s="1063">
        <v>0</v>
      </c>
      <c r="H281" s="1063">
        <v>0</v>
      </c>
      <c r="I281" s="1063">
        <v>0</v>
      </c>
      <c r="J281" s="1063">
        <v>0</v>
      </c>
      <c r="K281" s="1063">
        <v>0</v>
      </c>
      <c r="L281" s="1063">
        <v>0</v>
      </c>
      <c r="M281" s="1063">
        <v>0</v>
      </c>
      <c r="N281" s="1063">
        <v>0</v>
      </c>
      <c r="O281" s="1063">
        <v>0</v>
      </c>
      <c r="P281" s="1063">
        <v>0</v>
      </c>
      <c r="Q281" s="1063">
        <v>0</v>
      </c>
      <c r="R281" s="1063">
        <v>0</v>
      </c>
      <c r="S281" s="1063">
        <v>0</v>
      </c>
      <c r="T281" s="1063">
        <v>0</v>
      </c>
      <c r="U281" s="1063">
        <v>0</v>
      </c>
      <c r="V281" s="1063"/>
      <c r="W281" s="1049"/>
      <c r="AT281" s="418">
        <v>0</v>
      </c>
      <c r="AU281" s="418">
        <v>0</v>
      </c>
      <c r="AV281" s="418">
        <v>0</v>
      </c>
      <c r="AW281" s="418">
        <v>0</v>
      </c>
      <c r="AX281" s="418">
        <v>0</v>
      </c>
      <c r="AY281" s="418">
        <v>0</v>
      </c>
      <c r="AZ281" s="418">
        <v>0</v>
      </c>
      <c r="BA281" s="418">
        <v>0</v>
      </c>
      <c r="BB281" s="418">
        <v>0</v>
      </c>
      <c r="BC281" s="418">
        <v>0</v>
      </c>
      <c r="BD281" s="418">
        <v>0</v>
      </c>
      <c r="BE281" s="418">
        <v>0</v>
      </c>
      <c r="BF281" s="418">
        <v>0</v>
      </c>
      <c r="BG281" s="418">
        <v>0</v>
      </c>
      <c r="BH281" s="418">
        <v>0</v>
      </c>
      <c r="BI281" s="418">
        <v>0</v>
      </c>
      <c r="BJ281" s="418">
        <v>0</v>
      </c>
      <c r="BK281" s="418">
        <v>0</v>
      </c>
      <c r="BL281" s="418">
        <v>0</v>
      </c>
      <c r="BM281" s="418">
        <v>0</v>
      </c>
      <c r="BN281" s="418">
        <v>0</v>
      </c>
      <c r="BO281" s="418">
        <v>0</v>
      </c>
      <c r="BP281" s="418">
        <v>0</v>
      </c>
      <c r="BQ281" s="418">
        <v>0</v>
      </c>
      <c r="BR281" s="418">
        <v>0</v>
      </c>
      <c r="BS281" s="418">
        <v>0</v>
      </c>
      <c r="BT281" s="418">
        <v>0</v>
      </c>
      <c r="BU281" s="418">
        <v>0</v>
      </c>
      <c r="BV281" s="418">
        <v>0</v>
      </c>
      <c r="BW281" s="418">
        <v>0</v>
      </c>
      <c r="BX281" s="418">
        <v>0</v>
      </c>
      <c r="BY281" s="418">
        <v>0</v>
      </c>
      <c r="BZ281" s="418">
        <v>0</v>
      </c>
      <c r="CA281" s="418">
        <v>0</v>
      </c>
      <c r="CB281" s="418">
        <v>0</v>
      </c>
    </row>
    <row r="282" spans="1:80" s="418" customFormat="1" x14ac:dyDescent="0.3">
      <c r="A282" s="1052">
        <v>622</v>
      </c>
      <c r="B282" s="1053">
        <v>622</v>
      </c>
      <c r="C282" s="1055">
        <v>622</v>
      </c>
      <c r="D282" s="1094" t="s">
        <v>1747</v>
      </c>
      <c r="E282" s="1049"/>
      <c r="F282" s="1063">
        <v>0</v>
      </c>
      <c r="G282" s="1063">
        <v>0</v>
      </c>
      <c r="H282" s="1063">
        <v>0</v>
      </c>
      <c r="I282" s="1063">
        <v>0</v>
      </c>
      <c r="J282" s="1063">
        <v>0</v>
      </c>
      <c r="K282" s="1063">
        <v>0</v>
      </c>
      <c r="L282" s="1063">
        <v>0</v>
      </c>
      <c r="M282" s="1063">
        <v>0</v>
      </c>
      <c r="N282" s="1063">
        <v>0</v>
      </c>
      <c r="O282" s="1063">
        <v>0</v>
      </c>
      <c r="P282" s="1063">
        <v>0</v>
      </c>
      <c r="Q282" s="1063">
        <v>0</v>
      </c>
      <c r="R282" s="1063">
        <v>1601091</v>
      </c>
      <c r="S282" s="1063">
        <v>0</v>
      </c>
      <c r="T282" s="1063">
        <v>0</v>
      </c>
      <c r="U282" s="1063">
        <v>0</v>
      </c>
      <c r="V282" s="1063"/>
      <c r="W282" s="1049"/>
      <c r="AT282" s="418">
        <v>54072</v>
      </c>
      <c r="AU282" s="418">
        <v>766843</v>
      </c>
      <c r="AV282" s="418">
        <v>2591917</v>
      </c>
      <c r="AW282" s="418">
        <v>11743</v>
      </c>
      <c r="AX282" s="418">
        <v>127261</v>
      </c>
      <c r="AY282" s="418">
        <v>545365</v>
      </c>
      <c r="AZ282" s="418">
        <v>685188</v>
      </c>
      <c r="BA282" s="418">
        <v>1292818</v>
      </c>
      <c r="BB282" s="418">
        <v>0</v>
      </c>
      <c r="BC282" s="418">
        <v>350923</v>
      </c>
      <c r="BD282" s="418">
        <v>0</v>
      </c>
      <c r="BE282" s="418">
        <v>0</v>
      </c>
      <c r="BF282" s="418">
        <v>6576333</v>
      </c>
      <c r="BG282" s="418">
        <v>0</v>
      </c>
      <c r="BH282" s="418">
        <v>0</v>
      </c>
      <c r="BI282" s="418">
        <v>585237</v>
      </c>
      <c r="BJ282" s="418">
        <v>406361</v>
      </c>
      <c r="BK282" s="418">
        <v>0</v>
      </c>
      <c r="BL282" s="418">
        <v>1037477</v>
      </c>
      <c r="BM282" s="418">
        <v>689012</v>
      </c>
      <c r="BN282" s="418">
        <v>0</v>
      </c>
      <c r="BO282" s="418">
        <v>1551984</v>
      </c>
      <c r="BP282" s="418">
        <v>0</v>
      </c>
      <c r="BQ282" s="418">
        <v>179695</v>
      </c>
      <c r="BR282" s="418">
        <v>383695</v>
      </c>
      <c r="BS282" s="418">
        <v>99679</v>
      </c>
      <c r="BT282" s="418">
        <v>3554568</v>
      </c>
      <c r="BU282" s="418">
        <v>288385</v>
      </c>
      <c r="BV282" s="418">
        <v>566120</v>
      </c>
      <c r="BW282" s="418">
        <v>135223</v>
      </c>
      <c r="BX282" s="418">
        <v>44514</v>
      </c>
      <c r="BY282" s="418">
        <v>0</v>
      </c>
      <c r="BZ282" s="418">
        <v>0</v>
      </c>
      <c r="CA282" s="418">
        <v>3055629</v>
      </c>
      <c r="CB282" s="418">
        <v>0</v>
      </c>
    </row>
    <row r="283" spans="1:80" s="418" customFormat="1" x14ac:dyDescent="0.3">
      <c r="A283" s="1052">
        <v>624</v>
      </c>
      <c r="B283" s="1049"/>
      <c r="C283" s="1055">
        <v>624</v>
      </c>
      <c r="D283" s="1094"/>
      <c r="E283" s="1049"/>
      <c r="F283" s="1063">
        <v>0</v>
      </c>
      <c r="G283" s="1063">
        <v>0</v>
      </c>
      <c r="H283" s="1063">
        <v>0</v>
      </c>
      <c r="I283" s="1063">
        <v>0</v>
      </c>
      <c r="J283" s="1063">
        <v>0</v>
      </c>
      <c r="K283" s="1063">
        <v>0</v>
      </c>
      <c r="L283" s="1063">
        <v>0</v>
      </c>
      <c r="M283" s="1063">
        <v>0</v>
      </c>
      <c r="N283" s="1063">
        <v>0</v>
      </c>
      <c r="O283" s="1063">
        <v>0</v>
      </c>
      <c r="P283" s="1063">
        <v>0</v>
      </c>
      <c r="Q283" s="1063">
        <v>0</v>
      </c>
      <c r="R283" s="1063">
        <v>0</v>
      </c>
      <c r="S283" s="1063">
        <v>0</v>
      </c>
      <c r="T283" s="1063">
        <v>0</v>
      </c>
      <c r="U283" s="1063">
        <v>0</v>
      </c>
      <c r="V283" s="1063"/>
      <c r="W283" s="1049"/>
      <c r="AT283" s="418">
        <v>1</v>
      </c>
      <c r="AU283" s="418">
        <v>1</v>
      </c>
      <c r="AV283" s="418">
        <v>1</v>
      </c>
      <c r="AW283" s="418">
        <v>1</v>
      </c>
      <c r="AX283" s="418">
        <v>2</v>
      </c>
      <c r="AY283" s="418">
        <v>1</v>
      </c>
      <c r="AZ283" s="418">
        <v>1</v>
      </c>
      <c r="BA283" s="418">
        <v>1</v>
      </c>
      <c r="BB283" s="418">
        <v>1</v>
      </c>
      <c r="BC283" s="418">
        <v>1</v>
      </c>
      <c r="BD283" s="418">
        <v>0</v>
      </c>
      <c r="BE283" s="418">
        <v>1</v>
      </c>
      <c r="BF283" s="418">
        <v>2</v>
      </c>
      <c r="BG283" s="418">
        <v>0</v>
      </c>
      <c r="BH283" s="418">
        <v>1</v>
      </c>
      <c r="BI283" s="418">
        <v>2</v>
      </c>
      <c r="BJ283" s="418">
        <v>2</v>
      </c>
      <c r="BK283" s="418">
        <v>0</v>
      </c>
      <c r="BL283" s="418">
        <v>1</v>
      </c>
      <c r="BM283" s="418">
        <v>2</v>
      </c>
      <c r="BN283" s="418">
        <v>2</v>
      </c>
      <c r="BO283" s="418">
        <v>1</v>
      </c>
      <c r="BP283" s="418">
        <v>2</v>
      </c>
      <c r="BQ283" s="418">
        <v>2</v>
      </c>
      <c r="BR283" s="418">
        <v>1</v>
      </c>
      <c r="BS283" s="418">
        <v>1</v>
      </c>
      <c r="BT283" s="418">
        <v>2</v>
      </c>
      <c r="BU283" s="418">
        <v>2</v>
      </c>
      <c r="BV283" s="418">
        <v>2</v>
      </c>
      <c r="BW283" s="418">
        <v>1</v>
      </c>
      <c r="BX283" s="418">
        <v>1</v>
      </c>
      <c r="BY283" s="418">
        <v>1</v>
      </c>
      <c r="BZ283" s="418">
        <v>2</v>
      </c>
      <c r="CA283" s="418">
        <v>1</v>
      </c>
      <c r="CB283" s="418">
        <v>2</v>
      </c>
    </row>
    <row r="284" spans="1:80" s="418" customFormat="1" ht="100.8" x14ac:dyDescent="0.3">
      <c r="A284" s="1052">
        <v>625</v>
      </c>
      <c r="B284" s="1049"/>
      <c r="C284" s="1055">
        <v>625</v>
      </c>
      <c r="D284" s="1094" t="s">
        <v>787</v>
      </c>
      <c r="E284" s="1049"/>
      <c r="F284" s="1063">
        <v>0</v>
      </c>
      <c r="G284" s="1063">
        <v>0</v>
      </c>
      <c r="H284" s="1063">
        <v>0</v>
      </c>
      <c r="I284" s="1063">
        <v>0</v>
      </c>
      <c r="J284" s="1063">
        <v>0</v>
      </c>
      <c r="K284" s="1063">
        <v>0</v>
      </c>
      <c r="L284" s="1063">
        <v>0</v>
      </c>
      <c r="M284" s="1063">
        <v>0</v>
      </c>
      <c r="N284" s="1063">
        <v>0</v>
      </c>
      <c r="O284" s="1063">
        <v>0</v>
      </c>
      <c r="P284" s="1063">
        <v>0</v>
      </c>
      <c r="Q284" s="1063">
        <v>0</v>
      </c>
      <c r="R284" s="1063">
        <v>0</v>
      </c>
      <c r="S284" s="1063">
        <v>0</v>
      </c>
      <c r="T284" s="1063">
        <v>0</v>
      </c>
      <c r="U284" s="1063">
        <v>0</v>
      </c>
      <c r="V284" s="1063"/>
      <c r="W284" s="1049"/>
      <c r="AT284" s="418">
        <v>0</v>
      </c>
      <c r="AU284" s="418">
        <v>0</v>
      </c>
      <c r="AV284" s="418">
        <v>0</v>
      </c>
      <c r="AW284" s="418">
        <v>0</v>
      </c>
      <c r="AX284" s="418">
        <v>0</v>
      </c>
      <c r="AY284" s="418">
        <v>0</v>
      </c>
      <c r="AZ284" s="418">
        <v>0</v>
      </c>
      <c r="BA284" s="418">
        <v>0</v>
      </c>
      <c r="BB284" s="418">
        <v>0</v>
      </c>
      <c r="BC284" s="418">
        <v>0</v>
      </c>
      <c r="BD284" s="418">
        <v>0</v>
      </c>
      <c r="BE284" s="418">
        <v>0</v>
      </c>
      <c r="BF284" s="418">
        <v>0</v>
      </c>
      <c r="BG284" s="418">
        <v>0</v>
      </c>
      <c r="BH284" s="418">
        <v>0</v>
      </c>
      <c r="BI284" s="418">
        <v>0</v>
      </c>
      <c r="BJ284" s="418">
        <v>0</v>
      </c>
      <c r="BK284" s="418">
        <v>0</v>
      </c>
      <c r="BL284" s="418">
        <v>0</v>
      </c>
      <c r="BM284" s="418">
        <v>0</v>
      </c>
      <c r="BN284" s="418">
        <v>0</v>
      </c>
      <c r="BO284" s="418">
        <v>0</v>
      </c>
      <c r="BP284" s="418">
        <v>0</v>
      </c>
      <c r="BQ284" s="418">
        <v>0</v>
      </c>
      <c r="BR284" s="418">
        <v>0</v>
      </c>
      <c r="BS284" s="418">
        <v>0</v>
      </c>
      <c r="BT284" s="418">
        <v>0</v>
      </c>
      <c r="BU284" s="418">
        <v>0</v>
      </c>
      <c r="BV284" s="418">
        <v>0</v>
      </c>
      <c r="BW284" s="418">
        <v>0</v>
      </c>
      <c r="BX284" s="418">
        <v>0</v>
      </c>
      <c r="BY284" s="418">
        <v>0</v>
      </c>
      <c r="BZ284" s="418">
        <v>0</v>
      </c>
      <c r="CA284" s="418">
        <v>0</v>
      </c>
      <c r="CB284" s="418">
        <v>0</v>
      </c>
    </row>
    <row r="285" spans="1:80" s="418" customFormat="1" ht="28.8" x14ac:dyDescent="0.3">
      <c r="A285" s="1052">
        <v>626</v>
      </c>
      <c r="B285" s="1049"/>
      <c r="C285" s="1095">
        <v>626</v>
      </c>
      <c r="D285" s="1096" t="s">
        <v>714</v>
      </c>
      <c r="E285" s="1049"/>
      <c r="F285" s="1063">
        <v>0</v>
      </c>
      <c r="G285" s="1063">
        <v>0</v>
      </c>
      <c r="H285" s="1063">
        <v>0</v>
      </c>
      <c r="I285" s="1063">
        <v>0</v>
      </c>
      <c r="J285" s="1063">
        <v>0</v>
      </c>
      <c r="K285" s="1063">
        <v>0</v>
      </c>
      <c r="L285" s="1063">
        <v>0</v>
      </c>
      <c r="M285" s="1063">
        <v>0</v>
      </c>
      <c r="N285" s="1063">
        <v>0</v>
      </c>
      <c r="O285" s="1063">
        <v>0</v>
      </c>
      <c r="P285" s="1063">
        <v>0</v>
      </c>
      <c r="Q285" s="1063">
        <v>0</v>
      </c>
      <c r="R285" s="1063">
        <v>0</v>
      </c>
      <c r="S285" s="1063">
        <v>0</v>
      </c>
      <c r="T285" s="1063">
        <v>0</v>
      </c>
      <c r="U285" s="1063">
        <v>0</v>
      </c>
      <c r="V285" s="1063"/>
      <c r="W285" s="1049"/>
      <c r="AT285" s="418">
        <v>132916</v>
      </c>
      <c r="AU285" s="418">
        <v>433420</v>
      </c>
      <c r="AV285" s="418">
        <v>1642771</v>
      </c>
      <c r="AW285" s="418">
        <v>48325</v>
      </c>
      <c r="AX285" s="418">
        <v>33663</v>
      </c>
      <c r="AY285" s="418">
        <v>284913</v>
      </c>
      <c r="AZ285" s="418">
        <v>157381</v>
      </c>
      <c r="BA285" s="418">
        <v>255618</v>
      </c>
      <c r="BB285" s="418">
        <v>0</v>
      </c>
      <c r="BC285" s="418">
        <v>90321</v>
      </c>
      <c r="BD285" s="418">
        <v>0</v>
      </c>
      <c r="BE285" s="418">
        <v>3368</v>
      </c>
      <c r="BF285" s="418">
        <v>5433394</v>
      </c>
      <c r="BG285" s="418">
        <v>0</v>
      </c>
      <c r="BH285" s="418">
        <v>2267</v>
      </c>
      <c r="BI285" s="418">
        <v>44854</v>
      </c>
      <c r="BJ285" s="418">
        <v>152121</v>
      </c>
      <c r="BK285" s="418">
        <v>0</v>
      </c>
      <c r="BL285" s="418">
        <v>415927</v>
      </c>
      <c r="BM285" s="418">
        <v>125885</v>
      </c>
      <c r="BN285" s="418">
        <v>0</v>
      </c>
      <c r="BO285" s="418">
        <v>1230368</v>
      </c>
      <c r="BP285" s="418">
        <v>436910</v>
      </c>
      <c r="BQ285" s="418">
        <v>19990</v>
      </c>
      <c r="BR285" s="418">
        <v>8180</v>
      </c>
      <c r="BS285" s="418">
        <v>48831</v>
      </c>
      <c r="BT285" s="418">
        <v>3846102</v>
      </c>
      <c r="BU285" s="418">
        <v>119598</v>
      </c>
      <c r="BV285" s="418">
        <v>3801367</v>
      </c>
      <c r="BW285" s="418">
        <v>141784</v>
      </c>
      <c r="BX285" s="418">
        <v>11908</v>
      </c>
      <c r="BY285" s="418">
        <v>0</v>
      </c>
      <c r="BZ285" s="418">
        <v>0</v>
      </c>
      <c r="CA285" s="418">
        <v>4101712</v>
      </c>
      <c r="CB285" s="418">
        <v>2665</v>
      </c>
    </row>
    <row r="286" spans="1:80" s="418" customFormat="1" x14ac:dyDescent="0.3">
      <c r="A286" s="1052">
        <v>627</v>
      </c>
      <c r="B286" s="1049"/>
      <c r="C286" s="1095">
        <v>627</v>
      </c>
      <c r="D286" s="1096" t="s">
        <v>706</v>
      </c>
      <c r="E286" s="1049"/>
      <c r="F286" s="1063">
        <v>0</v>
      </c>
      <c r="G286" s="1063">
        <v>0</v>
      </c>
      <c r="H286" s="1063">
        <v>0</v>
      </c>
      <c r="I286" s="1063">
        <v>0</v>
      </c>
      <c r="J286" s="1063">
        <v>0</v>
      </c>
      <c r="K286" s="1063">
        <v>0</v>
      </c>
      <c r="L286" s="1063">
        <v>0</v>
      </c>
      <c r="M286" s="1063">
        <v>0</v>
      </c>
      <c r="N286" s="1063">
        <v>0</v>
      </c>
      <c r="O286" s="1063">
        <v>0</v>
      </c>
      <c r="P286" s="1063">
        <v>0</v>
      </c>
      <c r="Q286" s="1063">
        <v>0</v>
      </c>
      <c r="R286" s="1063">
        <v>0</v>
      </c>
      <c r="S286" s="1063">
        <v>0</v>
      </c>
      <c r="T286" s="1063">
        <v>0</v>
      </c>
      <c r="U286" s="1063">
        <v>0</v>
      </c>
      <c r="V286" s="1063"/>
      <c r="W286" s="1049"/>
      <c r="AT286" s="418">
        <v>0</v>
      </c>
      <c r="AU286" s="418">
        <v>0</v>
      </c>
      <c r="AV286" s="418">
        <v>0</v>
      </c>
      <c r="AW286" s="418">
        <v>0</v>
      </c>
      <c r="AX286" s="418">
        <v>0</v>
      </c>
      <c r="AY286" s="418">
        <v>0</v>
      </c>
      <c r="AZ286" s="418">
        <v>0</v>
      </c>
      <c r="BA286" s="418">
        <v>0</v>
      </c>
      <c r="BB286" s="418">
        <v>0</v>
      </c>
      <c r="BC286" s="418">
        <v>0</v>
      </c>
      <c r="BD286" s="418">
        <v>0</v>
      </c>
      <c r="BE286" s="418">
        <v>0</v>
      </c>
      <c r="BF286" s="418">
        <v>0</v>
      </c>
      <c r="BG286" s="418">
        <v>0</v>
      </c>
      <c r="BH286" s="418">
        <v>0</v>
      </c>
      <c r="BI286" s="418">
        <v>0</v>
      </c>
      <c r="BJ286" s="418">
        <v>0</v>
      </c>
      <c r="BK286" s="418">
        <v>0</v>
      </c>
      <c r="BL286" s="418">
        <v>0</v>
      </c>
      <c r="BM286" s="418">
        <v>0</v>
      </c>
      <c r="BN286" s="418">
        <v>0</v>
      </c>
      <c r="BO286" s="418">
        <v>0</v>
      </c>
      <c r="BP286" s="418">
        <v>0</v>
      </c>
      <c r="BQ286" s="418">
        <v>0</v>
      </c>
      <c r="BR286" s="418">
        <v>0</v>
      </c>
      <c r="BS286" s="418">
        <v>0</v>
      </c>
      <c r="BT286" s="418">
        <v>0</v>
      </c>
      <c r="BU286" s="418">
        <v>0</v>
      </c>
      <c r="BV286" s="418">
        <v>0</v>
      </c>
      <c r="BW286" s="418">
        <v>79977</v>
      </c>
      <c r="BX286" s="418">
        <v>0</v>
      </c>
      <c r="BY286" s="418">
        <v>0</v>
      </c>
      <c r="BZ286" s="418">
        <v>0</v>
      </c>
      <c r="CA286" s="418">
        <v>0</v>
      </c>
      <c r="CB286" s="418">
        <v>0</v>
      </c>
    </row>
    <row r="287" spans="1:80" s="418" customFormat="1" ht="28.8" x14ac:dyDescent="0.3">
      <c r="A287" s="1052">
        <v>628</v>
      </c>
      <c r="B287" s="1049"/>
      <c r="C287" s="1095">
        <v>628</v>
      </c>
      <c r="D287" s="1096" t="s">
        <v>711</v>
      </c>
      <c r="E287" s="1049"/>
      <c r="F287" s="1063">
        <v>0</v>
      </c>
      <c r="G287" s="1063">
        <v>0</v>
      </c>
      <c r="H287" s="1063">
        <v>0</v>
      </c>
      <c r="I287" s="1063">
        <v>0</v>
      </c>
      <c r="J287" s="1063">
        <v>0</v>
      </c>
      <c r="K287" s="1063">
        <v>0</v>
      </c>
      <c r="L287" s="1063">
        <v>0</v>
      </c>
      <c r="M287" s="1063">
        <v>0</v>
      </c>
      <c r="N287" s="1063">
        <v>0</v>
      </c>
      <c r="O287" s="1063">
        <v>0</v>
      </c>
      <c r="P287" s="1063">
        <v>0</v>
      </c>
      <c r="Q287" s="1063">
        <v>0</v>
      </c>
      <c r="R287" s="1063">
        <v>0</v>
      </c>
      <c r="S287" s="1063">
        <v>0</v>
      </c>
      <c r="T287" s="1063">
        <v>0</v>
      </c>
      <c r="U287" s="1063">
        <v>0</v>
      </c>
      <c r="V287" s="1063"/>
      <c r="W287" s="1049"/>
      <c r="AT287" s="418">
        <v>9098</v>
      </c>
      <c r="AU287" s="418">
        <v>0</v>
      </c>
      <c r="AV287" s="418">
        <v>230212</v>
      </c>
      <c r="AW287" s="418">
        <v>257</v>
      </c>
      <c r="AX287" s="418">
        <v>0</v>
      </c>
      <c r="AY287" s="418">
        <v>57707</v>
      </c>
      <c r="AZ287" s="418">
        <v>0</v>
      </c>
      <c r="BA287" s="418">
        <v>0</v>
      </c>
      <c r="BB287" s="418">
        <v>0</v>
      </c>
      <c r="BC287" s="418">
        <v>0</v>
      </c>
      <c r="BD287" s="418">
        <v>0</v>
      </c>
      <c r="BE287" s="418">
        <v>0</v>
      </c>
      <c r="BF287" s="418">
        <v>211114</v>
      </c>
      <c r="BG287" s="418">
        <v>0</v>
      </c>
      <c r="BH287" s="418">
        <v>0</v>
      </c>
      <c r="BI287" s="418">
        <v>0</v>
      </c>
      <c r="BJ287" s="418">
        <v>50998</v>
      </c>
      <c r="BK287" s="418">
        <v>0</v>
      </c>
      <c r="BL287" s="418">
        <v>77281</v>
      </c>
      <c r="BM287" s="418">
        <v>28454</v>
      </c>
      <c r="BN287" s="418">
        <v>0</v>
      </c>
      <c r="BO287" s="418">
        <v>185200</v>
      </c>
      <c r="BP287" s="418">
        <v>44837</v>
      </c>
      <c r="BQ287" s="418">
        <v>10598</v>
      </c>
      <c r="BR287" s="418">
        <v>0</v>
      </c>
      <c r="BS287" s="418">
        <v>4884</v>
      </c>
      <c r="BT287" s="418">
        <v>61408</v>
      </c>
      <c r="BU287" s="418">
        <v>0</v>
      </c>
      <c r="BV287" s="418">
        <v>98077</v>
      </c>
      <c r="BW287" s="418">
        <v>5000</v>
      </c>
      <c r="BX287" s="418">
        <v>0</v>
      </c>
      <c r="BY287" s="418">
        <v>0</v>
      </c>
      <c r="BZ287" s="418">
        <v>0</v>
      </c>
      <c r="CA287" s="418">
        <v>433810</v>
      </c>
      <c r="CB287" s="418">
        <v>0</v>
      </c>
    </row>
    <row r="288" spans="1:80" s="418" customFormat="1" x14ac:dyDescent="0.3">
      <c r="A288" s="1052">
        <v>629</v>
      </c>
      <c r="B288" s="1049"/>
      <c r="C288" s="1095">
        <v>629</v>
      </c>
      <c r="D288" s="1096" t="s">
        <v>710</v>
      </c>
      <c r="E288" s="1049"/>
      <c r="F288" s="1063">
        <v>0</v>
      </c>
      <c r="G288" s="1063">
        <v>0</v>
      </c>
      <c r="H288" s="1063">
        <v>0</v>
      </c>
      <c r="I288" s="1063">
        <v>0</v>
      </c>
      <c r="J288" s="1063">
        <v>0</v>
      </c>
      <c r="K288" s="1063">
        <v>0</v>
      </c>
      <c r="L288" s="1063">
        <v>0</v>
      </c>
      <c r="M288" s="1063">
        <v>0</v>
      </c>
      <c r="N288" s="1063">
        <v>0</v>
      </c>
      <c r="O288" s="1063">
        <v>0</v>
      </c>
      <c r="P288" s="1063">
        <v>0</v>
      </c>
      <c r="Q288" s="1063">
        <v>0</v>
      </c>
      <c r="R288" s="1063">
        <v>0</v>
      </c>
      <c r="S288" s="1063">
        <v>0</v>
      </c>
      <c r="T288" s="1063">
        <v>0</v>
      </c>
      <c r="U288" s="1063">
        <v>0</v>
      </c>
      <c r="V288" s="1063"/>
      <c r="W288" s="1050"/>
      <c r="AT288" s="418">
        <v>0</v>
      </c>
      <c r="AU288" s="418">
        <v>0</v>
      </c>
      <c r="AV288" s="418">
        <v>0</v>
      </c>
      <c r="AW288" s="418">
        <v>0</v>
      </c>
      <c r="AX288" s="418">
        <v>0</v>
      </c>
      <c r="AY288" s="418">
        <v>0</v>
      </c>
      <c r="AZ288" s="418">
        <v>0</v>
      </c>
      <c r="BA288" s="418">
        <v>0</v>
      </c>
      <c r="BB288" s="418">
        <v>0</v>
      </c>
      <c r="BC288" s="418">
        <v>0</v>
      </c>
      <c r="BD288" s="418">
        <v>0</v>
      </c>
      <c r="BE288" s="418">
        <v>0</v>
      </c>
      <c r="BF288" s="418">
        <v>0</v>
      </c>
      <c r="BG288" s="418">
        <v>0</v>
      </c>
      <c r="BH288" s="418">
        <v>0</v>
      </c>
      <c r="BI288" s="418">
        <v>0</v>
      </c>
      <c r="BJ288" s="418">
        <v>0</v>
      </c>
      <c r="BK288" s="418">
        <v>0</v>
      </c>
      <c r="BL288" s="418">
        <v>0</v>
      </c>
      <c r="BM288" s="418">
        <v>0</v>
      </c>
      <c r="BN288" s="418">
        <v>0</v>
      </c>
      <c r="BO288" s="418">
        <v>0</v>
      </c>
      <c r="BP288" s="418">
        <v>0</v>
      </c>
      <c r="BQ288" s="418">
        <v>0</v>
      </c>
      <c r="BR288" s="418">
        <v>0</v>
      </c>
      <c r="BS288" s="418">
        <v>0</v>
      </c>
      <c r="BT288" s="418">
        <v>0</v>
      </c>
      <c r="BU288" s="418">
        <v>0</v>
      </c>
      <c r="BV288" s="418">
        <v>882005</v>
      </c>
      <c r="BW288" s="418">
        <v>0</v>
      </c>
      <c r="BX288" s="418">
        <v>0</v>
      </c>
      <c r="BY288" s="418">
        <v>0</v>
      </c>
      <c r="BZ288" s="418">
        <v>0</v>
      </c>
      <c r="CA288" s="418">
        <v>0</v>
      </c>
      <c r="CB288" s="418">
        <v>0</v>
      </c>
    </row>
    <row r="289" spans="1:80" s="418" customFormat="1" ht="28.8" x14ac:dyDescent="0.3">
      <c r="A289" s="1052">
        <v>630</v>
      </c>
      <c r="B289" s="1049"/>
      <c r="C289" s="1095">
        <v>630</v>
      </c>
      <c r="D289" s="1096" t="s">
        <v>709</v>
      </c>
      <c r="E289" s="1049"/>
      <c r="F289" s="1063">
        <v>0</v>
      </c>
      <c r="G289" s="1063">
        <v>0</v>
      </c>
      <c r="H289" s="1063">
        <v>0</v>
      </c>
      <c r="I289" s="1063">
        <v>0</v>
      </c>
      <c r="J289" s="1063">
        <v>0</v>
      </c>
      <c r="K289" s="1063">
        <v>0</v>
      </c>
      <c r="L289" s="1063">
        <v>0</v>
      </c>
      <c r="M289" s="1063">
        <v>0</v>
      </c>
      <c r="N289" s="1063">
        <v>0</v>
      </c>
      <c r="O289" s="1063">
        <v>0</v>
      </c>
      <c r="P289" s="1063">
        <v>0</v>
      </c>
      <c r="Q289" s="1063">
        <v>0</v>
      </c>
      <c r="R289" s="1063">
        <v>0</v>
      </c>
      <c r="S289" s="1063">
        <v>0</v>
      </c>
      <c r="T289" s="1063">
        <v>0</v>
      </c>
      <c r="U289" s="1063">
        <v>0</v>
      </c>
      <c r="V289" s="1063"/>
      <c r="W289" s="1049"/>
      <c r="X289" s="1049"/>
      <c r="Y289" s="1049"/>
      <c r="Z289" s="1049"/>
      <c r="AA289" s="1049"/>
      <c r="AT289" s="418">
        <v>0</v>
      </c>
      <c r="AU289" s="418">
        <v>0</v>
      </c>
      <c r="AV289" s="418">
        <v>0</v>
      </c>
      <c r="AW289" s="418">
        <v>0</v>
      </c>
      <c r="AX289" s="418">
        <v>0</v>
      </c>
      <c r="AY289" s="418">
        <v>0</v>
      </c>
      <c r="AZ289" s="418">
        <v>0</v>
      </c>
      <c r="BA289" s="418">
        <v>0</v>
      </c>
      <c r="BB289" s="418">
        <v>0</v>
      </c>
      <c r="BC289" s="418">
        <v>0</v>
      </c>
      <c r="BD289" s="418">
        <v>0</v>
      </c>
      <c r="BE289" s="418">
        <v>0</v>
      </c>
      <c r="BF289" s="418">
        <v>0</v>
      </c>
      <c r="BG289" s="418">
        <v>0</v>
      </c>
      <c r="BH289" s="418">
        <v>0</v>
      </c>
      <c r="BI289" s="418">
        <v>0</v>
      </c>
      <c r="BJ289" s="418">
        <v>22090</v>
      </c>
      <c r="BK289" s="418">
        <v>0</v>
      </c>
      <c r="BL289" s="418">
        <v>155</v>
      </c>
      <c r="BM289" s="418">
        <v>97431</v>
      </c>
      <c r="BN289" s="418">
        <v>0</v>
      </c>
      <c r="BO289" s="418">
        <v>7637</v>
      </c>
      <c r="BP289" s="418">
        <v>0</v>
      </c>
      <c r="BQ289" s="418">
        <v>0</v>
      </c>
      <c r="BR289" s="418">
        <v>0</v>
      </c>
      <c r="BS289" s="418">
        <v>33020</v>
      </c>
      <c r="BT289" s="418">
        <v>27755</v>
      </c>
      <c r="BU289" s="418">
        <v>0</v>
      </c>
      <c r="BV289" s="418">
        <v>0</v>
      </c>
      <c r="BW289" s="418">
        <v>0</v>
      </c>
      <c r="BX289" s="418">
        <v>0</v>
      </c>
      <c r="BY289" s="418">
        <v>0</v>
      </c>
      <c r="BZ289" s="418">
        <v>0</v>
      </c>
      <c r="CA289" s="418">
        <v>863078</v>
      </c>
      <c r="CB289" s="418">
        <v>0</v>
      </c>
    </row>
    <row r="290" spans="1:80" s="418" customFormat="1" x14ac:dyDescent="0.3">
      <c r="A290" s="1052">
        <v>631</v>
      </c>
      <c r="B290" s="1049"/>
      <c r="C290" s="1095">
        <v>631</v>
      </c>
      <c r="D290" s="1096" t="s">
        <v>708</v>
      </c>
      <c r="E290" s="1049"/>
      <c r="F290" s="1063">
        <v>0</v>
      </c>
      <c r="G290" s="1063">
        <v>0</v>
      </c>
      <c r="H290" s="1063">
        <v>0</v>
      </c>
      <c r="I290" s="1063">
        <v>0</v>
      </c>
      <c r="J290" s="1063">
        <v>0</v>
      </c>
      <c r="K290" s="1063">
        <v>0</v>
      </c>
      <c r="L290" s="1063">
        <v>0</v>
      </c>
      <c r="M290" s="1063">
        <v>0</v>
      </c>
      <c r="N290" s="1063">
        <v>0</v>
      </c>
      <c r="O290" s="1063">
        <v>0</v>
      </c>
      <c r="P290" s="1063">
        <v>0</v>
      </c>
      <c r="Q290" s="1063">
        <v>0</v>
      </c>
      <c r="R290" s="1063">
        <v>0</v>
      </c>
      <c r="S290" s="1063">
        <v>0</v>
      </c>
      <c r="T290" s="1063">
        <v>0</v>
      </c>
      <c r="U290" s="1063">
        <v>0</v>
      </c>
      <c r="V290" s="1063"/>
      <c r="W290" s="1049"/>
      <c r="X290" s="1049"/>
      <c r="Y290" s="1049"/>
      <c r="Z290" s="1049"/>
      <c r="AA290" s="1049"/>
      <c r="AT290" s="418">
        <v>0</v>
      </c>
      <c r="AU290" s="418">
        <v>0</v>
      </c>
      <c r="AV290" s="418">
        <v>0</v>
      </c>
      <c r="AW290" s="418">
        <v>0</v>
      </c>
      <c r="AX290" s="418">
        <v>0</v>
      </c>
      <c r="AY290" s="418">
        <v>0</v>
      </c>
      <c r="AZ290" s="418">
        <v>0</v>
      </c>
      <c r="BA290" s="418">
        <v>0</v>
      </c>
      <c r="BB290" s="418">
        <v>0</v>
      </c>
      <c r="BC290" s="418">
        <v>0</v>
      </c>
      <c r="BD290" s="418">
        <v>0</v>
      </c>
      <c r="BE290" s="418">
        <v>0</v>
      </c>
      <c r="BF290" s="418">
        <v>0</v>
      </c>
      <c r="BG290" s="418">
        <v>0</v>
      </c>
      <c r="BH290" s="418">
        <v>0</v>
      </c>
      <c r="BI290" s="418">
        <v>0</v>
      </c>
      <c r="BJ290" s="418">
        <v>0</v>
      </c>
      <c r="BK290" s="418">
        <v>0</v>
      </c>
      <c r="BL290" s="418">
        <v>0</v>
      </c>
      <c r="BM290" s="418">
        <v>0</v>
      </c>
      <c r="BN290" s="418">
        <v>0</v>
      </c>
      <c r="BO290" s="418">
        <v>0</v>
      </c>
      <c r="BP290" s="418">
        <v>0</v>
      </c>
      <c r="BQ290" s="418">
        <v>0</v>
      </c>
      <c r="BR290" s="418">
        <v>0</v>
      </c>
      <c r="BS290" s="418">
        <v>0</v>
      </c>
      <c r="BT290" s="418">
        <v>0</v>
      </c>
      <c r="BU290" s="418">
        <v>0</v>
      </c>
      <c r="BV290" s="418">
        <v>2749874</v>
      </c>
      <c r="BW290" s="418">
        <v>0</v>
      </c>
      <c r="BX290" s="418">
        <v>0</v>
      </c>
      <c r="BY290" s="418">
        <v>0</v>
      </c>
      <c r="BZ290" s="418">
        <v>0</v>
      </c>
      <c r="CA290" s="418">
        <v>0</v>
      </c>
      <c r="CB290" s="418">
        <v>0</v>
      </c>
    </row>
    <row r="291" spans="1:80" s="418" customFormat="1" x14ac:dyDescent="0.3">
      <c r="A291" s="1052">
        <v>632</v>
      </c>
      <c r="B291" s="1049"/>
      <c r="C291" s="1095">
        <v>632</v>
      </c>
      <c r="D291" s="1096" t="s">
        <v>707</v>
      </c>
      <c r="E291" s="1049"/>
      <c r="F291" s="1063">
        <v>0</v>
      </c>
      <c r="G291" s="1063">
        <v>0</v>
      </c>
      <c r="H291" s="1063">
        <v>0</v>
      </c>
      <c r="I291" s="1063">
        <v>0</v>
      </c>
      <c r="J291" s="1063">
        <v>0</v>
      </c>
      <c r="K291" s="1063">
        <v>0</v>
      </c>
      <c r="L291" s="1063">
        <v>0</v>
      </c>
      <c r="M291" s="1063">
        <v>0</v>
      </c>
      <c r="N291" s="1063">
        <v>0</v>
      </c>
      <c r="O291" s="1063">
        <v>0</v>
      </c>
      <c r="P291" s="1063">
        <v>0</v>
      </c>
      <c r="Q291" s="1063">
        <v>0</v>
      </c>
      <c r="R291" s="1063">
        <v>0</v>
      </c>
      <c r="S291" s="1063">
        <v>0</v>
      </c>
      <c r="T291" s="1063">
        <v>0</v>
      </c>
      <c r="U291" s="1063">
        <v>0</v>
      </c>
      <c r="V291" s="1063"/>
      <c r="W291" s="1049"/>
      <c r="X291" s="1049"/>
      <c r="Y291" s="1049"/>
      <c r="Z291" s="1049"/>
      <c r="AA291" s="1049"/>
      <c r="AT291" s="418">
        <v>0</v>
      </c>
      <c r="AU291" s="418">
        <v>0</v>
      </c>
      <c r="AV291" s="418">
        <v>0</v>
      </c>
      <c r="AW291" s="418">
        <v>0</v>
      </c>
      <c r="AX291" s="418">
        <v>0</v>
      </c>
      <c r="AY291" s="418">
        <v>0</v>
      </c>
      <c r="AZ291" s="418">
        <v>0</v>
      </c>
      <c r="BA291" s="418">
        <v>0</v>
      </c>
      <c r="BB291" s="418">
        <v>0</v>
      </c>
      <c r="BC291" s="418">
        <v>0</v>
      </c>
      <c r="BD291" s="418">
        <v>0</v>
      </c>
      <c r="BE291" s="418">
        <v>0</v>
      </c>
      <c r="BF291" s="418">
        <v>0</v>
      </c>
      <c r="BG291" s="418">
        <v>0</v>
      </c>
      <c r="BH291" s="418">
        <v>0</v>
      </c>
      <c r="BI291" s="418">
        <v>0</v>
      </c>
      <c r="BJ291" s="418">
        <v>0</v>
      </c>
      <c r="BK291" s="418">
        <v>0</v>
      </c>
      <c r="BL291" s="418">
        <v>0</v>
      </c>
      <c r="BM291" s="418">
        <v>0</v>
      </c>
      <c r="BN291" s="418">
        <v>0</v>
      </c>
      <c r="BO291" s="418">
        <v>0</v>
      </c>
      <c r="BP291" s="418">
        <v>0</v>
      </c>
      <c r="BQ291" s="418">
        <v>0</v>
      </c>
      <c r="BR291" s="418">
        <v>0</v>
      </c>
      <c r="BS291" s="418">
        <v>0</v>
      </c>
      <c r="BT291" s="418">
        <v>0</v>
      </c>
      <c r="BU291" s="418">
        <v>0</v>
      </c>
      <c r="BV291" s="418">
        <v>0</v>
      </c>
      <c r="BW291" s="418">
        <v>0</v>
      </c>
      <c r="BX291" s="418">
        <v>0</v>
      </c>
      <c r="BY291" s="418">
        <v>0</v>
      </c>
      <c r="BZ291" s="418">
        <v>0</v>
      </c>
      <c r="CA291" s="418">
        <v>0</v>
      </c>
      <c r="CB291" s="418">
        <v>0</v>
      </c>
    </row>
    <row r="292" spans="1:80" s="418" customFormat="1" ht="28.8" x14ac:dyDescent="0.3">
      <c r="A292" s="1052">
        <v>633</v>
      </c>
      <c r="B292" s="1049"/>
      <c r="C292" s="1095">
        <v>633</v>
      </c>
      <c r="D292" s="1096" t="s">
        <v>715</v>
      </c>
      <c r="E292" s="1049"/>
      <c r="F292" s="1063">
        <v>0</v>
      </c>
      <c r="G292" s="1063">
        <v>0</v>
      </c>
      <c r="H292" s="1063">
        <v>0</v>
      </c>
      <c r="I292" s="1063">
        <v>0</v>
      </c>
      <c r="J292" s="1063">
        <v>0</v>
      </c>
      <c r="K292" s="1063">
        <v>0</v>
      </c>
      <c r="L292" s="1063">
        <v>0</v>
      </c>
      <c r="M292" s="1063">
        <v>0</v>
      </c>
      <c r="N292" s="1063">
        <v>0</v>
      </c>
      <c r="O292" s="1063">
        <v>0</v>
      </c>
      <c r="P292" s="1063">
        <v>0</v>
      </c>
      <c r="Q292" s="1063">
        <v>0</v>
      </c>
      <c r="R292" s="1063">
        <v>0</v>
      </c>
      <c r="S292" s="1063">
        <v>0</v>
      </c>
      <c r="T292" s="1063">
        <v>0</v>
      </c>
      <c r="U292" s="1063">
        <v>0</v>
      </c>
      <c r="V292" s="1063"/>
      <c r="W292" s="1049"/>
      <c r="X292" s="1049"/>
      <c r="Y292" s="1049"/>
      <c r="Z292" s="1049"/>
      <c r="AA292" s="1049"/>
      <c r="AT292" s="418">
        <v>39753</v>
      </c>
      <c r="AU292" s="418">
        <v>242482</v>
      </c>
      <c r="AV292" s="418">
        <v>2980628</v>
      </c>
      <c r="AW292" s="418">
        <v>85737</v>
      </c>
      <c r="AX292" s="418">
        <v>55452</v>
      </c>
      <c r="AY292" s="418">
        <v>61980</v>
      </c>
      <c r="AZ292" s="418">
        <v>140531</v>
      </c>
      <c r="BA292" s="418">
        <v>317093</v>
      </c>
      <c r="BB292" s="418">
        <v>16123</v>
      </c>
      <c r="BC292" s="418">
        <v>183333</v>
      </c>
      <c r="BD292" s="418">
        <v>0</v>
      </c>
      <c r="BE292" s="418">
        <v>0</v>
      </c>
      <c r="BF292" s="418">
        <v>1058269</v>
      </c>
      <c r="BG292" s="418">
        <v>0</v>
      </c>
      <c r="BH292" s="418">
        <v>0</v>
      </c>
      <c r="BI292" s="418">
        <v>359701</v>
      </c>
      <c r="BJ292" s="418">
        <v>223939</v>
      </c>
      <c r="BK292" s="418">
        <v>0</v>
      </c>
      <c r="BL292" s="418">
        <v>217836</v>
      </c>
      <c r="BM292" s="418">
        <v>285416</v>
      </c>
      <c r="BN292" s="418">
        <v>0</v>
      </c>
      <c r="BO292" s="418">
        <v>634947</v>
      </c>
      <c r="BP292" s="418">
        <v>226325</v>
      </c>
      <c r="BQ292" s="418">
        <v>63846</v>
      </c>
      <c r="BR292" s="418">
        <v>799399</v>
      </c>
      <c r="BS292" s="418">
        <v>0</v>
      </c>
      <c r="BT292" s="418">
        <v>0</v>
      </c>
      <c r="BU292" s="418">
        <v>121908</v>
      </c>
      <c r="BV292" s="418">
        <v>539022</v>
      </c>
      <c r="BW292" s="418">
        <v>686678</v>
      </c>
      <c r="BX292" s="418">
        <v>596266</v>
      </c>
      <c r="BY292" s="418">
        <v>0</v>
      </c>
      <c r="BZ292" s="418">
        <v>0</v>
      </c>
      <c r="CA292" s="418">
        <v>2053250</v>
      </c>
      <c r="CB292" s="418">
        <v>0</v>
      </c>
    </row>
    <row r="293" spans="1:80" s="418" customFormat="1" ht="28.8" x14ac:dyDescent="0.3">
      <c r="A293" s="1052">
        <v>634</v>
      </c>
      <c r="B293" s="1049"/>
      <c r="C293" s="1095">
        <v>634</v>
      </c>
      <c r="D293" s="1096" t="s">
        <v>716</v>
      </c>
      <c r="E293" s="1049"/>
      <c r="F293" s="1063">
        <v>0</v>
      </c>
      <c r="G293" s="1063">
        <v>0</v>
      </c>
      <c r="H293" s="1063">
        <v>0</v>
      </c>
      <c r="I293" s="1063">
        <v>0</v>
      </c>
      <c r="J293" s="1063">
        <v>0</v>
      </c>
      <c r="K293" s="1063">
        <v>0</v>
      </c>
      <c r="L293" s="1063">
        <v>0</v>
      </c>
      <c r="M293" s="1063">
        <v>0</v>
      </c>
      <c r="N293" s="1063">
        <v>0</v>
      </c>
      <c r="O293" s="1063">
        <v>0</v>
      </c>
      <c r="P293" s="1063">
        <v>0</v>
      </c>
      <c r="Q293" s="1063">
        <v>0</v>
      </c>
      <c r="R293" s="1063">
        <v>0</v>
      </c>
      <c r="S293" s="1063">
        <v>0</v>
      </c>
      <c r="T293" s="1063">
        <v>0</v>
      </c>
      <c r="U293" s="1063">
        <v>0</v>
      </c>
      <c r="V293" s="1063"/>
      <c r="W293" s="1049"/>
      <c r="X293" s="1049"/>
      <c r="Y293" s="1049"/>
      <c r="Z293" s="1049"/>
      <c r="AA293" s="1049"/>
      <c r="AT293" s="418">
        <v>0</v>
      </c>
      <c r="AU293" s="418">
        <v>0</v>
      </c>
      <c r="AV293" s="418">
        <v>0</v>
      </c>
      <c r="AW293" s="418">
        <v>0</v>
      </c>
      <c r="AX293" s="418">
        <v>0</v>
      </c>
      <c r="AY293" s="418">
        <v>0</v>
      </c>
      <c r="AZ293" s="418">
        <v>0</v>
      </c>
      <c r="BA293" s="418">
        <v>0</v>
      </c>
      <c r="BB293" s="418">
        <v>0</v>
      </c>
      <c r="BC293" s="418">
        <v>0</v>
      </c>
      <c r="BD293" s="418">
        <v>0</v>
      </c>
      <c r="BE293" s="418">
        <v>0</v>
      </c>
      <c r="BF293" s="418">
        <v>0</v>
      </c>
      <c r="BG293" s="418">
        <v>0</v>
      </c>
      <c r="BH293" s="418">
        <v>0</v>
      </c>
      <c r="BI293" s="418">
        <v>0</v>
      </c>
      <c r="BJ293" s="418">
        <v>0</v>
      </c>
      <c r="BK293" s="418">
        <v>0</v>
      </c>
      <c r="BL293" s="418">
        <v>0</v>
      </c>
      <c r="BM293" s="418">
        <v>36664</v>
      </c>
      <c r="BN293" s="418">
        <v>0</v>
      </c>
      <c r="BO293" s="418">
        <v>0</v>
      </c>
      <c r="BP293" s="418">
        <v>0</v>
      </c>
      <c r="BQ293" s="418">
        <v>0</v>
      </c>
      <c r="BR293" s="418">
        <v>0</v>
      </c>
      <c r="BS293" s="418">
        <v>0</v>
      </c>
      <c r="BT293" s="418">
        <v>0</v>
      </c>
      <c r="BU293" s="418">
        <v>0</v>
      </c>
      <c r="BV293" s="418">
        <v>0</v>
      </c>
      <c r="BW293" s="418">
        <v>567000</v>
      </c>
      <c r="BX293" s="418">
        <v>0</v>
      </c>
      <c r="BY293" s="418">
        <v>0</v>
      </c>
      <c r="BZ293" s="418">
        <v>0</v>
      </c>
      <c r="CA293" s="418">
        <v>0</v>
      </c>
      <c r="CB293" s="418">
        <v>0</v>
      </c>
    </row>
    <row r="294" spans="1:80" s="418" customFormat="1" ht="28.8" x14ac:dyDescent="0.3">
      <c r="A294" s="1052">
        <v>635</v>
      </c>
      <c r="B294" s="1049"/>
      <c r="C294" s="1095">
        <v>635</v>
      </c>
      <c r="D294" s="1096" t="s">
        <v>717</v>
      </c>
      <c r="E294" s="1049"/>
      <c r="F294" s="1063">
        <v>0</v>
      </c>
      <c r="G294" s="1063">
        <v>0</v>
      </c>
      <c r="H294" s="1063">
        <v>0</v>
      </c>
      <c r="I294" s="1063">
        <v>0</v>
      </c>
      <c r="J294" s="1063">
        <v>0</v>
      </c>
      <c r="K294" s="1063">
        <v>0</v>
      </c>
      <c r="L294" s="1063">
        <v>0</v>
      </c>
      <c r="M294" s="1063">
        <v>0</v>
      </c>
      <c r="N294" s="1063">
        <v>0</v>
      </c>
      <c r="O294" s="1063">
        <v>0</v>
      </c>
      <c r="P294" s="1063">
        <v>0</v>
      </c>
      <c r="Q294" s="1063">
        <v>0</v>
      </c>
      <c r="R294" s="1063">
        <v>0</v>
      </c>
      <c r="S294" s="1063">
        <v>0</v>
      </c>
      <c r="T294" s="1063">
        <v>0</v>
      </c>
      <c r="U294" s="1063">
        <v>0</v>
      </c>
      <c r="V294" s="1063"/>
      <c r="W294" s="1049"/>
      <c r="X294" s="1049"/>
      <c r="Y294" s="1049"/>
      <c r="Z294" s="1049"/>
      <c r="AA294" s="1049"/>
      <c r="AT294" s="418">
        <v>0</v>
      </c>
      <c r="AU294" s="418">
        <v>0</v>
      </c>
      <c r="AV294" s="418">
        <v>61435</v>
      </c>
      <c r="AW294" s="418">
        <v>2317</v>
      </c>
      <c r="AX294" s="418">
        <v>0</v>
      </c>
      <c r="AY294" s="418">
        <v>0</v>
      </c>
      <c r="AZ294" s="418">
        <v>0</v>
      </c>
      <c r="BA294" s="418">
        <v>0</v>
      </c>
      <c r="BB294" s="418">
        <v>0</v>
      </c>
      <c r="BC294" s="418">
        <v>0</v>
      </c>
      <c r="BD294" s="418">
        <v>0</v>
      </c>
      <c r="BE294" s="418">
        <v>0</v>
      </c>
      <c r="BF294" s="418">
        <v>62376</v>
      </c>
      <c r="BG294" s="418">
        <v>0</v>
      </c>
      <c r="BH294" s="418">
        <v>0</v>
      </c>
      <c r="BI294" s="418">
        <v>0</v>
      </c>
      <c r="BJ294" s="418">
        <v>16822</v>
      </c>
      <c r="BK294" s="418">
        <v>0</v>
      </c>
      <c r="BL294" s="418">
        <v>13059</v>
      </c>
      <c r="BM294" s="418">
        <v>8158</v>
      </c>
      <c r="BN294" s="418">
        <v>0</v>
      </c>
      <c r="BO294" s="418">
        <v>30400</v>
      </c>
      <c r="BP294" s="418">
        <v>11509</v>
      </c>
      <c r="BQ294" s="418">
        <v>3523</v>
      </c>
      <c r="BR294" s="418">
        <v>0</v>
      </c>
      <c r="BS294" s="418">
        <v>0</v>
      </c>
      <c r="BT294" s="418">
        <v>0</v>
      </c>
      <c r="BU294" s="418">
        <v>0</v>
      </c>
      <c r="BV294" s="418">
        <v>50043</v>
      </c>
      <c r="BW294" s="418">
        <v>3000</v>
      </c>
      <c r="BX294" s="418">
        <v>0</v>
      </c>
      <c r="BY294" s="418">
        <v>0</v>
      </c>
      <c r="BZ294" s="418">
        <v>0</v>
      </c>
      <c r="CA294" s="418">
        <v>68558</v>
      </c>
      <c r="CB294" s="418">
        <v>0</v>
      </c>
    </row>
    <row r="295" spans="1:80" s="418" customFormat="1" ht="28.8" x14ac:dyDescent="0.3">
      <c r="A295" s="1052">
        <v>636</v>
      </c>
      <c r="B295" s="1049"/>
      <c r="C295" s="1095">
        <v>636</v>
      </c>
      <c r="D295" s="1096" t="s">
        <v>712</v>
      </c>
      <c r="E295" s="1049"/>
      <c r="F295" s="1063">
        <v>0</v>
      </c>
      <c r="G295" s="1063">
        <v>0</v>
      </c>
      <c r="H295" s="1063">
        <v>0</v>
      </c>
      <c r="I295" s="1063">
        <v>0</v>
      </c>
      <c r="J295" s="1063">
        <v>0</v>
      </c>
      <c r="K295" s="1063">
        <v>0</v>
      </c>
      <c r="L295" s="1063">
        <v>0</v>
      </c>
      <c r="M295" s="1063">
        <v>0</v>
      </c>
      <c r="N295" s="1063">
        <v>0</v>
      </c>
      <c r="O295" s="1063">
        <v>0</v>
      </c>
      <c r="P295" s="1063">
        <v>0</v>
      </c>
      <c r="Q295" s="1063">
        <v>0</v>
      </c>
      <c r="R295" s="1063">
        <v>0</v>
      </c>
      <c r="S295" s="1063">
        <v>0</v>
      </c>
      <c r="T295" s="1063">
        <v>0</v>
      </c>
      <c r="U295" s="1063">
        <v>0</v>
      </c>
      <c r="V295" s="1063"/>
      <c r="W295" s="1049"/>
      <c r="X295" s="1049"/>
      <c r="Y295" s="1049"/>
      <c r="Z295" s="1049"/>
      <c r="AA295" s="1066"/>
      <c r="AT295" s="418">
        <v>0</v>
      </c>
      <c r="AU295" s="418">
        <v>0</v>
      </c>
      <c r="AV295" s="418">
        <v>0</v>
      </c>
      <c r="AW295" s="418">
        <v>0</v>
      </c>
      <c r="AX295" s="418">
        <v>0</v>
      </c>
      <c r="AY295" s="418">
        <v>0</v>
      </c>
      <c r="AZ295" s="418">
        <v>0</v>
      </c>
      <c r="BA295" s="418">
        <v>0</v>
      </c>
      <c r="BB295" s="418">
        <v>0</v>
      </c>
      <c r="BC295" s="418">
        <v>0</v>
      </c>
      <c r="BD295" s="418">
        <v>0</v>
      </c>
      <c r="BE295" s="418">
        <v>0</v>
      </c>
      <c r="BF295" s="418">
        <v>0</v>
      </c>
      <c r="BG295" s="418">
        <v>0</v>
      </c>
      <c r="BH295" s="418">
        <v>0</v>
      </c>
      <c r="BI295" s="418">
        <v>0</v>
      </c>
      <c r="BJ295" s="418">
        <v>0</v>
      </c>
      <c r="BK295" s="418">
        <v>0</v>
      </c>
      <c r="BL295" s="418">
        <v>0</v>
      </c>
      <c r="BM295" s="418">
        <v>0</v>
      </c>
      <c r="BN295" s="418">
        <v>0</v>
      </c>
      <c r="BO295" s="418">
        <v>0</v>
      </c>
      <c r="BP295" s="418">
        <v>0</v>
      </c>
      <c r="BQ295" s="418">
        <v>0</v>
      </c>
      <c r="BR295" s="418">
        <v>0</v>
      </c>
      <c r="BS295" s="418">
        <v>0</v>
      </c>
      <c r="BT295" s="418">
        <v>0</v>
      </c>
      <c r="BU295" s="418">
        <v>0</v>
      </c>
      <c r="BV295" s="418">
        <v>193613</v>
      </c>
      <c r="BW295" s="418">
        <v>0</v>
      </c>
      <c r="BX295" s="418">
        <v>0</v>
      </c>
      <c r="BY295" s="418">
        <v>0</v>
      </c>
      <c r="BZ295" s="418">
        <v>0</v>
      </c>
      <c r="CA295" s="418">
        <v>0</v>
      </c>
      <c r="CB295" s="418">
        <v>0</v>
      </c>
    </row>
    <row r="296" spans="1:80" s="418" customFormat="1" ht="28.8" x14ac:dyDescent="0.3">
      <c r="A296" s="1052">
        <v>637</v>
      </c>
      <c r="B296" s="1049"/>
      <c r="C296" s="1095">
        <v>637</v>
      </c>
      <c r="D296" s="1096" t="s">
        <v>713</v>
      </c>
      <c r="E296" s="1049"/>
      <c r="F296" s="1063">
        <v>0</v>
      </c>
      <c r="G296" s="1063">
        <v>0</v>
      </c>
      <c r="H296" s="1063">
        <v>0</v>
      </c>
      <c r="I296" s="1063">
        <v>0</v>
      </c>
      <c r="J296" s="1063">
        <v>0</v>
      </c>
      <c r="K296" s="1063">
        <v>0</v>
      </c>
      <c r="L296" s="1063">
        <v>0</v>
      </c>
      <c r="M296" s="1063">
        <v>0</v>
      </c>
      <c r="N296" s="1063">
        <v>0</v>
      </c>
      <c r="O296" s="1063">
        <v>0</v>
      </c>
      <c r="P296" s="1063">
        <v>0</v>
      </c>
      <c r="Q296" s="1063">
        <v>0</v>
      </c>
      <c r="R296" s="1063">
        <v>0</v>
      </c>
      <c r="S296" s="1063">
        <v>0</v>
      </c>
      <c r="T296" s="1063">
        <v>0</v>
      </c>
      <c r="U296" s="1063">
        <v>0</v>
      </c>
      <c r="V296" s="1063"/>
      <c r="W296" s="1049"/>
      <c r="X296" s="1049"/>
      <c r="Y296" s="1049"/>
      <c r="Z296" s="1049"/>
      <c r="AA296" s="1066"/>
      <c r="AT296" s="418">
        <v>24561</v>
      </c>
      <c r="AU296" s="418">
        <v>0</v>
      </c>
      <c r="AV296" s="418">
        <v>121988</v>
      </c>
      <c r="AW296" s="418">
        <v>49900</v>
      </c>
      <c r="AX296" s="418">
        <v>0</v>
      </c>
      <c r="AY296" s="418">
        <v>0</v>
      </c>
      <c r="AZ296" s="418">
        <v>73103</v>
      </c>
      <c r="BA296" s="418">
        <v>0</v>
      </c>
      <c r="BB296" s="418">
        <v>0</v>
      </c>
      <c r="BC296" s="418">
        <v>0</v>
      </c>
      <c r="BD296" s="418">
        <v>0</v>
      </c>
      <c r="BE296" s="418">
        <v>0</v>
      </c>
      <c r="BF296" s="418">
        <v>40370</v>
      </c>
      <c r="BG296" s="418">
        <v>0</v>
      </c>
      <c r="BH296" s="418">
        <v>0</v>
      </c>
      <c r="BI296" s="418">
        <v>0</v>
      </c>
      <c r="BJ296" s="418">
        <v>0</v>
      </c>
      <c r="BK296" s="418">
        <v>0</v>
      </c>
      <c r="BL296" s="418">
        <v>38980</v>
      </c>
      <c r="BM296" s="418">
        <v>57422</v>
      </c>
      <c r="BN296" s="418">
        <v>0</v>
      </c>
      <c r="BO296" s="418">
        <v>248740</v>
      </c>
      <c r="BP296" s="418">
        <v>0</v>
      </c>
      <c r="BQ296" s="418">
        <v>39450</v>
      </c>
      <c r="BR296" s="418">
        <v>64381</v>
      </c>
      <c r="BS296" s="418">
        <v>0</v>
      </c>
      <c r="BT296" s="418">
        <v>0</v>
      </c>
      <c r="BU296" s="418">
        <v>0</v>
      </c>
      <c r="BV296" s="418">
        <v>0</v>
      </c>
      <c r="BW296" s="418">
        <v>42761</v>
      </c>
      <c r="BX296" s="418">
        <v>26655</v>
      </c>
      <c r="BY296" s="418">
        <v>0</v>
      </c>
      <c r="BZ296" s="418">
        <v>0</v>
      </c>
      <c r="CA296" s="418">
        <v>602881</v>
      </c>
      <c r="CB296" s="418">
        <v>0</v>
      </c>
    </row>
    <row r="297" spans="1:80" s="418" customFormat="1" x14ac:dyDescent="0.3">
      <c r="A297" s="1052">
        <v>638</v>
      </c>
      <c r="B297" s="1049"/>
      <c r="C297" s="1095">
        <v>638</v>
      </c>
      <c r="D297" s="1096" t="s">
        <v>718</v>
      </c>
      <c r="E297" s="1049"/>
      <c r="F297" s="1063">
        <v>0</v>
      </c>
      <c r="G297" s="1063">
        <v>0</v>
      </c>
      <c r="H297" s="1063">
        <v>0</v>
      </c>
      <c r="I297" s="1063">
        <v>0</v>
      </c>
      <c r="J297" s="1063">
        <v>0</v>
      </c>
      <c r="K297" s="1063">
        <v>0</v>
      </c>
      <c r="L297" s="1063">
        <v>0</v>
      </c>
      <c r="M297" s="1063">
        <v>0</v>
      </c>
      <c r="N297" s="1063">
        <v>0</v>
      </c>
      <c r="O297" s="1063">
        <v>0</v>
      </c>
      <c r="P297" s="1063">
        <v>0</v>
      </c>
      <c r="Q297" s="1063">
        <v>0</v>
      </c>
      <c r="R297" s="1063">
        <v>0</v>
      </c>
      <c r="S297" s="1063">
        <v>0</v>
      </c>
      <c r="T297" s="1063">
        <v>0</v>
      </c>
      <c r="U297" s="1063">
        <v>0</v>
      </c>
      <c r="V297" s="1063"/>
      <c r="W297" s="1049"/>
      <c r="X297" s="1049"/>
      <c r="Y297" s="1049"/>
      <c r="Z297" s="1049"/>
      <c r="AA297" s="1066"/>
      <c r="AT297" s="418">
        <v>0</v>
      </c>
      <c r="AU297" s="418">
        <v>0</v>
      </c>
      <c r="AV297" s="418">
        <v>0</v>
      </c>
      <c r="AW297" s="418">
        <v>0</v>
      </c>
      <c r="AX297" s="418">
        <v>0</v>
      </c>
      <c r="AY297" s="418">
        <v>0</v>
      </c>
      <c r="AZ297" s="418">
        <v>0</v>
      </c>
      <c r="BA297" s="418">
        <v>0</v>
      </c>
      <c r="BB297" s="418">
        <v>0</v>
      </c>
      <c r="BC297" s="418">
        <v>0</v>
      </c>
      <c r="BD297" s="418">
        <v>0</v>
      </c>
      <c r="BE297" s="418">
        <v>0</v>
      </c>
      <c r="BF297" s="418">
        <v>0</v>
      </c>
      <c r="BG297" s="418">
        <v>0</v>
      </c>
      <c r="BH297" s="418">
        <v>0</v>
      </c>
      <c r="BI297" s="418">
        <v>0</v>
      </c>
      <c r="BJ297" s="418">
        <v>0</v>
      </c>
      <c r="BK297" s="418">
        <v>0</v>
      </c>
      <c r="BL297" s="418">
        <v>0</v>
      </c>
      <c r="BM297" s="418">
        <v>0</v>
      </c>
      <c r="BN297" s="418">
        <v>0</v>
      </c>
      <c r="BO297" s="418">
        <v>0</v>
      </c>
      <c r="BP297" s="418">
        <v>0</v>
      </c>
      <c r="BQ297" s="418">
        <v>0</v>
      </c>
      <c r="BR297" s="418">
        <v>0</v>
      </c>
      <c r="BS297" s="418">
        <v>0</v>
      </c>
      <c r="BT297" s="418">
        <v>0</v>
      </c>
      <c r="BU297" s="418">
        <v>0</v>
      </c>
      <c r="BV297" s="418">
        <v>0</v>
      </c>
      <c r="BW297" s="418">
        <v>0</v>
      </c>
      <c r="BX297" s="418">
        <v>0</v>
      </c>
      <c r="BY297" s="418">
        <v>0</v>
      </c>
      <c r="BZ297" s="418">
        <v>0</v>
      </c>
      <c r="CA297" s="418">
        <v>0</v>
      </c>
      <c r="CB297" s="418">
        <v>0</v>
      </c>
    </row>
    <row r="298" spans="1:80" s="418" customFormat="1" ht="28.8" x14ac:dyDescent="0.3">
      <c r="A298" s="1052">
        <v>639</v>
      </c>
      <c r="B298" s="1049"/>
      <c r="C298" s="1095">
        <v>639</v>
      </c>
      <c r="D298" s="1096" t="s">
        <v>719</v>
      </c>
      <c r="E298" s="1049"/>
      <c r="F298" s="1063">
        <v>0</v>
      </c>
      <c r="G298" s="1063">
        <v>0</v>
      </c>
      <c r="H298" s="1063">
        <v>0</v>
      </c>
      <c r="I298" s="1063">
        <v>0</v>
      </c>
      <c r="J298" s="1063">
        <v>0</v>
      </c>
      <c r="K298" s="1063">
        <v>0</v>
      </c>
      <c r="L298" s="1063">
        <v>0</v>
      </c>
      <c r="M298" s="1063">
        <v>0</v>
      </c>
      <c r="N298" s="1063">
        <v>0</v>
      </c>
      <c r="O298" s="1063">
        <v>0</v>
      </c>
      <c r="P298" s="1063">
        <v>0</v>
      </c>
      <c r="Q298" s="1063">
        <v>0</v>
      </c>
      <c r="R298" s="1063">
        <v>0</v>
      </c>
      <c r="S298" s="1063">
        <v>0</v>
      </c>
      <c r="T298" s="1063">
        <v>0</v>
      </c>
      <c r="U298" s="1063">
        <v>0</v>
      </c>
      <c r="V298" s="1063"/>
      <c r="W298" s="1049"/>
      <c r="X298" s="1049"/>
      <c r="Y298" s="1049"/>
      <c r="Z298" s="1049"/>
      <c r="AA298" s="1066"/>
      <c r="AT298" s="418">
        <v>0</v>
      </c>
      <c r="AU298" s="418">
        <v>0</v>
      </c>
      <c r="AV298" s="418">
        <v>911516</v>
      </c>
      <c r="AW298" s="418">
        <v>0</v>
      </c>
      <c r="AX298" s="418">
        <v>0</v>
      </c>
      <c r="AY298" s="418">
        <v>0</v>
      </c>
      <c r="AZ298" s="418">
        <v>0</v>
      </c>
      <c r="BA298" s="418">
        <v>549719</v>
      </c>
      <c r="BB298" s="418">
        <v>0</v>
      </c>
      <c r="BC298" s="418">
        <v>0</v>
      </c>
      <c r="BD298" s="418">
        <v>0</v>
      </c>
      <c r="BE298" s="418">
        <v>0</v>
      </c>
      <c r="BF298" s="418">
        <v>3350688</v>
      </c>
      <c r="BG298" s="418">
        <v>0</v>
      </c>
      <c r="BH298" s="418">
        <v>0</v>
      </c>
      <c r="BI298" s="418">
        <v>0</v>
      </c>
      <c r="BJ298" s="418">
        <v>0</v>
      </c>
      <c r="BK298" s="418">
        <v>0</v>
      </c>
      <c r="BL298" s="418">
        <v>192475</v>
      </c>
      <c r="BM298" s="418">
        <v>0</v>
      </c>
      <c r="BN298" s="418">
        <v>0</v>
      </c>
      <c r="BO298" s="418">
        <v>0</v>
      </c>
      <c r="BP298" s="418">
        <v>0</v>
      </c>
      <c r="BQ298" s="418">
        <v>0</v>
      </c>
      <c r="BR298" s="418">
        <v>0</v>
      </c>
      <c r="BS298" s="418">
        <v>0</v>
      </c>
      <c r="BT298" s="418">
        <v>0</v>
      </c>
      <c r="BU298" s="418">
        <v>0</v>
      </c>
      <c r="BV298" s="418">
        <v>0</v>
      </c>
      <c r="BW298" s="418">
        <v>0</v>
      </c>
      <c r="BX298" s="418">
        <v>0</v>
      </c>
      <c r="BY298" s="418">
        <v>0</v>
      </c>
      <c r="BZ298" s="418">
        <v>0</v>
      </c>
      <c r="CA298" s="418">
        <v>0</v>
      </c>
      <c r="CB298" s="418">
        <v>0</v>
      </c>
    </row>
    <row r="299" spans="1:80" s="418" customFormat="1" ht="28.8" x14ac:dyDescent="0.3">
      <c r="A299" s="1052">
        <v>640</v>
      </c>
      <c r="B299" s="1049"/>
      <c r="C299" s="1095">
        <v>640</v>
      </c>
      <c r="D299" s="1096" t="s">
        <v>720</v>
      </c>
      <c r="E299" s="1049"/>
      <c r="F299" s="1063">
        <v>0</v>
      </c>
      <c r="G299" s="1063">
        <v>0</v>
      </c>
      <c r="H299" s="1063">
        <v>0</v>
      </c>
      <c r="I299" s="1063">
        <v>0</v>
      </c>
      <c r="J299" s="1063">
        <v>0</v>
      </c>
      <c r="K299" s="1063">
        <v>0</v>
      </c>
      <c r="L299" s="1063">
        <v>0</v>
      </c>
      <c r="M299" s="1063">
        <v>0</v>
      </c>
      <c r="N299" s="1063">
        <v>0</v>
      </c>
      <c r="O299" s="1063">
        <v>0</v>
      </c>
      <c r="P299" s="1063">
        <v>0</v>
      </c>
      <c r="Q299" s="1063">
        <v>0</v>
      </c>
      <c r="R299" s="1063">
        <v>0</v>
      </c>
      <c r="S299" s="1063">
        <v>0</v>
      </c>
      <c r="T299" s="1063">
        <v>0</v>
      </c>
      <c r="U299" s="1063">
        <v>0</v>
      </c>
      <c r="V299" s="1063"/>
      <c r="W299" s="1049"/>
      <c r="X299" s="1049"/>
      <c r="Y299" s="1049"/>
      <c r="Z299" s="1049"/>
      <c r="AA299" s="1066"/>
      <c r="AT299" s="418">
        <v>0</v>
      </c>
      <c r="AU299" s="418">
        <v>0</v>
      </c>
      <c r="AV299" s="418">
        <v>0</v>
      </c>
      <c r="AW299" s="418">
        <v>0</v>
      </c>
      <c r="AX299" s="418">
        <v>0</v>
      </c>
      <c r="AY299" s="418">
        <v>0</v>
      </c>
      <c r="AZ299" s="418">
        <v>0</v>
      </c>
      <c r="BA299" s="418">
        <v>0</v>
      </c>
      <c r="BB299" s="418">
        <v>0</v>
      </c>
      <c r="BC299" s="418">
        <v>0</v>
      </c>
      <c r="BD299" s="418">
        <v>0</v>
      </c>
      <c r="BE299" s="418">
        <v>0</v>
      </c>
      <c r="BF299" s="418">
        <v>0</v>
      </c>
      <c r="BG299" s="418">
        <v>0</v>
      </c>
      <c r="BH299" s="418">
        <v>0</v>
      </c>
      <c r="BI299" s="418">
        <v>0</v>
      </c>
      <c r="BJ299" s="418">
        <v>0</v>
      </c>
      <c r="BK299" s="418">
        <v>0</v>
      </c>
      <c r="BL299" s="418">
        <v>0</v>
      </c>
      <c r="BM299" s="418">
        <v>0</v>
      </c>
      <c r="BN299" s="418">
        <v>0</v>
      </c>
      <c r="BO299" s="418">
        <v>0</v>
      </c>
      <c r="BP299" s="418">
        <v>0</v>
      </c>
      <c r="BQ299" s="418">
        <v>0</v>
      </c>
      <c r="BR299" s="418">
        <v>0</v>
      </c>
      <c r="BS299" s="418">
        <v>0</v>
      </c>
      <c r="BT299" s="418">
        <v>0</v>
      </c>
      <c r="BU299" s="418">
        <v>0</v>
      </c>
      <c r="BV299" s="418">
        <v>0</v>
      </c>
      <c r="BW299" s="418">
        <v>0</v>
      </c>
      <c r="BX299" s="418">
        <v>0</v>
      </c>
      <c r="BY299" s="418">
        <v>0</v>
      </c>
      <c r="BZ299" s="418">
        <v>0</v>
      </c>
      <c r="CA299" s="418">
        <v>0</v>
      </c>
      <c r="CB299" s="418">
        <v>0</v>
      </c>
    </row>
    <row r="300" spans="1:80" s="418" customFormat="1" ht="28.8" x14ac:dyDescent="0.3">
      <c r="A300" s="1052">
        <v>641</v>
      </c>
      <c r="B300" s="1049"/>
      <c r="C300" s="1095">
        <v>641</v>
      </c>
      <c r="D300" s="1096" t="s">
        <v>721</v>
      </c>
      <c r="E300" s="1049"/>
      <c r="F300" s="1063">
        <v>0</v>
      </c>
      <c r="G300" s="1063">
        <v>0</v>
      </c>
      <c r="H300" s="1063">
        <v>0</v>
      </c>
      <c r="I300" s="1063">
        <v>0</v>
      </c>
      <c r="J300" s="1063">
        <v>0</v>
      </c>
      <c r="K300" s="1063">
        <v>0</v>
      </c>
      <c r="L300" s="1063">
        <v>0</v>
      </c>
      <c r="M300" s="1063">
        <v>0</v>
      </c>
      <c r="N300" s="1063">
        <v>0</v>
      </c>
      <c r="O300" s="1063">
        <v>0</v>
      </c>
      <c r="P300" s="1063">
        <v>0</v>
      </c>
      <c r="Q300" s="1063">
        <v>0</v>
      </c>
      <c r="R300" s="1063">
        <v>0</v>
      </c>
      <c r="S300" s="1063">
        <v>0</v>
      </c>
      <c r="T300" s="1063">
        <v>0</v>
      </c>
      <c r="U300" s="1063">
        <v>0</v>
      </c>
      <c r="V300" s="1063"/>
      <c r="W300" s="1049"/>
      <c r="X300" s="1049"/>
      <c r="Y300" s="1049"/>
      <c r="Z300" s="1049"/>
      <c r="AA300" s="1066"/>
      <c r="AT300" s="418">
        <v>0</v>
      </c>
      <c r="AU300" s="418">
        <v>0</v>
      </c>
      <c r="AV300" s="418">
        <v>15034</v>
      </c>
      <c r="AW300" s="418">
        <v>0</v>
      </c>
      <c r="AX300" s="418">
        <v>0</v>
      </c>
      <c r="AY300" s="418">
        <v>0</v>
      </c>
      <c r="AZ300" s="418">
        <v>0</v>
      </c>
      <c r="BA300" s="418">
        <v>0</v>
      </c>
      <c r="BB300" s="418">
        <v>0</v>
      </c>
      <c r="BC300" s="418">
        <v>0</v>
      </c>
      <c r="BD300" s="418">
        <v>0</v>
      </c>
      <c r="BE300" s="418">
        <v>0</v>
      </c>
      <c r="BF300" s="418">
        <v>0</v>
      </c>
      <c r="BG300" s="418">
        <v>0</v>
      </c>
      <c r="BH300" s="418">
        <v>0</v>
      </c>
      <c r="BI300" s="418">
        <v>0</v>
      </c>
      <c r="BJ300" s="418">
        <v>0</v>
      </c>
      <c r="BK300" s="418">
        <v>0</v>
      </c>
      <c r="BL300" s="418">
        <v>5319</v>
      </c>
      <c r="BM300" s="418">
        <v>0</v>
      </c>
      <c r="BN300" s="418">
        <v>0</v>
      </c>
      <c r="BO300" s="418">
        <v>0</v>
      </c>
      <c r="BP300" s="418">
        <v>0</v>
      </c>
      <c r="BQ300" s="418">
        <v>0</v>
      </c>
      <c r="BR300" s="418">
        <v>0</v>
      </c>
      <c r="BS300" s="418">
        <v>0</v>
      </c>
      <c r="BT300" s="418">
        <v>0</v>
      </c>
      <c r="BU300" s="418">
        <v>0</v>
      </c>
      <c r="BV300" s="418">
        <v>0</v>
      </c>
      <c r="BW300" s="418">
        <v>0</v>
      </c>
      <c r="BX300" s="418">
        <v>0</v>
      </c>
      <c r="BY300" s="418">
        <v>0</v>
      </c>
      <c r="BZ300" s="418">
        <v>0</v>
      </c>
      <c r="CA300" s="418">
        <v>0</v>
      </c>
      <c r="CB300" s="418">
        <v>0</v>
      </c>
    </row>
    <row r="301" spans="1:80" s="418" customFormat="1" ht="28.8" x14ac:dyDescent="0.3">
      <c r="A301" s="1052">
        <v>642</v>
      </c>
      <c r="B301" s="1049"/>
      <c r="C301" s="1095">
        <v>642</v>
      </c>
      <c r="D301" s="1096" t="s">
        <v>722</v>
      </c>
      <c r="E301" s="1049"/>
      <c r="F301" s="1063">
        <v>0</v>
      </c>
      <c r="G301" s="1063">
        <v>0</v>
      </c>
      <c r="H301" s="1063">
        <v>0</v>
      </c>
      <c r="I301" s="1063">
        <v>0</v>
      </c>
      <c r="J301" s="1063">
        <v>0</v>
      </c>
      <c r="K301" s="1063">
        <v>0</v>
      </c>
      <c r="L301" s="1063">
        <v>0</v>
      </c>
      <c r="M301" s="1063">
        <v>0</v>
      </c>
      <c r="N301" s="1063">
        <v>0</v>
      </c>
      <c r="O301" s="1063">
        <v>0</v>
      </c>
      <c r="P301" s="1063">
        <v>0</v>
      </c>
      <c r="Q301" s="1063">
        <v>0</v>
      </c>
      <c r="R301" s="1063">
        <v>0</v>
      </c>
      <c r="S301" s="1063">
        <v>0</v>
      </c>
      <c r="T301" s="1063">
        <v>0</v>
      </c>
      <c r="U301" s="1063">
        <v>0</v>
      </c>
      <c r="V301" s="1063"/>
      <c r="W301" s="1049"/>
      <c r="X301" s="1049"/>
      <c r="Y301" s="1049"/>
      <c r="Z301" s="1049"/>
      <c r="AA301" s="1066"/>
      <c r="AT301" s="418">
        <v>0</v>
      </c>
      <c r="AU301" s="418">
        <v>0</v>
      </c>
      <c r="AV301" s="418">
        <v>0</v>
      </c>
      <c r="AW301" s="418">
        <v>0</v>
      </c>
      <c r="AX301" s="418">
        <v>0</v>
      </c>
      <c r="AY301" s="418">
        <v>0</v>
      </c>
      <c r="AZ301" s="418">
        <v>0</v>
      </c>
      <c r="BA301" s="418">
        <v>0</v>
      </c>
      <c r="BB301" s="418">
        <v>0</v>
      </c>
      <c r="BC301" s="418">
        <v>0</v>
      </c>
      <c r="BD301" s="418">
        <v>0</v>
      </c>
      <c r="BE301" s="418">
        <v>0</v>
      </c>
      <c r="BF301" s="418">
        <v>0</v>
      </c>
      <c r="BG301" s="418">
        <v>0</v>
      </c>
      <c r="BH301" s="418">
        <v>0</v>
      </c>
      <c r="BI301" s="418">
        <v>0</v>
      </c>
      <c r="BJ301" s="418">
        <v>0</v>
      </c>
      <c r="BK301" s="418">
        <v>0</v>
      </c>
      <c r="BL301" s="418">
        <v>0</v>
      </c>
      <c r="BM301" s="418">
        <v>0</v>
      </c>
      <c r="BN301" s="418">
        <v>0</v>
      </c>
      <c r="BO301" s="418">
        <v>0</v>
      </c>
      <c r="BP301" s="418">
        <v>0</v>
      </c>
      <c r="BQ301" s="418">
        <v>0</v>
      </c>
      <c r="BR301" s="418">
        <v>0</v>
      </c>
      <c r="BS301" s="418">
        <v>0</v>
      </c>
      <c r="BT301" s="418">
        <v>0</v>
      </c>
      <c r="BU301" s="418">
        <v>0</v>
      </c>
      <c r="BV301" s="418">
        <v>0</v>
      </c>
      <c r="BW301" s="418">
        <v>0</v>
      </c>
      <c r="BX301" s="418">
        <v>0</v>
      </c>
      <c r="BY301" s="418">
        <v>0</v>
      </c>
      <c r="BZ301" s="418">
        <v>0</v>
      </c>
      <c r="CA301" s="418">
        <v>0</v>
      </c>
      <c r="CB301" s="418">
        <v>0</v>
      </c>
    </row>
    <row r="302" spans="1:80" s="418" customFormat="1" ht="28.8" x14ac:dyDescent="0.3">
      <c r="A302" s="1052">
        <v>643</v>
      </c>
      <c r="B302" s="1049"/>
      <c r="C302" s="1095">
        <v>643</v>
      </c>
      <c r="D302" s="1096" t="s">
        <v>723</v>
      </c>
      <c r="E302" s="1049"/>
      <c r="F302" s="1063">
        <v>0</v>
      </c>
      <c r="G302" s="1063">
        <v>0</v>
      </c>
      <c r="H302" s="1063">
        <v>0</v>
      </c>
      <c r="I302" s="1063">
        <v>0</v>
      </c>
      <c r="J302" s="1063">
        <v>0</v>
      </c>
      <c r="K302" s="1063">
        <v>0</v>
      </c>
      <c r="L302" s="1063">
        <v>0</v>
      </c>
      <c r="M302" s="1063">
        <v>0</v>
      </c>
      <c r="N302" s="1063">
        <v>0</v>
      </c>
      <c r="O302" s="1063">
        <v>0</v>
      </c>
      <c r="P302" s="1063">
        <v>0</v>
      </c>
      <c r="Q302" s="1063">
        <v>0</v>
      </c>
      <c r="R302" s="1063">
        <v>0</v>
      </c>
      <c r="S302" s="1063">
        <v>0</v>
      </c>
      <c r="T302" s="1063">
        <v>0</v>
      </c>
      <c r="U302" s="1063">
        <v>0</v>
      </c>
      <c r="V302" s="1063"/>
      <c r="W302" s="1049"/>
      <c r="X302" s="1049"/>
      <c r="Y302" s="1049"/>
      <c r="Z302" s="1049"/>
      <c r="AA302" s="1066"/>
      <c r="AT302" s="418">
        <v>0</v>
      </c>
      <c r="AU302" s="418">
        <v>0</v>
      </c>
      <c r="AV302" s="418">
        <v>286424</v>
      </c>
      <c r="AW302" s="418">
        <v>0</v>
      </c>
      <c r="AX302" s="418">
        <v>0</v>
      </c>
      <c r="AY302" s="418">
        <v>0</v>
      </c>
      <c r="AZ302" s="418">
        <v>0</v>
      </c>
      <c r="BA302" s="418">
        <v>0</v>
      </c>
      <c r="BB302" s="418">
        <v>0</v>
      </c>
      <c r="BC302" s="418">
        <v>0</v>
      </c>
      <c r="BD302" s="418">
        <v>0</v>
      </c>
      <c r="BE302" s="418">
        <v>0</v>
      </c>
      <c r="BF302" s="418">
        <v>1300338</v>
      </c>
      <c r="BG302" s="418">
        <v>0</v>
      </c>
      <c r="BH302" s="418">
        <v>0</v>
      </c>
      <c r="BI302" s="418">
        <v>0</v>
      </c>
      <c r="BJ302" s="418">
        <v>0</v>
      </c>
      <c r="BK302" s="418">
        <v>0</v>
      </c>
      <c r="BL302" s="418">
        <v>126513</v>
      </c>
      <c r="BM302" s="418">
        <v>0</v>
      </c>
      <c r="BN302" s="418">
        <v>0</v>
      </c>
      <c r="BO302" s="418">
        <v>0</v>
      </c>
      <c r="BP302" s="418">
        <v>0</v>
      </c>
      <c r="BQ302" s="418">
        <v>0</v>
      </c>
      <c r="BR302" s="418">
        <v>0</v>
      </c>
      <c r="BS302" s="418">
        <v>0</v>
      </c>
      <c r="BT302" s="418">
        <v>0</v>
      </c>
      <c r="BU302" s="418">
        <v>0</v>
      </c>
      <c r="BV302" s="418">
        <v>0</v>
      </c>
      <c r="BW302" s="418">
        <v>0</v>
      </c>
      <c r="BX302" s="418">
        <v>0</v>
      </c>
      <c r="BY302" s="418">
        <v>0</v>
      </c>
      <c r="BZ302" s="418">
        <v>0</v>
      </c>
      <c r="CA302" s="418">
        <v>0</v>
      </c>
      <c r="CB302" s="418">
        <v>0</v>
      </c>
    </row>
    <row r="303" spans="1:80" s="418" customFormat="1" x14ac:dyDescent="0.3">
      <c r="A303" s="1052">
        <v>644</v>
      </c>
      <c r="B303" s="1049"/>
      <c r="C303" s="1095">
        <v>644</v>
      </c>
      <c r="D303" s="1096" t="s">
        <v>724</v>
      </c>
      <c r="E303" s="1049"/>
      <c r="F303" s="1063">
        <v>0</v>
      </c>
      <c r="G303" s="1063">
        <v>0</v>
      </c>
      <c r="H303" s="1063">
        <v>0</v>
      </c>
      <c r="I303" s="1063">
        <v>0</v>
      </c>
      <c r="J303" s="1063">
        <v>0</v>
      </c>
      <c r="K303" s="1063">
        <v>0</v>
      </c>
      <c r="L303" s="1063">
        <v>0</v>
      </c>
      <c r="M303" s="1063">
        <v>0</v>
      </c>
      <c r="N303" s="1063">
        <v>0</v>
      </c>
      <c r="O303" s="1063">
        <v>0</v>
      </c>
      <c r="P303" s="1063">
        <v>0</v>
      </c>
      <c r="Q303" s="1063">
        <v>0</v>
      </c>
      <c r="R303" s="1063">
        <v>0</v>
      </c>
      <c r="S303" s="1063">
        <v>0</v>
      </c>
      <c r="T303" s="1063">
        <v>0</v>
      </c>
      <c r="U303" s="1063">
        <v>0</v>
      </c>
      <c r="V303" s="1063"/>
      <c r="W303" s="1049"/>
      <c r="X303" s="1049"/>
      <c r="Y303" s="1049"/>
      <c r="Z303" s="1049"/>
      <c r="AA303" s="1066"/>
      <c r="AT303" s="418">
        <v>0</v>
      </c>
      <c r="AU303" s="418">
        <v>0</v>
      </c>
      <c r="AV303" s="418">
        <v>0</v>
      </c>
      <c r="AW303" s="418">
        <v>0</v>
      </c>
      <c r="AX303" s="418">
        <v>0</v>
      </c>
      <c r="AY303" s="418">
        <v>0</v>
      </c>
      <c r="AZ303" s="418">
        <v>0</v>
      </c>
      <c r="BA303" s="418">
        <v>0</v>
      </c>
      <c r="BB303" s="418">
        <v>0</v>
      </c>
      <c r="BC303" s="418">
        <v>0</v>
      </c>
      <c r="BD303" s="418">
        <v>0</v>
      </c>
      <c r="BE303" s="418">
        <v>0</v>
      </c>
      <c r="BF303" s="418">
        <v>0</v>
      </c>
      <c r="BG303" s="418">
        <v>0</v>
      </c>
      <c r="BH303" s="418">
        <v>0</v>
      </c>
      <c r="BI303" s="418">
        <v>0</v>
      </c>
      <c r="BJ303" s="418">
        <v>0</v>
      </c>
      <c r="BK303" s="418">
        <v>0</v>
      </c>
      <c r="BL303" s="418">
        <v>0</v>
      </c>
      <c r="BM303" s="418">
        <v>0</v>
      </c>
      <c r="BN303" s="418">
        <v>0</v>
      </c>
      <c r="BO303" s="418">
        <v>0</v>
      </c>
      <c r="BP303" s="418">
        <v>0</v>
      </c>
      <c r="BQ303" s="418">
        <v>0</v>
      </c>
      <c r="BR303" s="418">
        <v>0</v>
      </c>
      <c r="BS303" s="418">
        <v>0</v>
      </c>
      <c r="BT303" s="418">
        <v>0</v>
      </c>
      <c r="BU303" s="418">
        <v>0</v>
      </c>
      <c r="BV303" s="418">
        <v>0</v>
      </c>
      <c r="BW303" s="418">
        <v>0</v>
      </c>
      <c r="BX303" s="418">
        <v>0</v>
      </c>
      <c r="BY303" s="418">
        <v>0</v>
      </c>
      <c r="BZ303" s="418">
        <v>0</v>
      </c>
      <c r="CA303" s="418">
        <v>0</v>
      </c>
      <c r="CB303" s="418">
        <v>0</v>
      </c>
    </row>
    <row r="304" spans="1:80" s="418" customFormat="1" x14ac:dyDescent="0.3">
      <c r="A304" s="1052">
        <v>645</v>
      </c>
      <c r="B304" s="1049"/>
      <c r="C304" s="1095">
        <v>645</v>
      </c>
      <c r="D304" s="1096" t="s">
        <v>725</v>
      </c>
      <c r="E304" s="1049"/>
      <c r="F304" s="1063">
        <v>0</v>
      </c>
      <c r="G304" s="1063">
        <v>0</v>
      </c>
      <c r="H304" s="1063">
        <v>0</v>
      </c>
      <c r="I304" s="1063">
        <v>0</v>
      </c>
      <c r="J304" s="1063">
        <v>0</v>
      </c>
      <c r="K304" s="1063">
        <v>0</v>
      </c>
      <c r="L304" s="1063">
        <v>0</v>
      </c>
      <c r="M304" s="1063">
        <v>0</v>
      </c>
      <c r="N304" s="1063">
        <v>0</v>
      </c>
      <c r="O304" s="1063">
        <v>0</v>
      </c>
      <c r="P304" s="1063">
        <v>0</v>
      </c>
      <c r="Q304" s="1063">
        <v>0</v>
      </c>
      <c r="R304" s="1063">
        <v>0</v>
      </c>
      <c r="S304" s="1063">
        <v>0</v>
      </c>
      <c r="T304" s="1063">
        <v>0</v>
      </c>
      <c r="U304" s="1063">
        <v>0</v>
      </c>
      <c r="V304" s="1063"/>
      <c r="W304" s="1049"/>
      <c r="X304" s="1049"/>
      <c r="Y304" s="1049"/>
      <c r="Z304" s="1049"/>
      <c r="AA304" s="1066"/>
      <c r="AT304" s="418">
        <v>0</v>
      </c>
      <c r="AU304" s="418">
        <v>0</v>
      </c>
      <c r="AV304" s="418">
        <v>405000</v>
      </c>
      <c r="AW304" s="418">
        <v>0</v>
      </c>
      <c r="AX304" s="418">
        <v>0</v>
      </c>
      <c r="AY304" s="418">
        <v>281454</v>
      </c>
      <c r="AZ304" s="418">
        <v>0</v>
      </c>
      <c r="BA304" s="418">
        <v>341545</v>
      </c>
      <c r="BB304" s="418">
        <v>0</v>
      </c>
      <c r="BC304" s="418">
        <v>0</v>
      </c>
      <c r="BD304" s="418">
        <v>0</v>
      </c>
      <c r="BE304" s="418">
        <v>41335</v>
      </c>
      <c r="BF304" s="418">
        <v>2046175</v>
      </c>
      <c r="BG304" s="418">
        <v>0</v>
      </c>
      <c r="BH304" s="418">
        <v>0</v>
      </c>
      <c r="BI304" s="418">
        <v>38000</v>
      </c>
      <c r="BJ304" s="418">
        <v>72552</v>
      </c>
      <c r="BK304" s="418">
        <v>0</v>
      </c>
      <c r="BL304" s="418">
        <v>0</v>
      </c>
      <c r="BM304" s="418">
        <v>0</v>
      </c>
      <c r="BN304" s="418">
        <v>0</v>
      </c>
      <c r="BO304" s="418">
        <v>12534</v>
      </c>
      <c r="BP304" s="418">
        <v>125000</v>
      </c>
      <c r="BQ304" s="418">
        <v>510362</v>
      </c>
      <c r="BR304" s="418">
        <v>297313</v>
      </c>
      <c r="BS304" s="418">
        <v>796914</v>
      </c>
      <c r="BT304" s="418">
        <v>1159334</v>
      </c>
      <c r="BU304" s="418">
        <v>424000</v>
      </c>
      <c r="BV304" s="418">
        <v>0</v>
      </c>
      <c r="BW304" s="418">
        <v>0</v>
      </c>
      <c r="BX304" s="418">
        <v>0</v>
      </c>
      <c r="BY304" s="418">
        <v>0</v>
      </c>
      <c r="BZ304" s="418">
        <v>20000</v>
      </c>
      <c r="CA304" s="418">
        <v>1823718</v>
      </c>
      <c r="CB304" s="418">
        <v>0</v>
      </c>
    </row>
    <row r="305" spans="1:80" s="418" customFormat="1" x14ac:dyDescent="0.3">
      <c r="A305" s="1052">
        <v>646</v>
      </c>
      <c r="B305" s="1049"/>
      <c r="C305" s="1095">
        <v>646</v>
      </c>
      <c r="D305" s="1096" t="s">
        <v>726</v>
      </c>
      <c r="E305" s="1049"/>
      <c r="F305" s="1063">
        <v>0</v>
      </c>
      <c r="G305" s="1063">
        <v>0</v>
      </c>
      <c r="H305" s="1063">
        <v>0</v>
      </c>
      <c r="I305" s="1063">
        <v>0</v>
      </c>
      <c r="J305" s="1063">
        <v>0</v>
      </c>
      <c r="K305" s="1063">
        <v>0</v>
      </c>
      <c r="L305" s="1063">
        <v>0</v>
      </c>
      <c r="M305" s="1063">
        <v>0</v>
      </c>
      <c r="N305" s="1063">
        <v>0</v>
      </c>
      <c r="O305" s="1063">
        <v>0</v>
      </c>
      <c r="P305" s="1063">
        <v>0</v>
      </c>
      <c r="Q305" s="1063">
        <v>0</v>
      </c>
      <c r="R305" s="1063">
        <v>0</v>
      </c>
      <c r="S305" s="1063">
        <v>0</v>
      </c>
      <c r="T305" s="1063">
        <v>0</v>
      </c>
      <c r="U305" s="1063">
        <v>0</v>
      </c>
      <c r="V305" s="1063"/>
      <c r="W305" s="1049"/>
      <c r="X305" s="1049"/>
      <c r="Y305" s="1049"/>
      <c r="Z305" s="1049"/>
      <c r="AA305" s="1066"/>
      <c r="AT305" s="418">
        <v>412481</v>
      </c>
      <c r="AU305" s="418">
        <v>2163570</v>
      </c>
      <c r="AV305" s="418">
        <v>4296297</v>
      </c>
      <c r="AW305" s="418">
        <v>146537</v>
      </c>
      <c r="AX305" s="418">
        <v>320663</v>
      </c>
      <c r="AY305" s="418">
        <v>2801595</v>
      </c>
      <c r="AZ305" s="418">
        <v>2118946</v>
      </c>
      <c r="BA305" s="418">
        <v>692567</v>
      </c>
      <c r="BB305" s="418">
        <v>70512</v>
      </c>
      <c r="BC305" s="418">
        <v>1275706</v>
      </c>
      <c r="BD305" s="418">
        <v>0</v>
      </c>
      <c r="BE305" s="418">
        <v>339209</v>
      </c>
      <c r="BF305" s="418">
        <v>534450</v>
      </c>
      <c r="BG305" s="418">
        <v>0</v>
      </c>
      <c r="BH305" s="418">
        <v>0</v>
      </c>
      <c r="BI305" s="418">
        <v>2658780</v>
      </c>
      <c r="BJ305" s="418">
        <v>3020048</v>
      </c>
      <c r="BK305" s="418">
        <v>0</v>
      </c>
      <c r="BL305" s="418">
        <v>2220366</v>
      </c>
      <c r="BM305" s="418">
        <v>4615680</v>
      </c>
      <c r="BN305" s="418">
        <v>0</v>
      </c>
      <c r="BO305" s="418">
        <v>3063843</v>
      </c>
      <c r="BP305" s="418">
        <v>3228718</v>
      </c>
      <c r="BQ305" s="418">
        <v>949757</v>
      </c>
      <c r="BR305" s="418">
        <v>2228673</v>
      </c>
      <c r="BS305" s="418">
        <v>1095473</v>
      </c>
      <c r="BT305" s="418">
        <v>7320281</v>
      </c>
      <c r="BU305" s="418">
        <v>1683484</v>
      </c>
      <c r="BV305" s="418">
        <v>1472029</v>
      </c>
      <c r="BW305" s="418">
        <v>400799</v>
      </c>
      <c r="BX305" s="418">
        <v>761324</v>
      </c>
      <c r="BY305" s="418">
        <v>165153</v>
      </c>
      <c r="BZ305" s="418">
        <v>172770</v>
      </c>
      <c r="CA305" s="418">
        <v>10427779</v>
      </c>
      <c r="CB305" s="418">
        <v>94313</v>
      </c>
    </row>
    <row r="306" spans="1:80" s="418" customFormat="1" x14ac:dyDescent="0.3">
      <c r="A306" s="1052">
        <v>647</v>
      </c>
      <c r="B306" s="1049"/>
      <c r="C306" s="1095">
        <v>647</v>
      </c>
      <c r="D306" s="1096" t="s">
        <v>727</v>
      </c>
      <c r="E306" s="1049"/>
      <c r="F306" s="1063">
        <v>0</v>
      </c>
      <c r="G306" s="1063">
        <v>0</v>
      </c>
      <c r="H306" s="1063">
        <v>0</v>
      </c>
      <c r="I306" s="1063">
        <v>0</v>
      </c>
      <c r="J306" s="1063">
        <v>0</v>
      </c>
      <c r="K306" s="1063">
        <v>0</v>
      </c>
      <c r="L306" s="1063">
        <v>0</v>
      </c>
      <c r="M306" s="1063">
        <v>0</v>
      </c>
      <c r="N306" s="1063">
        <v>0</v>
      </c>
      <c r="O306" s="1063">
        <v>0</v>
      </c>
      <c r="P306" s="1063">
        <v>0</v>
      </c>
      <c r="Q306" s="1063">
        <v>0</v>
      </c>
      <c r="R306" s="1063">
        <v>0</v>
      </c>
      <c r="S306" s="1063">
        <v>0</v>
      </c>
      <c r="T306" s="1063">
        <v>0</v>
      </c>
      <c r="U306" s="1063">
        <v>0</v>
      </c>
      <c r="V306" s="1063"/>
      <c r="W306" s="1049"/>
      <c r="X306" s="1049"/>
      <c r="Y306" s="1049"/>
      <c r="Z306" s="1049"/>
      <c r="AA306" s="1066"/>
      <c r="AT306" s="418">
        <v>0</v>
      </c>
      <c r="AU306" s="418">
        <v>0</v>
      </c>
      <c r="AV306" s="418">
        <v>0</v>
      </c>
      <c r="AW306" s="418">
        <v>0</v>
      </c>
      <c r="AX306" s="418">
        <v>0</v>
      </c>
      <c r="AY306" s="418">
        <v>0</v>
      </c>
      <c r="AZ306" s="418">
        <v>0</v>
      </c>
      <c r="BA306" s="418">
        <v>0</v>
      </c>
      <c r="BB306" s="418">
        <v>0</v>
      </c>
      <c r="BC306" s="418">
        <v>0</v>
      </c>
      <c r="BD306" s="418">
        <v>0</v>
      </c>
      <c r="BE306" s="418">
        <v>0</v>
      </c>
      <c r="BF306" s="418">
        <v>0</v>
      </c>
      <c r="BG306" s="418">
        <v>0</v>
      </c>
      <c r="BH306" s="418">
        <v>0</v>
      </c>
      <c r="BI306" s="418">
        <v>0</v>
      </c>
      <c r="BJ306" s="418">
        <v>0</v>
      </c>
      <c r="BK306" s="418">
        <v>0</v>
      </c>
      <c r="BL306" s="418">
        <v>0</v>
      </c>
      <c r="BM306" s="418">
        <v>0</v>
      </c>
      <c r="BN306" s="418">
        <v>0</v>
      </c>
      <c r="BO306" s="418">
        <v>0</v>
      </c>
      <c r="BP306" s="418">
        <v>0</v>
      </c>
      <c r="BQ306" s="418">
        <v>0</v>
      </c>
      <c r="BR306" s="418">
        <v>0</v>
      </c>
      <c r="BS306" s="418">
        <v>0</v>
      </c>
      <c r="BT306" s="418">
        <v>0</v>
      </c>
      <c r="BU306" s="418">
        <v>0</v>
      </c>
      <c r="BV306" s="418">
        <v>0</v>
      </c>
      <c r="BW306" s="418">
        <v>0</v>
      </c>
      <c r="BX306" s="418">
        <v>0</v>
      </c>
      <c r="BY306" s="418">
        <v>0</v>
      </c>
      <c r="BZ306" s="418">
        <v>0</v>
      </c>
      <c r="CA306" s="418">
        <v>0</v>
      </c>
      <c r="CB306" s="418">
        <v>0</v>
      </c>
    </row>
    <row r="307" spans="1:80" s="418" customFormat="1" ht="28.8" x14ac:dyDescent="0.3">
      <c r="A307" s="1052">
        <v>654</v>
      </c>
      <c r="B307" s="1049"/>
      <c r="C307" s="1095">
        <v>654</v>
      </c>
      <c r="D307" s="1096" t="s">
        <v>781</v>
      </c>
      <c r="E307" s="1049"/>
      <c r="F307" s="1063">
        <v>0</v>
      </c>
      <c r="G307" s="1063">
        <v>0</v>
      </c>
      <c r="H307" s="1063">
        <v>0</v>
      </c>
      <c r="I307" s="1063">
        <v>0</v>
      </c>
      <c r="J307" s="1063">
        <v>0</v>
      </c>
      <c r="K307" s="1063">
        <v>0</v>
      </c>
      <c r="L307" s="1063">
        <v>0</v>
      </c>
      <c r="M307" s="1063">
        <v>0</v>
      </c>
      <c r="N307" s="1063">
        <v>0</v>
      </c>
      <c r="O307" s="1063">
        <v>0</v>
      </c>
      <c r="P307" s="1063">
        <v>0</v>
      </c>
      <c r="Q307" s="1063">
        <v>0</v>
      </c>
      <c r="R307" s="1063">
        <v>0</v>
      </c>
      <c r="S307" s="1063">
        <v>0</v>
      </c>
      <c r="T307" s="1063">
        <v>0</v>
      </c>
      <c r="U307" s="1063">
        <v>0</v>
      </c>
      <c r="V307" s="1063"/>
      <c r="W307" s="1049"/>
      <c r="X307" s="1049"/>
      <c r="Y307" s="1049"/>
      <c r="Z307" s="1049"/>
      <c r="AA307" s="1066"/>
      <c r="AT307" s="418">
        <v>303999</v>
      </c>
      <c r="AU307" s="418">
        <v>1827770</v>
      </c>
      <c r="AV307" s="418">
        <v>8677637</v>
      </c>
      <c r="AW307" s="418">
        <v>1229395</v>
      </c>
      <c r="AX307" s="418">
        <v>761286</v>
      </c>
      <c r="AY307" s="418">
        <v>1382816</v>
      </c>
      <c r="AZ307" s="418">
        <v>1166057</v>
      </c>
      <c r="BA307" s="418">
        <v>2032086</v>
      </c>
      <c r="BB307" s="418">
        <v>1587</v>
      </c>
      <c r="BC307" s="418">
        <v>827367</v>
      </c>
      <c r="BD307" s="418">
        <v>0</v>
      </c>
      <c r="BE307" s="418">
        <v>0</v>
      </c>
      <c r="BF307" s="418">
        <v>6031181</v>
      </c>
      <c r="BG307" s="418">
        <v>0</v>
      </c>
      <c r="BH307" s="418">
        <v>0</v>
      </c>
      <c r="BI307" s="418">
        <v>939408</v>
      </c>
      <c r="BJ307" s="418">
        <v>2086026</v>
      </c>
      <c r="BK307" s="418">
        <v>0</v>
      </c>
      <c r="BL307" s="418">
        <v>5097090</v>
      </c>
      <c r="BM307" s="418">
        <v>3221981</v>
      </c>
      <c r="BN307" s="418">
        <v>0</v>
      </c>
      <c r="BO307" s="418">
        <v>2575415</v>
      </c>
      <c r="BP307" s="418">
        <v>4090262</v>
      </c>
      <c r="BQ307" s="418">
        <v>1114058</v>
      </c>
      <c r="BR307" s="418">
        <v>1954421</v>
      </c>
      <c r="BS307" s="418">
        <v>0</v>
      </c>
      <c r="BT307" s="418">
        <v>0</v>
      </c>
      <c r="BU307" s="418">
        <v>1286428</v>
      </c>
      <c r="BV307" s="418">
        <v>2231693</v>
      </c>
      <c r="BW307" s="418">
        <v>326523</v>
      </c>
      <c r="BX307" s="418">
        <v>1509425</v>
      </c>
      <c r="BY307" s="418">
        <v>0</v>
      </c>
      <c r="BZ307" s="418">
        <v>0</v>
      </c>
      <c r="CA307" s="418">
        <v>9996425</v>
      </c>
      <c r="CB307" s="418">
        <v>0</v>
      </c>
    </row>
    <row r="308" spans="1:80" s="418" customFormat="1" ht="28.8" x14ac:dyDescent="0.3">
      <c r="A308" s="1052">
        <v>655</v>
      </c>
      <c r="B308" s="1049"/>
      <c r="C308" s="1095">
        <v>655</v>
      </c>
      <c r="D308" s="1096" t="s">
        <v>854</v>
      </c>
      <c r="E308" s="1049"/>
      <c r="F308" s="1063">
        <v>0</v>
      </c>
      <c r="G308" s="1063">
        <v>0</v>
      </c>
      <c r="H308" s="1063">
        <v>0</v>
      </c>
      <c r="I308" s="1063">
        <v>0</v>
      </c>
      <c r="J308" s="1063">
        <v>0</v>
      </c>
      <c r="K308" s="1063">
        <v>0</v>
      </c>
      <c r="L308" s="1063">
        <v>0</v>
      </c>
      <c r="M308" s="1063">
        <v>0</v>
      </c>
      <c r="N308" s="1063">
        <v>0</v>
      </c>
      <c r="O308" s="1063">
        <v>0</v>
      </c>
      <c r="P308" s="1063">
        <v>0</v>
      </c>
      <c r="Q308" s="1063">
        <v>0</v>
      </c>
      <c r="R308" s="1063">
        <v>0</v>
      </c>
      <c r="S308" s="1063">
        <v>0</v>
      </c>
      <c r="T308" s="1063">
        <v>0</v>
      </c>
      <c r="U308" s="1063">
        <v>0</v>
      </c>
      <c r="V308" s="1063"/>
      <c r="W308" s="1049"/>
      <c r="X308" s="1049"/>
      <c r="Y308" s="1049"/>
      <c r="Z308" s="1049"/>
      <c r="AA308" s="1066"/>
      <c r="AT308" s="418">
        <v>24561</v>
      </c>
      <c r="AU308" s="418">
        <v>139220</v>
      </c>
      <c r="AV308" s="418">
        <v>0</v>
      </c>
      <c r="AW308" s="418">
        <v>49900</v>
      </c>
      <c r="AX308" s="418">
        <v>24897</v>
      </c>
      <c r="AY308" s="418">
        <v>98840</v>
      </c>
      <c r="AZ308" s="418">
        <v>73103</v>
      </c>
      <c r="BA308" s="418">
        <v>45295</v>
      </c>
      <c r="BB308" s="418">
        <v>0</v>
      </c>
      <c r="BC308" s="418">
        <v>89518</v>
      </c>
      <c r="BD308" s="418">
        <v>0</v>
      </c>
      <c r="BE308" s="418">
        <v>0</v>
      </c>
      <c r="BF308" s="418">
        <v>40370</v>
      </c>
      <c r="BG308" s="418">
        <v>0</v>
      </c>
      <c r="BH308" s="418">
        <v>0</v>
      </c>
      <c r="BI308" s="418">
        <v>41630</v>
      </c>
      <c r="BJ308" s="418">
        <v>0</v>
      </c>
      <c r="BK308" s="418">
        <v>0</v>
      </c>
      <c r="BL308" s="418">
        <v>38980</v>
      </c>
      <c r="BM308" s="418">
        <v>183172</v>
      </c>
      <c r="BN308" s="418">
        <v>0</v>
      </c>
      <c r="BO308" s="418">
        <v>248740</v>
      </c>
      <c r="BP308" s="418">
        <v>320529</v>
      </c>
      <c r="BQ308" s="418">
        <v>39450</v>
      </c>
      <c r="BR308" s="418">
        <v>64381</v>
      </c>
      <c r="BS308" s="418">
        <v>0</v>
      </c>
      <c r="BT308" s="418">
        <v>0</v>
      </c>
      <c r="BU308" s="418">
        <v>0</v>
      </c>
      <c r="BV308" s="418">
        <v>0</v>
      </c>
      <c r="BW308" s="418">
        <v>42761</v>
      </c>
      <c r="BX308" s="418">
        <v>26655</v>
      </c>
      <c r="BY308" s="418">
        <v>0</v>
      </c>
      <c r="BZ308" s="418">
        <v>0</v>
      </c>
      <c r="CA308" s="418">
        <v>1573791</v>
      </c>
      <c r="CB308" s="418">
        <v>0</v>
      </c>
    </row>
    <row r="309" spans="1:80" s="418" customFormat="1" ht="43.2" x14ac:dyDescent="0.3">
      <c r="A309" s="1052">
        <v>656</v>
      </c>
      <c r="B309" s="1049"/>
      <c r="C309" s="1095">
        <v>656</v>
      </c>
      <c r="D309" s="1096" t="s">
        <v>789</v>
      </c>
      <c r="E309" s="1049"/>
      <c r="F309" s="1063">
        <v>0</v>
      </c>
      <c r="G309" s="1063">
        <v>0</v>
      </c>
      <c r="H309" s="1063">
        <v>0</v>
      </c>
      <c r="I309" s="1063">
        <v>0</v>
      </c>
      <c r="J309" s="1063">
        <v>0</v>
      </c>
      <c r="K309" s="1063">
        <v>0</v>
      </c>
      <c r="L309" s="1063">
        <v>0</v>
      </c>
      <c r="M309" s="1063">
        <v>0</v>
      </c>
      <c r="N309" s="1063">
        <v>0</v>
      </c>
      <c r="O309" s="1063">
        <v>0</v>
      </c>
      <c r="P309" s="1063">
        <v>0</v>
      </c>
      <c r="Q309" s="1063">
        <v>0</v>
      </c>
      <c r="R309" s="1063">
        <v>0</v>
      </c>
      <c r="S309" s="1063">
        <v>0</v>
      </c>
      <c r="T309" s="1063">
        <v>0</v>
      </c>
      <c r="U309" s="1063">
        <v>0</v>
      </c>
      <c r="V309" s="1063"/>
      <c r="W309" s="1049"/>
      <c r="X309" s="1049"/>
      <c r="Y309" s="1049"/>
      <c r="Z309" s="1049"/>
      <c r="AA309" s="1066"/>
      <c r="AT309" s="418">
        <v>2</v>
      </c>
      <c r="AU309" s="418">
        <v>2</v>
      </c>
      <c r="AV309" s="418">
        <v>2</v>
      </c>
      <c r="AW309" s="418">
        <v>2</v>
      </c>
      <c r="AX309" s="418">
        <v>2</v>
      </c>
      <c r="AY309" s="418">
        <v>2</v>
      </c>
      <c r="AZ309" s="418">
        <v>0</v>
      </c>
      <c r="BA309" s="418">
        <v>0</v>
      </c>
      <c r="BB309" s="418">
        <v>0</v>
      </c>
      <c r="BC309" s="418">
        <v>0</v>
      </c>
      <c r="BD309" s="418">
        <v>0</v>
      </c>
      <c r="BE309" s="418">
        <v>2</v>
      </c>
      <c r="BF309" s="418">
        <v>0</v>
      </c>
      <c r="BG309" s="418">
        <v>0</v>
      </c>
      <c r="BH309" s="418">
        <v>0</v>
      </c>
      <c r="BI309" s="418">
        <v>0</v>
      </c>
      <c r="BJ309" s="418">
        <v>0</v>
      </c>
      <c r="BK309" s="418">
        <v>0</v>
      </c>
      <c r="BL309" s="418">
        <v>2</v>
      </c>
      <c r="BM309" s="418">
        <v>2</v>
      </c>
      <c r="BN309" s="418">
        <v>2</v>
      </c>
      <c r="BO309" s="418">
        <v>2</v>
      </c>
      <c r="BP309" s="418">
        <v>2</v>
      </c>
      <c r="BQ309" s="418">
        <v>2</v>
      </c>
      <c r="BR309" s="418">
        <v>2</v>
      </c>
      <c r="BS309" s="418">
        <v>2</v>
      </c>
      <c r="BT309" s="418">
        <v>2</v>
      </c>
      <c r="BU309" s="418">
        <v>0</v>
      </c>
      <c r="BV309" s="418">
        <v>2</v>
      </c>
      <c r="BW309" s="418">
        <v>2</v>
      </c>
      <c r="BX309" s="418">
        <v>2</v>
      </c>
      <c r="BY309" s="418">
        <v>2</v>
      </c>
      <c r="BZ309" s="418">
        <v>0</v>
      </c>
      <c r="CA309" s="418">
        <v>2</v>
      </c>
      <c r="CB309" s="418">
        <v>2</v>
      </c>
    </row>
    <row r="310" spans="1:80" s="418" customFormat="1" ht="43.2" x14ac:dyDescent="0.3">
      <c r="A310" s="1052">
        <v>657</v>
      </c>
      <c r="B310" s="1049"/>
      <c r="C310" s="1095">
        <v>657</v>
      </c>
      <c r="D310" s="1096" t="s">
        <v>786</v>
      </c>
      <c r="E310" s="1049"/>
      <c r="F310" s="1063">
        <v>0</v>
      </c>
      <c r="G310" s="1063">
        <v>0</v>
      </c>
      <c r="H310" s="1063">
        <v>0</v>
      </c>
      <c r="I310" s="1063">
        <v>0</v>
      </c>
      <c r="J310" s="1063">
        <v>0</v>
      </c>
      <c r="K310" s="1063">
        <v>0</v>
      </c>
      <c r="L310" s="1063">
        <v>0</v>
      </c>
      <c r="M310" s="1063">
        <v>0</v>
      </c>
      <c r="N310" s="1063">
        <v>0</v>
      </c>
      <c r="O310" s="1063">
        <v>0</v>
      </c>
      <c r="P310" s="1063">
        <v>0</v>
      </c>
      <c r="Q310" s="1063">
        <v>0</v>
      </c>
      <c r="R310" s="1063">
        <v>0</v>
      </c>
      <c r="S310" s="1063">
        <v>0</v>
      </c>
      <c r="T310" s="1063">
        <v>0</v>
      </c>
      <c r="U310" s="1063">
        <v>0</v>
      </c>
      <c r="V310" s="1063"/>
      <c r="W310" s="1049"/>
      <c r="X310" s="1049"/>
      <c r="Y310" s="1049"/>
      <c r="Z310" s="1049"/>
      <c r="AA310" s="1066"/>
      <c r="AT310" s="418">
        <v>0</v>
      </c>
      <c r="AU310" s="418">
        <v>0</v>
      </c>
      <c r="AV310" s="418">
        <v>3573338</v>
      </c>
      <c r="AW310" s="418">
        <v>0</v>
      </c>
      <c r="AX310" s="418">
        <v>0</v>
      </c>
      <c r="AY310" s="418">
        <v>0</v>
      </c>
      <c r="AZ310" s="418">
        <v>0</v>
      </c>
      <c r="BA310" s="418">
        <v>2623720</v>
      </c>
      <c r="BB310" s="418">
        <v>0</v>
      </c>
      <c r="BC310" s="418">
        <v>0</v>
      </c>
      <c r="BD310" s="418">
        <v>0</v>
      </c>
      <c r="BE310" s="418">
        <v>0</v>
      </c>
      <c r="BF310" s="418">
        <v>14755146</v>
      </c>
      <c r="BG310" s="418">
        <v>0</v>
      </c>
      <c r="BH310" s="418">
        <v>0</v>
      </c>
      <c r="BI310" s="418">
        <v>0</v>
      </c>
      <c r="BJ310" s="418">
        <v>0</v>
      </c>
      <c r="BK310" s="418">
        <v>0</v>
      </c>
      <c r="BL310" s="418">
        <v>3572360</v>
      </c>
      <c r="BM310" s="418">
        <v>0</v>
      </c>
      <c r="BN310" s="418">
        <v>0</v>
      </c>
      <c r="BO310" s="418">
        <v>0</v>
      </c>
      <c r="BP310" s="418">
        <v>0</v>
      </c>
      <c r="BQ310" s="418">
        <v>0</v>
      </c>
      <c r="BR310" s="418">
        <v>0</v>
      </c>
      <c r="BS310" s="418">
        <v>0</v>
      </c>
      <c r="BT310" s="418">
        <v>0</v>
      </c>
      <c r="BU310" s="418">
        <v>0</v>
      </c>
      <c r="BV310" s="418">
        <v>0</v>
      </c>
      <c r="BW310" s="418">
        <v>0</v>
      </c>
      <c r="BX310" s="418">
        <v>0</v>
      </c>
      <c r="BY310" s="418">
        <v>0</v>
      </c>
      <c r="BZ310" s="418">
        <v>0</v>
      </c>
      <c r="CA310" s="418">
        <v>0</v>
      </c>
      <c r="CB310" s="418">
        <v>0</v>
      </c>
    </row>
    <row r="311" spans="1:80" s="418" customFormat="1" ht="43.2" x14ac:dyDescent="0.3">
      <c r="A311" s="1052">
        <v>658</v>
      </c>
      <c r="B311" s="1049"/>
      <c r="C311" s="1095">
        <v>658</v>
      </c>
      <c r="D311" s="1096" t="s">
        <v>853</v>
      </c>
      <c r="E311" s="1049"/>
      <c r="F311" s="1063">
        <v>0</v>
      </c>
      <c r="G311" s="1063">
        <v>0</v>
      </c>
      <c r="H311" s="1063">
        <v>0</v>
      </c>
      <c r="I311" s="1063">
        <v>0</v>
      </c>
      <c r="J311" s="1063">
        <v>0</v>
      </c>
      <c r="K311" s="1063">
        <v>0</v>
      </c>
      <c r="L311" s="1063">
        <v>0</v>
      </c>
      <c r="M311" s="1063">
        <v>0</v>
      </c>
      <c r="N311" s="1063">
        <v>0</v>
      </c>
      <c r="O311" s="1063">
        <v>0</v>
      </c>
      <c r="P311" s="1063">
        <v>0</v>
      </c>
      <c r="Q311" s="1063">
        <v>0</v>
      </c>
      <c r="R311" s="1063">
        <v>0</v>
      </c>
      <c r="S311" s="1063">
        <v>0</v>
      </c>
      <c r="T311" s="1063">
        <v>0</v>
      </c>
      <c r="U311" s="1063">
        <v>0</v>
      </c>
      <c r="V311" s="1063"/>
      <c r="W311" s="1049"/>
      <c r="X311" s="1049"/>
      <c r="Y311" s="1049"/>
      <c r="Z311" s="1049"/>
      <c r="AA311" s="1066"/>
      <c r="AT311" s="418">
        <v>0</v>
      </c>
      <c r="AU311" s="418">
        <v>0</v>
      </c>
      <c r="AV311" s="418">
        <v>0</v>
      </c>
      <c r="AW311" s="418">
        <v>0</v>
      </c>
      <c r="AX311" s="418">
        <v>0</v>
      </c>
      <c r="AY311" s="418">
        <v>0</v>
      </c>
      <c r="AZ311" s="418">
        <v>0</v>
      </c>
      <c r="BA311" s="418">
        <v>429974</v>
      </c>
      <c r="BB311" s="418">
        <v>0</v>
      </c>
      <c r="BC311" s="418">
        <v>0</v>
      </c>
      <c r="BD311" s="418">
        <v>0</v>
      </c>
      <c r="BE311" s="418">
        <v>0</v>
      </c>
      <c r="BF311" s="418">
        <v>1300338</v>
      </c>
      <c r="BG311" s="418">
        <v>0</v>
      </c>
      <c r="BH311" s="418">
        <v>0</v>
      </c>
      <c r="BI311" s="418">
        <v>0</v>
      </c>
      <c r="BJ311" s="418">
        <v>0</v>
      </c>
      <c r="BK311" s="418">
        <v>0</v>
      </c>
      <c r="BL311" s="418">
        <v>126513</v>
      </c>
      <c r="BM311" s="418">
        <v>0</v>
      </c>
      <c r="BN311" s="418">
        <v>0</v>
      </c>
      <c r="BO311" s="418">
        <v>0</v>
      </c>
      <c r="BP311" s="418">
        <v>0</v>
      </c>
      <c r="BQ311" s="418">
        <v>0</v>
      </c>
      <c r="BR311" s="418">
        <v>0</v>
      </c>
      <c r="BS311" s="418">
        <v>0</v>
      </c>
      <c r="BT311" s="418">
        <v>0</v>
      </c>
      <c r="BU311" s="418">
        <v>0</v>
      </c>
      <c r="BV311" s="418">
        <v>0</v>
      </c>
      <c r="BW311" s="418">
        <v>0</v>
      </c>
      <c r="BX311" s="418">
        <v>0</v>
      </c>
      <c r="BY311" s="418">
        <v>0</v>
      </c>
      <c r="BZ311" s="418">
        <v>0</v>
      </c>
      <c r="CA311" s="418">
        <v>0</v>
      </c>
      <c r="CB311" s="418">
        <v>0</v>
      </c>
    </row>
    <row r="312" spans="1:80" s="418" customFormat="1" ht="28.8" x14ac:dyDescent="0.3">
      <c r="A312" s="1052">
        <v>659</v>
      </c>
      <c r="B312" s="1053">
        <v>659</v>
      </c>
      <c r="C312" s="1095">
        <v>659</v>
      </c>
      <c r="D312" s="1096" t="s">
        <v>784</v>
      </c>
      <c r="E312" s="1049"/>
      <c r="F312" s="1063">
        <v>0</v>
      </c>
      <c r="G312" s="1063">
        <v>5874865</v>
      </c>
      <c r="H312" s="1063">
        <v>0</v>
      </c>
      <c r="I312" s="1063">
        <v>0</v>
      </c>
      <c r="J312" s="1063">
        <v>0</v>
      </c>
      <c r="K312" s="1063">
        <v>0</v>
      </c>
      <c r="L312" s="1063">
        <v>0</v>
      </c>
      <c r="M312" s="1063">
        <v>0</v>
      </c>
      <c r="N312" s="1063">
        <v>0</v>
      </c>
      <c r="O312" s="1063">
        <v>0</v>
      </c>
      <c r="P312" s="1063">
        <v>457146000</v>
      </c>
      <c r="Q312" s="1063">
        <v>0</v>
      </c>
      <c r="R312" s="1063">
        <v>0</v>
      </c>
      <c r="S312" s="1063">
        <v>0</v>
      </c>
      <c r="T312" s="1063">
        <v>0</v>
      </c>
      <c r="U312" s="1063">
        <v>0</v>
      </c>
      <c r="V312" s="1063"/>
      <c r="W312" s="1049"/>
      <c r="X312" s="1049"/>
      <c r="Y312" s="1049"/>
      <c r="Z312" s="1049"/>
      <c r="AA312" s="1066"/>
      <c r="AT312" s="418">
        <v>208528</v>
      </c>
      <c r="AU312" s="418">
        <v>1128480</v>
      </c>
      <c r="AV312" s="418">
        <v>10285334</v>
      </c>
      <c r="AW312" s="418">
        <v>0</v>
      </c>
      <c r="AX312" s="418">
        <v>0</v>
      </c>
      <c r="AY312" s="418">
        <v>0</v>
      </c>
      <c r="AZ312" s="418">
        <v>123863</v>
      </c>
      <c r="BA312" s="418">
        <v>1272028</v>
      </c>
      <c r="BB312" s="418">
        <v>0</v>
      </c>
      <c r="BC312" s="418">
        <v>369689</v>
      </c>
      <c r="BD312" s="418">
        <v>0</v>
      </c>
      <c r="BE312" s="418">
        <v>0</v>
      </c>
      <c r="BF312" s="418">
        <v>39181436</v>
      </c>
      <c r="BG312" s="418">
        <v>0</v>
      </c>
      <c r="BH312" s="418">
        <v>0</v>
      </c>
      <c r="BI312" s="418">
        <v>4232643</v>
      </c>
      <c r="BJ312" s="418">
        <v>208129</v>
      </c>
      <c r="BK312" s="418">
        <v>0</v>
      </c>
      <c r="BL312" s="418">
        <v>504375</v>
      </c>
      <c r="BM312" s="418">
        <v>1823461</v>
      </c>
      <c r="BN312" s="418">
        <v>0</v>
      </c>
      <c r="BO312" s="418">
        <v>104185</v>
      </c>
      <c r="BP312" s="418">
        <v>0</v>
      </c>
      <c r="BQ312" s="418">
        <v>0</v>
      </c>
      <c r="BR312" s="418">
        <v>0</v>
      </c>
      <c r="BS312" s="418">
        <v>0</v>
      </c>
      <c r="BT312" s="418">
        <v>0</v>
      </c>
      <c r="BU312" s="418">
        <v>0</v>
      </c>
      <c r="BV312" s="418">
        <v>4772429</v>
      </c>
      <c r="BW312" s="418">
        <v>0</v>
      </c>
      <c r="BX312" s="418">
        <v>0</v>
      </c>
      <c r="BY312" s="418">
        <v>0</v>
      </c>
      <c r="BZ312" s="418">
        <v>0</v>
      </c>
      <c r="CA312" s="418">
        <v>7870810</v>
      </c>
      <c r="CB312" s="418">
        <v>0</v>
      </c>
    </row>
    <row r="313" spans="1:80" s="418" customFormat="1" ht="43.2" x14ac:dyDescent="0.3">
      <c r="A313" s="1052">
        <v>660</v>
      </c>
      <c r="B313" s="1053">
        <v>660</v>
      </c>
      <c r="C313" s="1095">
        <v>660</v>
      </c>
      <c r="D313" s="1096" t="s">
        <v>785</v>
      </c>
      <c r="E313" s="1049"/>
      <c r="F313" s="1063">
        <v>0</v>
      </c>
      <c r="G313" s="1063">
        <v>7733597</v>
      </c>
      <c r="H313" s="1063">
        <v>0</v>
      </c>
      <c r="I313" s="1063">
        <v>0</v>
      </c>
      <c r="J313" s="1063">
        <v>0</v>
      </c>
      <c r="K313" s="1063">
        <v>0</v>
      </c>
      <c r="L313" s="1063">
        <v>0</v>
      </c>
      <c r="M313" s="1063">
        <v>0</v>
      </c>
      <c r="N313" s="1063">
        <v>0</v>
      </c>
      <c r="O313" s="1063">
        <v>0</v>
      </c>
      <c r="P313" s="1063">
        <v>457146000</v>
      </c>
      <c r="Q313" s="1063">
        <v>0</v>
      </c>
      <c r="R313" s="1063">
        <v>0</v>
      </c>
      <c r="S313" s="1063">
        <v>0</v>
      </c>
      <c r="T313" s="1063">
        <v>0</v>
      </c>
      <c r="U313" s="1063">
        <v>0</v>
      </c>
      <c r="V313" s="1063"/>
      <c r="W313" s="1049"/>
      <c r="X313" s="1049"/>
      <c r="Y313" s="1049"/>
      <c r="Z313" s="1049"/>
      <c r="AA313" s="1066"/>
      <c r="AT313" s="418">
        <v>0</v>
      </c>
      <c r="AU313" s="418">
        <v>0</v>
      </c>
      <c r="AV313" s="418">
        <v>0</v>
      </c>
      <c r="AW313" s="418">
        <v>0</v>
      </c>
      <c r="AX313" s="418">
        <v>0</v>
      </c>
      <c r="AY313" s="418">
        <v>0</v>
      </c>
      <c r="AZ313" s="418">
        <v>0</v>
      </c>
      <c r="BA313" s="418">
        <v>0</v>
      </c>
      <c r="BB313" s="418">
        <v>0</v>
      </c>
      <c r="BC313" s="418">
        <v>0</v>
      </c>
      <c r="BD313" s="418">
        <v>0</v>
      </c>
      <c r="BE313" s="418">
        <v>0</v>
      </c>
      <c r="BF313" s="418">
        <v>0</v>
      </c>
      <c r="BG313" s="418">
        <v>0</v>
      </c>
      <c r="BH313" s="418">
        <v>0</v>
      </c>
      <c r="BI313" s="418">
        <v>0</v>
      </c>
      <c r="BJ313" s="418">
        <v>0</v>
      </c>
      <c r="BK313" s="418">
        <v>0</v>
      </c>
      <c r="BL313" s="418">
        <v>0</v>
      </c>
      <c r="BM313" s="418">
        <v>0</v>
      </c>
      <c r="BN313" s="418">
        <v>0</v>
      </c>
      <c r="BO313" s="418">
        <v>0</v>
      </c>
      <c r="BP313" s="418">
        <v>0</v>
      </c>
      <c r="BQ313" s="418">
        <v>0</v>
      </c>
      <c r="BR313" s="418">
        <v>0</v>
      </c>
      <c r="BS313" s="418">
        <v>0</v>
      </c>
      <c r="BT313" s="418">
        <v>0</v>
      </c>
      <c r="BU313" s="418">
        <v>0</v>
      </c>
      <c r="BV313" s="418">
        <v>0</v>
      </c>
      <c r="BW313" s="418">
        <v>0</v>
      </c>
      <c r="BX313" s="418">
        <v>0</v>
      </c>
      <c r="BY313" s="418">
        <v>0</v>
      </c>
      <c r="BZ313" s="418">
        <v>0</v>
      </c>
      <c r="CA313" s="418">
        <v>0</v>
      </c>
      <c r="CB313" s="418">
        <v>0</v>
      </c>
    </row>
    <row r="314" spans="1:80" s="418" customFormat="1" ht="28.8" x14ac:dyDescent="0.3">
      <c r="A314" s="1052">
        <v>661</v>
      </c>
      <c r="B314" s="1053">
        <v>661</v>
      </c>
      <c r="C314" s="1095">
        <v>661</v>
      </c>
      <c r="D314" s="1096" t="s">
        <v>788</v>
      </c>
      <c r="E314" s="1049"/>
      <c r="F314" s="1063">
        <v>0</v>
      </c>
      <c r="G314" s="1063">
        <v>1858732</v>
      </c>
      <c r="H314" s="1063">
        <v>0</v>
      </c>
      <c r="I314" s="1063">
        <v>0</v>
      </c>
      <c r="J314" s="1063">
        <v>0</v>
      </c>
      <c r="K314" s="1063">
        <v>0</v>
      </c>
      <c r="L314" s="1063">
        <v>0</v>
      </c>
      <c r="M314" s="1063">
        <v>0</v>
      </c>
      <c r="N314" s="1063">
        <v>0</v>
      </c>
      <c r="O314" s="1063">
        <v>0</v>
      </c>
      <c r="P314" s="1063">
        <v>0</v>
      </c>
      <c r="Q314" s="1063">
        <v>0</v>
      </c>
      <c r="R314" s="1063">
        <v>0</v>
      </c>
      <c r="S314" s="1063">
        <v>0</v>
      </c>
      <c r="T314" s="1063">
        <v>0</v>
      </c>
      <c r="U314" s="1063">
        <v>0</v>
      </c>
      <c r="V314" s="1063"/>
      <c r="W314" s="1049"/>
      <c r="X314" s="1049"/>
      <c r="Y314" s="1049"/>
      <c r="Z314" s="1049"/>
      <c r="AA314" s="1066"/>
      <c r="AT314" s="418">
        <v>0</v>
      </c>
      <c r="AU314" s="418">
        <v>0</v>
      </c>
      <c r="AV314" s="418">
        <v>0</v>
      </c>
      <c r="AW314" s="418">
        <v>0</v>
      </c>
      <c r="AX314" s="418">
        <v>0</v>
      </c>
      <c r="AY314" s="418">
        <v>0</v>
      </c>
      <c r="AZ314" s="418">
        <v>0</v>
      </c>
      <c r="BA314" s="418">
        <v>0</v>
      </c>
      <c r="BB314" s="418">
        <v>0</v>
      </c>
      <c r="BC314" s="418">
        <v>0</v>
      </c>
      <c r="BD314" s="418">
        <v>0</v>
      </c>
      <c r="BE314" s="418">
        <v>0</v>
      </c>
      <c r="BF314" s="418">
        <v>0</v>
      </c>
      <c r="BG314" s="418">
        <v>0</v>
      </c>
      <c r="BH314" s="418">
        <v>0</v>
      </c>
      <c r="BI314" s="418">
        <v>0</v>
      </c>
      <c r="BJ314" s="418">
        <v>0</v>
      </c>
      <c r="BK314" s="418">
        <v>0</v>
      </c>
      <c r="BL314" s="418">
        <v>0</v>
      </c>
      <c r="BM314" s="418">
        <v>0</v>
      </c>
      <c r="BN314" s="418">
        <v>0</v>
      </c>
      <c r="BO314" s="418">
        <v>0</v>
      </c>
      <c r="BP314" s="418">
        <v>0</v>
      </c>
      <c r="BQ314" s="418">
        <v>0</v>
      </c>
      <c r="BR314" s="418">
        <v>0</v>
      </c>
      <c r="BS314" s="418">
        <v>0</v>
      </c>
      <c r="BT314" s="418">
        <v>0</v>
      </c>
      <c r="BU314" s="418">
        <v>0</v>
      </c>
      <c r="BV314" s="418">
        <v>0</v>
      </c>
      <c r="BW314" s="418">
        <v>0</v>
      </c>
      <c r="BX314" s="418">
        <v>0</v>
      </c>
      <c r="BY314" s="418">
        <v>0</v>
      </c>
      <c r="BZ314" s="418">
        <v>0</v>
      </c>
      <c r="CA314" s="418">
        <v>0</v>
      </c>
      <c r="CB314" s="418">
        <v>0</v>
      </c>
    </row>
    <row r="315" spans="1:80" s="418" customFormat="1" ht="28.8" x14ac:dyDescent="0.3">
      <c r="A315" s="1052">
        <v>662</v>
      </c>
      <c r="B315" s="1053">
        <v>662</v>
      </c>
      <c r="C315" s="1095">
        <v>662</v>
      </c>
      <c r="D315" s="1096" t="s">
        <v>857</v>
      </c>
      <c r="E315" s="1056"/>
      <c r="F315" s="1063">
        <v>0</v>
      </c>
      <c r="G315" s="1063">
        <v>0</v>
      </c>
      <c r="H315" s="1063">
        <v>0</v>
      </c>
      <c r="I315" s="1063">
        <v>0</v>
      </c>
      <c r="J315" s="1063">
        <v>0</v>
      </c>
      <c r="K315" s="1063">
        <v>0</v>
      </c>
      <c r="L315" s="1063">
        <v>0</v>
      </c>
      <c r="M315" s="1063">
        <v>0</v>
      </c>
      <c r="N315" s="1063">
        <v>0</v>
      </c>
      <c r="O315" s="1063">
        <v>0</v>
      </c>
      <c r="P315" s="1063">
        <v>0</v>
      </c>
      <c r="Q315" s="1063">
        <v>0</v>
      </c>
      <c r="R315" s="1063">
        <v>0</v>
      </c>
      <c r="S315" s="1063">
        <v>0</v>
      </c>
      <c r="T315" s="1063">
        <v>0</v>
      </c>
      <c r="U315" s="1063">
        <v>0</v>
      </c>
      <c r="V315" s="1063"/>
      <c r="W315" s="1049"/>
      <c r="X315" s="1049"/>
      <c r="Y315" s="1049"/>
      <c r="Z315" s="1049"/>
      <c r="AA315" s="1066"/>
      <c r="AT315" s="418">
        <v>0</v>
      </c>
      <c r="AU315" s="418">
        <v>0</v>
      </c>
      <c r="AV315" s="418">
        <v>830367</v>
      </c>
      <c r="AW315" s="418">
        <v>0</v>
      </c>
      <c r="AX315" s="418">
        <v>0</v>
      </c>
      <c r="AY315" s="418">
        <v>0</v>
      </c>
      <c r="AZ315" s="418">
        <v>0</v>
      </c>
      <c r="BA315" s="418">
        <v>0</v>
      </c>
      <c r="BB315" s="418">
        <v>0</v>
      </c>
      <c r="BC315" s="418">
        <v>0</v>
      </c>
      <c r="BD315" s="418">
        <v>0</v>
      </c>
      <c r="BE315" s="418">
        <v>0</v>
      </c>
      <c r="BF315" s="418">
        <v>0</v>
      </c>
      <c r="BG315" s="418">
        <v>0</v>
      </c>
      <c r="BH315" s="418">
        <v>0</v>
      </c>
      <c r="BI315" s="418">
        <v>0</v>
      </c>
      <c r="BJ315" s="418">
        <v>0</v>
      </c>
      <c r="BK315" s="418">
        <v>0</v>
      </c>
      <c r="BL315" s="418">
        <v>0</v>
      </c>
      <c r="BM315" s="418">
        <v>0</v>
      </c>
      <c r="BN315" s="418">
        <v>0</v>
      </c>
      <c r="BO315" s="418">
        <v>0</v>
      </c>
      <c r="BP315" s="418">
        <v>0</v>
      </c>
      <c r="BQ315" s="418">
        <v>0</v>
      </c>
      <c r="BR315" s="418">
        <v>0</v>
      </c>
      <c r="BS315" s="418">
        <v>0</v>
      </c>
      <c r="BT315" s="418">
        <v>184000</v>
      </c>
      <c r="BU315" s="418">
        <v>0</v>
      </c>
      <c r="BV315" s="418">
        <v>0</v>
      </c>
      <c r="BW315" s="418">
        <v>0</v>
      </c>
      <c r="BX315" s="418">
        <v>0</v>
      </c>
      <c r="BY315" s="418">
        <v>0</v>
      </c>
      <c r="BZ315" s="418">
        <v>0</v>
      </c>
      <c r="CA315" s="418">
        <v>54610</v>
      </c>
      <c r="CB315" s="418">
        <v>0</v>
      </c>
    </row>
    <row r="316" spans="1:80" s="418" customFormat="1" ht="28.8" x14ac:dyDescent="0.3">
      <c r="A316" s="1052">
        <v>663</v>
      </c>
      <c r="B316" s="1053">
        <v>663</v>
      </c>
      <c r="C316" s="1095">
        <v>663</v>
      </c>
      <c r="D316" s="1096" t="s">
        <v>858</v>
      </c>
      <c r="E316" s="1056"/>
      <c r="F316" s="1063">
        <v>0</v>
      </c>
      <c r="G316" s="1063">
        <v>0</v>
      </c>
      <c r="H316" s="1063">
        <v>0</v>
      </c>
      <c r="I316" s="1063">
        <v>0</v>
      </c>
      <c r="J316" s="1063">
        <v>0</v>
      </c>
      <c r="K316" s="1063">
        <v>0</v>
      </c>
      <c r="L316" s="1063">
        <v>0</v>
      </c>
      <c r="M316" s="1063">
        <v>0</v>
      </c>
      <c r="N316" s="1063">
        <v>0</v>
      </c>
      <c r="O316" s="1063">
        <v>0</v>
      </c>
      <c r="P316" s="1063">
        <v>10617331</v>
      </c>
      <c r="Q316" s="1063">
        <v>0</v>
      </c>
      <c r="R316" s="1063">
        <v>0</v>
      </c>
      <c r="S316" s="1063">
        <v>0</v>
      </c>
      <c r="T316" s="1063">
        <v>0</v>
      </c>
      <c r="U316" s="1063">
        <v>0</v>
      </c>
      <c r="V316" s="1063"/>
      <c r="W316" s="1049"/>
      <c r="X316" s="1049"/>
      <c r="Y316" s="1049"/>
      <c r="Z316" s="1049"/>
      <c r="AA316" s="1066"/>
      <c r="AT316" s="418">
        <v>0</v>
      </c>
      <c r="AU316" s="418">
        <v>0</v>
      </c>
      <c r="AV316" s="418">
        <v>0</v>
      </c>
      <c r="AW316" s="418">
        <v>0</v>
      </c>
      <c r="AX316" s="418">
        <v>0</v>
      </c>
      <c r="AY316" s="418">
        <v>0</v>
      </c>
      <c r="AZ316" s="418">
        <v>0</v>
      </c>
      <c r="BA316" s="418">
        <v>0</v>
      </c>
      <c r="BB316" s="418">
        <v>0</v>
      </c>
      <c r="BC316" s="418">
        <v>0</v>
      </c>
      <c r="BD316" s="418">
        <v>0</v>
      </c>
      <c r="BE316" s="418">
        <v>0</v>
      </c>
      <c r="BF316" s="418">
        <v>0</v>
      </c>
      <c r="BG316" s="418">
        <v>0</v>
      </c>
      <c r="BH316" s="418">
        <v>0</v>
      </c>
      <c r="BI316" s="418">
        <v>0</v>
      </c>
      <c r="BJ316" s="418">
        <v>0</v>
      </c>
      <c r="BK316" s="418">
        <v>0</v>
      </c>
      <c r="BL316" s="418">
        <v>0</v>
      </c>
      <c r="BM316" s="418">
        <v>0</v>
      </c>
      <c r="BN316" s="418">
        <v>0</v>
      </c>
      <c r="BO316" s="418">
        <v>0</v>
      </c>
      <c r="BP316" s="418">
        <v>0</v>
      </c>
      <c r="BQ316" s="418">
        <v>0</v>
      </c>
      <c r="BR316" s="418">
        <v>0</v>
      </c>
      <c r="BS316" s="418">
        <v>0</v>
      </c>
      <c r="BT316" s="418">
        <v>0</v>
      </c>
      <c r="BU316" s="418">
        <v>0</v>
      </c>
      <c r="BV316" s="418">
        <v>0</v>
      </c>
      <c r="BW316" s="418">
        <v>0</v>
      </c>
      <c r="BX316" s="418">
        <v>0</v>
      </c>
      <c r="BY316" s="418">
        <v>0</v>
      </c>
      <c r="BZ316" s="418">
        <v>0</v>
      </c>
      <c r="CA316" s="418">
        <v>0</v>
      </c>
      <c r="CB316" s="418">
        <v>0</v>
      </c>
    </row>
    <row r="317" spans="1:80" s="418" customFormat="1" ht="28.8" x14ac:dyDescent="0.3">
      <c r="A317" s="1052">
        <v>906</v>
      </c>
      <c r="B317" s="1053">
        <v>906</v>
      </c>
      <c r="C317" s="1095" t="s">
        <v>1867</v>
      </c>
      <c r="D317" s="1096" t="s">
        <v>917</v>
      </c>
      <c r="E317" s="1056"/>
      <c r="F317" s="1063">
        <v>1</v>
      </c>
      <c r="G317" s="1063">
        <v>1</v>
      </c>
      <c r="H317" s="1063">
        <v>1</v>
      </c>
      <c r="I317" s="1063">
        <v>1</v>
      </c>
      <c r="J317" s="1063">
        <v>0</v>
      </c>
      <c r="K317" s="1063">
        <v>0</v>
      </c>
      <c r="L317" s="1063">
        <v>0</v>
      </c>
      <c r="M317" s="1063">
        <v>0</v>
      </c>
      <c r="N317" s="1063">
        <v>1</v>
      </c>
      <c r="O317" s="1063">
        <v>1</v>
      </c>
      <c r="P317" s="1063">
        <v>1</v>
      </c>
      <c r="Q317" s="1063">
        <v>0</v>
      </c>
      <c r="R317" s="1063">
        <v>1</v>
      </c>
      <c r="S317" s="1063">
        <v>1</v>
      </c>
      <c r="T317" s="1063">
        <v>1</v>
      </c>
      <c r="U317" s="1063">
        <v>1</v>
      </c>
      <c r="V317" s="1063"/>
      <c r="W317" s="1049"/>
      <c r="X317" s="1049"/>
      <c r="Y317" s="1049"/>
      <c r="Z317" s="1049"/>
      <c r="AA317" s="1066"/>
      <c r="AT317" s="418">
        <v>1</v>
      </c>
      <c r="AU317" s="418">
        <v>1</v>
      </c>
      <c r="AV317" s="418">
        <v>1</v>
      </c>
      <c r="AW317" s="418">
        <v>1</v>
      </c>
      <c r="AX317" s="418">
        <v>1</v>
      </c>
      <c r="AY317" s="418">
        <v>1</v>
      </c>
      <c r="AZ317" s="418">
        <v>1</v>
      </c>
      <c r="BA317" s="418">
        <v>1</v>
      </c>
      <c r="BB317" s="418">
        <v>1</v>
      </c>
      <c r="BC317" s="418">
        <v>1</v>
      </c>
      <c r="BD317" s="418">
        <v>0</v>
      </c>
      <c r="BE317" s="418">
        <v>1</v>
      </c>
      <c r="BF317" s="418">
        <v>1</v>
      </c>
      <c r="BG317" s="418">
        <v>0</v>
      </c>
      <c r="BH317" s="418">
        <v>1</v>
      </c>
      <c r="BI317" s="418">
        <v>1</v>
      </c>
      <c r="BJ317" s="418">
        <v>1</v>
      </c>
      <c r="BK317" s="418">
        <v>0</v>
      </c>
      <c r="BL317" s="418">
        <v>1</v>
      </c>
      <c r="BM317" s="418">
        <v>1</v>
      </c>
      <c r="BN317" s="418">
        <v>1</v>
      </c>
      <c r="BO317" s="418">
        <v>1</v>
      </c>
      <c r="BP317" s="418">
        <v>1</v>
      </c>
      <c r="BQ317" s="418">
        <v>1</v>
      </c>
      <c r="BR317" s="418">
        <v>1</v>
      </c>
      <c r="BS317" s="418">
        <v>1</v>
      </c>
      <c r="BT317" s="418">
        <v>1</v>
      </c>
      <c r="BU317" s="418">
        <v>1</v>
      </c>
      <c r="BV317" s="418">
        <v>1</v>
      </c>
      <c r="BW317" s="418">
        <v>1</v>
      </c>
      <c r="BX317" s="418">
        <v>1</v>
      </c>
      <c r="BY317" s="418">
        <v>1</v>
      </c>
      <c r="BZ317" s="418">
        <v>1</v>
      </c>
      <c r="CA317" s="418">
        <v>1</v>
      </c>
      <c r="CB317" s="418">
        <v>1</v>
      </c>
    </row>
    <row r="318" spans="1:80" s="418" customFormat="1" ht="28.8" x14ac:dyDescent="0.3">
      <c r="A318" s="1052">
        <v>907</v>
      </c>
      <c r="B318" s="1053">
        <v>907</v>
      </c>
      <c r="C318" s="1095" t="s">
        <v>1867</v>
      </c>
      <c r="D318" s="1096" t="s">
        <v>918</v>
      </c>
      <c r="E318" s="1056"/>
      <c r="F318" s="1063">
        <v>2</v>
      </c>
      <c r="G318" s="1063">
        <v>2</v>
      </c>
      <c r="H318" s="1063">
        <v>2</v>
      </c>
      <c r="I318" s="1063">
        <v>2</v>
      </c>
      <c r="J318" s="1063">
        <v>0</v>
      </c>
      <c r="K318" s="1063">
        <v>0</v>
      </c>
      <c r="L318" s="1063">
        <v>0</v>
      </c>
      <c r="M318" s="1063">
        <v>0</v>
      </c>
      <c r="N318" s="1063">
        <v>2</v>
      </c>
      <c r="O318" s="1063">
        <v>2</v>
      </c>
      <c r="P318" s="1063">
        <v>2</v>
      </c>
      <c r="Q318" s="1063">
        <v>0</v>
      </c>
      <c r="R318" s="1063">
        <v>2</v>
      </c>
      <c r="S318" s="1063">
        <v>2</v>
      </c>
      <c r="T318" s="1063">
        <v>2</v>
      </c>
      <c r="U318" s="1063">
        <v>2</v>
      </c>
      <c r="V318" s="1063"/>
      <c r="W318" s="1049"/>
      <c r="X318" s="1049"/>
      <c r="Y318" s="1049"/>
      <c r="Z318" s="1049"/>
      <c r="AA318" s="1066"/>
      <c r="AT318" s="418">
        <v>1</v>
      </c>
      <c r="AU318" s="418">
        <v>1</v>
      </c>
      <c r="AV318" s="418">
        <v>2</v>
      </c>
      <c r="AW318" s="418">
        <v>1</v>
      </c>
      <c r="AX318" s="418">
        <v>2</v>
      </c>
      <c r="AY318" s="418">
        <v>2</v>
      </c>
      <c r="AZ318" s="418">
        <v>1</v>
      </c>
      <c r="BA318" s="418">
        <v>2</v>
      </c>
      <c r="BB318" s="418">
        <v>1</v>
      </c>
      <c r="BC318" s="418">
        <v>1</v>
      </c>
      <c r="BD318" s="418">
        <v>0</v>
      </c>
      <c r="BE318" s="418">
        <v>1</v>
      </c>
      <c r="BF318" s="418">
        <v>2</v>
      </c>
      <c r="BG318" s="418">
        <v>0</v>
      </c>
      <c r="BH318" s="418">
        <v>1</v>
      </c>
      <c r="BI318" s="418">
        <v>2</v>
      </c>
      <c r="BJ318" s="418">
        <v>1</v>
      </c>
      <c r="BK318" s="418">
        <v>0</v>
      </c>
      <c r="BL318" s="418">
        <v>2</v>
      </c>
      <c r="BM318" s="418">
        <v>1</v>
      </c>
      <c r="BN318" s="418">
        <v>1</v>
      </c>
      <c r="BO318" s="418">
        <v>2</v>
      </c>
      <c r="BP318" s="418">
        <v>1</v>
      </c>
      <c r="BQ318" s="418">
        <v>1</v>
      </c>
      <c r="BR318" s="418">
        <v>2</v>
      </c>
      <c r="BS318" s="418">
        <v>1</v>
      </c>
      <c r="BT318" s="418">
        <v>2</v>
      </c>
      <c r="BU318" s="418">
        <v>2</v>
      </c>
      <c r="BV318" s="418">
        <v>1</v>
      </c>
      <c r="BW318" s="418">
        <v>1</v>
      </c>
      <c r="BX318" s="418">
        <v>1</v>
      </c>
      <c r="BY318" s="418">
        <v>1</v>
      </c>
      <c r="BZ318" s="418">
        <v>2</v>
      </c>
      <c r="CA318" s="418">
        <v>2</v>
      </c>
      <c r="CB318" s="418">
        <v>2</v>
      </c>
    </row>
    <row r="319" spans="1:80" s="418" customFormat="1" ht="28.8" x14ac:dyDescent="0.3">
      <c r="A319" s="1052">
        <v>951</v>
      </c>
      <c r="B319" s="1053">
        <v>951</v>
      </c>
      <c r="C319" s="1095" t="s">
        <v>1867</v>
      </c>
      <c r="D319" s="1096" t="s">
        <v>919</v>
      </c>
      <c r="E319" s="1056"/>
      <c r="F319" s="1063">
        <v>2</v>
      </c>
      <c r="G319" s="1063">
        <v>2</v>
      </c>
      <c r="H319" s="1063">
        <v>2</v>
      </c>
      <c r="I319" s="1063">
        <v>2</v>
      </c>
      <c r="J319" s="1063">
        <v>0</v>
      </c>
      <c r="K319" s="1063">
        <v>0</v>
      </c>
      <c r="L319" s="1063">
        <v>0</v>
      </c>
      <c r="M319" s="1063">
        <v>0</v>
      </c>
      <c r="N319" s="1063">
        <v>2</v>
      </c>
      <c r="O319" s="1063">
        <v>2</v>
      </c>
      <c r="P319" s="1063">
        <v>2</v>
      </c>
      <c r="Q319" s="1063">
        <v>0</v>
      </c>
      <c r="R319" s="1063">
        <v>2</v>
      </c>
      <c r="S319" s="1063">
        <v>2</v>
      </c>
      <c r="T319" s="1063">
        <v>2</v>
      </c>
      <c r="U319" s="1063">
        <v>2</v>
      </c>
      <c r="V319" s="1063"/>
      <c r="W319" s="1049"/>
      <c r="X319" s="1049"/>
      <c r="Y319" s="1049"/>
      <c r="Z319" s="1049"/>
      <c r="AA319" s="1066"/>
      <c r="AT319" s="418">
        <v>1</v>
      </c>
      <c r="AU319" s="418">
        <v>1</v>
      </c>
      <c r="AV319" s="418">
        <v>2</v>
      </c>
      <c r="AW319" s="418">
        <v>2</v>
      </c>
      <c r="AX319" s="418">
        <v>2</v>
      </c>
      <c r="AY319" s="418">
        <v>2</v>
      </c>
      <c r="AZ319" s="418">
        <v>2</v>
      </c>
      <c r="BA319" s="418">
        <v>2</v>
      </c>
      <c r="BB319" s="418">
        <v>1</v>
      </c>
      <c r="BC319" s="418">
        <v>2</v>
      </c>
      <c r="BD319" s="418">
        <v>0</v>
      </c>
      <c r="BE319" s="418">
        <v>2</v>
      </c>
      <c r="BF319" s="418">
        <v>2</v>
      </c>
      <c r="BG319" s="418">
        <v>0</v>
      </c>
      <c r="BH319" s="418">
        <v>2</v>
      </c>
      <c r="BI319" s="418">
        <v>2</v>
      </c>
      <c r="BJ319" s="418">
        <v>2</v>
      </c>
      <c r="BK319" s="418">
        <v>0</v>
      </c>
      <c r="BL319" s="418">
        <v>2</v>
      </c>
      <c r="BM319" s="418">
        <v>2</v>
      </c>
      <c r="BN319" s="418">
        <v>2</v>
      </c>
      <c r="BO319" s="418">
        <v>2</v>
      </c>
      <c r="BP319" s="418">
        <v>2</v>
      </c>
      <c r="BQ319" s="418">
        <v>2</v>
      </c>
      <c r="BR319" s="418">
        <v>2</v>
      </c>
      <c r="BS319" s="418">
        <v>2</v>
      </c>
      <c r="BT319" s="418">
        <v>2</v>
      </c>
      <c r="BU319" s="418">
        <v>2</v>
      </c>
      <c r="BV319" s="418">
        <v>2</v>
      </c>
      <c r="BW319" s="418">
        <v>2</v>
      </c>
      <c r="BX319" s="418">
        <v>2</v>
      </c>
      <c r="BY319" s="418">
        <v>2</v>
      </c>
      <c r="BZ319" s="418">
        <v>2</v>
      </c>
      <c r="CA319" s="418">
        <v>2</v>
      </c>
      <c r="CB319" s="418">
        <v>2</v>
      </c>
    </row>
    <row r="320" spans="1:80" s="418" customFormat="1" ht="28.8" x14ac:dyDescent="0.3">
      <c r="A320" s="1052">
        <v>953</v>
      </c>
      <c r="B320" s="1053">
        <v>953</v>
      </c>
      <c r="C320" s="1095" t="s">
        <v>1867</v>
      </c>
      <c r="D320" s="1096" t="s">
        <v>920</v>
      </c>
      <c r="E320" s="1056"/>
      <c r="F320" s="1063">
        <v>2</v>
      </c>
      <c r="G320" s="1063">
        <v>2</v>
      </c>
      <c r="H320" s="1063">
        <v>2</v>
      </c>
      <c r="I320" s="1063">
        <v>2</v>
      </c>
      <c r="J320" s="1063">
        <v>0</v>
      </c>
      <c r="K320" s="1063">
        <v>0</v>
      </c>
      <c r="L320" s="1063">
        <v>0</v>
      </c>
      <c r="M320" s="1063">
        <v>0</v>
      </c>
      <c r="N320" s="1063">
        <v>2</v>
      </c>
      <c r="O320" s="1063">
        <v>2</v>
      </c>
      <c r="P320" s="1063">
        <v>2</v>
      </c>
      <c r="Q320" s="1063">
        <v>0</v>
      </c>
      <c r="R320" s="1063">
        <v>2</v>
      </c>
      <c r="S320" s="1063">
        <v>2</v>
      </c>
      <c r="T320" s="1063">
        <v>2</v>
      </c>
      <c r="U320" s="1063">
        <v>2</v>
      </c>
      <c r="V320" s="1063"/>
      <c r="W320" s="1049"/>
      <c r="X320" s="1049"/>
      <c r="Y320" s="1049"/>
      <c r="Z320" s="1049"/>
      <c r="AA320" s="1066"/>
      <c r="AT320" s="418">
        <v>2</v>
      </c>
      <c r="AU320" s="418">
        <v>2</v>
      </c>
      <c r="AV320" s="418">
        <v>2</v>
      </c>
      <c r="AW320" s="418">
        <v>2</v>
      </c>
      <c r="AX320" s="418">
        <v>2</v>
      </c>
      <c r="AY320" s="418">
        <v>2</v>
      </c>
      <c r="AZ320" s="418">
        <v>2</v>
      </c>
      <c r="BA320" s="418">
        <v>2</v>
      </c>
      <c r="BB320" s="418">
        <v>2</v>
      </c>
      <c r="BC320" s="418">
        <v>2</v>
      </c>
      <c r="BD320" s="418">
        <v>0</v>
      </c>
      <c r="BE320" s="418">
        <v>2</v>
      </c>
      <c r="BF320" s="418">
        <v>2</v>
      </c>
      <c r="BG320" s="418">
        <v>0</v>
      </c>
      <c r="BH320" s="418">
        <v>2</v>
      </c>
      <c r="BI320" s="418">
        <v>2</v>
      </c>
      <c r="BJ320" s="418">
        <v>2</v>
      </c>
      <c r="BK320" s="418">
        <v>0</v>
      </c>
      <c r="BL320" s="418">
        <v>2</v>
      </c>
      <c r="BM320" s="418">
        <v>2</v>
      </c>
      <c r="BN320" s="418">
        <v>2</v>
      </c>
      <c r="BO320" s="418">
        <v>2</v>
      </c>
      <c r="BP320" s="418">
        <v>2</v>
      </c>
      <c r="BQ320" s="418">
        <v>2</v>
      </c>
      <c r="BR320" s="418">
        <v>2</v>
      </c>
      <c r="BS320" s="418">
        <v>2</v>
      </c>
      <c r="BT320" s="418">
        <v>2</v>
      </c>
      <c r="BU320" s="418">
        <v>2</v>
      </c>
      <c r="BV320" s="418">
        <v>2</v>
      </c>
      <c r="BW320" s="418">
        <v>2</v>
      </c>
      <c r="BX320" s="418">
        <v>2</v>
      </c>
      <c r="BY320" s="418">
        <v>2</v>
      </c>
      <c r="BZ320" s="418">
        <v>2</v>
      </c>
      <c r="CA320" s="418">
        <v>2</v>
      </c>
      <c r="CB320" s="418">
        <v>2</v>
      </c>
    </row>
    <row r="321" spans="1:80" s="418" customFormat="1" ht="28.8" x14ac:dyDescent="0.3">
      <c r="A321" s="1052">
        <v>955</v>
      </c>
      <c r="B321" s="1053">
        <v>955</v>
      </c>
      <c r="C321" s="1095" t="s">
        <v>1867</v>
      </c>
      <c r="D321" s="1096" t="s">
        <v>930</v>
      </c>
      <c r="E321" s="1056"/>
      <c r="F321" s="1063">
        <v>0</v>
      </c>
      <c r="G321" s="1063">
        <v>0</v>
      </c>
      <c r="H321" s="1063">
        <v>0</v>
      </c>
      <c r="I321" s="1063">
        <v>0</v>
      </c>
      <c r="J321" s="1063">
        <v>0</v>
      </c>
      <c r="K321" s="1063">
        <v>0</v>
      </c>
      <c r="L321" s="1063">
        <v>0</v>
      </c>
      <c r="M321" s="1063">
        <v>0</v>
      </c>
      <c r="N321" s="1063">
        <v>0</v>
      </c>
      <c r="O321" s="1063">
        <v>0</v>
      </c>
      <c r="P321" s="1063">
        <v>0</v>
      </c>
      <c r="Q321" s="1063">
        <v>0</v>
      </c>
      <c r="R321" s="1063">
        <v>0</v>
      </c>
      <c r="S321" s="1063">
        <v>0</v>
      </c>
      <c r="T321" s="1063">
        <v>0</v>
      </c>
      <c r="U321" s="1063">
        <v>0</v>
      </c>
      <c r="V321" s="1063"/>
      <c r="W321" s="1049"/>
      <c r="X321" s="1049"/>
      <c r="Y321" s="1049"/>
      <c r="Z321" s="1049"/>
      <c r="AA321" s="1066"/>
      <c r="AT321" s="418">
        <v>0</v>
      </c>
      <c r="AU321" s="418">
        <v>0</v>
      </c>
      <c r="AV321" s="418">
        <v>2</v>
      </c>
      <c r="AW321" s="418">
        <v>0</v>
      </c>
      <c r="AX321" s="418">
        <v>0</v>
      </c>
      <c r="AY321" s="418">
        <v>0</v>
      </c>
      <c r="AZ321" s="418">
        <v>0</v>
      </c>
      <c r="BA321" s="418">
        <v>0</v>
      </c>
      <c r="BB321" s="418">
        <v>0</v>
      </c>
      <c r="BC321" s="418">
        <v>0</v>
      </c>
      <c r="BD321" s="418">
        <v>0</v>
      </c>
      <c r="BE321" s="418">
        <v>0</v>
      </c>
      <c r="BF321" s="418">
        <v>0</v>
      </c>
      <c r="BG321" s="418">
        <v>0</v>
      </c>
      <c r="BH321" s="418">
        <v>0</v>
      </c>
      <c r="BI321" s="418">
        <v>0</v>
      </c>
      <c r="BJ321" s="418">
        <v>0</v>
      </c>
      <c r="BK321" s="418">
        <v>0</v>
      </c>
      <c r="BL321" s="418">
        <v>0</v>
      </c>
      <c r="BM321" s="418">
        <v>0</v>
      </c>
      <c r="BN321" s="418">
        <v>0</v>
      </c>
      <c r="BO321" s="418">
        <v>0</v>
      </c>
      <c r="BP321" s="418">
        <v>0</v>
      </c>
      <c r="BQ321" s="418">
        <v>0</v>
      </c>
      <c r="BR321" s="418">
        <v>0</v>
      </c>
      <c r="BS321" s="418">
        <v>0</v>
      </c>
      <c r="BT321" s="418">
        <v>0</v>
      </c>
      <c r="BU321" s="418">
        <v>0</v>
      </c>
      <c r="BV321" s="418">
        <v>1</v>
      </c>
      <c r="BW321" s="418">
        <v>0</v>
      </c>
      <c r="BX321" s="418">
        <v>0</v>
      </c>
      <c r="BY321" s="418">
        <v>0</v>
      </c>
      <c r="BZ321" s="418">
        <v>0</v>
      </c>
      <c r="CA321" s="418">
        <v>0</v>
      </c>
      <c r="CB321" s="418">
        <v>0</v>
      </c>
    </row>
    <row r="322" spans="1:80" s="418" customFormat="1" ht="28.8" x14ac:dyDescent="0.3">
      <c r="A322" s="1052">
        <v>957</v>
      </c>
      <c r="B322" s="1053">
        <v>957</v>
      </c>
      <c r="C322" s="1095" t="s">
        <v>1867</v>
      </c>
      <c r="D322" s="1096" t="s">
        <v>931</v>
      </c>
      <c r="E322" s="1056"/>
      <c r="F322" s="1063">
        <v>0</v>
      </c>
      <c r="G322" s="1063">
        <v>0</v>
      </c>
      <c r="H322" s="1063">
        <v>0</v>
      </c>
      <c r="I322" s="1063">
        <v>0</v>
      </c>
      <c r="J322" s="1063">
        <v>0</v>
      </c>
      <c r="K322" s="1063">
        <v>0</v>
      </c>
      <c r="L322" s="1063">
        <v>0</v>
      </c>
      <c r="M322" s="1063">
        <v>0</v>
      </c>
      <c r="N322" s="1063">
        <v>0</v>
      </c>
      <c r="O322" s="1063">
        <v>0</v>
      </c>
      <c r="P322" s="1063">
        <v>0</v>
      </c>
      <c r="Q322" s="1063">
        <v>0</v>
      </c>
      <c r="R322" s="1063">
        <v>0</v>
      </c>
      <c r="S322" s="1063">
        <v>0</v>
      </c>
      <c r="T322" s="1063">
        <v>0</v>
      </c>
      <c r="U322" s="1063">
        <v>0</v>
      </c>
      <c r="V322" s="1063"/>
      <c r="W322" s="1049"/>
      <c r="X322" s="1049"/>
      <c r="Y322" s="1049"/>
      <c r="Z322" s="1049"/>
      <c r="AA322" s="1066"/>
      <c r="AT322" s="418">
        <v>0</v>
      </c>
      <c r="AU322" s="418">
        <v>0</v>
      </c>
      <c r="AV322" s="418">
        <v>0</v>
      </c>
      <c r="AW322" s="418">
        <v>0</v>
      </c>
      <c r="AX322" s="418">
        <v>0</v>
      </c>
      <c r="AY322" s="418">
        <v>0</v>
      </c>
      <c r="AZ322" s="418">
        <v>0</v>
      </c>
      <c r="BA322" s="418">
        <v>0</v>
      </c>
      <c r="BB322" s="418">
        <v>0</v>
      </c>
      <c r="BC322" s="418">
        <v>0</v>
      </c>
      <c r="BD322" s="418">
        <v>0</v>
      </c>
      <c r="BE322" s="418">
        <v>0</v>
      </c>
      <c r="BF322" s="418">
        <v>1</v>
      </c>
      <c r="BG322" s="418">
        <v>0</v>
      </c>
      <c r="BH322" s="418">
        <v>0</v>
      </c>
      <c r="BI322" s="418">
        <v>0</v>
      </c>
      <c r="BJ322" s="418">
        <v>0</v>
      </c>
      <c r="BK322" s="418">
        <v>0</v>
      </c>
      <c r="BL322" s="418">
        <v>0</v>
      </c>
      <c r="BM322" s="418">
        <v>0</v>
      </c>
      <c r="BN322" s="418">
        <v>0</v>
      </c>
      <c r="BO322" s="418">
        <v>0</v>
      </c>
      <c r="BP322" s="418">
        <v>0</v>
      </c>
      <c r="BQ322" s="418">
        <v>0</v>
      </c>
      <c r="BR322" s="418">
        <v>0</v>
      </c>
      <c r="BS322" s="418">
        <v>0</v>
      </c>
      <c r="BT322" s="418">
        <v>0</v>
      </c>
      <c r="BU322" s="418">
        <v>0</v>
      </c>
      <c r="BV322" s="418">
        <v>0</v>
      </c>
      <c r="BW322" s="418">
        <v>2</v>
      </c>
      <c r="BX322" s="418">
        <v>0</v>
      </c>
      <c r="BY322" s="418">
        <v>0</v>
      </c>
      <c r="BZ322" s="418">
        <v>0</v>
      </c>
      <c r="CA322" s="418">
        <v>0</v>
      </c>
      <c r="CB322" s="418">
        <v>0</v>
      </c>
    </row>
    <row r="323" spans="1:80" s="418" customFormat="1" ht="57.6" x14ac:dyDescent="0.3">
      <c r="A323" s="1052">
        <v>959</v>
      </c>
      <c r="B323" s="1053">
        <v>959</v>
      </c>
      <c r="C323" s="1095" t="s">
        <v>1867</v>
      </c>
      <c r="D323" s="1096" t="s">
        <v>921</v>
      </c>
      <c r="E323" s="1056"/>
      <c r="F323" s="1063">
        <v>2</v>
      </c>
      <c r="G323" s="1063">
        <v>2</v>
      </c>
      <c r="H323" s="1063">
        <v>3</v>
      </c>
      <c r="I323" s="1063">
        <v>2</v>
      </c>
      <c r="J323" s="1063">
        <v>0</v>
      </c>
      <c r="K323" s="1063">
        <v>0</v>
      </c>
      <c r="L323" s="1063">
        <v>0</v>
      </c>
      <c r="M323" s="1063">
        <v>0</v>
      </c>
      <c r="N323" s="1063">
        <v>2</v>
      </c>
      <c r="O323" s="1063">
        <v>2</v>
      </c>
      <c r="P323" s="1063">
        <v>2</v>
      </c>
      <c r="Q323" s="1063">
        <v>0</v>
      </c>
      <c r="R323" s="1063">
        <v>2</v>
      </c>
      <c r="S323" s="1063">
        <v>2</v>
      </c>
      <c r="T323" s="1063">
        <v>2</v>
      </c>
      <c r="U323" s="1063">
        <v>2</v>
      </c>
      <c r="V323" s="1063"/>
      <c r="W323" s="1049"/>
      <c r="X323" s="1049"/>
      <c r="Y323" s="1049"/>
      <c r="Z323" s="1049"/>
      <c r="AA323" s="1066"/>
      <c r="AT323" s="418">
        <v>2</v>
      </c>
      <c r="AU323" s="418">
        <v>2</v>
      </c>
      <c r="AV323" s="418">
        <v>3</v>
      </c>
      <c r="AW323" s="418">
        <v>3</v>
      </c>
      <c r="AX323" s="418">
        <v>2</v>
      </c>
      <c r="AY323" s="418">
        <v>2</v>
      </c>
      <c r="AZ323" s="418">
        <v>2</v>
      </c>
      <c r="BA323" s="418">
        <v>2</v>
      </c>
      <c r="BB323" s="418">
        <v>2</v>
      </c>
      <c r="BC323" s="418">
        <v>3</v>
      </c>
      <c r="BD323" s="418">
        <v>0</v>
      </c>
      <c r="BE323" s="418">
        <v>3</v>
      </c>
      <c r="BF323" s="418">
        <v>2</v>
      </c>
      <c r="BG323" s="418">
        <v>0</v>
      </c>
      <c r="BH323" s="418">
        <v>2</v>
      </c>
      <c r="BI323" s="418">
        <v>2</v>
      </c>
      <c r="BJ323" s="418">
        <v>2</v>
      </c>
      <c r="BK323" s="418">
        <v>0</v>
      </c>
      <c r="BL323" s="418">
        <v>2</v>
      </c>
      <c r="BM323" s="418">
        <v>2</v>
      </c>
      <c r="BN323" s="418">
        <v>3</v>
      </c>
      <c r="BO323" s="418">
        <v>2</v>
      </c>
      <c r="BP323" s="418">
        <v>2</v>
      </c>
      <c r="BQ323" s="418">
        <v>3</v>
      </c>
      <c r="BR323" s="418">
        <v>2</v>
      </c>
      <c r="BS323" s="418">
        <v>3</v>
      </c>
      <c r="BT323" s="418">
        <v>2</v>
      </c>
      <c r="BU323" s="418">
        <v>2</v>
      </c>
      <c r="BV323" s="418">
        <v>2</v>
      </c>
      <c r="BW323" s="418">
        <v>3</v>
      </c>
      <c r="BX323" s="418">
        <v>3</v>
      </c>
      <c r="BY323" s="418">
        <v>3</v>
      </c>
      <c r="BZ323" s="418">
        <v>2</v>
      </c>
      <c r="CA323" s="418">
        <v>2</v>
      </c>
      <c r="CB323" s="418">
        <v>2</v>
      </c>
    </row>
    <row r="324" spans="1:80" s="418" customFormat="1" ht="57.6" x14ac:dyDescent="0.3">
      <c r="A324" s="1052">
        <v>961</v>
      </c>
      <c r="B324" s="1053">
        <v>961</v>
      </c>
      <c r="C324" s="1095" t="s">
        <v>1867</v>
      </c>
      <c r="D324" s="1096" t="s">
        <v>922</v>
      </c>
      <c r="E324" s="1056"/>
      <c r="F324" s="1063">
        <v>2</v>
      </c>
      <c r="G324" s="1063">
        <v>2</v>
      </c>
      <c r="H324" s="1063">
        <v>3</v>
      </c>
      <c r="I324" s="1063">
        <v>2</v>
      </c>
      <c r="J324" s="1063">
        <v>0</v>
      </c>
      <c r="K324" s="1063">
        <v>0</v>
      </c>
      <c r="L324" s="1063">
        <v>0</v>
      </c>
      <c r="M324" s="1063">
        <v>0</v>
      </c>
      <c r="N324" s="1063">
        <v>2</v>
      </c>
      <c r="O324" s="1063">
        <v>2</v>
      </c>
      <c r="P324" s="1063">
        <v>2</v>
      </c>
      <c r="Q324" s="1063">
        <v>0</v>
      </c>
      <c r="R324" s="1063">
        <v>2</v>
      </c>
      <c r="S324" s="1063">
        <v>2</v>
      </c>
      <c r="T324" s="1063">
        <v>2</v>
      </c>
      <c r="U324" s="1063">
        <v>2</v>
      </c>
      <c r="V324" s="1063"/>
      <c r="W324" s="1049"/>
      <c r="X324" s="1049"/>
      <c r="Y324" s="1049"/>
      <c r="Z324" s="1049"/>
      <c r="AA324" s="1066"/>
      <c r="AT324" s="418">
        <v>2</v>
      </c>
      <c r="AU324" s="418">
        <v>2</v>
      </c>
      <c r="AV324" s="418">
        <v>2</v>
      </c>
      <c r="AW324" s="418">
        <v>2</v>
      </c>
      <c r="AX324" s="418">
        <v>2</v>
      </c>
      <c r="AY324" s="418">
        <v>2</v>
      </c>
      <c r="AZ324" s="418">
        <v>2</v>
      </c>
      <c r="BA324" s="418">
        <v>2</v>
      </c>
      <c r="BB324" s="418">
        <v>2</v>
      </c>
      <c r="BC324" s="418">
        <v>3</v>
      </c>
      <c r="BD324" s="418">
        <v>0</v>
      </c>
      <c r="BE324" s="418">
        <v>3</v>
      </c>
      <c r="BF324" s="418">
        <v>2</v>
      </c>
      <c r="BG324" s="418">
        <v>0</v>
      </c>
      <c r="BH324" s="418">
        <v>2</v>
      </c>
      <c r="BI324" s="418">
        <v>2</v>
      </c>
      <c r="BJ324" s="418">
        <v>2</v>
      </c>
      <c r="BK324" s="418">
        <v>0</v>
      </c>
      <c r="BL324" s="418">
        <v>2</v>
      </c>
      <c r="BM324" s="418">
        <v>2</v>
      </c>
      <c r="BN324" s="418">
        <v>3</v>
      </c>
      <c r="BO324" s="418">
        <v>2</v>
      </c>
      <c r="BP324" s="418">
        <v>2</v>
      </c>
      <c r="BQ324" s="418">
        <v>3</v>
      </c>
      <c r="BR324" s="418">
        <v>2</v>
      </c>
      <c r="BS324" s="418">
        <v>2</v>
      </c>
      <c r="BT324" s="418">
        <v>2</v>
      </c>
      <c r="BU324" s="418">
        <v>2</v>
      </c>
      <c r="BV324" s="418">
        <v>2</v>
      </c>
      <c r="BW324" s="418">
        <v>2</v>
      </c>
      <c r="BX324" s="418">
        <v>3</v>
      </c>
      <c r="BY324" s="418">
        <v>3</v>
      </c>
      <c r="BZ324" s="418">
        <v>3</v>
      </c>
      <c r="CA324" s="418">
        <v>2</v>
      </c>
      <c r="CB324" s="418">
        <v>2</v>
      </c>
    </row>
    <row r="325" spans="1:80" s="418" customFormat="1" x14ac:dyDescent="0.3">
      <c r="A325" s="1052">
        <v>963</v>
      </c>
      <c r="B325" s="1053">
        <v>963</v>
      </c>
      <c r="C325" s="1095" t="s">
        <v>1867</v>
      </c>
      <c r="D325" s="1096" t="s">
        <v>923</v>
      </c>
      <c r="E325" s="1056"/>
      <c r="F325" s="1063">
        <v>3</v>
      </c>
      <c r="G325" s="1063">
        <v>1</v>
      </c>
      <c r="H325" s="1063">
        <v>3</v>
      </c>
      <c r="I325" s="1063">
        <v>1</v>
      </c>
      <c r="J325" s="1063">
        <v>0</v>
      </c>
      <c r="K325" s="1063">
        <v>0</v>
      </c>
      <c r="L325" s="1063">
        <v>0</v>
      </c>
      <c r="M325" s="1063">
        <v>0</v>
      </c>
      <c r="N325" s="1063">
        <v>1</v>
      </c>
      <c r="O325" s="1063">
        <v>3</v>
      </c>
      <c r="P325" s="1063">
        <v>1</v>
      </c>
      <c r="Q325" s="1063">
        <v>0</v>
      </c>
      <c r="R325" s="1063">
        <v>1</v>
      </c>
      <c r="S325" s="1063">
        <v>1</v>
      </c>
      <c r="T325" s="1063">
        <v>1</v>
      </c>
      <c r="U325" s="1063">
        <v>1</v>
      </c>
      <c r="V325" s="1063"/>
      <c r="W325" s="1049"/>
      <c r="X325" s="1049"/>
      <c r="Y325" s="1049"/>
      <c r="Z325" s="1049"/>
      <c r="AA325" s="1066"/>
      <c r="AT325" s="418">
        <v>1</v>
      </c>
      <c r="AU325" s="418">
        <v>3</v>
      </c>
      <c r="AV325" s="418">
        <v>1</v>
      </c>
      <c r="AW325" s="418">
        <v>3</v>
      </c>
      <c r="AX325" s="418">
        <v>3</v>
      </c>
      <c r="AY325" s="418">
        <v>3</v>
      </c>
      <c r="AZ325" s="418">
        <v>3</v>
      </c>
      <c r="BA325" s="418">
        <v>2</v>
      </c>
      <c r="BB325" s="418">
        <v>3</v>
      </c>
      <c r="BC325" s="418">
        <v>3</v>
      </c>
      <c r="BD325" s="418">
        <v>0</v>
      </c>
      <c r="BE325" s="418">
        <v>3</v>
      </c>
      <c r="BF325" s="418">
        <v>1</v>
      </c>
      <c r="BG325" s="418">
        <v>0</v>
      </c>
      <c r="BH325" s="418">
        <v>3</v>
      </c>
      <c r="BI325" s="418">
        <v>1</v>
      </c>
      <c r="BJ325" s="418">
        <v>3</v>
      </c>
      <c r="BK325" s="418">
        <v>0</v>
      </c>
      <c r="BL325" s="418">
        <v>3</v>
      </c>
      <c r="BM325" s="418">
        <v>1</v>
      </c>
      <c r="BN325" s="418">
        <v>3</v>
      </c>
      <c r="BO325" s="418">
        <v>3</v>
      </c>
      <c r="BP325" s="418">
        <v>3</v>
      </c>
      <c r="BQ325" s="418">
        <v>3</v>
      </c>
      <c r="BR325" s="418">
        <v>1</v>
      </c>
      <c r="BS325" s="418">
        <v>1</v>
      </c>
      <c r="BT325" s="418">
        <v>3</v>
      </c>
      <c r="BU325" s="418">
        <v>3</v>
      </c>
      <c r="BV325" s="418">
        <v>3</v>
      </c>
      <c r="BW325" s="418">
        <v>3</v>
      </c>
      <c r="BX325" s="418">
        <v>3</v>
      </c>
      <c r="BY325" s="418">
        <v>3</v>
      </c>
      <c r="BZ325" s="418">
        <v>3</v>
      </c>
      <c r="CA325" s="418">
        <v>3</v>
      </c>
      <c r="CB325" s="418">
        <v>3</v>
      </c>
    </row>
    <row r="326" spans="1:80" s="418" customFormat="1" ht="28.8" x14ac:dyDescent="0.3">
      <c r="A326" s="1052">
        <v>965</v>
      </c>
      <c r="B326" s="1053">
        <v>965</v>
      </c>
      <c r="C326" s="1095" t="s">
        <v>1867</v>
      </c>
      <c r="D326" s="1096" t="s">
        <v>924</v>
      </c>
      <c r="E326" s="1056"/>
      <c r="F326" s="1063">
        <v>1</v>
      </c>
      <c r="G326" s="1063">
        <v>1</v>
      </c>
      <c r="H326" s="1063">
        <v>0</v>
      </c>
      <c r="I326" s="1063">
        <v>1</v>
      </c>
      <c r="J326" s="1063">
        <v>0</v>
      </c>
      <c r="K326" s="1063">
        <v>0</v>
      </c>
      <c r="L326" s="1063">
        <v>0</v>
      </c>
      <c r="M326" s="1063">
        <v>0</v>
      </c>
      <c r="N326" s="1063">
        <v>1</v>
      </c>
      <c r="O326" s="1063">
        <v>1</v>
      </c>
      <c r="P326" s="1063">
        <v>1</v>
      </c>
      <c r="Q326" s="1063">
        <v>0</v>
      </c>
      <c r="R326" s="1063">
        <v>2</v>
      </c>
      <c r="S326" s="1063">
        <v>1</v>
      </c>
      <c r="T326" s="1063">
        <v>1</v>
      </c>
      <c r="U326" s="1063">
        <v>1</v>
      </c>
      <c r="V326" s="1063"/>
      <c r="W326" s="1049"/>
      <c r="X326" s="1049"/>
      <c r="Y326" s="1049"/>
      <c r="Z326" s="1049"/>
      <c r="AA326" s="1066"/>
      <c r="AT326" s="418">
        <v>1</v>
      </c>
      <c r="AU326" s="418">
        <v>1</v>
      </c>
      <c r="AV326" s="418">
        <v>1</v>
      </c>
      <c r="AW326" s="418">
        <v>1</v>
      </c>
      <c r="AX326" s="418">
        <v>1</v>
      </c>
      <c r="AY326" s="418">
        <v>1</v>
      </c>
      <c r="AZ326" s="418">
        <v>1</v>
      </c>
      <c r="BA326" s="418">
        <v>1</v>
      </c>
      <c r="BB326" s="418">
        <v>1</v>
      </c>
      <c r="BC326" s="418">
        <v>1</v>
      </c>
      <c r="BD326" s="418">
        <v>0</v>
      </c>
      <c r="BE326" s="418">
        <v>1</v>
      </c>
      <c r="BF326" s="418">
        <v>1</v>
      </c>
      <c r="BG326" s="418">
        <v>0</v>
      </c>
      <c r="BH326" s="418">
        <v>1</v>
      </c>
      <c r="BI326" s="418">
        <v>1</v>
      </c>
      <c r="BJ326" s="418">
        <v>1</v>
      </c>
      <c r="BK326" s="418">
        <v>0</v>
      </c>
      <c r="BL326" s="418">
        <v>1</v>
      </c>
      <c r="BM326" s="418">
        <v>1</v>
      </c>
      <c r="BN326" s="418">
        <v>1</v>
      </c>
      <c r="BO326" s="418">
        <v>1</v>
      </c>
      <c r="BP326" s="418">
        <v>1</v>
      </c>
      <c r="BQ326" s="418">
        <v>1</v>
      </c>
      <c r="BR326" s="418">
        <v>1</v>
      </c>
      <c r="BS326" s="418">
        <v>1</v>
      </c>
      <c r="BT326" s="418">
        <v>1</v>
      </c>
      <c r="BU326" s="418">
        <v>1</v>
      </c>
      <c r="BV326" s="418">
        <v>1</v>
      </c>
      <c r="BW326" s="418">
        <v>1</v>
      </c>
      <c r="BX326" s="418">
        <v>1</v>
      </c>
      <c r="BY326" s="418">
        <v>1</v>
      </c>
      <c r="BZ326" s="418">
        <v>1</v>
      </c>
      <c r="CA326" s="418">
        <v>1</v>
      </c>
      <c r="CB326" s="418">
        <v>1</v>
      </c>
    </row>
    <row r="327" spans="1:80" s="418" customFormat="1" ht="28.8" x14ac:dyDescent="0.3">
      <c r="A327" s="1052">
        <v>603</v>
      </c>
      <c r="B327" s="1053">
        <v>603</v>
      </c>
      <c r="C327" s="1095" t="s">
        <v>1868</v>
      </c>
      <c r="D327" s="1096" t="s">
        <v>929</v>
      </c>
      <c r="E327" s="1056"/>
      <c r="F327" s="1063">
        <v>1</v>
      </c>
      <c r="G327" s="1063">
        <v>0</v>
      </c>
      <c r="H327" s="1063">
        <v>0</v>
      </c>
      <c r="I327" s="1063">
        <v>1</v>
      </c>
      <c r="J327" s="1063">
        <v>0</v>
      </c>
      <c r="K327" s="1063">
        <v>0</v>
      </c>
      <c r="L327" s="1063">
        <v>0</v>
      </c>
      <c r="M327" s="1063">
        <v>0</v>
      </c>
      <c r="N327" s="1063">
        <v>1</v>
      </c>
      <c r="O327" s="1063">
        <v>0</v>
      </c>
      <c r="P327" s="1063">
        <v>1</v>
      </c>
      <c r="Q327" s="1063">
        <v>0</v>
      </c>
      <c r="R327" s="1063">
        <v>1</v>
      </c>
      <c r="S327" s="1063">
        <v>1</v>
      </c>
      <c r="T327" s="1063">
        <v>1</v>
      </c>
      <c r="U327" s="1063">
        <v>0</v>
      </c>
      <c r="V327" s="1063"/>
      <c r="W327" s="1049"/>
      <c r="X327" s="1049"/>
      <c r="Y327" s="1049"/>
      <c r="Z327" s="1049"/>
      <c r="AA327" s="1066"/>
      <c r="AT327" s="418">
        <v>0</v>
      </c>
      <c r="AU327" s="418">
        <v>2</v>
      </c>
      <c r="AV327" s="418">
        <v>2</v>
      </c>
      <c r="AW327" s="418">
        <v>2</v>
      </c>
      <c r="AX327" s="418">
        <v>1</v>
      </c>
      <c r="AY327" s="418">
        <v>0</v>
      </c>
      <c r="AZ327" s="418">
        <v>2</v>
      </c>
      <c r="BA327" s="418">
        <v>4</v>
      </c>
      <c r="BB327" s="418">
        <v>5</v>
      </c>
      <c r="BC327" s="418">
        <v>0</v>
      </c>
      <c r="BD327" s="418">
        <v>0</v>
      </c>
      <c r="BE327" s="418">
        <v>0</v>
      </c>
      <c r="BF327" s="418">
        <v>4</v>
      </c>
      <c r="BG327" s="418">
        <v>0</v>
      </c>
      <c r="BH327" s="418">
        <v>0</v>
      </c>
      <c r="BI327" s="418">
        <v>0</v>
      </c>
      <c r="BJ327" s="418">
        <v>2</v>
      </c>
      <c r="BK327" s="418">
        <v>0</v>
      </c>
      <c r="BL327" s="418">
        <v>0</v>
      </c>
      <c r="BM327" s="418">
        <v>0</v>
      </c>
      <c r="BN327" s="418">
        <v>2</v>
      </c>
      <c r="BO327" s="418">
        <v>1</v>
      </c>
      <c r="BP327" s="418">
        <v>0</v>
      </c>
      <c r="BQ327" s="418">
        <v>2</v>
      </c>
      <c r="BR327" s="418">
        <v>1</v>
      </c>
      <c r="BS327" s="418">
        <v>0</v>
      </c>
      <c r="BT327" s="418">
        <v>1</v>
      </c>
      <c r="BU327" s="418">
        <v>1</v>
      </c>
      <c r="BV327" s="418">
        <v>0</v>
      </c>
      <c r="BW327" s="418">
        <v>4</v>
      </c>
      <c r="BX327" s="418">
        <v>0</v>
      </c>
      <c r="BY327" s="418">
        <v>2</v>
      </c>
      <c r="BZ327" s="418">
        <v>1</v>
      </c>
      <c r="CA327" s="418">
        <v>1</v>
      </c>
      <c r="CB327" s="418">
        <v>0</v>
      </c>
    </row>
    <row r="328" spans="1:80" s="418" customFormat="1" x14ac:dyDescent="0.3">
      <c r="A328" s="1052">
        <v>929</v>
      </c>
      <c r="B328" s="1053">
        <v>929</v>
      </c>
      <c r="C328" s="1095" t="s">
        <v>1868</v>
      </c>
      <c r="D328" s="1096" t="s">
        <v>925</v>
      </c>
      <c r="E328" s="1056"/>
      <c r="F328" s="1063">
        <v>2</v>
      </c>
      <c r="G328" s="1063">
        <v>0</v>
      </c>
      <c r="H328" s="1063">
        <v>0</v>
      </c>
      <c r="I328" s="1063">
        <v>2</v>
      </c>
      <c r="J328" s="1063">
        <v>0</v>
      </c>
      <c r="K328" s="1063">
        <v>0</v>
      </c>
      <c r="L328" s="1063">
        <v>0</v>
      </c>
      <c r="M328" s="1063">
        <v>0</v>
      </c>
      <c r="N328" s="1063">
        <v>2</v>
      </c>
      <c r="O328" s="1063">
        <v>0</v>
      </c>
      <c r="P328" s="1063">
        <v>2</v>
      </c>
      <c r="Q328" s="1063">
        <v>0</v>
      </c>
      <c r="R328" s="1063">
        <v>2</v>
      </c>
      <c r="S328" s="1063">
        <v>2</v>
      </c>
      <c r="T328" s="1063">
        <v>2</v>
      </c>
      <c r="U328" s="1063">
        <v>0</v>
      </c>
      <c r="V328" s="1063"/>
      <c r="W328" s="1049"/>
      <c r="X328" s="1049"/>
      <c r="Y328" s="1049"/>
      <c r="Z328" s="1049"/>
      <c r="AA328" s="1066"/>
      <c r="AT328" s="418">
        <v>0</v>
      </c>
      <c r="AU328" s="418">
        <v>1</v>
      </c>
      <c r="AV328" s="418">
        <v>2</v>
      </c>
      <c r="AW328" s="418">
        <v>2</v>
      </c>
      <c r="AX328" s="418">
        <v>2</v>
      </c>
      <c r="AY328" s="418">
        <v>0</v>
      </c>
      <c r="AZ328" s="418">
        <v>2</v>
      </c>
      <c r="BA328" s="418">
        <v>2</v>
      </c>
      <c r="BB328" s="418">
        <v>2</v>
      </c>
      <c r="BC328" s="418">
        <v>0</v>
      </c>
      <c r="BD328" s="418">
        <v>0</v>
      </c>
      <c r="BE328" s="418">
        <v>0</v>
      </c>
      <c r="BF328" s="418">
        <v>1</v>
      </c>
      <c r="BG328" s="418">
        <v>0</v>
      </c>
      <c r="BH328" s="418">
        <v>0</v>
      </c>
      <c r="BI328" s="418">
        <v>0</v>
      </c>
      <c r="BJ328" s="418">
        <v>2</v>
      </c>
      <c r="BK328" s="418">
        <v>0</v>
      </c>
      <c r="BL328" s="418">
        <v>0</v>
      </c>
      <c r="BM328" s="418">
        <v>0</v>
      </c>
      <c r="BN328" s="418">
        <v>2</v>
      </c>
      <c r="BO328" s="418">
        <v>2</v>
      </c>
      <c r="BP328" s="418">
        <v>0</v>
      </c>
      <c r="BQ328" s="418">
        <v>2</v>
      </c>
      <c r="BR328" s="418">
        <v>2</v>
      </c>
      <c r="BS328" s="418">
        <v>0</v>
      </c>
      <c r="BT328" s="418">
        <v>2</v>
      </c>
      <c r="BU328" s="418">
        <v>2</v>
      </c>
      <c r="BV328" s="418">
        <v>0</v>
      </c>
      <c r="BW328" s="418">
        <v>1</v>
      </c>
      <c r="BX328" s="418">
        <v>0</v>
      </c>
      <c r="BY328" s="418">
        <v>2</v>
      </c>
      <c r="BZ328" s="418">
        <v>2</v>
      </c>
      <c r="CA328" s="418">
        <v>2</v>
      </c>
      <c r="CB328" s="418">
        <v>0</v>
      </c>
    </row>
    <row r="329" spans="1:80" s="418" customFormat="1" x14ac:dyDescent="0.3">
      <c r="A329" s="1052">
        <v>930</v>
      </c>
      <c r="B329" s="1053">
        <v>930</v>
      </c>
      <c r="C329" s="1095" t="s">
        <v>1868</v>
      </c>
      <c r="D329" s="1096" t="s">
        <v>926</v>
      </c>
      <c r="E329" s="1056"/>
      <c r="F329" s="1063">
        <v>2</v>
      </c>
      <c r="G329" s="1063">
        <v>0</v>
      </c>
      <c r="H329" s="1063">
        <v>0</v>
      </c>
      <c r="I329" s="1063">
        <v>2</v>
      </c>
      <c r="J329" s="1063">
        <v>0</v>
      </c>
      <c r="K329" s="1063">
        <v>0</v>
      </c>
      <c r="L329" s="1063">
        <v>0</v>
      </c>
      <c r="M329" s="1063">
        <v>0</v>
      </c>
      <c r="N329" s="1063">
        <v>2</v>
      </c>
      <c r="O329" s="1063">
        <v>0</v>
      </c>
      <c r="P329" s="1063">
        <v>2</v>
      </c>
      <c r="Q329" s="1063">
        <v>0</v>
      </c>
      <c r="R329" s="1063">
        <v>2</v>
      </c>
      <c r="S329" s="1063">
        <v>2</v>
      </c>
      <c r="T329" s="1063">
        <v>2</v>
      </c>
      <c r="U329" s="1063">
        <v>0</v>
      </c>
      <c r="V329" s="1063"/>
      <c r="W329" s="1049"/>
      <c r="X329" s="1049"/>
      <c r="Y329" s="1049"/>
      <c r="Z329" s="1049"/>
      <c r="AA329" s="1066"/>
      <c r="AT329" s="418">
        <v>0</v>
      </c>
      <c r="AU329" s="418">
        <v>2</v>
      </c>
      <c r="AV329" s="418">
        <v>2</v>
      </c>
      <c r="AW329" s="418">
        <v>2</v>
      </c>
      <c r="AX329" s="418">
        <v>2</v>
      </c>
      <c r="AY329" s="418">
        <v>0</v>
      </c>
      <c r="AZ329" s="418">
        <v>2</v>
      </c>
      <c r="BA329" s="418">
        <v>1</v>
      </c>
      <c r="BB329" s="418">
        <v>1</v>
      </c>
      <c r="BC329" s="418">
        <v>0</v>
      </c>
      <c r="BD329" s="418">
        <v>0</v>
      </c>
      <c r="BE329" s="418">
        <v>0</v>
      </c>
      <c r="BF329" s="418">
        <v>2</v>
      </c>
      <c r="BG329" s="418">
        <v>0</v>
      </c>
      <c r="BH329" s="418">
        <v>0</v>
      </c>
      <c r="BI329" s="418">
        <v>0</v>
      </c>
      <c r="BJ329" s="418">
        <v>2</v>
      </c>
      <c r="BK329" s="418">
        <v>0</v>
      </c>
      <c r="BL329" s="418">
        <v>0</v>
      </c>
      <c r="BM329" s="418">
        <v>0</v>
      </c>
      <c r="BN329" s="418">
        <v>2</v>
      </c>
      <c r="BO329" s="418">
        <v>2</v>
      </c>
      <c r="BP329" s="418">
        <v>0</v>
      </c>
      <c r="BQ329" s="418">
        <v>2</v>
      </c>
      <c r="BR329" s="418">
        <v>2</v>
      </c>
      <c r="BS329" s="418">
        <v>0</v>
      </c>
      <c r="BT329" s="418">
        <v>2</v>
      </c>
      <c r="BU329" s="418">
        <v>2</v>
      </c>
      <c r="BV329" s="418">
        <v>0</v>
      </c>
      <c r="BW329" s="418">
        <v>2</v>
      </c>
      <c r="BX329" s="418">
        <v>0</v>
      </c>
      <c r="BY329" s="418">
        <v>2</v>
      </c>
      <c r="BZ329" s="418">
        <v>2</v>
      </c>
      <c r="CA329" s="418">
        <v>2</v>
      </c>
      <c r="CB329" s="418">
        <v>0</v>
      </c>
    </row>
    <row r="330" spans="1:80" s="418" customFormat="1" x14ac:dyDescent="0.3">
      <c r="A330" s="1052">
        <v>931</v>
      </c>
      <c r="B330" s="1053">
        <v>931</v>
      </c>
      <c r="C330" s="1095" t="s">
        <v>1868</v>
      </c>
      <c r="D330" s="1096" t="s">
        <v>927</v>
      </c>
      <c r="E330" s="1056"/>
      <c r="F330" s="1063">
        <v>2</v>
      </c>
      <c r="G330" s="1063">
        <v>0</v>
      </c>
      <c r="H330" s="1063">
        <v>0</v>
      </c>
      <c r="I330" s="1063">
        <v>2</v>
      </c>
      <c r="J330" s="1063">
        <v>0</v>
      </c>
      <c r="K330" s="1063">
        <v>0</v>
      </c>
      <c r="L330" s="1063">
        <v>0</v>
      </c>
      <c r="M330" s="1063">
        <v>0</v>
      </c>
      <c r="N330" s="1063">
        <v>2</v>
      </c>
      <c r="O330" s="1063">
        <v>0</v>
      </c>
      <c r="P330" s="1063">
        <v>2</v>
      </c>
      <c r="Q330" s="1063">
        <v>0</v>
      </c>
      <c r="R330" s="1063">
        <v>2</v>
      </c>
      <c r="S330" s="1063">
        <v>2</v>
      </c>
      <c r="T330" s="1063">
        <v>2</v>
      </c>
      <c r="U330" s="1063">
        <v>0</v>
      </c>
      <c r="V330" s="1063"/>
      <c r="W330" s="1049"/>
      <c r="X330" s="1049"/>
      <c r="Y330" s="1049"/>
      <c r="Z330" s="1049"/>
      <c r="AA330" s="1066"/>
      <c r="AT330" s="418">
        <v>0</v>
      </c>
      <c r="AU330" s="418">
        <v>2</v>
      </c>
      <c r="AV330" s="418">
        <v>2</v>
      </c>
      <c r="AW330" s="418">
        <v>2</v>
      </c>
      <c r="AX330" s="418">
        <v>2</v>
      </c>
      <c r="AY330" s="418">
        <v>0</v>
      </c>
      <c r="AZ330" s="418">
        <v>2</v>
      </c>
      <c r="BA330" s="418">
        <v>2</v>
      </c>
      <c r="BB330" s="418">
        <v>2</v>
      </c>
      <c r="BC330" s="418">
        <v>0</v>
      </c>
      <c r="BD330" s="418">
        <v>0</v>
      </c>
      <c r="BE330" s="418">
        <v>0</v>
      </c>
      <c r="BF330" s="418">
        <v>2</v>
      </c>
      <c r="BG330" s="418">
        <v>0</v>
      </c>
      <c r="BH330" s="418">
        <v>0</v>
      </c>
      <c r="BI330" s="418">
        <v>0</v>
      </c>
      <c r="BJ330" s="418">
        <v>2</v>
      </c>
      <c r="BK330" s="418">
        <v>0</v>
      </c>
      <c r="BL330" s="418">
        <v>0</v>
      </c>
      <c r="BM330" s="418">
        <v>0</v>
      </c>
      <c r="BN330" s="418">
        <v>2</v>
      </c>
      <c r="BO330" s="418">
        <v>2</v>
      </c>
      <c r="BP330" s="418">
        <v>0</v>
      </c>
      <c r="BQ330" s="418">
        <v>2</v>
      </c>
      <c r="BR330" s="418">
        <v>2</v>
      </c>
      <c r="BS330" s="418">
        <v>0</v>
      </c>
      <c r="BT330" s="418">
        <v>2</v>
      </c>
      <c r="BU330" s="418">
        <v>2</v>
      </c>
      <c r="BV330" s="418">
        <v>0</v>
      </c>
      <c r="BW330" s="418">
        <v>2</v>
      </c>
      <c r="BX330" s="418">
        <v>0</v>
      </c>
      <c r="BY330" s="418">
        <v>2</v>
      </c>
      <c r="BZ330" s="418">
        <v>2</v>
      </c>
      <c r="CA330" s="418">
        <v>2</v>
      </c>
      <c r="CB330" s="418">
        <v>0</v>
      </c>
    </row>
    <row r="331" spans="1:80" s="418" customFormat="1" x14ac:dyDescent="0.3">
      <c r="A331" s="1052">
        <v>932</v>
      </c>
      <c r="B331" s="1053">
        <v>932</v>
      </c>
      <c r="C331" s="1095" t="s">
        <v>1868</v>
      </c>
      <c r="D331" s="1096" t="s">
        <v>928</v>
      </c>
      <c r="E331" s="1056"/>
      <c r="F331" s="1063">
        <v>2</v>
      </c>
      <c r="G331" s="1063">
        <v>0</v>
      </c>
      <c r="H331" s="1063">
        <v>0</v>
      </c>
      <c r="I331" s="1063">
        <v>2</v>
      </c>
      <c r="J331" s="1063">
        <v>0</v>
      </c>
      <c r="K331" s="1063">
        <v>0</v>
      </c>
      <c r="L331" s="1063">
        <v>0</v>
      </c>
      <c r="M331" s="1063">
        <v>0</v>
      </c>
      <c r="N331" s="1063">
        <v>2</v>
      </c>
      <c r="O331" s="1063">
        <v>0</v>
      </c>
      <c r="P331" s="1063">
        <v>2</v>
      </c>
      <c r="Q331" s="1063">
        <v>0</v>
      </c>
      <c r="R331" s="1063">
        <v>2</v>
      </c>
      <c r="S331" s="1063">
        <v>2</v>
      </c>
      <c r="T331" s="1063">
        <v>2</v>
      </c>
      <c r="U331" s="1063">
        <v>0</v>
      </c>
      <c r="V331" s="1063"/>
      <c r="W331" s="1049"/>
      <c r="X331" s="1049"/>
      <c r="Y331" s="1049"/>
      <c r="Z331" s="1049"/>
      <c r="AA331" s="1066"/>
      <c r="AT331" s="418">
        <v>0</v>
      </c>
      <c r="AU331" s="418">
        <v>2</v>
      </c>
      <c r="AV331" s="418">
        <v>2</v>
      </c>
      <c r="AW331" s="418">
        <v>2</v>
      </c>
      <c r="AX331" s="418">
        <v>2</v>
      </c>
      <c r="AY331" s="418">
        <v>0</v>
      </c>
      <c r="AZ331" s="418">
        <v>2</v>
      </c>
      <c r="BA331" s="418">
        <v>2</v>
      </c>
      <c r="BB331" s="418">
        <v>1</v>
      </c>
      <c r="BC331" s="418">
        <v>0</v>
      </c>
      <c r="BD331" s="418">
        <v>0</v>
      </c>
      <c r="BE331" s="418">
        <v>0</v>
      </c>
      <c r="BF331" s="418">
        <v>2</v>
      </c>
      <c r="BG331" s="418">
        <v>0</v>
      </c>
      <c r="BH331" s="418">
        <v>0</v>
      </c>
      <c r="BI331" s="418">
        <v>0</v>
      </c>
      <c r="BJ331" s="418">
        <v>2</v>
      </c>
      <c r="BK331" s="418">
        <v>0</v>
      </c>
      <c r="BL331" s="418">
        <v>0</v>
      </c>
      <c r="BM331" s="418">
        <v>0</v>
      </c>
      <c r="BN331" s="418">
        <v>2</v>
      </c>
      <c r="BO331" s="418">
        <v>2</v>
      </c>
      <c r="BP331" s="418">
        <v>0</v>
      </c>
      <c r="BQ331" s="418">
        <v>2</v>
      </c>
      <c r="BR331" s="418">
        <v>2</v>
      </c>
      <c r="BS331" s="418">
        <v>0</v>
      </c>
      <c r="BT331" s="418">
        <v>2</v>
      </c>
      <c r="BU331" s="418">
        <v>2</v>
      </c>
      <c r="BV331" s="418">
        <v>0</v>
      </c>
      <c r="BW331" s="418">
        <v>2</v>
      </c>
      <c r="BX331" s="418">
        <v>0</v>
      </c>
      <c r="BY331" s="418">
        <v>2</v>
      </c>
      <c r="BZ331" s="418">
        <v>2</v>
      </c>
      <c r="CA331" s="418">
        <v>2</v>
      </c>
      <c r="CB331" s="418">
        <v>0</v>
      </c>
    </row>
    <row r="332" spans="1:80" s="418" customFormat="1" x14ac:dyDescent="0.3">
      <c r="A332" s="1052" t="s">
        <v>1869</v>
      </c>
      <c r="B332" s="1049"/>
      <c r="C332" s="1095"/>
      <c r="D332" s="1096"/>
      <c r="E332" s="1056"/>
      <c r="F332" s="1049"/>
      <c r="G332" s="1049"/>
      <c r="H332" s="1049"/>
      <c r="I332" s="1049"/>
      <c r="J332" s="1049"/>
      <c r="K332" s="1049"/>
      <c r="L332" s="1049"/>
      <c r="M332" s="1049"/>
      <c r="N332" s="1049"/>
      <c r="O332" s="1049"/>
      <c r="P332" s="1049"/>
      <c r="Q332" s="1049"/>
      <c r="R332" s="1049"/>
      <c r="S332" s="1049"/>
      <c r="T332" s="1049"/>
      <c r="U332" s="1049"/>
      <c r="V332" s="1049"/>
      <c r="W332" s="1049"/>
      <c r="X332" s="1049"/>
      <c r="Y332" s="1049"/>
      <c r="Z332" s="1049"/>
      <c r="AA332" s="1066"/>
    </row>
    <row r="333" spans="1:80" s="418" customFormat="1" x14ac:dyDescent="0.3">
      <c r="A333" s="1052" t="s">
        <v>1869</v>
      </c>
      <c r="B333" s="1049"/>
      <c r="C333" s="1049"/>
      <c r="D333" s="1052"/>
      <c r="E333" s="1049"/>
      <c r="F333" s="1049"/>
      <c r="G333" s="1049"/>
      <c r="H333" s="1049"/>
      <c r="I333" s="1049"/>
      <c r="J333" s="1049"/>
      <c r="K333" s="1049"/>
      <c r="L333" s="1049"/>
      <c r="M333" s="1049"/>
      <c r="N333" s="1049"/>
      <c r="O333" s="1049"/>
      <c r="P333" s="1049"/>
      <c r="Q333" s="1049"/>
      <c r="R333" s="1049"/>
      <c r="S333" s="1049"/>
      <c r="T333" s="1049"/>
      <c r="U333" s="1049"/>
      <c r="V333" s="1049"/>
      <c r="W333" s="1049"/>
      <c r="X333" s="1049"/>
      <c r="Y333" s="1049"/>
      <c r="Z333" s="1049"/>
      <c r="AA333" s="1066"/>
    </row>
    <row r="334" spans="1:80" s="418" customFormat="1" x14ac:dyDescent="0.3">
      <c r="A334" s="1097" t="s">
        <v>1870</v>
      </c>
      <c r="B334" s="1098"/>
      <c r="C334" s="1099"/>
      <c r="D334" s="1100" t="s">
        <v>1107</v>
      </c>
      <c r="E334" s="1049"/>
      <c r="F334" s="1063">
        <v>0</v>
      </c>
      <c r="G334" s="1063">
        <v>0</v>
      </c>
      <c r="H334" s="1063">
        <v>0</v>
      </c>
      <c r="I334" s="1063">
        <v>0</v>
      </c>
      <c r="J334" s="1063">
        <v>0</v>
      </c>
      <c r="K334" s="1063">
        <v>0</v>
      </c>
      <c r="L334" s="1063">
        <v>0</v>
      </c>
      <c r="M334" s="1063">
        <v>0</v>
      </c>
      <c r="N334" s="1063">
        <v>0</v>
      </c>
      <c r="O334" s="1063">
        <v>0</v>
      </c>
      <c r="P334" s="1063"/>
      <c r="Q334" s="1063">
        <v>0</v>
      </c>
      <c r="R334" s="1063">
        <v>0</v>
      </c>
      <c r="S334" s="1063">
        <v>0</v>
      </c>
      <c r="T334" s="1063">
        <v>0</v>
      </c>
      <c r="U334" s="1063">
        <v>0</v>
      </c>
      <c r="V334" s="1063">
        <v>0</v>
      </c>
      <c r="W334" s="1049"/>
      <c r="X334" s="1049"/>
      <c r="Y334" s="1049"/>
      <c r="Z334" s="1049"/>
      <c r="AA334" s="1066"/>
      <c r="AT334" s="418">
        <v>654841</v>
      </c>
      <c r="AU334" s="418">
        <v>4781660</v>
      </c>
      <c r="AV334" s="418">
        <v>10864000</v>
      </c>
      <c r="AW334" s="418">
        <v>115739</v>
      </c>
      <c r="AX334" s="418">
        <v>840880</v>
      </c>
      <c r="AY334" s="418">
        <v>2915717</v>
      </c>
      <c r="AZ334" s="418">
        <v>4073079</v>
      </c>
      <c r="BA334" s="418">
        <v>4113437</v>
      </c>
      <c r="BB334" s="418">
        <v>52028</v>
      </c>
      <c r="BC334" s="418">
        <v>2494601</v>
      </c>
      <c r="BD334" s="418">
        <v>0</v>
      </c>
      <c r="BE334" s="418">
        <v>67554</v>
      </c>
      <c r="BF334" s="418">
        <v>27708342</v>
      </c>
      <c r="BG334" s="418">
        <v>0</v>
      </c>
      <c r="BH334" s="418">
        <v>47685</v>
      </c>
      <c r="BI334" s="418">
        <v>3009729</v>
      </c>
      <c r="BJ334" s="418">
        <v>2485704</v>
      </c>
      <c r="BK334" s="418">
        <v>0</v>
      </c>
      <c r="BL334" s="418">
        <v>9454369</v>
      </c>
      <c r="BM334" s="418">
        <v>4163206</v>
      </c>
      <c r="BN334" s="418">
        <v>40551</v>
      </c>
      <c r="BO334" s="418">
        <v>6868959</v>
      </c>
      <c r="BP334" s="418">
        <v>1565361</v>
      </c>
      <c r="BQ334" s="418">
        <v>1043552</v>
      </c>
      <c r="BR334" s="418">
        <v>1983298</v>
      </c>
      <c r="BS334" s="418">
        <v>1104978</v>
      </c>
      <c r="BT334" s="418">
        <v>25453289</v>
      </c>
      <c r="BU334" s="418">
        <v>2020087</v>
      </c>
      <c r="BV334" s="418">
        <v>2776433</v>
      </c>
      <c r="BW334" s="418">
        <v>1435483</v>
      </c>
      <c r="BX334" s="418">
        <v>782442</v>
      </c>
      <c r="BY334" s="418">
        <v>31281</v>
      </c>
      <c r="BZ334" s="418">
        <v>40519</v>
      </c>
      <c r="CA334" s="418">
        <v>18193742</v>
      </c>
      <c r="CB334" s="418">
        <v>157054</v>
      </c>
    </row>
    <row r="335" spans="1:80" s="418" customFormat="1" x14ac:dyDescent="0.3">
      <c r="A335" s="1097"/>
      <c r="B335" s="1098"/>
      <c r="C335" s="1099"/>
      <c r="D335" s="1099"/>
      <c r="E335" s="1049"/>
      <c r="F335" s="1101" t="b">
        <v>0</v>
      </c>
      <c r="G335" s="1101" t="b">
        <v>0</v>
      </c>
      <c r="H335" s="1101" t="b">
        <v>0</v>
      </c>
      <c r="I335" s="1101" t="b">
        <v>0</v>
      </c>
      <c r="J335" s="1101" t="b">
        <v>0</v>
      </c>
      <c r="K335" s="1101" t="b">
        <v>0</v>
      </c>
      <c r="L335" s="1101" t="b">
        <v>0</v>
      </c>
      <c r="M335" s="1101" t="b">
        <v>0</v>
      </c>
      <c r="N335" s="1101" t="b">
        <v>0</v>
      </c>
      <c r="O335" s="1101" t="b">
        <v>0</v>
      </c>
      <c r="P335" s="1101"/>
      <c r="Q335" s="1101" t="b">
        <v>0</v>
      </c>
      <c r="R335" s="1101" t="b">
        <v>0</v>
      </c>
      <c r="S335" s="1101" t="b">
        <v>0</v>
      </c>
      <c r="T335" s="1101" t="b">
        <v>0</v>
      </c>
      <c r="U335" s="1101" t="b">
        <v>0</v>
      </c>
      <c r="V335" s="1101" t="b">
        <v>0</v>
      </c>
      <c r="W335" s="1049"/>
      <c r="X335" s="1049"/>
      <c r="Y335" s="1049"/>
      <c r="Z335" s="1049"/>
      <c r="AA335" s="1066"/>
      <c r="AT335" s="418" t="s">
        <v>1281</v>
      </c>
      <c r="AU335" s="418" t="s">
        <v>1279</v>
      </c>
      <c r="AV335" s="418" t="s">
        <v>1280</v>
      </c>
      <c r="AW335" s="418" t="s">
        <v>1281</v>
      </c>
      <c r="AX335" s="418" t="s">
        <v>1281</v>
      </c>
      <c r="AY335" s="418" t="s">
        <v>1279</v>
      </c>
      <c r="AZ335" s="418" t="s">
        <v>1279</v>
      </c>
      <c r="BA335" s="418" t="s">
        <v>1279</v>
      </c>
      <c r="BB335" s="418" t="s">
        <v>1282</v>
      </c>
      <c r="BC335" s="418" t="s">
        <v>1279</v>
      </c>
      <c r="BD335" s="418" t="b">
        <v>0</v>
      </c>
      <c r="BE335" s="418" t="s">
        <v>1282</v>
      </c>
      <c r="BF335" s="418" t="s">
        <v>1280</v>
      </c>
      <c r="BG335" s="418" t="b">
        <v>0</v>
      </c>
      <c r="BH335" s="418" t="s">
        <v>1282</v>
      </c>
      <c r="BI335" s="418" t="s">
        <v>1279</v>
      </c>
      <c r="BJ335" s="418" t="s">
        <v>1279</v>
      </c>
      <c r="BK335" s="418" t="b">
        <v>0</v>
      </c>
      <c r="BL335" s="418" t="s">
        <v>1279</v>
      </c>
      <c r="BM335" s="418" t="s">
        <v>1279</v>
      </c>
      <c r="BN335" s="418" t="s">
        <v>1282</v>
      </c>
      <c r="BO335" s="418" t="s">
        <v>1279</v>
      </c>
      <c r="BP335" s="418" t="s">
        <v>1279</v>
      </c>
      <c r="BQ335" s="418" t="s">
        <v>1279</v>
      </c>
      <c r="BR335" s="418" t="s">
        <v>1279</v>
      </c>
      <c r="BS335" s="418" t="s">
        <v>1279</v>
      </c>
      <c r="BT335" s="418" t="s">
        <v>1280</v>
      </c>
      <c r="BU335" s="418" t="s">
        <v>1279</v>
      </c>
      <c r="BV335" s="418" t="s">
        <v>1279</v>
      </c>
      <c r="BW335" s="418" t="s">
        <v>1279</v>
      </c>
      <c r="BX335" s="418" t="s">
        <v>1281</v>
      </c>
      <c r="BY335" s="418" t="s">
        <v>1282</v>
      </c>
      <c r="BZ335" s="418" t="s">
        <v>1282</v>
      </c>
      <c r="CA335" s="418" t="s">
        <v>1280</v>
      </c>
      <c r="CB335" s="418" t="s">
        <v>1281</v>
      </c>
    </row>
    <row r="336" spans="1:80" s="421" customFormat="1" x14ac:dyDescent="0.3">
      <c r="A336" s="1097"/>
      <c r="B336" s="1098"/>
      <c r="C336" s="1099"/>
      <c r="D336" s="1099"/>
      <c r="E336" s="1049"/>
      <c r="F336" s="1101" t="b">
        <v>0</v>
      </c>
      <c r="G336" s="1101" t="b">
        <v>0</v>
      </c>
      <c r="H336" s="1101" t="b">
        <v>0</v>
      </c>
      <c r="I336" s="1101" t="b">
        <v>0</v>
      </c>
      <c r="J336" s="1101" t="b">
        <v>0</v>
      </c>
      <c r="K336" s="1101" t="b">
        <v>0</v>
      </c>
      <c r="L336" s="1101" t="b">
        <v>0</v>
      </c>
      <c r="M336" s="1101" t="b">
        <v>0</v>
      </c>
      <c r="N336" s="1101" t="b">
        <v>0</v>
      </c>
      <c r="O336" s="1101" t="b">
        <v>0</v>
      </c>
      <c r="P336" s="1101"/>
      <c r="Q336" s="1101" t="b">
        <v>0</v>
      </c>
      <c r="R336" s="1101" t="b">
        <v>0</v>
      </c>
      <c r="S336" s="1101" t="b">
        <v>0</v>
      </c>
      <c r="T336" s="1101" t="b">
        <v>0</v>
      </c>
      <c r="U336" s="1101" t="b">
        <v>0</v>
      </c>
      <c r="V336" s="1101" t="b">
        <v>0</v>
      </c>
      <c r="W336" s="1049"/>
      <c r="X336" s="1049"/>
      <c r="Y336" s="1049"/>
      <c r="Z336" s="1049"/>
      <c r="AA336" s="1066"/>
      <c r="AT336" s="421">
        <v>0.71</v>
      </c>
      <c r="AU336" s="421">
        <v>0.34</v>
      </c>
      <c r="AV336" s="421">
        <v>0.25</v>
      </c>
      <c r="AW336" s="421">
        <v>0.71</v>
      </c>
      <c r="AX336" s="421">
        <v>0.71</v>
      </c>
      <c r="AY336" s="421">
        <v>0.34</v>
      </c>
      <c r="AZ336" s="421">
        <v>0.34</v>
      </c>
      <c r="BA336" s="421">
        <v>0.34</v>
      </c>
      <c r="BB336" s="421">
        <v>1</v>
      </c>
      <c r="BC336" s="421">
        <v>0.34</v>
      </c>
      <c r="BE336" s="421">
        <v>1</v>
      </c>
      <c r="BF336" s="421">
        <v>0.25</v>
      </c>
      <c r="BH336" s="421">
        <v>1</v>
      </c>
      <c r="BI336" s="421">
        <v>0.34</v>
      </c>
      <c r="BJ336" s="421">
        <v>0.34</v>
      </c>
      <c r="BL336" s="421">
        <v>0.34</v>
      </c>
      <c r="BM336" s="421">
        <v>0.34</v>
      </c>
      <c r="BN336" s="421">
        <v>1</v>
      </c>
      <c r="BO336" s="421">
        <v>0.34</v>
      </c>
      <c r="BP336" s="421">
        <v>0.34</v>
      </c>
      <c r="BQ336" s="421">
        <v>0.34</v>
      </c>
      <c r="BR336" s="421">
        <v>0.34</v>
      </c>
      <c r="BS336" s="421">
        <v>0.34</v>
      </c>
      <c r="BT336" s="421">
        <v>0.25</v>
      </c>
      <c r="BU336" s="421">
        <v>0.34</v>
      </c>
      <c r="BV336" s="421">
        <v>0.34</v>
      </c>
      <c r="BW336" s="421">
        <v>0.34</v>
      </c>
      <c r="BX336" s="421">
        <v>0.71</v>
      </c>
      <c r="BY336" s="421">
        <v>1</v>
      </c>
      <c r="BZ336" s="421">
        <v>1</v>
      </c>
      <c r="CA336" s="421">
        <v>0.25</v>
      </c>
      <c r="CB336" s="421">
        <v>0.71</v>
      </c>
    </row>
    <row r="337" spans="1:80" s="418" customFormat="1" x14ac:dyDescent="0.3">
      <c r="A337" s="1097" t="s">
        <v>1108</v>
      </c>
      <c r="B337" s="1098"/>
      <c r="C337" s="1099"/>
      <c r="D337" s="1102" t="s">
        <v>875</v>
      </c>
      <c r="E337" s="1049"/>
      <c r="F337" s="1063">
        <v>0</v>
      </c>
      <c r="G337" s="1063">
        <v>0</v>
      </c>
      <c r="H337" s="1063">
        <v>0</v>
      </c>
      <c r="I337" s="1063">
        <v>0</v>
      </c>
      <c r="J337" s="1063">
        <v>0</v>
      </c>
      <c r="K337" s="1063">
        <v>0</v>
      </c>
      <c r="L337" s="1063">
        <v>0</v>
      </c>
      <c r="M337" s="1063">
        <v>0</v>
      </c>
      <c r="N337" s="1063">
        <v>0</v>
      </c>
      <c r="O337" s="1063">
        <v>0</v>
      </c>
      <c r="P337" s="1063"/>
      <c r="Q337" s="1063">
        <v>0</v>
      </c>
      <c r="R337" s="1063">
        <v>0</v>
      </c>
      <c r="S337" s="1063">
        <v>0</v>
      </c>
      <c r="T337" s="1063">
        <v>0</v>
      </c>
      <c r="U337" s="1063">
        <v>0</v>
      </c>
      <c r="V337" s="1063">
        <v>0</v>
      </c>
      <c r="W337" s="1049"/>
      <c r="X337" s="1049"/>
      <c r="Y337" s="1049"/>
      <c r="Z337" s="1049"/>
      <c r="AA337" s="1066"/>
      <c r="AT337" s="418">
        <v>412481</v>
      </c>
      <c r="AU337" s="418">
        <v>2192428</v>
      </c>
      <c r="AV337" s="418">
        <v>4701269</v>
      </c>
      <c r="AW337" s="418">
        <v>146537</v>
      </c>
      <c r="AX337" s="418">
        <v>413815</v>
      </c>
      <c r="AY337" s="418">
        <v>3160183</v>
      </c>
      <c r="AZ337" s="418">
        <v>2171978</v>
      </c>
      <c r="BA337" s="418">
        <v>1034112</v>
      </c>
      <c r="BB337" s="418">
        <v>98139</v>
      </c>
      <c r="BC337" s="418">
        <v>1275706</v>
      </c>
      <c r="BD337" s="418">
        <v>0</v>
      </c>
      <c r="BE337" s="418">
        <v>380544</v>
      </c>
      <c r="BF337" s="418">
        <v>2580625</v>
      </c>
      <c r="BG337" s="418">
        <v>0</v>
      </c>
      <c r="BH337" s="418">
        <v>151938</v>
      </c>
      <c r="BI337" s="418">
        <v>2696780</v>
      </c>
      <c r="BJ337" s="418">
        <v>3219557</v>
      </c>
      <c r="BK337" s="418">
        <v>0</v>
      </c>
      <c r="BL337" s="418">
        <v>2466858</v>
      </c>
      <c r="BM337" s="418">
        <v>5673126</v>
      </c>
      <c r="BN337" s="418">
        <v>136189</v>
      </c>
      <c r="BO337" s="418">
        <v>3306575</v>
      </c>
      <c r="BP337" s="418">
        <v>3353718</v>
      </c>
      <c r="BQ337" s="418">
        <v>1460119</v>
      </c>
      <c r="BR337" s="418">
        <v>2534604</v>
      </c>
      <c r="BS337" s="418">
        <v>2035149</v>
      </c>
      <c r="BT337" s="418">
        <v>8873551</v>
      </c>
      <c r="BU337" s="418">
        <v>2107484</v>
      </c>
      <c r="BV337" s="418">
        <v>1610680</v>
      </c>
      <c r="BW337" s="418">
        <v>938874</v>
      </c>
      <c r="BX337" s="418">
        <v>807990</v>
      </c>
      <c r="BY337" s="418">
        <v>165153</v>
      </c>
      <c r="BZ337" s="418">
        <v>192770</v>
      </c>
      <c r="CA337" s="418">
        <v>12254939</v>
      </c>
      <c r="CB337" s="418">
        <v>94313</v>
      </c>
    </row>
    <row r="338" spans="1:80" s="418" customFormat="1" x14ac:dyDescent="0.3">
      <c r="A338" s="1097" t="s">
        <v>763</v>
      </c>
      <c r="B338" s="1098"/>
      <c r="C338" s="1099"/>
      <c r="D338" s="1102" t="s">
        <v>768</v>
      </c>
      <c r="E338" s="1049"/>
      <c r="F338" s="1063">
        <v>0</v>
      </c>
      <c r="G338" s="1063">
        <v>0</v>
      </c>
      <c r="H338" s="1063">
        <v>0</v>
      </c>
      <c r="I338" s="1063">
        <v>0</v>
      </c>
      <c r="J338" s="1063">
        <v>0</v>
      </c>
      <c r="K338" s="1063">
        <v>0</v>
      </c>
      <c r="L338" s="1063">
        <v>0</v>
      </c>
      <c r="M338" s="1063">
        <v>0</v>
      </c>
      <c r="N338" s="1063">
        <v>0</v>
      </c>
      <c r="O338" s="1063">
        <v>0</v>
      </c>
      <c r="P338" s="1063"/>
      <c r="Q338" s="1063">
        <v>0</v>
      </c>
      <c r="R338" s="1063">
        <v>0</v>
      </c>
      <c r="S338" s="1063">
        <v>0</v>
      </c>
      <c r="T338" s="1063">
        <v>0</v>
      </c>
      <c r="U338" s="1063">
        <v>0</v>
      </c>
      <c r="V338" s="1063">
        <v>0</v>
      </c>
      <c r="W338" s="1049"/>
      <c r="X338" s="1049"/>
      <c r="Y338" s="1049"/>
      <c r="Z338" s="1049"/>
      <c r="AA338" s="1066"/>
      <c r="AT338" s="418">
        <v>654841</v>
      </c>
      <c r="AU338" s="418">
        <v>4781660</v>
      </c>
      <c r="AV338" s="418">
        <v>10864000</v>
      </c>
      <c r="AW338" s="418">
        <v>115739</v>
      </c>
      <c r="AX338" s="418">
        <v>840880</v>
      </c>
      <c r="AY338" s="418">
        <v>2915717</v>
      </c>
      <c r="AZ338" s="418">
        <v>4073079</v>
      </c>
      <c r="BA338" s="418">
        <v>4113437</v>
      </c>
      <c r="BB338" s="418">
        <v>52028</v>
      </c>
      <c r="BC338" s="418">
        <v>2494601</v>
      </c>
      <c r="BD338" s="418">
        <v>0</v>
      </c>
      <c r="BE338" s="418">
        <v>67554</v>
      </c>
      <c r="BF338" s="418">
        <v>27708342</v>
      </c>
      <c r="BG338" s="418">
        <v>0</v>
      </c>
      <c r="BH338" s="418">
        <v>47685</v>
      </c>
      <c r="BI338" s="418">
        <v>3009729</v>
      </c>
      <c r="BJ338" s="418">
        <v>2485704</v>
      </c>
      <c r="BK338" s="418">
        <v>0</v>
      </c>
      <c r="BL338" s="418">
        <v>9454369</v>
      </c>
      <c r="BM338" s="418">
        <v>4163206</v>
      </c>
      <c r="BN338" s="418">
        <v>40551</v>
      </c>
      <c r="BO338" s="418">
        <v>6868959</v>
      </c>
      <c r="BP338" s="418">
        <v>1565361</v>
      </c>
      <c r="BQ338" s="418">
        <v>1043552</v>
      </c>
      <c r="BR338" s="418">
        <v>1983298</v>
      </c>
      <c r="BS338" s="418">
        <v>1104978</v>
      </c>
      <c r="BT338" s="418">
        <v>25453289</v>
      </c>
      <c r="BU338" s="418">
        <v>2020087</v>
      </c>
      <c r="BV338" s="418">
        <v>2776433</v>
      </c>
      <c r="BW338" s="418">
        <v>1435483</v>
      </c>
      <c r="BX338" s="418">
        <v>782442</v>
      </c>
      <c r="BY338" s="418">
        <v>31281</v>
      </c>
      <c r="BZ338" s="418">
        <v>40519</v>
      </c>
      <c r="CA338" s="418">
        <v>18193742</v>
      </c>
      <c r="CB338" s="418">
        <v>157054</v>
      </c>
    </row>
    <row r="339" spans="1:80" s="421" customFormat="1" x14ac:dyDescent="0.3">
      <c r="A339" s="1097" t="s">
        <v>1109</v>
      </c>
      <c r="B339" s="1098"/>
      <c r="C339" s="1099"/>
      <c r="D339" s="1103" t="s">
        <v>874</v>
      </c>
      <c r="E339" s="1049"/>
      <c r="F339" s="1104" t="e">
        <v>#DIV/0!</v>
      </c>
      <c r="G339" s="1104" t="e">
        <v>#DIV/0!</v>
      </c>
      <c r="H339" s="1104" t="e">
        <v>#DIV/0!</v>
      </c>
      <c r="I339" s="1104" t="e">
        <v>#DIV/0!</v>
      </c>
      <c r="J339" s="1104" t="e">
        <v>#DIV/0!</v>
      </c>
      <c r="K339" s="1104" t="e">
        <v>#DIV/0!</v>
      </c>
      <c r="L339" s="1104" t="e">
        <v>#DIV/0!</v>
      </c>
      <c r="M339" s="1104" t="e">
        <v>#DIV/0!</v>
      </c>
      <c r="N339" s="1104" t="e">
        <v>#DIV/0!</v>
      </c>
      <c r="O339" s="1104" t="e">
        <v>#DIV/0!</v>
      </c>
      <c r="P339" s="1104"/>
      <c r="Q339" s="1104" t="e">
        <v>#DIV/0!</v>
      </c>
      <c r="R339" s="1104" t="e">
        <v>#DIV/0!</v>
      </c>
      <c r="S339" s="1104" t="e">
        <v>#DIV/0!</v>
      </c>
      <c r="T339" s="1104" t="e">
        <v>#DIV/0!</v>
      </c>
      <c r="U339" s="1104" t="e">
        <v>#DIV/0!</v>
      </c>
      <c r="V339" s="1104" t="e">
        <v>#DIV/0!</v>
      </c>
      <c r="W339" s="1049"/>
      <c r="X339" s="1049"/>
      <c r="Y339" s="1049"/>
      <c r="Z339" s="1049"/>
      <c r="AA339" s="1066"/>
      <c r="AT339" s="421">
        <v>0.62989489051540759</v>
      </c>
      <c r="AU339" s="421">
        <v>0.45850771489399078</v>
      </c>
      <c r="AV339" s="421">
        <v>0.43273831001472757</v>
      </c>
      <c r="AW339" s="421">
        <v>1.2660987221247808</v>
      </c>
      <c r="AX339" s="421">
        <v>0.49212134906288652</v>
      </c>
      <c r="AY339" s="421">
        <v>1.0838442139617803</v>
      </c>
      <c r="AZ339" s="421">
        <v>0.53325211713300924</v>
      </c>
      <c r="BA339" s="421">
        <v>0.25139852634184018</v>
      </c>
      <c r="BB339" s="421">
        <v>1.8862727761974321</v>
      </c>
      <c r="BC339" s="421">
        <v>0.51138679091365713</v>
      </c>
      <c r="BD339" s="421" t="e">
        <v>#DIV/0!</v>
      </c>
      <c r="BE339" s="421">
        <v>5.633182343014477</v>
      </c>
      <c r="BF339" s="421">
        <v>9.3135309214820577E-2</v>
      </c>
      <c r="BG339" s="421" t="e">
        <v>#DIV/0!</v>
      </c>
      <c r="BH339" s="421">
        <v>3.1862849952815351</v>
      </c>
      <c r="BI339" s="421">
        <v>0.89602087098207184</v>
      </c>
      <c r="BJ339" s="421">
        <v>1.2952294400298667</v>
      </c>
      <c r="BK339" s="421" t="e">
        <v>#DIV/0!</v>
      </c>
      <c r="BL339" s="421">
        <v>0.26092254279476507</v>
      </c>
      <c r="BM339" s="421">
        <v>1.3626820291861608</v>
      </c>
      <c r="BN339" s="421">
        <v>3.3584621834233435</v>
      </c>
      <c r="BO339" s="421">
        <v>0.4813793472926538</v>
      </c>
      <c r="BP339" s="421">
        <v>2.1424565962739583</v>
      </c>
      <c r="BQ339" s="421">
        <v>1.3991818328171477</v>
      </c>
      <c r="BR339" s="421">
        <v>1.2779743639130379</v>
      </c>
      <c r="BS339" s="421">
        <v>1.8418004702356066</v>
      </c>
      <c r="BT339" s="421">
        <v>0.34862099746716424</v>
      </c>
      <c r="BU339" s="421">
        <v>1.0432639782346007</v>
      </c>
      <c r="BV339" s="421">
        <v>0.58012565042988606</v>
      </c>
      <c r="BW339" s="421">
        <v>0.65404745301755574</v>
      </c>
      <c r="BX339" s="421">
        <v>1.032651621462038</v>
      </c>
      <c r="BY339" s="421">
        <v>5.2796585786899399</v>
      </c>
      <c r="BZ339" s="421">
        <v>4.7575211629112264</v>
      </c>
      <c r="CA339" s="421">
        <v>0.67357990456278871</v>
      </c>
      <c r="CB339" s="421">
        <v>0.60051319928177571</v>
      </c>
    </row>
    <row r="340" spans="1:80" s="418" customFormat="1" x14ac:dyDescent="0.3">
      <c r="A340" s="1097" t="s">
        <v>764</v>
      </c>
      <c r="B340" s="1098"/>
      <c r="C340" s="1099"/>
      <c r="D340" s="1105" t="s">
        <v>2063</v>
      </c>
      <c r="E340" s="1049"/>
      <c r="F340" s="1106">
        <v>0</v>
      </c>
      <c r="G340" s="1106">
        <v>0</v>
      </c>
      <c r="H340" s="1106">
        <v>0</v>
      </c>
      <c r="I340" s="1106">
        <v>0</v>
      </c>
      <c r="J340" s="1106">
        <v>0</v>
      </c>
      <c r="K340" s="1106">
        <v>0</v>
      </c>
      <c r="L340" s="1106">
        <v>0</v>
      </c>
      <c r="M340" s="1106">
        <v>0</v>
      </c>
      <c r="N340" s="1106">
        <v>0</v>
      </c>
      <c r="O340" s="1106">
        <v>0</v>
      </c>
      <c r="P340" s="1106"/>
      <c r="Q340" s="1106">
        <v>0</v>
      </c>
      <c r="R340" s="1106">
        <v>0</v>
      </c>
      <c r="S340" s="1106">
        <v>0</v>
      </c>
      <c r="T340" s="1106">
        <v>0</v>
      </c>
      <c r="U340" s="1106">
        <v>0</v>
      </c>
      <c r="V340" s="1106">
        <v>0</v>
      </c>
      <c r="W340" s="1049"/>
      <c r="X340" s="1049"/>
      <c r="Y340" s="1049"/>
      <c r="Z340" s="1049"/>
      <c r="AA340" s="1066"/>
      <c r="AT340" s="418">
        <v>10765</v>
      </c>
      <c r="AU340" s="418">
        <v>0</v>
      </c>
      <c r="AV340" s="418">
        <v>2819930</v>
      </c>
      <c r="AW340" s="418">
        <v>21596</v>
      </c>
      <c r="AX340" s="418">
        <v>35109</v>
      </c>
      <c r="AY340" s="418">
        <v>700567</v>
      </c>
      <c r="AZ340" s="418">
        <v>43989</v>
      </c>
      <c r="BA340" s="418">
        <v>266595</v>
      </c>
      <c r="BB340" s="418">
        <v>0</v>
      </c>
      <c r="BC340" s="418">
        <v>73301</v>
      </c>
      <c r="BD340" s="418">
        <v>0</v>
      </c>
      <c r="BE340" s="418">
        <v>0</v>
      </c>
      <c r="BF340" s="418">
        <v>732939</v>
      </c>
      <c r="BG340" s="418">
        <v>0</v>
      </c>
      <c r="BH340" s="418">
        <v>0</v>
      </c>
      <c r="BI340" s="418">
        <v>317512</v>
      </c>
      <c r="BJ340" s="418">
        <v>193760</v>
      </c>
      <c r="BK340" s="418">
        <v>0</v>
      </c>
      <c r="BL340" s="418">
        <v>79013</v>
      </c>
      <c r="BM340" s="418">
        <v>44138</v>
      </c>
      <c r="BN340" s="418">
        <v>0</v>
      </c>
      <c r="BO340" s="418">
        <v>299338</v>
      </c>
      <c r="BP340" s="418">
        <v>112358</v>
      </c>
      <c r="BQ340" s="418">
        <v>36207</v>
      </c>
      <c r="BR340" s="418">
        <v>97188</v>
      </c>
      <c r="BS340" s="418">
        <v>0</v>
      </c>
      <c r="BT340" s="418">
        <v>0</v>
      </c>
      <c r="BU340" s="418">
        <v>41531</v>
      </c>
      <c r="BV340" s="418">
        <v>368887</v>
      </c>
      <c r="BW340" s="418">
        <v>12132</v>
      </c>
      <c r="BX340" s="418">
        <v>0</v>
      </c>
      <c r="BY340" s="418">
        <v>0</v>
      </c>
      <c r="BZ340" s="418">
        <v>0</v>
      </c>
      <c r="CA340" s="418">
        <v>851748</v>
      </c>
      <c r="CB340" s="418">
        <v>0</v>
      </c>
    </row>
    <row r="341" spans="1:80" s="418" customFormat="1" x14ac:dyDescent="0.3">
      <c r="A341" s="1097" t="s">
        <v>850</v>
      </c>
      <c r="B341" s="1098"/>
      <c r="C341" s="1099"/>
      <c r="D341" s="1102" t="s">
        <v>765</v>
      </c>
      <c r="E341" s="1049"/>
      <c r="F341" s="1106"/>
      <c r="G341" s="1106"/>
      <c r="H341" s="1106"/>
      <c r="I341" s="1106"/>
      <c r="J341" s="1106"/>
      <c r="K341" s="1106"/>
      <c r="L341" s="1106"/>
      <c r="M341" s="1106"/>
      <c r="N341" s="1106"/>
      <c r="O341" s="1106"/>
      <c r="P341" s="1106"/>
      <c r="Q341" s="1106"/>
      <c r="R341" s="1106"/>
      <c r="S341" s="1106"/>
      <c r="T341" s="1106"/>
      <c r="U341" s="1106"/>
      <c r="V341" s="1106"/>
      <c r="W341" s="1049"/>
      <c r="X341" s="1049"/>
      <c r="Y341" s="1049"/>
      <c r="Z341" s="1049"/>
      <c r="AA341" s="1066"/>
    </row>
    <row r="342" spans="1:80" s="418" customFormat="1" x14ac:dyDescent="0.3">
      <c r="A342" s="1097" t="s">
        <v>767</v>
      </c>
      <c r="B342" s="1098"/>
      <c r="C342" s="1107"/>
      <c r="D342" s="1102" t="s">
        <v>766</v>
      </c>
      <c r="E342" s="1049"/>
      <c r="F342" s="1106"/>
      <c r="G342" s="1106"/>
      <c r="H342" s="1106"/>
      <c r="I342" s="1106"/>
      <c r="J342" s="1106"/>
      <c r="K342" s="1106"/>
      <c r="L342" s="1106"/>
      <c r="M342" s="1106"/>
      <c r="N342" s="1106"/>
      <c r="O342" s="1106"/>
      <c r="P342" s="1106"/>
      <c r="Q342" s="1106"/>
      <c r="R342" s="1106"/>
      <c r="S342" s="1106"/>
      <c r="T342" s="1106"/>
      <c r="U342" s="1106"/>
      <c r="V342" s="1106"/>
      <c r="W342" s="1049"/>
      <c r="X342" s="1049"/>
      <c r="Y342" s="1049"/>
      <c r="Z342" s="1049"/>
      <c r="AA342" s="1066"/>
    </row>
    <row r="343" spans="1:80" s="418" customFormat="1" x14ac:dyDescent="0.3">
      <c r="A343" s="1097" t="s">
        <v>769</v>
      </c>
      <c r="B343" s="1098"/>
      <c r="C343" s="1107"/>
      <c r="D343" s="1102" t="s">
        <v>771</v>
      </c>
      <c r="E343" s="1049"/>
      <c r="F343" s="1106"/>
      <c r="G343" s="1106"/>
      <c r="H343" s="1106"/>
      <c r="I343" s="1106"/>
      <c r="J343" s="1106"/>
      <c r="K343" s="1106"/>
      <c r="L343" s="1106"/>
      <c r="M343" s="1106"/>
      <c r="N343" s="1106"/>
      <c r="O343" s="1106"/>
      <c r="P343" s="1106"/>
      <c r="Q343" s="1106"/>
      <c r="R343" s="1106"/>
      <c r="S343" s="1106"/>
      <c r="T343" s="1106"/>
      <c r="U343" s="1106"/>
      <c r="V343" s="1106"/>
      <c r="W343" s="1049"/>
      <c r="X343" s="1049"/>
      <c r="Y343" s="1049"/>
      <c r="Z343" s="1049"/>
      <c r="AA343" s="1066"/>
    </row>
    <row r="344" spans="1:80" s="418" customFormat="1" x14ac:dyDescent="0.3">
      <c r="A344" s="1097" t="s">
        <v>770</v>
      </c>
      <c r="B344" s="1098"/>
      <c r="C344" s="1107"/>
      <c r="D344" s="1102" t="s">
        <v>772</v>
      </c>
      <c r="E344" s="1049"/>
      <c r="F344" s="1106"/>
      <c r="G344" s="1106"/>
      <c r="H344" s="1106"/>
      <c r="I344" s="1106"/>
      <c r="J344" s="1106"/>
      <c r="K344" s="1106"/>
      <c r="L344" s="1106"/>
      <c r="M344" s="1106"/>
      <c r="N344" s="1106"/>
      <c r="O344" s="1106"/>
      <c r="P344" s="1106"/>
      <c r="Q344" s="1106"/>
      <c r="R344" s="1106"/>
      <c r="S344" s="1106"/>
      <c r="T344" s="1106"/>
      <c r="U344" s="1106"/>
      <c r="V344" s="1106"/>
      <c r="W344" s="1049"/>
      <c r="X344" s="1049"/>
      <c r="Y344" s="1049"/>
      <c r="Z344" s="1049"/>
      <c r="AA344" s="1066"/>
    </row>
    <row r="345" spans="1:80" s="418" customFormat="1" x14ac:dyDescent="0.3">
      <c r="A345" s="1097" t="s">
        <v>872</v>
      </c>
      <c r="B345" s="1098"/>
      <c r="C345" s="1107"/>
      <c r="D345" s="1102" t="s">
        <v>875</v>
      </c>
      <c r="E345" s="1049"/>
      <c r="F345" s="1106"/>
      <c r="G345" s="1106"/>
      <c r="H345" s="1106"/>
      <c r="I345" s="1106"/>
      <c r="J345" s="1106"/>
      <c r="K345" s="1106"/>
      <c r="L345" s="1106"/>
      <c r="M345" s="1106"/>
      <c r="N345" s="1106"/>
      <c r="O345" s="1106"/>
      <c r="P345" s="1106"/>
      <c r="Q345" s="1106"/>
      <c r="R345" s="1106"/>
      <c r="S345" s="1106"/>
      <c r="T345" s="1106"/>
      <c r="U345" s="1106"/>
      <c r="V345" s="1106"/>
      <c r="W345" s="1049"/>
      <c r="X345" s="1049"/>
      <c r="Y345" s="1049"/>
      <c r="Z345" s="1049"/>
      <c r="AA345" s="1066"/>
    </row>
    <row r="346" spans="1:80" s="418" customFormat="1" x14ac:dyDescent="0.3">
      <c r="A346" s="1097" t="s">
        <v>873</v>
      </c>
      <c r="B346" s="1098"/>
      <c r="C346" s="1107"/>
      <c r="D346" s="1098" t="s">
        <v>874</v>
      </c>
      <c r="E346" s="1049"/>
      <c r="F346" s="1106"/>
      <c r="G346" s="1106"/>
      <c r="H346" s="1106"/>
      <c r="I346" s="1106"/>
      <c r="J346" s="1106"/>
      <c r="K346" s="1106"/>
      <c r="L346" s="1106"/>
      <c r="M346" s="1106"/>
      <c r="N346" s="1106"/>
      <c r="O346" s="1106"/>
      <c r="P346" s="1106"/>
      <c r="Q346" s="1106"/>
      <c r="R346" s="1106"/>
      <c r="S346" s="1106"/>
      <c r="T346" s="1106"/>
      <c r="U346" s="1106"/>
      <c r="V346" s="1106"/>
      <c r="W346" s="1049"/>
      <c r="X346" s="1049"/>
      <c r="Y346" s="1049"/>
      <c r="Z346" s="1049"/>
      <c r="AA346" s="1066"/>
    </row>
    <row r="347" spans="1:80" s="418" customFormat="1" ht="27.6" x14ac:dyDescent="0.3">
      <c r="A347" s="1097" t="s">
        <v>1110</v>
      </c>
      <c r="B347" s="1098"/>
      <c r="C347" s="1099"/>
      <c r="D347" s="1108" t="s">
        <v>790</v>
      </c>
      <c r="E347" s="1049"/>
      <c r="F347" s="1106" t="e">
        <v>#DIV/0!</v>
      </c>
      <c r="G347" s="1106" t="e">
        <v>#DIV/0!</v>
      </c>
      <c r="H347" s="1106" t="e">
        <v>#DIV/0!</v>
      </c>
      <c r="I347" s="1106" t="e">
        <v>#DIV/0!</v>
      </c>
      <c r="J347" s="1106" t="e">
        <v>#DIV/0!</v>
      </c>
      <c r="K347" s="1106" t="e">
        <v>#DIV/0!</v>
      </c>
      <c r="L347" s="1106" t="e">
        <v>#DIV/0!</v>
      </c>
      <c r="M347" s="1106" t="e">
        <v>#DIV/0!</v>
      </c>
      <c r="N347" s="1106" t="e">
        <v>#DIV/0!</v>
      </c>
      <c r="O347" s="1106" t="e">
        <v>#DIV/0!</v>
      </c>
      <c r="P347" s="1106"/>
      <c r="Q347" s="1106" t="e">
        <v>#DIV/0!</v>
      </c>
      <c r="R347" s="1106" t="e">
        <v>#DIV/0!</v>
      </c>
      <c r="S347" s="1106" t="e">
        <v>#DIV/0!</v>
      </c>
      <c r="T347" s="1106" t="e">
        <v>#DIV/0!</v>
      </c>
      <c r="U347" s="1106" t="e">
        <v>#DIV/0!</v>
      </c>
      <c r="V347" s="1106" t="e">
        <v>#DIV/0!</v>
      </c>
      <c r="W347" s="1049"/>
      <c r="X347" s="1049"/>
      <c r="Y347" s="1049"/>
      <c r="Z347" s="1049"/>
      <c r="AA347" s="1066"/>
      <c r="AT347" s="418">
        <v>18.393759873617693</v>
      </c>
      <c r="AU347" s="418">
        <v>6.8364827079948203</v>
      </c>
      <c r="AV347" s="418">
        <v>3.0752497582408154</v>
      </c>
      <c r="AW347" s="418">
        <v>35.187798329355608</v>
      </c>
      <c r="AX347" s="418">
        <v>13.279755464185241</v>
      </c>
      <c r="AY347" s="418">
        <v>20.715972894482093</v>
      </c>
      <c r="AZ347" s="418">
        <v>14.909681437978287</v>
      </c>
      <c r="BA347" s="418">
        <v>6.2114521607225637</v>
      </c>
      <c r="BB347" s="418">
        <v>9.843081312410841E-2</v>
      </c>
      <c r="BC347" s="418">
        <v>3.8671597584722881</v>
      </c>
      <c r="BD347" s="418" t="e">
        <v>#DIV/0!</v>
      </c>
      <c r="BE347" s="418" t="e">
        <v>#DIV/0!</v>
      </c>
      <c r="BF347" s="418">
        <v>5.4242074759058649</v>
      </c>
      <c r="BG347" s="418" t="e">
        <v>#DIV/0!</v>
      </c>
      <c r="BH347" s="418" t="e">
        <v>#DIV/0!</v>
      </c>
      <c r="BI347" s="418">
        <v>2.140739113875135</v>
      </c>
      <c r="BJ347" s="418">
        <v>10.064026612977207</v>
      </c>
      <c r="BK347" s="418" t="e">
        <v>#DIV/0!</v>
      </c>
      <c r="BL347" s="418">
        <v>29.15234895685688</v>
      </c>
      <c r="BM347" s="418">
        <v>16.589920948616601</v>
      </c>
      <c r="BN347" s="418" t="e">
        <v>#DIV/0!</v>
      </c>
      <c r="BO347" s="418">
        <v>6.3453389056426657</v>
      </c>
      <c r="BP347" s="418">
        <v>17.210449873380011</v>
      </c>
      <c r="BQ347" s="418">
        <v>51.483160063239595</v>
      </c>
      <c r="BR347" s="418">
        <v>2.4723680236402372</v>
      </c>
      <c r="BS347" s="418" t="e">
        <v>#DIV/0!</v>
      </c>
      <c r="BT347" s="418" t="e">
        <v>#DIV/0!</v>
      </c>
      <c r="BU347" s="418">
        <v>10.14565902155724</v>
      </c>
      <c r="BV347" s="418">
        <v>7.2586452062864382</v>
      </c>
      <c r="BW347" s="418">
        <v>3.7882354532786775</v>
      </c>
      <c r="BX347" s="418">
        <v>2.6027955920795067</v>
      </c>
      <c r="BY347" s="418" t="e">
        <v>#DIV/0!</v>
      </c>
      <c r="BZ347" s="418" t="e">
        <v>#DIV/0!</v>
      </c>
      <c r="CA347" s="418">
        <v>6.0953589166680535</v>
      </c>
      <c r="CB347" s="418" t="e">
        <v>#DIV/0!</v>
      </c>
    </row>
    <row r="348" spans="1:80" s="418" customFormat="1" x14ac:dyDescent="0.3">
      <c r="A348" s="1097" t="s">
        <v>1117</v>
      </c>
      <c r="B348" s="1098"/>
      <c r="C348" s="1109"/>
      <c r="D348" s="1110" t="s">
        <v>1286</v>
      </c>
      <c r="E348" s="1049"/>
      <c r="F348" s="1051" t="s">
        <v>2064</v>
      </c>
      <c r="G348" s="1051" t="s">
        <v>2065</v>
      </c>
      <c r="H348" s="1051" t="s">
        <v>2064</v>
      </c>
      <c r="I348" s="1051" t="s">
        <v>2066</v>
      </c>
      <c r="J348" s="1051" t="s">
        <v>2067</v>
      </c>
      <c r="K348" s="1051" t="s">
        <v>2068</v>
      </c>
      <c r="L348" s="1051" t="s">
        <v>2069</v>
      </c>
      <c r="M348" s="1051" t="s">
        <v>2069</v>
      </c>
      <c r="N348" s="1051" t="s">
        <v>2070</v>
      </c>
      <c r="O348" s="1051" t="s">
        <v>1755</v>
      </c>
      <c r="P348" s="1051"/>
      <c r="Q348" s="1051" t="s">
        <v>2067</v>
      </c>
      <c r="R348" s="1051" t="s">
        <v>2069</v>
      </c>
      <c r="S348" s="1051" t="s">
        <v>2071</v>
      </c>
      <c r="T348" s="1051" t="s">
        <v>2072</v>
      </c>
      <c r="U348" s="1051" t="s">
        <v>2066</v>
      </c>
      <c r="V348" s="1051">
        <v>0</v>
      </c>
      <c r="W348" s="1049"/>
      <c r="X348" s="1049"/>
      <c r="Y348" s="1049"/>
      <c r="Z348" s="1049"/>
      <c r="AA348" s="1066"/>
      <c r="AT348" s="418">
        <f t="shared" ref="AT348:BQ348" si="0">+AT48-AT49+AT36-AT97</f>
        <v>29138</v>
      </c>
      <c r="AU348" s="418">
        <f t="shared" si="0"/>
        <v>297557</v>
      </c>
      <c r="AV348" s="418">
        <f t="shared" si="0"/>
        <v>98567</v>
      </c>
      <c r="AW348" s="418">
        <f t="shared" si="0"/>
        <v>112626</v>
      </c>
      <c r="AX348" s="418">
        <f t="shared" si="0"/>
        <v>-89263</v>
      </c>
      <c r="AY348" s="418">
        <f t="shared" si="0"/>
        <v>212362</v>
      </c>
      <c r="AZ348" s="418">
        <f t="shared" si="0"/>
        <v>307368</v>
      </c>
      <c r="BA348" s="418">
        <f t="shared" si="0"/>
        <v>229614</v>
      </c>
      <c r="BB348" s="418">
        <f t="shared" si="0"/>
        <v>-89650</v>
      </c>
      <c r="BC348" s="418">
        <f t="shared" si="0"/>
        <v>27445</v>
      </c>
      <c r="BD348" s="418">
        <f t="shared" si="0"/>
        <v>0</v>
      </c>
      <c r="BE348" s="418">
        <f t="shared" si="0"/>
        <v>0</v>
      </c>
      <c r="BF348" s="418">
        <f t="shared" si="0"/>
        <v>1182128</v>
      </c>
      <c r="BG348" s="418">
        <f t="shared" si="0"/>
        <v>0</v>
      </c>
      <c r="BH348" s="418">
        <f t="shared" si="0"/>
        <v>0</v>
      </c>
      <c r="BI348" s="418">
        <f t="shared" si="0"/>
        <v>81423</v>
      </c>
      <c r="BJ348" s="418">
        <f t="shared" si="0"/>
        <v>143130</v>
      </c>
      <c r="BK348" s="418">
        <f t="shared" si="0"/>
        <v>0</v>
      </c>
      <c r="BL348" s="418">
        <f t="shared" si="0"/>
        <v>197067</v>
      </c>
      <c r="BM348" s="418">
        <f t="shared" si="0"/>
        <v>479062</v>
      </c>
      <c r="BN348" s="418">
        <f t="shared" si="0"/>
        <v>0</v>
      </c>
      <c r="BO348" s="418">
        <f t="shared" si="0"/>
        <v>352606</v>
      </c>
      <c r="BP348" s="418">
        <f t="shared" si="0"/>
        <v>256413</v>
      </c>
      <c r="BQ348" s="418">
        <f t="shared" si="0"/>
        <v>205522</v>
      </c>
      <c r="BR348" s="418">
        <f t="shared" ref="BR348:CB348" si="1">+BR48-BR49+BR36-BR97</f>
        <v>93957</v>
      </c>
      <c r="BS348" s="418">
        <f t="shared" si="1"/>
        <v>0</v>
      </c>
      <c r="BT348" s="418">
        <f t="shared" si="1"/>
        <v>0</v>
      </c>
      <c r="BU348" s="418">
        <f t="shared" si="1"/>
        <v>-45214</v>
      </c>
      <c r="BV348" s="418">
        <f t="shared" si="1"/>
        <v>184535</v>
      </c>
      <c r="BW348" s="418">
        <f t="shared" si="1"/>
        <v>57367</v>
      </c>
      <c r="BX348" s="418">
        <f t="shared" si="1"/>
        <v>661423</v>
      </c>
      <c r="BY348" s="418">
        <f t="shared" si="1"/>
        <v>0</v>
      </c>
      <c r="BZ348" s="418">
        <f t="shared" si="1"/>
        <v>0</v>
      </c>
      <c r="CA348" s="418">
        <f t="shared" si="1"/>
        <v>1246711</v>
      </c>
      <c r="CB348" s="418">
        <f t="shared" si="1"/>
        <v>0</v>
      </c>
    </row>
    <row r="349" spans="1:80" s="418" customFormat="1" x14ac:dyDescent="0.3">
      <c r="A349" s="1097" t="s">
        <v>1116</v>
      </c>
      <c r="B349" s="1098"/>
      <c r="C349" s="1111"/>
      <c r="D349" s="1110" t="s">
        <v>1118</v>
      </c>
      <c r="E349" s="1049"/>
      <c r="F349" s="1106" t="e">
        <v>#DIV/0!</v>
      </c>
      <c r="G349" s="1106" t="e">
        <v>#DIV/0!</v>
      </c>
      <c r="H349" s="1106" t="e">
        <v>#DIV/0!</v>
      </c>
      <c r="I349" s="1106" t="e">
        <v>#DIV/0!</v>
      </c>
      <c r="J349" s="1106" t="e">
        <v>#DIV/0!</v>
      </c>
      <c r="K349" s="1106" t="e">
        <v>#DIV/0!</v>
      </c>
      <c r="L349" s="1106" t="e">
        <v>#DIV/0!</v>
      </c>
      <c r="M349" s="1106" t="e">
        <v>#DIV/0!</v>
      </c>
      <c r="N349" s="1106" t="e">
        <v>#DIV/0!</v>
      </c>
      <c r="O349" s="1106" t="e">
        <v>#DIV/0!</v>
      </c>
      <c r="P349" s="1106"/>
      <c r="Q349" s="1106" t="e">
        <v>#DIV/0!</v>
      </c>
      <c r="R349" s="1106" t="e">
        <v>#DIV/0!</v>
      </c>
      <c r="S349" s="1106" t="e">
        <v>#DIV/0!</v>
      </c>
      <c r="T349" s="1106" t="e">
        <v>#DIV/0!</v>
      </c>
      <c r="U349" s="1106" t="e">
        <v>#DIV/0!</v>
      </c>
      <c r="V349" s="1106" t="e">
        <v>#DIV/0!</v>
      </c>
      <c r="W349" s="1049"/>
      <c r="X349" s="1049"/>
      <c r="Y349" s="1049"/>
      <c r="Z349" s="1049"/>
      <c r="AA349" s="1066"/>
      <c r="AT349" s="418">
        <f t="shared" ref="AT349:BQ349" si="2">+AT44/(AT49+AT115-AT36+AT97)</f>
        <v>0.7825926258557917</v>
      </c>
      <c r="AU349" s="418">
        <f t="shared" si="2"/>
        <v>0.65053932640465262</v>
      </c>
      <c r="AV349" s="418">
        <f t="shared" si="2"/>
        <v>1.0300119588191372</v>
      </c>
      <c r="AW349" s="418">
        <f t="shared" si="2"/>
        <v>3.5808761447035136</v>
      </c>
      <c r="AX349" s="418">
        <f t="shared" si="2"/>
        <v>1.5753719812803659</v>
      </c>
      <c r="AY349" s="418">
        <f t="shared" si="2"/>
        <v>0.60454054860170259</v>
      </c>
      <c r="AZ349" s="418">
        <f t="shared" si="2"/>
        <v>0.46015112315099793</v>
      </c>
      <c r="BA349" s="418">
        <f t="shared" si="2"/>
        <v>0.53628937106556196</v>
      </c>
      <c r="BB349" s="418">
        <f t="shared" si="2"/>
        <v>1.5504557577889152E-2</v>
      </c>
      <c r="BC349" s="418">
        <f t="shared" si="2"/>
        <v>0.47608897536815109</v>
      </c>
      <c r="BD349" s="418" t="e">
        <f t="shared" si="2"/>
        <v>#DIV/0!</v>
      </c>
      <c r="BE349" s="418" t="e">
        <f t="shared" si="2"/>
        <v>#DIV/0!</v>
      </c>
      <c r="BF349" s="418">
        <f t="shared" si="2"/>
        <v>0.12070370681443221</v>
      </c>
      <c r="BG349" s="418" t="e">
        <f t="shared" si="2"/>
        <v>#DIV/0!</v>
      </c>
      <c r="BH349" s="418" t="e">
        <f t="shared" si="2"/>
        <v>#DIV/0!</v>
      </c>
      <c r="BI349" s="418">
        <f t="shared" si="2"/>
        <v>0.4469558455527341</v>
      </c>
      <c r="BJ349" s="418">
        <f t="shared" si="2"/>
        <v>2.2517835786090625</v>
      </c>
      <c r="BK349" s="418" t="e">
        <f t="shared" si="2"/>
        <v>#DIV/0!</v>
      </c>
      <c r="BL349" s="418">
        <f t="shared" si="2"/>
        <v>2.2156268927922471</v>
      </c>
      <c r="BM349" s="418">
        <f t="shared" si="2"/>
        <v>1.7881104314201071</v>
      </c>
      <c r="BN349" s="418" t="e">
        <f t="shared" si="2"/>
        <v>#DIV/0!</v>
      </c>
      <c r="BO349" s="418">
        <f t="shared" si="2"/>
        <v>0.50086017791550719</v>
      </c>
      <c r="BP349" s="418">
        <f t="shared" si="2"/>
        <v>4.1043090817196504</v>
      </c>
      <c r="BQ349" s="418">
        <f t="shared" si="2"/>
        <v>1.8411814523494539</v>
      </c>
      <c r="BR349" s="418">
        <f t="shared" ref="BR349:CB349" si="3">+BR44/(BR49+BR115-BR36+BR97)</f>
        <v>1.4020216051734358</v>
      </c>
      <c r="BS349" s="418" t="e">
        <f t="shared" si="3"/>
        <v>#DIV/0!</v>
      </c>
      <c r="BT349" s="418" t="e">
        <f t="shared" si="3"/>
        <v>#DIV/0!</v>
      </c>
      <c r="BU349" s="418">
        <f t="shared" si="3"/>
        <v>1.3777772769395367</v>
      </c>
      <c r="BV349" s="418">
        <f t="shared" si="3"/>
        <v>0.69278725117427076</v>
      </c>
      <c r="BW349" s="418">
        <f t="shared" si="3"/>
        <v>0.36200716085624834</v>
      </c>
      <c r="BX349" s="418">
        <f t="shared" si="3"/>
        <v>1.1283249635358208</v>
      </c>
      <c r="BY349" s="418" t="e">
        <f t="shared" si="3"/>
        <v>#DIV/0!</v>
      </c>
      <c r="BZ349" s="418" t="e">
        <f t="shared" si="3"/>
        <v>#DIV/0!</v>
      </c>
      <c r="CA349" s="418">
        <f t="shared" si="3"/>
        <v>1.167554668186698</v>
      </c>
      <c r="CB349" s="418" t="e">
        <f t="shared" si="3"/>
        <v>#DIV/0!</v>
      </c>
    </row>
    <row r="350" spans="1:80" s="418" customFormat="1" x14ac:dyDescent="0.3">
      <c r="A350" s="1097" t="s">
        <v>1115</v>
      </c>
      <c r="B350" s="1098"/>
      <c r="C350" s="1099"/>
      <c r="D350" s="1098" t="s">
        <v>1119</v>
      </c>
      <c r="E350" s="1049"/>
      <c r="F350" s="1106" t="e">
        <v>#DIV/0!</v>
      </c>
      <c r="G350" s="1106" t="e">
        <v>#DIV/0!</v>
      </c>
      <c r="H350" s="1106" t="e">
        <v>#DIV/0!</v>
      </c>
      <c r="I350" s="1106" t="e">
        <v>#DIV/0!</v>
      </c>
      <c r="J350" s="1106" t="e">
        <v>#DIV/0!</v>
      </c>
      <c r="K350" s="1106" t="e">
        <v>#DIV/0!</v>
      </c>
      <c r="L350" s="1106" t="e">
        <v>#DIV/0!</v>
      </c>
      <c r="M350" s="1106" t="e">
        <v>#DIV/0!</v>
      </c>
      <c r="N350" s="1106" t="e">
        <v>#DIV/0!</v>
      </c>
      <c r="O350" s="1106" t="e">
        <v>#DIV/0!</v>
      </c>
      <c r="P350" s="1106"/>
      <c r="Q350" s="1106" t="e">
        <v>#DIV/0!</v>
      </c>
      <c r="R350" s="1106" t="e">
        <v>#DIV/0!</v>
      </c>
      <c r="S350" s="1106" t="e">
        <v>#DIV/0!</v>
      </c>
      <c r="T350" s="1106" t="e">
        <v>#DIV/0!</v>
      </c>
      <c r="U350" s="1106" t="e">
        <v>#DIV/0!</v>
      </c>
      <c r="V350" s="1106" t="e">
        <v>#DIV/0!</v>
      </c>
      <c r="W350" s="1049"/>
      <c r="X350" s="1049"/>
      <c r="Y350" s="1049"/>
      <c r="Z350" s="1049"/>
      <c r="AA350" s="1066"/>
      <c r="AT350" s="418" t="e">
        <v>#DIV/0!</v>
      </c>
      <c r="AU350" s="418" t="e">
        <v>#DIV/0!</v>
      </c>
      <c r="AV350" s="418">
        <v>4.2566559245186522</v>
      </c>
      <c r="AW350" s="418" t="e">
        <v>#DIV/0!</v>
      </c>
      <c r="AX350" s="418" t="e">
        <v>#DIV/0!</v>
      </c>
      <c r="AY350" s="418" t="e">
        <v>#DIV/0!</v>
      </c>
      <c r="AZ350" s="418" t="e">
        <v>#DIV/0!</v>
      </c>
      <c r="BA350" s="418">
        <v>3.9906679594483725</v>
      </c>
      <c r="BB350" s="418" t="e">
        <v>#DIV/0!</v>
      </c>
      <c r="BC350" s="418" t="e">
        <v>#DIV/0!</v>
      </c>
      <c r="BD350" s="418" t="e">
        <v>#DIV/0!</v>
      </c>
      <c r="BE350" s="418" t="e">
        <v>#DIV/0!</v>
      </c>
      <c r="BF350" s="418">
        <v>6.2889184773331381</v>
      </c>
      <c r="BG350" s="418" t="e">
        <v>#DIV/0!</v>
      </c>
      <c r="BH350" s="418" t="e">
        <v>#DIV/0!</v>
      </c>
      <c r="BI350" s="418" t="e">
        <v>#DIV/0!</v>
      </c>
      <c r="BJ350" s="418" t="e">
        <v>#DIV/0!</v>
      </c>
      <c r="BK350" s="418" t="e">
        <v>#DIV/0!</v>
      </c>
      <c r="BL350" s="418">
        <v>49.548571145886584</v>
      </c>
      <c r="BM350" s="418" t="e">
        <v>#DIV/0!</v>
      </c>
      <c r="BN350" s="418" t="e">
        <v>#DIV/0!</v>
      </c>
      <c r="BO350" s="418" t="e">
        <v>#DIV/0!</v>
      </c>
      <c r="BP350" s="418" t="e">
        <v>#DIV/0!</v>
      </c>
      <c r="BQ350" s="418" t="e">
        <v>#DIV/0!</v>
      </c>
      <c r="BR350" s="418" t="e">
        <v>#DIV/0!</v>
      </c>
      <c r="BS350" s="418" t="e">
        <v>#DIV/0!</v>
      </c>
      <c r="BT350" s="418" t="e">
        <v>#DIV/0!</v>
      </c>
      <c r="BU350" s="418" t="e">
        <v>#DIV/0!</v>
      </c>
      <c r="BV350" s="418" t="e">
        <v>#DIV/0!</v>
      </c>
      <c r="BW350" s="418" t="e">
        <v>#DIV/0!</v>
      </c>
      <c r="BX350" s="418" t="e">
        <v>#DIV/0!</v>
      </c>
      <c r="BY350" s="418" t="e">
        <v>#DIV/0!</v>
      </c>
      <c r="BZ350" s="418" t="e">
        <v>#DIV/0!</v>
      </c>
      <c r="CA350" s="418" t="e">
        <v>#DIV/0!</v>
      </c>
      <c r="CB350" s="418" t="e">
        <v>#DIV/0!</v>
      </c>
    </row>
    <row r="351" spans="1:80" s="418" customFormat="1" x14ac:dyDescent="0.3">
      <c r="A351" s="1097" t="s">
        <v>1121</v>
      </c>
      <c r="B351" s="1098"/>
      <c r="C351" s="1099"/>
      <c r="D351" s="1107" t="s">
        <v>1287</v>
      </c>
      <c r="E351" s="1049"/>
      <c r="F351" s="1051" t="s">
        <v>2064</v>
      </c>
      <c r="G351" s="1051" t="s">
        <v>2065</v>
      </c>
      <c r="H351" s="1051" t="s">
        <v>2064</v>
      </c>
      <c r="I351" s="1051" t="s">
        <v>2066</v>
      </c>
      <c r="J351" s="1051" t="s">
        <v>2067</v>
      </c>
      <c r="K351" s="1051" t="s">
        <v>2068</v>
      </c>
      <c r="L351" s="1051" t="s">
        <v>2069</v>
      </c>
      <c r="M351" s="1051" t="s">
        <v>2069</v>
      </c>
      <c r="N351" s="1051" t="s">
        <v>2070</v>
      </c>
      <c r="O351" s="1051" t="s">
        <v>1755</v>
      </c>
      <c r="P351" s="1051"/>
      <c r="Q351" s="1051" t="s">
        <v>2067</v>
      </c>
      <c r="R351" s="1051" t="s">
        <v>2069</v>
      </c>
      <c r="S351" s="1051" t="s">
        <v>2071</v>
      </c>
      <c r="T351" s="1051" t="s">
        <v>2072</v>
      </c>
      <c r="U351" s="1051" t="s">
        <v>2066</v>
      </c>
      <c r="V351" s="1051">
        <v>0</v>
      </c>
      <c r="W351" s="1049"/>
      <c r="X351" s="1049"/>
      <c r="Y351" s="1049"/>
      <c r="Z351" s="1049"/>
      <c r="AA351" s="1066"/>
      <c r="AT351" s="418">
        <f t="shared" ref="AT351:BQ351" si="4">+AT55-AT56+AT39-AT60</f>
        <v>0</v>
      </c>
      <c r="AU351" s="418">
        <f t="shared" si="4"/>
        <v>0</v>
      </c>
      <c r="AV351" s="418">
        <f t="shared" si="4"/>
        <v>1227845</v>
      </c>
      <c r="AW351" s="418">
        <f t="shared" si="4"/>
        <v>0</v>
      </c>
      <c r="AX351" s="418">
        <f t="shared" si="4"/>
        <v>0</v>
      </c>
      <c r="AY351" s="418">
        <f t="shared" si="4"/>
        <v>0</v>
      </c>
      <c r="AZ351" s="418">
        <f t="shared" si="4"/>
        <v>0</v>
      </c>
      <c r="BA351" s="418">
        <f t="shared" si="4"/>
        <v>120397</v>
      </c>
      <c r="BB351" s="418">
        <f t="shared" si="4"/>
        <v>0</v>
      </c>
      <c r="BC351" s="418">
        <f t="shared" si="4"/>
        <v>0</v>
      </c>
      <c r="BD351" s="418">
        <f t="shared" si="4"/>
        <v>0</v>
      </c>
      <c r="BE351" s="418">
        <f t="shared" si="4"/>
        <v>0</v>
      </c>
      <c r="BF351" s="418">
        <f t="shared" si="4"/>
        <v>2047824</v>
      </c>
      <c r="BG351" s="418">
        <f t="shared" si="4"/>
        <v>0</v>
      </c>
      <c r="BH351" s="418">
        <f t="shared" si="4"/>
        <v>0</v>
      </c>
      <c r="BI351" s="418">
        <f t="shared" si="4"/>
        <v>0</v>
      </c>
      <c r="BJ351" s="418">
        <f t="shared" si="4"/>
        <v>0</v>
      </c>
      <c r="BK351" s="418">
        <f t="shared" si="4"/>
        <v>0</v>
      </c>
      <c r="BL351" s="418">
        <f t="shared" si="4"/>
        <v>1095092</v>
      </c>
      <c r="BM351" s="418">
        <f t="shared" si="4"/>
        <v>0</v>
      </c>
      <c r="BN351" s="418">
        <f t="shared" si="4"/>
        <v>0</v>
      </c>
      <c r="BO351" s="418">
        <f t="shared" si="4"/>
        <v>0</v>
      </c>
      <c r="BP351" s="418">
        <f t="shared" si="4"/>
        <v>0</v>
      </c>
      <c r="BQ351" s="418">
        <f t="shared" si="4"/>
        <v>0</v>
      </c>
      <c r="BR351" s="418">
        <f t="shared" ref="BR351:CB351" si="5">+BR55-BR56+BR39-BR60</f>
        <v>0</v>
      </c>
      <c r="BS351" s="418">
        <f t="shared" si="5"/>
        <v>0</v>
      </c>
      <c r="BT351" s="418">
        <f t="shared" si="5"/>
        <v>0</v>
      </c>
      <c r="BU351" s="418">
        <f t="shared" si="5"/>
        <v>0</v>
      </c>
      <c r="BV351" s="418">
        <f t="shared" si="5"/>
        <v>0</v>
      </c>
      <c r="BW351" s="418">
        <f t="shared" si="5"/>
        <v>0</v>
      </c>
      <c r="BX351" s="418">
        <f t="shared" si="5"/>
        <v>0</v>
      </c>
      <c r="BY351" s="418">
        <f t="shared" si="5"/>
        <v>0</v>
      </c>
      <c r="BZ351" s="418">
        <f t="shared" si="5"/>
        <v>0</v>
      </c>
      <c r="CA351" s="418">
        <f t="shared" si="5"/>
        <v>0</v>
      </c>
      <c r="CB351" s="418">
        <f t="shared" si="5"/>
        <v>0</v>
      </c>
    </row>
    <row r="352" spans="1:80" s="418" customFormat="1" x14ac:dyDescent="0.3">
      <c r="A352" s="1097" t="s">
        <v>1122</v>
      </c>
      <c r="B352" s="1098"/>
      <c r="C352" s="1099"/>
      <c r="D352" s="1107" t="s">
        <v>1123</v>
      </c>
      <c r="E352" s="1049"/>
      <c r="F352" s="1106" t="e">
        <v>#DIV/0!</v>
      </c>
      <c r="G352" s="1106" t="e">
        <v>#DIV/0!</v>
      </c>
      <c r="H352" s="1106" t="e">
        <v>#DIV/0!</v>
      </c>
      <c r="I352" s="1106" t="e">
        <v>#DIV/0!</v>
      </c>
      <c r="J352" s="1106" t="e">
        <v>#DIV/0!</v>
      </c>
      <c r="K352" s="1106" t="e">
        <v>#DIV/0!</v>
      </c>
      <c r="L352" s="1106" t="e">
        <v>#DIV/0!</v>
      </c>
      <c r="M352" s="1106" t="e">
        <v>#DIV/0!</v>
      </c>
      <c r="N352" s="1106" t="e">
        <v>#DIV/0!</v>
      </c>
      <c r="O352" s="1106" t="e">
        <v>#DIV/0!</v>
      </c>
      <c r="P352" s="1106"/>
      <c r="Q352" s="1106" t="e">
        <v>#DIV/0!</v>
      </c>
      <c r="R352" s="1106" t="e">
        <v>#DIV/0!</v>
      </c>
      <c r="S352" s="1106" t="e">
        <v>#DIV/0!</v>
      </c>
      <c r="T352" s="1106" t="e">
        <v>#DIV/0!</v>
      </c>
      <c r="U352" s="1106" t="e">
        <v>#DIV/0!</v>
      </c>
      <c r="V352" s="1106" t="e">
        <v>#DIV/0!</v>
      </c>
      <c r="W352" s="1049"/>
      <c r="X352" s="1049"/>
      <c r="Y352" s="1049"/>
      <c r="Z352" s="1049"/>
      <c r="AA352" s="1066"/>
      <c r="AT352" s="418" t="e">
        <f t="shared" ref="AT352:BQ352" si="6">+AT52/(AT125+AT56-AT39+AT60)</f>
        <v>#DIV/0!</v>
      </c>
      <c r="AU352" s="418" t="e">
        <f t="shared" si="6"/>
        <v>#DIV/0!</v>
      </c>
      <c r="AV352" s="418">
        <f t="shared" si="6"/>
        <v>0.43168207290773092</v>
      </c>
      <c r="AW352" s="418" t="e">
        <f t="shared" si="6"/>
        <v>#DIV/0!</v>
      </c>
      <c r="AX352" s="418" t="e">
        <f t="shared" si="6"/>
        <v>#DIV/0!</v>
      </c>
      <c r="AY352" s="418" t="e">
        <f t="shared" si="6"/>
        <v>#DIV/0!</v>
      </c>
      <c r="AZ352" s="418" t="e">
        <f t="shared" si="6"/>
        <v>#DIV/0!</v>
      </c>
      <c r="BA352" s="418">
        <f t="shared" si="6"/>
        <v>0.23313582578627293</v>
      </c>
      <c r="BB352" s="418" t="e">
        <f t="shared" si="6"/>
        <v>#DIV/0!</v>
      </c>
      <c r="BC352" s="418" t="e">
        <f t="shared" si="6"/>
        <v>#DIV/0!</v>
      </c>
      <c r="BD352" s="418" t="e">
        <f t="shared" si="6"/>
        <v>#DIV/0!</v>
      </c>
      <c r="BE352" s="418" t="e">
        <f t="shared" si="6"/>
        <v>#DIV/0!</v>
      </c>
      <c r="BF352" s="418">
        <f t="shared" si="6"/>
        <v>0.18437549361039662</v>
      </c>
      <c r="BG352" s="418" t="e">
        <f t="shared" si="6"/>
        <v>#DIV/0!</v>
      </c>
      <c r="BH352" s="418" t="e">
        <f t="shared" si="6"/>
        <v>#DIV/0!</v>
      </c>
      <c r="BI352" s="418" t="e">
        <f t="shared" si="6"/>
        <v>#DIV/0!</v>
      </c>
      <c r="BJ352" s="418" t="e">
        <f t="shared" si="6"/>
        <v>#DIV/0!</v>
      </c>
      <c r="BK352" s="418" t="e">
        <f t="shared" si="6"/>
        <v>#DIV/0!</v>
      </c>
      <c r="BL352" s="418">
        <f t="shared" si="6"/>
        <v>0.36864333071685912</v>
      </c>
      <c r="BM352" s="418" t="e">
        <f t="shared" si="6"/>
        <v>#DIV/0!</v>
      </c>
      <c r="BN352" s="418" t="e">
        <f t="shared" si="6"/>
        <v>#DIV/0!</v>
      </c>
      <c r="BO352" s="418" t="e">
        <f t="shared" si="6"/>
        <v>#DIV/0!</v>
      </c>
      <c r="BP352" s="418" t="e">
        <f t="shared" si="6"/>
        <v>#DIV/0!</v>
      </c>
      <c r="BQ352" s="418" t="e">
        <f t="shared" si="6"/>
        <v>#DIV/0!</v>
      </c>
      <c r="BR352" s="418" t="e">
        <f t="shared" ref="BR352:CB352" si="7">+BR52/(BR125+BR56-BR39+BR60)</f>
        <v>#DIV/0!</v>
      </c>
      <c r="BS352" s="418" t="e">
        <f t="shared" si="7"/>
        <v>#DIV/0!</v>
      </c>
      <c r="BT352" s="418" t="e">
        <f t="shared" si="7"/>
        <v>#DIV/0!</v>
      </c>
      <c r="BU352" s="418" t="e">
        <f t="shared" si="7"/>
        <v>#DIV/0!</v>
      </c>
      <c r="BV352" s="418" t="e">
        <f t="shared" si="7"/>
        <v>#DIV/0!</v>
      </c>
      <c r="BW352" s="418" t="e">
        <f t="shared" si="7"/>
        <v>#DIV/0!</v>
      </c>
      <c r="BX352" s="418" t="e">
        <f t="shared" si="7"/>
        <v>#DIV/0!</v>
      </c>
      <c r="BY352" s="418" t="e">
        <f t="shared" si="7"/>
        <v>#DIV/0!</v>
      </c>
      <c r="BZ352" s="418" t="e">
        <f t="shared" si="7"/>
        <v>#DIV/0!</v>
      </c>
      <c r="CA352" s="418" t="e">
        <f t="shared" si="7"/>
        <v>#DIV/0!</v>
      </c>
      <c r="CB352" s="418" t="e">
        <f t="shared" si="7"/>
        <v>#DIV/0!</v>
      </c>
    </row>
    <row r="353" spans="1:80" s="418" customFormat="1" x14ac:dyDescent="0.3">
      <c r="A353" s="1097" t="s">
        <v>1139</v>
      </c>
      <c r="B353" s="1098"/>
      <c r="C353" s="1099"/>
      <c r="D353" s="1108" t="s">
        <v>1141</v>
      </c>
      <c r="E353" s="1049"/>
      <c r="F353" s="1066">
        <v>0</v>
      </c>
      <c r="G353" s="1066">
        <v>0</v>
      </c>
      <c r="H353" s="1066">
        <v>0</v>
      </c>
      <c r="I353" s="1066">
        <v>0</v>
      </c>
      <c r="J353" s="1066">
        <v>0</v>
      </c>
      <c r="K353" s="1066">
        <v>0</v>
      </c>
      <c r="L353" s="1066">
        <v>0</v>
      </c>
      <c r="M353" s="1066">
        <v>0</v>
      </c>
      <c r="N353" s="1066">
        <v>0</v>
      </c>
      <c r="O353" s="1066">
        <v>0</v>
      </c>
      <c r="P353" s="1066"/>
      <c r="Q353" s="1066">
        <v>0</v>
      </c>
      <c r="R353" s="1066">
        <v>0</v>
      </c>
      <c r="S353" s="1066">
        <v>0</v>
      </c>
      <c r="T353" s="1066">
        <v>0</v>
      </c>
      <c r="U353" s="1066">
        <v>0</v>
      </c>
      <c r="V353" s="1066">
        <v>0</v>
      </c>
      <c r="W353" s="1049"/>
      <c r="X353" s="1049"/>
      <c r="Y353" s="1049"/>
      <c r="Z353" s="1049"/>
      <c r="AA353" s="1066"/>
      <c r="AB353" s="1049"/>
      <c r="AT353" s="418">
        <f t="shared" ref="AT353:BQ353" si="8">+AT177+AT118</f>
        <v>0</v>
      </c>
      <c r="AU353" s="418">
        <f t="shared" si="8"/>
        <v>0</v>
      </c>
      <c r="AV353" s="418">
        <f t="shared" si="8"/>
        <v>7984319</v>
      </c>
      <c r="AW353" s="418">
        <f t="shared" si="8"/>
        <v>0</v>
      </c>
      <c r="AX353" s="418">
        <f t="shared" si="8"/>
        <v>0</v>
      </c>
      <c r="AY353" s="418">
        <f t="shared" si="8"/>
        <v>0</v>
      </c>
      <c r="AZ353" s="418">
        <f t="shared" si="8"/>
        <v>0</v>
      </c>
      <c r="BA353" s="418">
        <f t="shared" si="8"/>
        <v>11654139</v>
      </c>
      <c r="BB353" s="418">
        <f t="shared" si="8"/>
        <v>0</v>
      </c>
      <c r="BC353" s="418">
        <f t="shared" si="8"/>
        <v>0</v>
      </c>
      <c r="BD353" s="418">
        <f t="shared" si="8"/>
        <v>0</v>
      </c>
      <c r="BE353" s="418">
        <f t="shared" si="8"/>
        <v>0</v>
      </c>
      <c r="BF353" s="418">
        <f t="shared" si="8"/>
        <v>36563025</v>
      </c>
      <c r="BG353" s="418">
        <f t="shared" si="8"/>
        <v>0</v>
      </c>
      <c r="BH353" s="418">
        <f t="shared" si="8"/>
        <v>0</v>
      </c>
      <c r="BI353" s="418">
        <f t="shared" si="8"/>
        <v>0</v>
      </c>
      <c r="BJ353" s="418">
        <f t="shared" si="8"/>
        <v>0</v>
      </c>
      <c r="BK353" s="418">
        <f t="shared" si="8"/>
        <v>0</v>
      </c>
      <c r="BL353" s="418">
        <f t="shared" si="8"/>
        <v>6785633</v>
      </c>
      <c r="BM353" s="418">
        <f t="shared" si="8"/>
        <v>0</v>
      </c>
      <c r="BN353" s="418">
        <f t="shared" si="8"/>
        <v>0</v>
      </c>
      <c r="BO353" s="418">
        <f t="shared" si="8"/>
        <v>0</v>
      </c>
      <c r="BP353" s="418">
        <f t="shared" si="8"/>
        <v>0</v>
      </c>
      <c r="BQ353" s="418">
        <f t="shared" si="8"/>
        <v>0</v>
      </c>
      <c r="BR353" s="418">
        <f t="shared" ref="BR353:CB353" si="9">+BR177+BR118</f>
        <v>0</v>
      </c>
      <c r="BS353" s="418">
        <f t="shared" si="9"/>
        <v>0</v>
      </c>
      <c r="BT353" s="418">
        <f t="shared" si="9"/>
        <v>0</v>
      </c>
      <c r="BU353" s="418">
        <f t="shared" si="9"/>
        <v>0</v>
      </c>
      <c r="BV353" s="418">
        <f t="shared" si="9"/>
        <v>0</v>
      </c>
      <c r="BW353" s="418">
        <f t="shared" si="9"/>
        <v>0</v>
      </c>
      <c r="BX353" s="418">
        <f t="shared" si="9"/>
        <v>0</v>
      </c>
      <c r="BY353" s="418">
        <f t="shared" si="9"/>
        <v>0</v>
      </c>
      <c r="BZ353" s="418">
        <f t="shared" si="9"/>
        <v>0</v>
      </c>
      <c r="CA353" s="418">
        <f t="shared" si="9"/>
        <v>0</v>
      </c>
      <c r="CB353" s="418">
        <f t="shared" si="9"/>
        <v>0</v>
      </c>
    </row>
    <row r="354" spans="1:80" s="418" customFormat="1" x14ac:dyDescent="0.3">
      <c r="A354" s="1097" t="s">
        <v>1140</v>
      </c>
      <c r="B354" s="1098"/>
      <c r="C354" s="1099"/>
      <c r="D354" s="1108"/>
      <c r="E354" s="1049"/>
      <c r="F354" s="1066"/>
      <c r="G354" s="1049"/>
      <c r="H354" s="1049"/>
      <c r="I354" s="1049"/>
      <c r="J354" s="1049"/>
      <c r="K354" s="1049"/>
      <c r="L354" s="1049"/>
      <c r="M354" s="1049"/>
      <c r="N354" s="1049"/>
      <c r="O354" s="1049"/>
      <c r="P354" s="1049"/>
      <c r="Q354" s="1049"/>
      <c r="R354" s="1049"/>
      <c r="S354" s="1049"/>
      <c r="T354" s="1049"/>
      <c r="U354" s="1049"/>
      <c r="V354" s="1049"/>
      <c r="W354" s="1049"/>
      <c r="X354" s="1049"/>
      <c r="Y354" s="1049"/>
      <c r="Z354" s="1049"/>
      <c r="AA354" s="1066"/>
      <c r="AB354" s="1049"/>
      <c r="AT354" s="418">
        <f t="shared" ref="AT354:BR354" si="10">+AT55</f>
        <v>0</v>
      </c>
      <c r="AU354" s="418">
        <f t="shared" si="10"/>
        <v>0</v>
      </c>
      <c r="AV354" s="418">
        <f t="shared" si="10"/>
        <v>7838694</v>
      </c>
      <c r="AW354" s="418">
        <f t="shared" si="10"/>
        <v>0</v>
      </c>
      <c r="AX354" s="418">
        <f t="shared" si="10"/>
        <v>0</v>
      </c>
      <c r="AY354" s="418">
        <f t="shared" si="10"/>
        <v>0</v>
      </c>
      <c r="AZ354" s="418">
        <f t="shared" si="10"/>
        <v>0</v>
      </c>
      <c r="BA354" s="418">
        <f t="shared" si="10"/>
        <v>6587772</v>
      </c>
      <c r="BB354" s="418">
        <f t="shared" si="10"/>
        <v>0</v>
      </c>
      <c r="BC354" s="418">
        <f t="shared" si="10"/>
        <v>0</v>
      </c>
      <c r="BD354" s="418">
        <f t="shared" si="10"/>
        <v>0</v>
      </c>
      <c r="BE354" s="418">
        <f t="shared" si="10"/>
        <v>0</v>
      </c>
      <c r="BF354" s="418">
        <f t="shared" si="10"/>
        <v>31037334</v>
      </c>
      <c r="BG354" s="418">
        <f t="shared" si="10"/>
        <v>0</v>
      </c>
      <c r="BH354" s="418">
        <f t="shared" si="10"/>
        <v>0</v>
      </c>
      <c r="BI354" s="418">
        <f t="shared" si="10"/>
        <v>0</v>
      </c>
      <c r="BJ354" s="418">
        <f t="shared" si="10"/>
        <v>0</v>
      </c>
      <c r="BK354" s="418">
        <f t="shared" si="10"/>
        <v>0</v>
      </c>
      <c r="BL354" s="418">
        <f t="shared" si="10"/>
        <v>8028086</v>
      </c>
      <c r="BM354" s="418">
        <f t="shared" si="10"/>
        <v>0</v>
      </c>
      <c r="BN354" s="418">
        <f t="shared" si="10"/>
        <v>0</v>
      </c>
      <c r="BO354" s="418">
        <f t="shared" si="10"/>
        <v>0</v>
      </c>
      <c r="BP354" s="418">
        <f t="shared" si="10"/>
        <v>0</v>
      </c>
      <c r="BQ354" s="418">
        <f t="shared" si="10"/>
        <v>0</v>
      </c>
      <c r="BR354" s="418">
        <f t="shared" si="10"/>
        <v>0</v>
      </c>
      <c r="BS354" s="418">
        <f t="shared" ref="BS354:CB354" si="11">+BS55</f>
        <v>0</v>
      </c>
      <c r="BT354" s="418">
        <f t="shared" si="11"/>
        <v>0</v>
      </c>
      <c r="BU354" s="418">
        <f t="shared" si="11"/>
        <v>0</v>
      </c>
      <c r="BV354" s="418">
        <f t="shared" si="11"/>
        <v>0</v>
      </c>
      <c r="BW354" s="418">
        <f t="shared" si="11"/>
        <v>0</v>
      </c>
      <c r="BX354" s="418">
        <f t="shared" si="11"/>
        <v>0</v>
      </c>
      <c r="BY354" s="418">
        <f t="shared" si="11"/>
        <v>0</v>
      </c>
      <c r="BZ354" s="418">
        <f t="shared" si="11"/>
        <v>0</v>
      </c>
      <c r="CA354" s="418">
        <f t="shared" si="11"/>
        <v>0</v>
      </c>
      <c r="CB354" s="418">
        <f t="shared" si="11"/>
        <v>0</v>
      </c>
    </row>
    <row r="355" spans="1:80" s="418" customFormat="1" x14ac:dyDescent="0.3">
      <c r="A355" s="1049"/>
      <c r="B355" s="1049"/>
      <c r="C355" s="1049"/>
      <c r="D355" s="1052"/>
      <c r="E355" s="1049"/>
      <c r="F355" s="1066"/>
      <c r="G355" s="1049"/>
      <c r="H355" s="1049"/>
      <c r="I355" s="1049"/>
      <c r="J355" s="1049"/>
      <c r="K355" s="1049"/>
      <c r="L355" s="1049"/>
      <c r="M355" s="1049"/>
      <c r="N355" s="1049"/>
      <c r="O355" s="1049"/>
      <c r="P355" s="1049"/>
      <c r="Q355" s="1049"/>
      <c r="R355" s="1049"/>
      <c r="S355" s="1049"/>
      <c r="T355" s="1049"/>
      <c r="U355" s="1049"/>
      <c r="V355" s="1049"/>
      <c r="W355" s="1049"/>
      <c r="X355" s="1049"/>
      <c r="Y355" s="1049"/>
      <c r="Z355" s="1049"/>
      <c r="AA355" s="1066"/>
      <c r="AB355" s="1049"/>
    </row>
    <row r="356" spans="1:80" s="418" customFormat="1" x14ac:dyDescent="0.3">
      <c r="A356" s="1049"/>
      <c r="B356" s="1049"/>
      <c r="C356" s="1049"/>
      <c r="D356" s="1052"/>
      <c r="E356" s="1049"/>
      <c r="F356" s="1066"/>
      <c r="G356" s="1049"/>
      <c r="H356" s="1049"/>
      <c r="I356" s="1049"/>
      <c r="J356" s="1049"/>
      <c r="K356" s="1049"/>
      <c r="L356" s="1049"/>
      <c r="M356" s="1049"/>
      <c r="N356" s="1049"/>
      <c r="O356" s="1049"/>
      <c r="P356" s="1049"/>
      <c r="Q356" s="1049"/>
      <c r="R356" s="1049"/>
      <c r="S356" s="1049"/>
      <c r="T356" s="1049"/>
      <c r="U356" s="1049"/>
      <c r="V356" s="1049"/>
      <c r="W356" s="1049"/>
      <c r="X356" s="1049"/>
      <c r="Y356" s="1049"/>
      <c r="Z356" s="1049"/>
      <c r="AA356" s="1066"/>
      <c r="AB356" s="1049"/>
    </row>
    <row r="357" spans="1:80" x14ac:dyDescent="0.3">
      <c r="A357" s="1056"/>
      <c r="B357" s="1056"/>
      <c r="C357" s="1049"/>
      <c r="D357" s="1052"/>
      <c r="E357" s="1049"/>
      <c r="F357" s="1049"/>
      <c r="G357" s="1049"/>
      <c r="H357" s="1049"/>
      <c r="I357" s="1049"/>
      <c r="J357" s="1049"/>
      <c r="K357" s="1049"/>
      <c r="L357" s="1049"/>
      <c r="M357" s="1049"/>
      <c r="N357" s="1049"/>
      <c r="O357" s="1049"/>
      <c r="P357" s="1049"/>
      <c r="Q357" s="1049"/>
      <c r="R357" s="1049"/>
      <c r="S357" s="1049"/>
      <c r="T357" s="1049"/>
      <c r="U357" s="1049"/>
      <c r="V357" s="1049"/>
      <c r="W357" s="1049"/>
      <c r="X357" s="1049"/>
      <c r="Y357" s="1049"/>
      <c r="Z357" s="1049"/>
      <c r="AA357" s="1066"/>
      <c r="AB357" s="1049"/>
    </row>
    <row r="358" spans="1:80" x14ac:dyDescent="0.3">
      <c r="A358" s="1056"/>
      <c r="B358" s="1056"/>
      <c r="C358" s="1049"/>
      <c r="D358" s="1052" t="s">
        <v>1283</v>
      </c>
      <c r="E358" s="1049"/>
      <c r="F358" s="1052">
        <v>-7574</v>
      </c>
      <c r="G358" s="1052">
        <v>4027784875</v>
      </c>
      <c r="H358" s="1052">
        <v>1719694919</v>
      </c>
      <c r="I358" s="1052">
        <v>2605803788</v>
      </c>
      <c r="J358" s="1052">
        <v>0</v>
      </c>
      <c r="K358" s="1052">
        <v>0</v>
      </c>
      <c r="L358" s="1052">
        <v>0</v>
      </c>
      <c r="M358" s="1052">
        <v>0</v>
      </c>
      <c r="N358" s="1052">
        <v>1866934166</v>
      </c>
      <c r="O358" s="1052">
        <v>364411345</v>
      </c>
      <c r="P358" s="1049"/>
      <c r="Q358" s="1052">
        <v>0</v>
      </c>
      <c r="R358" s="1052">
        <v>836489275</v>
      </c>
      <c r="S358" s="1052">
        <v>1019632134</v>
      </c>
      <c r="T358" s="1052">
        <v>487292719</v>
      </c>
      <c r="U358" s="1052">
        <v>1787614366</v>
      </c>
      <c r="V358" s="1052">
        <v>0</v>
      </c>
      <c r="W358" s="1049"/>
      <c r="X358" s="1049"/>
      <c r="Y358" s="1049"/>
      <c r="Z358" s="1049"/>
      <c r="AA358" s="1066"/>
      <c r="AB358" s="1049"/>
    </row>
    <row r="359" spans="1:80" x14ac:dyDescent="0.3">
      <c r="A359" s="1056"/>
      <c r="B359" s="1056"/>
      <c r="C359" s="1049"/>
      <c r="D359" s="1052" t="s">
        <v>1284</v>
      </c>
      <c r="E359" s="1049"/>
      <c r="F359" s="1112">
        <v>-7574</v>
      </c>
      <c r="G359" s="1052">
        <v>4027784875</v>
      </c>
      <c r="H359" s="1112">
        <v>1719694919</v>
      </c>
      <c r="I359" s="1112">
        <v>2605803788</v>
      </c>
      <c r="J359" s="1052" t="s">
        <v>1755</v>
      </c>
      <c r="K359" s="1052" t="s">
        <v>1755</v>
      </c>
      <c r="L359" s="1052" t="s">
        <v>1755</v>
      </c>
      <c r="M359" s="1052" t="s">
        <v>1755</v>
      </c>
      <c r="N359" s="1112">
        <v>1866934166</v>
      </c>
      <c r="O359" s="1112">
        <v>364411345</v>
      </c>
      <c r="P359" s="1112">
        <v>3174975178</v>
      </c>
      <c r="Q359" s="1052" t="s">
        <v>1755</v>
      </c>
      <c r="R359" s="1112">
        <v>836489275</v>
      </c>
      <c r="S359" s="1112">
        <v>1019632134</v>
      </c>
      <c r="T359" s="1112">
        <v>487292719</v>
      </c>
      <c r="U359" s="1112">
        <v>1787614366</v>
      </c>
      <c r="V359" s="1052">
        <v>0</v>
      </c>
      <c r="W359" s="1049"/>
      <c r="X359" s="1049"/>
      <c r="Y359" s="1049"/>
      <c r="Z359" s="1049"/>
      <c r="AA359" s="1066"/>
      <c r="AB359" s="1049"/>
    </row>
    <row r="360" spans="1:80" x14ac:dyDescent="0.3">
      <c r="A360" s="1056"/>
      <c r="B360" s="1056"/>
      <c r="C360" s="1049"/>
      <c r="D360" s="1052"/>
      <c r="E360" s="1049"/>
      <c r="F360" s="1052">
        <v>0</v>
      </c>
      <c r="G360" s="1052">
        <v>0</v>
      </c>
      <c r="H360" s="1052">
        <v>0</v>
      </c>
      <c r="I360" s="1052">
        <v>0</v>
      </c>
      <c r="J360" s="1052" t="e">
        <v>#VALUE!</v>
      </c>
      <c r="K360" s="1052" t="e">
        <v>#VALUE!</v>
      </c>
      <c r="L360" s="1052" t="e">
        <v>#VALUE!</v>
      </c>
      <c r="M360" s="1052" t="e">
        <v>#VALUE!</v>
      </c>
      <c r="N360" s="1052">
        <v>0</v>
      </c>
      <c r="O360" s="1052">
        <v>0</v>
      </c>
      <c r="P360" s="1049"/>
      <c r="Q360" s="1052" t="e">
        <v>#VALUE!</v>
      </c>
      <c r="R360" s="1052">
        <v>0</v>
      </c>
      <c r="S360" s="1052">
        <v>0</v>
      </c>
      <c r="T360" s="1052">
        <v>0</v>
      </c>
      <c r="U360" s="1052">
        <v>0</v>
      </c>
      <c r="V360" s="1052">
        <v>0</v>
      </c>
      <c r="W360" s="1049"/>
      <c r="X360" s="1049"/>
      <c r="Y360" s="1049"/>
      <c r="Z360" s="1049"/>
      <c r="AA360" s="1066"/>
      <c r="AB360" s="1049"/>
    </row>
    <row r="361" spans="1:80" x14ac:dyDescent="0.3">
      <c r="A361" s="1049"/>
      <c r="B361" s="1049"/>
      <c r="C361" s="1049"/>
      <c r="D361" s="1052"/>
      <c r="E361" s="1049"/>
      <c r="F361" s="1066"/>
      <c r="G361" s="1049"/>
      <c r="H361" s="1049"/>
      <c r="I361" s="1049"/>
      <c r="J361" s="1049"/>
      <c r="K361" s="1049"/>
      <c r="L361" s="1049"/>
      <c r="M361" s="1049"/>
      <c r="N361" s="1049"/>
      <c r="O361" s="1049"/>
      <c r="P361" s="1049"/>
      <c r="Q361" s="1049"/>
      <c r="R361" s="1049"/>
      <c r="S361" s="1049"/>
      <c r="T361" s="1049"/>
      <c r="U361" s="1049"/>
      <c r="V361" s="1049"/>
      <c r="W361" s="1049"/>
      <c r="X361" s="1049"/>
      <c r="Y361" s="1049"/>
      <c r="Z361" s="1049"/>
      <c r="AA361" s="1066"/>
      <c r="AB361" s="1049"/>
    </row>
    <row r="362" spans="1:80" s="1052" customFormat="1" x14ac:dyDescent="0.3">
      <c r="A362" s="1049"/>
      <c r="B362" s="1049"/>
      <c r="C362" s="1049"/>
      <c r="E362" s="1049"/>
      <c r="F362" s="1066"/>
      <c r="G362" s="1047"/>
      <c r="H362" s="1047"/>
      <c r="I362" s="1047"/>
      <c r="J362" s="1049"/>
      <c r="K362" s="1049"/>
      <c r="L362" s="1049"/>
      <c r="M362" s="1049"/>
      <c r="N362" s="1047"/>
      <c r="O362" s="1047"/>
      <c r="P362" s="1047"/>
      <c r="Q362" s="1049"/>
      <c r="R362" s="1047"/>
      <c r="S362" s="1047"/>
      <c r="T362" s="1047"/>
      <c r="U362" s="1047"/>
      <c r="V362" s="1049"/>
      <c r="W362" s="1049"/>
      <c r="X362" s="1049"/>
      <c r="Y362" s="1049"/>
      <c r="Z362" s="1049"/>
      <c r="AA362" s="1066"/>
      <c r="AB362" s="1049"/>
    </row>
    <row r="363" spans="1:80" s="1052" customFormat="1" x14ac:dyDescent="0.3">
      <c r="A363" s="1049"/>
      <c r="B363" s="1049"/>
      <c r="C363" s="1049"/>
      <c r="E363" s="1049"/>
      <c r="F363" s="1066"/>
      <c r="G363" s="1066"/>
      <c r="H363" s="1066"/>
      <c r="I363" s="1066"/>
      <c r="J363" s="1066"/>
      <c r="K363" s="1066"/>
      <c r="L363" s="1066"/>
      <c r="M363" s="1066"/>
      <c r="N363" s="1066"/>
      <c r="O363" s="1066"/>
      <c r="P363" s="1066"/>
      <c r="Q363" s="1066"/>
      <c r="R363" s="1066"/>
      <c r="S363" s="1066"/>
      <c r="T363" s="1066"/>
      <c r="U363" s="1066"/>
      <c r="V363" s="1049"/>
      <c r="W363" s="1049"/>
      <c r="X363" s="1049"/>
      <c r="Y363" s="1049"/>
      <c r="Z363" s="1049"/>
      <c r="AA363" s="1066"/>
      <c r="AB363" s="1049"/>
    </row>
    <row r="365" spans="1:80" ht="15.6" x14ac:dyDescent="0.3">
      <c r="A365" s="1052"/>
      <c r="B365" s="1049"/>
      <c r="C365" s="1060"/>
      <c r="D365" s="1061"/>
      <c r="E365" s="1062"/>
      <c r="F365" s="1063"/>
      <c r="G365" s="1063"/>
      <c r="H365" s="1063"/>
      <c r="I365" s="1063"/>
      <c r="J365" s="1063"/>
      <c r="K365" s="1063"/>
      <c r="L365" s="1063"/>
      <c r="M365" s="1063"/>
      <c r="N365" s="1063"/>
      <c r="O365" s="1063"/>
      <c r="P365" s="1063"/>
      <c r="Q365" s="1063"/>
      <c r="R365" s="1063"/>
      <c r="S365" s="1063"/>
      <c r="T365" s="1063"/>
      <c r="U365" s="1063"/>
      <c r="V365" s="1063"/>
      <c r="W365" s="1049"/>
      <c r="X365" s="1049"/>
      <c r="Y365" s="1049"/>
      <c r="Z365" s="1049"/>
      <c r="AA365" s="1066"/>
      <c r="AB365" s="1065"/>
    </row>
    <row r="366" spans="1:80" ht="15.6" x14ac:dyDescent="0.3">
      <c r="A366" s="1052"/>
      <c r="B366" s="1049"/>
      <c r="C366" s="1060"/>
      <c r="D366" s="1071"/>
      <c r="E366" s="1062"/>
      <c r="F366" s="1063"/>
      <c r="G366" s="1063"/>
      <c r="H366" s="1063"/>
      <c r="I366" s="1063"/>
      <c r="J366" s="1063"/>
      <c r="K366" s="1063"/>
      <c r="L366" s="1063"/>
      <c r="M366" s="1063"/>
      <c r="N366" s="1063"/>
      <c r="O366" s="1063"/>
      <c r="P366" s="1063"/>
      <c r="Q366" s="1063"/>
      <c r="R366" s="1063"/>
      <c r="S366" s="1063"/>
      <c r="T366" s="1063"/>
      <c r="U366" s="1063"/>
      <c r="V366" s="1063"/>
      <c r="W366" s="1049"/>
      <c r="X366" s="1049"/>
      <c r="Y366" s="1049"/>
      <c r="Z366" s="1049"/>
      <c r="AA366" s="1066"/>
      <c r="AB366" s="1049"/>
    </row>
    <row r="367" spans="1:80" ht="15.6" x14ac:dyDescent="0.3">
      <c r="A367" s="1052">
        <v>336</v>
      </c>
      <c r="B367" s="1049"/>
      <c r="C367" s="1060" t="s">
        <v>1987</v>
      </c>
      <c r="D367" s="1071" t="s">
        <v>1315</v>
      </c>
      <c r="E367" s="1062" t="s">
        <v>419</v>
      </c>
      <c r="F367" s="1063">
        <v>0</v>
      </c>
      <c r="G367" s="1063">
        <v>0</v>
      </c>
      <c r="H367" s="1063">
        <v>0</v>
      </c>
      <c r="I367" s="1063">
        <v>0</v>
      </c>
      <c r="J367" s="1063">
        <v>0</v>
      </c>
      <c r="K367" s="1063">
        <v>0</v>
      </c>
      <c r="L367" s="1063">
        <v>0</v>
      </c>
      <c r="M367" s="1063">
        <v>0</v>
      </c>
      <c r="N367" s="1063">
        <v>0</v>
      </c>
      <c r="O367" s="1063">
        <v>0</v>
      </c>
      <c r="P367" s="1063">
        <v>0</v>
      </c>
      <c r="Q367" s="1063">
        <v>0</v>
      </c>
      <c r="R367" s="1063">
        <v>0</v>
      </c>
      <c r="S367" s="1063">
        <v>0</v>
      </c>
      <c r="T367" s="1063">
        <v>0</v>
      </c>
      <c r="U367" s="1063">
        <v>0</v>
      </c>
      <c r="V367" s="1063"/>
      <c r="W367" s="1049"/>
      <c r="X367" s="1049"/>
      <c r="Y367" s="1049"/>
      <c r="Z367" s="1049"/>
      <c r="AA367" s="1066"/>
      <c r="AB367" s="1049"/>
    </row>
    <row r="368" spans="1:80" x14ac:dyDescent="0.3">
      <c r="A368" s="1052">
        <v>537</v>
      </c>
      <c r="B368" s="1053"/>
      <c r="C368" s="1056">
        <v>537</v>
      </c>
      <c r="D368" s="1052" t="s">
        <v>295</v>
      </c>
      <c r="E368" s="1052" t="s">
        <v>504</v>
      </c>
      <c r="F368" s="1063">
        <v>0</v>
      </c>
      <c r="G368" s="1063">
        <v>0</v>
      </c>
      <c r="H368" s="1063">
        <v>0</v>
      </c>
      <c r="I368" s="1063">
        <v>0</v>
      </c>
      <c r="J368" s="1063">
        <v>0</v>
      </c>
      <c r="K368" s="1063">
        <v>0</v>
      </c>
      <c r="L368" s="1063">
        <v>0</v>
      </c>
      <c r="M368" s="1063">
        <v>0</v>
      </c>
      <c r="N368" s="1063">
        <v>0</v>
      </c>
      <c r="O368" s="1063">
        <v>0</v>
      </c>
      <c r="P368" s="1063">
        <v>0</v>
      </c>
      <c r="Q368" s="1063">
        <v>0</v>
      </c>
      <c r="R368" s="1063">
        <v>0</v>
      </c>
      <c r="S368" s="1063">
        <v>0</v>
      </c>
      <c r="T368" s="1063">
        <v>0</v>
      </c>
      <c r="U368" s="1063">
        <v>0</v>
      </c>
      <c r="V368" s="1063"/>
      <c r="W368" s="1049"/>
      <c r="X368" s="1049"/>
      <c r="Y368" s="1064"/>
      <c r="Z368" s="1065"/>
      <c r="AA368" s="1066"/>
      <c r="AB368" s="1049"/>
    </row>
    <row r="369" spans="1:28" ht="27.6" x14ac:dyDescent="0.3">
      <c r="A369" s="1052">
        <v>538</v>
      </c>
      <c r="B369" s="1053"/>
      <c r="C369" s="1060" t="s">
        <v>1816</v>
      </c>
      <c r="D369" s="1080" t="s">
        <v>294</v>
      </c>
      <c r="E369" s="1062" t="s">
        <v>505</v>
      </c>
      <c r="F369" s="1063">
        <v>0</v>
      </c>
      <c r="G369" s="1063">
        <v>0</v>
      </c>
      <c r="H369" s="1063">
        <v>0</v>
      </c>
      <c r="I369" s="1063">
        <v>0</v>
      </c>
      <c r="J369" s="1063">
        <v>0</v>
      </c>
      <c r="K369" s="1063">
        <v>0</v>
      </c>
      <c r="L369" s="1063">
        <v>0</v>
      </c>
      <c r="M369" s="1063">
        <v>0</v>
      </c>
      <c r="N369" s="1063">
        <v>0</v>
      </c>
      <c r="O369" s="1063">
        <v>0</v>
      </c>
      <c r="P369" s="1063">
        <v>0</v>
      </c>
      <c r="Q369" s="1063">
        <v>0</v>
      </c>
      <c r="R369" s="1063">
        <v>0</v>
      </c>
      <c r="S369" s="1063">
        <v>0</v>
      </c>
      <c r="T369" s="1063">
        <v>0</v>
      </c>
      <c r="U369" s="1063">
        <v>0</v>
      </c>
      <c r="V369" s="1063"/>
      <c r="W369" s="1049"/>
      <c r="X369" s="1049"/>
      <c r="Y369" s="1064"/>
      <c r="Z369" s="1065"/>
      <c r="AA369" s="1066"/>
      <c r="AB369" s="1049"/>
    </row>
    <row r="370" spans="1:28" ht="41.4" x14ac:dyDescent="0.3">
      <c r="A370" s="1052">
        <v>577</v>
      </c>
      <c r="B370" s="1053">
        <v>577</v>
      </c>
      <c r="C370" s="1060" t="s">
        <v>2073</v>
      </c>
      <c r="D370" s="1080" t="s">
        <v>624</v>
      </c>
      <c r="E370" s="1062" t="s">
        <v>625</v>
      </c>
      <c r="F370" s="1063">
        <v>0</v>
      </c>
      <c r="G370" s="1063">
        <v>1</v>
      </c>
      <c r="H370" s="1063">
        <v>0</v>
      </c>
      <c r="I370" s="1063">
        <v>1</v>
      </c>
      <c r="J370" s="1063">
        <v>0</v>
      </c>
      <c r="K370" s="1063">
        <v>0</v>
      </c>
      <c r="L370" s="1063">
        <v>0</v>
      </c>
      <c r="M370" s="1063">
        <v>0</v>
      </c>
      <c r="N370" s="1063">
        <v>0</v>
      </c>
      <c r="O370" s="1063">
        <v>0</v>
      </c>
      <c r="P370" s="1063">
        <v>0</v>
      </c>
      <c r="Q370" s="1063">
        <v>0</v>
      </c>
      <c r="R370" s="1063">
        <v>1</v>
      </c>
      <c r="S370" s="1063">
        <v>0</v>
      </c>
      <c r="T370" s="1063">
        <v>0</v>
      </c>
      <c r="U370" s="1063">
        <v>0</v>
      </c>
      <c r="V370" s="1063"/>
      <c r="W370" s="1049"/>
      <c r="X370" s="1049"/>
      <c r="Y370" s="1064"/>
      <c r="Z370" s="1065"/>
      <c r="AA370" s="1066"/>
      <c r="AB370" s="1049"/>
    </row>
    <row r="371" spans="1:28" ht="41.4" x14ac:dyDescent="0.3">
      <c r="A371" s="1052">
        <v>554</v>
      </c>
      <c r="B371" s="1053">
        <v>554</v>
      </c>
      <c r="C371" s="1060" t="s">
        <v>1837</v>
      </c>
      <c r="D371" s="1080" t="s">
        <v>577</v>
      </c>
      <c r="E371" s="1062" t="s">
        <v>578</v>
      </c>
      <c r="F371" s="1063">
        <v>0</v>
      </c>
      <c r="G371" s="1063">
        <v>0</v>
      </c>
      <c r="H371" s="1063">
        <v>0</v>
      </c>
      <c r="I371" s="1063">
        <v>1143425</v>
      </c>
      <c r="J371" s="1063">
        <v>0</v>
      </c>
      <c r="K371" s="1063">
        <v>0</v>
      </c>
      <c r="L371" s="1063">
        <v>0</v>
      </c>
      <c r="M371" s="1063">
        <v>0</v>
      </c>
      <c r="N371" s="1063">
        <v>0</v>
      </c>
      <c r="O371" s="1063">
        <v>0</v>
      </c>
      <c r="P371" s="1063">
        <v>0</v>
      </c>
      <c r="Q371" s="1063">
        <v>0</v>
      </c>
      <c r="R371" s="1063">
        <v>0</v>
      </c>
      <c r="S371" s="1063">
        <v>0</v>
      </c>
      <c r="T371" s="1063">
        <v>0</v>
      </c>
      <c r="U371" s="1063">
        <v>0</v>
      </c>
      <c r="V371" s="1063"/>
      <c r="W371" s="1049"/>
      <c r="X371" s="1049"/>
      <c r="Y371" s="1064"/>
      <c r="Z371" s="1065"/>
      <c r="AA371" s="1066"/>
    </row>
    <row r="372" spans="1:28" ht="41.4" x14ac:dyDescent="0.3">
      <c r="A372" s="1052">
        <v>555</v>
      </c>
      <c r="B372" s="1053">
        <v>555</v>
      </c>
      <c r="C372" s="1060" t="s">
        <v>1838</v>
      </c>
      <c r="D372" s="1080" t="s">
        <v>579</v>
      </c>
      <c r="E372" s="1062" t="s">
        <v>580</v>
      </c>
      <c r="F372" s="1063">
        <v>0</v>
      </c>
      <c r="G372" s="1063">
        <v>0</v>
      </c>
      <c r="H372" s="1063">
        <v>0</v>
      </c>
      <c r="I372" s="1063">
        <v>718830</v>
      </c>
      <c r="J372" s="1063">
        <v>0</v>
      </c>
      <c r="K372" s="1063">
        <v>0</v>
      </c>
      <c r="L372" s="1063">
        <v>0</v>
      </c>
      <c r="M372" s="1063">
        <v>0</v>
      </c>
      <c r="N372" s="1063">
        <v>0</v>
      </c>
      <c r="O372" s="1063">
        <v>0</v>
      </c>
      <c r="P372" s="1063">
        <v>0</v>
      </c>
      <c r="Q372" s="1063">
        <v>0</v>
      </c>
      <c r="R372" s="1063">
        <v>0</v>
      </c>
      <c r="S372" s="1063">
        <v>0</v>
      </c>
      <c r="T372" s="1063">
        <v>0</v>
      </c>
      <c r="U372" s="1063">
        <v>0</v>
      </c>
      <c r="V372" s="1063"/>
      <c r="W372" s="1049"/>
      <c r="X372" s="1049"/>
      <c r="Y372" s="1064"/>
      <c r="Z372" s="1065"/>
      <c r="AA372" s="1066"/>
    </row>
    <row r="373" spans="1:28" ht="43.2" x14ac:dyDescent="0.3">
      <c r="A373" s="1052">
        <v>556</v>
      </c>
      <c r="B373" s="1053">
        <v>556</v>
      </c>
      <c r="C373" s="1055">
        <v>556</v>
      </c>
      <c r="D373" s="1094" t="s">
        <v>581</v>
      </c>
      <c r="E373" s="1049" t="s">
        <v>582</v>
      </c>
      <c r="F373" s="1063">
        <v>0</v>
      </c>
      <c r="G373" s="1063">
        <v>0</v>
      </c>
      <c r="H373" s="1063">
        <v>0</v>
      </c>
      <c r="I373" s="1063">
        <v>0</v>
      </c>
      <c r="J373" s="1063">
        <v>0</v>
      </c>
      <c r="K373" s="1063">
        <v>0</v>
      </c>
      <c r="L373" s="1063">
        <v>0</v>
      </c>
      <c r="M373" s="1063">
        <v>0</v>
      </c>
      <c r="N373" s="1063">
        <v>0</v>
      </c>
      <c r="O373" s="1063">
        <v>0</v>
      </c>
      <c r="P373" s="1063">
        <v>0</v>
      </c>
      <c r="Q373" s="1063">
        <v>0</v>
      </c>
      <c r="R373" s="1063">
        <v>0</v>
      </c>
      <c r="S373" s="1063">
        <v>0</v>
      </c>
      <c r="T373" s="1063">
        <v>0</v>
      </c>
      <c r="U373" s="1063">
        <v>0</v>
      </c>
      <c r="V373" s="1063"/>
      <c r="W373" s="1049"/>
      <c r="X373" s="1049"/>
      <c r="Y373" s="1049"/>
      <c r="Z373" s="1049"/>
      <c r="AA373" s="1049"/>
    </row>
    <row r="374" spans="1:28" ht="43.2" x14ac:dyDescent="0.3">
      <c r="A374" s="1052">
        <v>557</v>
      </c>
      <c r="B374" s="1053">
        <v>557</v>
      </c>
      <c r="C374" s="1055">
        <v>557</v>
      </c>
      <c r="D374" s="1094" t="s">
        <v>583</v>
      </c>
      <c r="E374" s="1049" t="s">
        <v>584</v>
      </c>
      <c r="F374" s="1063">
        <v>0</v>
      </c>
      <c r="G374" s="1063">
        <v>0</v>
      </c>
      <c r="H374" s="1063">
        <v>0</v>
      </c>
      <c r="I374" s="1063">
        <v>0</v>
      </c>
      <c r="J374" s="1063">
        <v>0</v>
      </c>
      <c r="K374" s="1063">
        <v>0</v>
      </c>
      <c r="L374" s="1063">
        <v>0</v>
      </c>
      <c r="M374" s="1063">
        <v>0</v>
      </c>
      <c r="N374" s="1063">
        <v>0</v>
      </c>
      <c r="O374" s="1063">
        <v>0</v>
      </c>
      <c r="P374" s="1063">
        <v>0</v>
      </c>
      <c r="Q374" s="1063">
        <v>0</v>
      </c>
      <c r="R374" s="1063">
        <v>0</v>
      </c>
      <c r="S374" s="1063">
        <v>0</v>
      </c>
      <c r="T374" s="1063">
        <v>0</v>
      </c>
      <c r="U374" s="1063">
        <v>0</v>
      </c>
      <c r="V374" s="1063"/>
      <c r="W374" s="1049"/>
      <c r="X374" s="1049"/>
      <c r="Y374" s="1049"/>
      <c r="Z374" s="1049"/>
      <c r="AA374" s="1049"/>
    </row>
    <row r="375" spans="1:28" ht="28.8" x14ac:dyDescent="0.3">
      <c r="A375" s="1052">
        <v>606</v>
      </c>
      <c r="B375" s="1053">
        <v>606</v>
      </c>
      <c r="C375" s="1095">
        <v>606</v>
      </c>
      <c r="D375" s="1096" t="s">
        <v>688</v>
      </c>
      <c r="E375" s="1056"/>
      <c r="F375" s="1063">
        <v>0</v>
      </c>
      <c r="G375" s="1063">
        <v>0</v>
      </c>
      <c r="H375" s="1063">
        <v>0</v>
      </c>
      <c r="I375" s="1063">
        <v>1</v>
      </c>
      <c r="J375" s="1063">
        <v>0</v>
      </c>
      <c r="K375" s="1063">
        <v>0</v>
      </c>
      <c r="L375" s="1063">
        <v>0</v>
      </c>
      <c r="M375" s="1063">
        <v>0</v>
      </c>
      <c r="N375" s="1063">
        <v>0</v>
      </c>
      <c r="O375" s="1063">
        <v>0</v>
      </c>
      <c r="P375" s="1063">
        <v>0</v>
      </c>
      <c r="Q375" s="1063">
        <v>0</v>
      </c>
      <c r="R375" s="1063">
        <v>0</v>
      </c>
      <c r="S375" s="1063">
        <v>0</v>
      </c>
      <c r="T375" s="1063">
        <v>0</v>
      </c>
      <c r="U375" s="1063">
        <v>0</v>
      </c>
      <c r="V375" s="1063"/>
      <c r="W375" s="1049"/>
      <c r="X375" s="1049"/>
      <c r="Y375" s="1049"/>
      <c r="Z375" s="1049"/>
      <c r="AA375" s="1066"/>
    </row>
    <row r="376" spans="1:28" ht="57.6" x14ac:dyDescent="0.3">
      <c r="A376" s="1052">
        <v>620</v>
      </c>
      <c r="B376" s="1053">
        <v>620</v>
      </c>
      <c r="C376" s="1095">
        <v>620</v>
      </c>
      <c r="D376" s="1096" t="s">
        <v>678</v>
      </c>
      <c r="E376" s="1056"/>
      <c r="F376" s="1063">
        <v>2</v>
      </c>
      <c r="G376" s="1063">
        <v>2</v>
      </c>
      <c r="H376" s="1063">
        <v>2</v>
      </c>
      <c r="I376" s="1063">
        <v>1</v>
      </c>
      <c r="J376" s="1063">
        <v>0</v>
      </c>
      <c r="K376" s="1063">
        <v>0</v>
      </c>
      <c r="L376" s="1063">
        <v>0</v>
      </c>
      <c r="M376" s="1063">
        <v>0</v>
      </c>
      <c r="N376" s="1063">
        <v>1</v>
      </c>
      <c r="O376" s="1063">
        <v>2</v>
      </c>
      <c r="P376" s="1063">
        <v>1</v>
      </c>
      <c r="Q376" s="1063">
        <v>0</v>
      </c>
      <c r="R376" s="1063">
        <v>2</v>
      </c>
      <c r="S376" s="1063">
        <v>2</v>
      </c>
      <c r="T376" s="1063">
        <v>2</v>
      </c>
      <c r="U376" s="1063">
        <v>2</v>
      </c>
      <c r="V376" s="1063"/>
      <c r="W376" s="1049"/>
      <c r="X376" s="1049"/>
      <c r="Y376" s="1049"/>
      <c r="Z376" s="1049"/>
      <c r="AA376" s="1066"/>
    </row>
    <row r="377" spans="1:28" ht="27.6" x14ac:dyDescent="0.3">
      <c r="A377" s="1052">
        <v>662</v>
      </c>
      <c r="B377" s="1053">
        <v>662</v>
      </c>
      <c r="C377" s="1088">
        <v>662</v>
      </c>
      <c r="D377" s="1084" t="s">
        <v>857</v>
      </c>
      <c r="E377" s="1085"/>
      <c r="F377" s="1063">
        <v>0</v>
      </c>
      <c r="G377" s="1063">
        <v>0</v>
      </c>
      <c r="H377" s="1063">
        <v>0</v>
      </c>
      <c r="I377" s="1063">
        <v>0</v>
      </c>
      <c r="J377" s="1063">
        <v>0</v>
      </c>
      <c r="K377" s="1063">
        <v>0</v>
      </c>
      <c r="L377" s="1063">
        <v>0</v>
      </c>
      <c r="M377" s="1063">
        <v>0</v>
      </c>
      <c r="N377" s="1063">
        <v>0</v>
      </c>
      <c r="O377" s="1063">
        <v>0</v>
      </c>
      <c r="P377" s="1063">
        <v>0</v>
      </c>
      <c r="Q377" s="1063">
        <v>0</v>
      </c>
      <c r="R377" s="1063">
        <v>0</v>
      </c>
      <c r="S377" s="1063">
        <v>0</v>
      </c>
      <c r="T377" s="1063">
        <v>0</v>
      </c>
      <c r="U377" s="1063">
        <v>0</v>
      </c>
      <c r="V377" s="1063"/>
      <c r="W377" s="1049"/>
      <c r="X377" s="1049"/>
      <c r="Y377" s="1049"/>
      <c r="Z377" s="1049"/>
      <c r="AA377" s="1066"/>
    </row>
    <row r="378" spans="1:28" ht="27.6" x14ac:dyDescent="0.3">
      <c r="A378" s="1052">
        <v>663</v>
      </c>
      <c r="B378" s="1053">
        <v>663</v>
      </c>
      <c r="C378" s="1088">
        <v>663</v>
      </c>
      <c r="D378" s="1084" t="s">
        <v>858</v>
      </c>
      <c r="E378" s="1085"/>
      <c r="F378" s="1089">
        <v>0</v>
      </c>
      <c r="G378" s="1089">
        <v>0</v>
      </c>
      <c r="H378" s="1089">
        <v>0</v>
      </c>
      <c r="I378" s="1089">
        <v>0</v>
      </c>
      <c r="J378" s="1089">
        <v>0</v>
      </c>
      <c r="K378" s="1089">
        <v>0</v>
      </c>
      <c r="L378" s="1089">
        <v>0</v>
      </c>
      <c r="M378" s="1089">
        <v>0</v>
      </c>
      <c r="N378" s="1089">
        <v>0</v>
      </c>
      <c r="O378" s="1089">
        <v>0</v>
      </c>
      <c r="P378" s="1089">
        <v>10617331</v>
      </c>
      <c r="Q378" s="1089">
        <v>0</v>
      </c>
      <c r="R378" s="1089">
        <v>0</v>
      </c>
      <c r="S378" s="1089">
        <v>0</v>
      </c>
      <c r="T378" s="1089">
        <v>0</v>
      </c>
      <c r="U378" s="1089">
        <v>0</v>
      </c>
      <c r="V378" s="1089"/>
      <c r="W378" s="1049"/>
      <c r="X378" s="1049"/>
      <c r="Y378" s="1049"/>
      <c r="Z378" s="1049"/>
      <c r="AA378" s="1066"/>
    </row>
    <row r="379" spans="1:28" s="1052" customFormat="1" ht="27" x14ac:dyDescent="0.3">
      <c r="A379" s="1052">
        <v>992</v>
      </c>
      <c r="B379" s="1053">
        <v>992</v>
      </c>
      <c r="C379" s="1060" t="s">
        <v>1860</v>
      </c>
      <c r="D379" s="1082" t="s">
        <v>1750</v>
      </c>
      <c r="E379" s="1062" t="s">
        <v>602</v>
      </c>
      <c r="F379" s="1063">
        <v>0</v>
      </c>
      <c r="G379" s="1063">
        <v>2</v>
      </c>
      <c r="H379" s="1063">
        <v>0</v>
      </c>
      <c r="I379" s="1063">
        <v>1</v>
      </c>
      <c r="J379" s="1063">
        <v>0</v>
      </c>
      <c r="K379" s="1063">
        <v>0</v>
      </c>
      <c r="L379" s="1063">
        <v>0</v>
      </c>
      <c r="M379" s="1063">
        <v>0</v>
      </c>
      <c r="N379" s="1063">
        <v>1</v>
      </c>
      <c r="O379" s="1063">
        <v>3</v>
      </c>
      <c r="P379" s="1063">
        <v>2</v>
      </c>
      <c r="Q379" s="1063">
        <v>0</v>
      </c>
      <c r="R379" s="1063">
        <v>3</v>
      </c>
      <c r="S379" s="1063">
        <v>2</v>
      </c>
      <c r="T379" s="1063">
        <v>1</v>
      </c>
      <c r="U379" s="1063">
        <v>1</v>
      </c>
      <c r="V379" s="1089"/>
      <c r="W379" s="1049"/>
      <c r="X379" s="1049"/>
      <c r="Y379" s="1049"/>
      <c r="Z379" s="1049"/>
      <c r="AA379" s="1066"/>
    </row>
    <row r="380" spans="1:28" x14ac:dyDescent="0.3">
      <c r="A380" s="1052">
        <v>998</v>
      </c>
      <c r="B380" s="1053">
        <v>998</v>
      </c>
      <c r="C380" s="1095">
        <v>998</v>
      </c>
      <c r="D380" s="1096" t="s">
        <v>292</v>
      </c>
      <c r="E380" s="1056" t="s">
        <v>523</v>
      </c>
      <c r="F380" s="1063">
        <v>53</v>
      </c>
      <c r="G380" s="1063">
        <v>53</v>
      </c>
      <c r="H380" s="1063">
        <v>0</v>
      </c>
      <c r="I380" s="1063">
        <v>53</v>
      </c>
      <c r="J380" s="1063">
        <v>0</v>
      </c>
      <c r="K380" s="1063">
        <v>0</v>
      </c>
      <c r="L380" s="1063">
        <v>0</v>
      </c>
      <c r="M380" s="1063">
        <v>0</v>
      </c>
      <c r="N380" s="1063">
        <v>53</v>
      </c>
      <c r="O380" s="1063">
        <v>53</v>
      </c>
      <c r="P380" s="1063">
        <v>53</v>
      </c>
      <c r="Q380" s="1063">
        <v>0</v>
      </c>
      <c r="R380" s="1063">
        <v>53</v>
      </c>
      <c r="S380" s="1063">
        <v>53</v>
      </c>
      <c r="T380" s="1063">
        <v>53</v>
      </c>
      <c r="U380" s="1063">
        <v>53</v>
      </c>
      <c r="V380" s="1063"/>
      <c r="W380" s="1049"/>
      <c r="X380" s="1049"/>
      <c r="Y380" s="1049"/>
      <c r="Z380" s="1049"/>
      <c r="AA380" s="1066"/>
    </row>
    <row r="381" spans="1:28" x14ac:dyDescent="0.3">
      <c r="A381" s="1052">
        <v>999</v>
      </c>
      <c r="B381" s="1053">
        <v>999</v>
      </c>
      <c r="C381" s="1095">
        <v>999</v>
      </c>
      <c r="D381" s="1096" t="s">
        <v>293</v>
      </c>
      <c r="E381" s="1056" t="s">
        <v>524</v>
      </c>
      <c r="F381" s="1063">
        <v>53876</v>
      </c>
      <c r="G381" s="1063">
        <v>53926</v>
      </c>
      <c r="H381" s="1063">
        <v>53880</v>
      </c>
      <c r="I381" s="1063">
        <v>53881</v>
      </c>
      <c r="J381" s="1063">
        <v>0</v>
      </c>
      <c r="K381" s="1063">
        <v>0</v>
      </c>
      <c r="L381" s="1063">
        <v>0</v>
      </c>
      <c r="M381" s="1063">
        <v>0</v>
      </c>
      <c r="N381" s="1063">
        <v>53897</v>
      </c>
      <c r="O381" s="1063">
        <v>53970</v>
      </c>
      <c r="P381" s="1063">
        <v>53950</v>
      </c>
      <c r="Q381" s="1063">
        <v>0</v>
      </c>
      <c r="R381" s="1063">
        <v>53902</v>
      </c>
      <c r="S381" s="1063">
        <v>53923</v>
      </c>
      <c r="T381" s="1063">
        <v>53908</v>
      </c>
      <c r="U381" s="1063">
        <v>53913</v>
      </c>
      <c r="V381" s="1063"/>
      <c r="W381" s="1049"/>
      <c r="X381" s="1049"/>
      <c r="Y381" s="1049"/>
      <c r="Z381" s="1049"/>
      <c r="AA381" s="1066"/>
    </row>
    <row r="382" spans="1:28" ht="28.8" x14ac:dyDescent="0.3">
      <c r="A382" s="1052">
        <v>906</v>
      </c>
      <c r="B382" s="1053">
        <v>906</v>
      </c>
      <c r="C382" s="1095" t="s">
        <v>1867</v>
      </c>
      <c r="D382" s="1096" t="s">
        <v>917</v>
      </c>
      <c r="E382" s="1056"/>
      <c r="F382" s="1063">
        <v>1</v>
      </c>
      <c r="G382" s="1063">
        <v>1</v>
      </c>
      <c r="H382" s="1063">
        <v>1</v>
      </c>
      <c r="I382" s="1063">
        <v>1</v>
      </c>
      <c r="J382" s="1063">
        <v>0</v>
      </c>
      <c r="K382" s="1063">
        <v>0</v>
      </c>
      <c r="L382" s="1063">
        <v>0</v>
      </c>
      <c r="M382" s="1063">
        <v>0</v>
      </c>
      <c r="N382" s="1063">
        <v>1</v>
      </c>
      <c r="O382" s="1063">
        <v>1</v>
      </c>
      <c r="P382" s="1063">
        <v>1</v>
      </c>
      <c r="Q382" s="1063">
        <v>0</v>
      </c>
      <c r="R382" s="1063">
        <v>1</v>
      </c>
      <c r="S382" s="1063">
        <v>1</v>
      </c>
      <c r="T382" s="1063">
        <v>1</v>
      </c>
      <c r="U382" s="1063">
        <v>1</v>
      </c>
      <c r="V382" s="1063"/>
      <c r="W382" s="1049"/>
      <c r="X382" s="1049"/>
      <c r="Y382" s="1049"/>
      <c r="Z382" s="1049"/>
      <c r="AA382" s="1066"/>
    </row>
    <row r="383" spans="1:28" ht="28.8" x14ac:dyDescent="0.3">
      <c r="A383" s="1052">
        <v>907</v>
      </c>
      <c r="B383" s="1053">
        <v>907</v>
      </c>
      <c r="C383" s="1095" t="s">
        <v>1867</v>
      </c>
      <c r="D383" s="1096" t="s">
        <v>918</v>
      </c>
      <c r="E383" s="1056"/>
      <c r="F383" s="1063">
        <v>2</v>
      </c>
      <c r="G383" s="1063">
        <v>2</v>
      </c>
      <c r="H383" s="1063">
        <v>2</v>
      </c>
      <c r="I383" s="1063">
        <v>2</v>
      </c>
      <c r="J383" s="1063">
        <v>0</v>
      </c>
      <c r="K383" s="1063">
        <v>0</v>
      </c>
      <c r="L383" s="1063">
        <v>0</v>
      </c>
      <c r="M383" s="1063">
        <v>0</v>
      </c>
      <c r="N383" s="1063">
        <v>2</v>
      </c>
      <c r="O383" s="1063">
        <v>2</v>
      </c>
      <c r="P383" s="1063">
        <v>2</v>
      </c>
      <c r="Q383" s="1063">
        <v>0</v>
      </c>
      <c r="R383" s="1063">
        <v>2</v>
      </c>
      <c r="S383" s="1063">
        <v>2</v>
      </c>
      <c r="T383" s="1063">
        <v>2</v>
      </c>
      <c r="U383" s="1063">
        <v>2</v>
      </c>
      <c r="V383" s="1063"/>
      <c r="W383" s="1049"/>
      <c r="X383" s="1049"/>
      <c r="Y383" s="1049"/>
      <c r="Z383" s="1049"/>
      <c r="AA383" s="1066"/>
    </row>
    <row r="384" spans="1:28" ht="28.8" x14ac:dyDescent="0.3">
      <c r="A384" s="1052">
        <v>951</v>
      </c>
      <c r="B384" s="1053">
        <v>951</v>
      </c>
      <c r="C384" s="1095" t="s">
        <v>1867</v>
      </c>
      <c r="D384" s="1096" t="s">
        <v>919</v>
      </c>
      <c r="E384" s="1056"/>
      <c r="F384" s="1063">
        <v>2</v>
      </c>
      <c r="G384" s="1063">
        <v>2</v>
      </c>
      <c r="H384" s="1063">
        <v>2</v>
      </c>
      <c r="I384" s="1063">
        <v>2</v>
      </c>
      <c r="J384" s="1063">
        <v>0</v>
      </c>
      <c r="K384" s="1063">
        <v>0</v>
      </c>
      <c r="L384" s="1063">
        <v>0</v>
      </c>
      <c r="M384" s="1063">
        <v>0</v>
      </c>
      <c r="N384" s="1063">
        <v>2</v>
      </c>
      <c r="O384" s="1063">
        <v>2</v>
      </c>
      <c r="P384" s="1063">
        <v>2</v>
      </c>
      <c r="Q384" s="1063">
        <v>0</v>
      </c>
      <c r="R384" s="1063">
        <v>2</v>
      </c>
      <c r="S384" s="1063">
        <v>2</v>
      </c>
      <c r="T384" s="1063">
        <v>2</v>
      </c>
      <c r="U384" s="1063">
        <v>2</v>
      </c>
      <c r="V384" s="1063"/>
      <c r="W384" s="1049"/>
      <c r="X384" s="1049"/>
      <c r="Y384" s="1049"/>
      <c r="Z384" s="1049"/>
      <c r="AA384" s="1066"/>
    </row>
    <row r="385" spans="1:80" ht="28.8" x14ac:dyDescent="0.3">
      <c r="A385" s="1052">
        <v>953</v>
      </c>
      <c r="B385" s="1053">
        <v>953</v>
      </c>
      <c r="C385" s="1095" t="s">
        <v>1867</v>
      </c>
      <c r="D385" s="1096" t="s">
        <v>920</v>
      </c>
      <c r="E385" s="1056"/>
      <c r="F385" s="1063">
        <v>2</v>
      </c>
      <c r="G385" s="1063">
        <v>2</v>
      </c>
      <c r="H385" s="1063">
        <v>2</v>
      </c>
      <c r="I385" s="1063">
        <v>2</v>
      </c>
      <c r="J385" s="1063">
        <v>0</v>
      </c>
      <c r="K385" s="1063">
        <v>0</v>
      </c>
      <c r="L385" s="1063">
        <v>0</v>
      </c>
      <c r="M385" s="1063">
        <v>0</v>
      </c>
      <c r="N385" s="1063">
        <v>2</v>
      </c>
      <c r="O385" s="1063">
        <v>2</v>
      </c>
      <c r="P385" s="1063">
        <v>2</v>
      </c>
      <c r="Q385" s="1063">
        <v>0</v>
      </c>
      <c r="R385" s="1063">
        <v>2</v>
      </c>
      <c r="S385" s="1063">
        <v>2</v>
      </c>
      <c r="T385" s="1063">
        <v>2</v>
      </c>
      <c r="U385" s="1063">
        <v>2</v>
      </c>
      <c r="V385" s="1063"/>
      <c r="W385" s="1049"/>
      <c r="X385" s="1049"/>
      <c r="Y385" s="1049"/>
      <c r="Z385" s="1049"/>
      <c r="AA385" s="1066"/>
    </row>
    <row r="386" spans="1:80" ht="28.8" x14ac:dyDescent="0.3">
      <c r="A386" s="1052">
        <v>955</v>
      </c>
      <c r="B386" s="1053">
        <v>955</v>
      </c>
      <c r="C386" s="1095" t="s">
        <v>1867</v>
      </c>
      <c r="D386" s="1096" t="s">
        <v>930</v>
      </c>
      <c r="E386" s="1056"/>
      <c r="F386" s="1063">
        <v>0</v>
      </c>
      <c r="G386" s="1063">
        <v>0</v>
      </c>
      <c r="H386" s="1063">
        <v>0</v>
      </c>
      <c r="I386" s="1063">
        <v>0</v>
      </c>
      <c r="J386" s="1063">
        <v>0</v>
      </c>
      <c r="K386" s="1063">
        <v>0</v>
      </c>
      <c r="L386" s="1063">
        <v>0</v>
      </c>
      <c r="M386" s="1063">
        <v>0</v>
      </c>
      <c r="N386" s="1063">
        <v>0</v>
      </c>
      <c r="O386" s="1063">
        <v>0</v>
      </c>
      <c r="P386" s="1063">
        <v>0</v>
      </c>
      <c r="Q386" s="1063">
        <v>0</v>
      </c>
      <c r="R386" s="1063">
        <v>0</v>
      </c>
      <c r="S386" s="1063">
        <v>0</v>
      </c>
      <c r="T386" s="1063">
        <v>0</v>
      </c>
      <c r="U386" s="1063">
        <v>0</v>
      </c>
      <c r="V386" s="1063"/>
      <c r="W386" s="1049"/>
      <c r="X386" s="1049"/>
      <c r="Y386" s="1049"/>
      <c r="Z386" s="1049"/>
      <c r="AA386" s="1066"/>
    </row>
    <row r="387" spans="1:80" ht="28.8" x14ac:dyDescent="0.3">
      <c r="A387" s="1052">
        <v>957</v>
      </c>
      <c r="B387" s="1053">
        <v>957</v>
      </c>
      <c r="C387" s="1095" t="s">
        <v>1867</v>
      </c>
      <c r="D387" s="1096" t="s">
        <v>931</v>
      </c>
      <c r="E387" s="1056"/>
      <c r="F387" s="1063">
        <v>0</v>
      </c>
      <c r="G387" s="1063">
        <v>0</v>
      </c>
      <c r="H387" s="1063">
        <v>0</v>
      </c>
      <c r="I387" s="1063">
        <v>0</v>
      </c>
      <c r="J387" s="1063">
        <v>0</v>
      </c>
      <c r="K387" s="1063">
        <v>0</v>
      </c>
      <c r="L387" s="1063">
        <v>0</v>
      </c>
      <c r="M387" s="1063">
        <v>0</v>
      </c>
      <c r="N387" s="1063">
        <v>0</v>
      </c>
      <c r="O387" s="1063">
        <v>0</v>
      </c>
      <c r="P387" s="1063">
        <v>0</v>
      </c>
      <c r="Q387" s="1063">
        <v>0</v>
      </c>
      <c r="R387" s="1063">
        <v>0</v>
      </c>
      <c r="S387" s="1063">
        <v>0</v>
      </c>
      <c r="T387" s="1063">
        <v>0</v>
      </c>
      <c r="U387" s="1063">
        <v>0</v>
      </c>
      <c r="V387" s="1063"/>
      <c r="W387" s="1049"/>
      <c r="X387" s="1049"/>
      <c r="Y387" s="1049"/>
      <c r="Z387" s="1049"/>
      <c r="AA387" s="1066"/>
    </row>
    <row r="388" spans="1:80" ht="57.6" x14ac:dyDescent="0.3">
      <c r="A388" s="1052">
        <v>959</v>
      </c>
      <c r="B388" s="1053">
        <v>959</v>
      </c>
      <c r="C388" s="1095" t="s">
        <v>1867</v>
      </c>
      <c r="D388" s="1096" t="s">
        <v>921</v>
      </c>
      <c r="E388" s="1056"/>
      <c r="F388" s="1063">
        <v>2</v>
      </c>
      <c r="G388" s="1063">
        <v>2</v>
      </c>
      <c r="H388" s="1063">
        <v>3</v>
      </c>
      <c r="I388" s="1063">
        <v>2</v>
      </c>
      <c r="J388" s="1063">
        <v>0</v>
      </c>
      <c r="K388" s="1063">
        <v>0</v>
      </c>
      <c r="L388" s="1063">
        <v>0</v>
      </c>
      <c r="M388" s="1063">
        <v>0</v>
      </c>
      <c r="N388" s="1063">
        <v>2</v>
      </c>
      <c r="O388" s="1063">
        <v>2</v>
      </c>
      <c r="P388" s="1063">
        <v>2</v>
      </c>
      <c r="Q388" s="1063">
        <v>0</v>
      </c>
      <c r="R388" s="1063">
        <v>2</v>
      </c>
      <c r="S388" s="1063">
        <v>2</v>
      </c>
      <c r="T388" s="1063">
        <v>2</v>
      </c>
      <c r="U388" s="1063">
        <v>2</v>
      </c>
      <c r="V388" s="1063"/>
      <c r="W388" s="1049"/>
      <c r="X388" s="1049"/>
      <c r="Y388" s="1049"/>
      <c r="Z388" s="1049"/>
      <c r="AA388" s="1066"/>
    </row>
    <row r="389" spans="1:80" ht="57.6" x14ac:dyDescent="0.3">
      <c r="A389" s="1052">
        <v>961</v>
      </c>
      <c r="B389" s="1053">
        <v>961</v>
      </c>
      <c r="C389" s="1095" t="s">
        <v>1867</v>
      </c>
      <c r="D389" s="1096" t="s">
        <v>922</v>
      </c>
      <c r="E389" s="1056"/>
      <c r="F389" s="1063">
        <v>2</v>
      </c>
      <c r="G389" s="1063">
        <v>2</v>
      </c>
      <c r="H389" s="1063">
        <v>3</v>
      </c>
      <c r="I389" s="1063">
        <v>2</v>
      </c>
      <c r="J389" s="1063">
        <v>0</v>
      </c>
      <c r="K389" s="1063">
        <v>0</v>
      </c>
      <c r="L389" s="1063">
        <v>0</v>
      </c>
      <c r="M389" s="1063">
        <v>0</v>
      </c>
      <c r="N389" s="1063">
        <v>2</v>
      </c>
      <c r="O389" s="1063">
        <v>2</v>
      </c>
      <c r="P389" s="1063">
        <v>2</v>
      </c>
      <c r="Q389" s="1063">
        <v>0</v>
      </c>
      <c r="R389" s="1063">
        <v>2</v>
      </c>
      <c r="S389" s="1063">
        <v>2</v>
      </c>
      <c r="T389" s="1063">
        <v>2</v>
      </c>
      <c r="U389" s="1063">
        <v>2</v>
      </c>
      <c r="V389" s="1063"/>
      <c r="W389" s="1049"/>
      <c r="X389" s="1049"/>
      <c r="Y389" s="1049"/>
      <c r="Z389" s="1049"/>
      <c r="AA389" s="1066"/>
    </row>
    <row r="390" spans="1:80" x14ac:dyDescent="0.3">
      <c r="A390" s="1052">
        <v>963</v>
      </c>
      <c r="B390" s="1053">
        <v>963</v>
      </c>
      <c r="C390" s="1095" t="s">
        <v>1867</v>
      </c>
      <c r="D390" s="1096" t="s">
        <v>923</v>
      </c>
      <c r="E390" s="1056"/>
      <c r="F390" s="1063">
        <v>3</v>
      </c>
      <c r="G390" s="1063">
        <v>1</v>
      </c>
      <c r="H390" s="1063">
        <v>3</v>
      </c>
      <c r="I390" s="1063">
        <v>1</v>
      </c>
      <c r="J390" s="1063">
        <v>0</v>
      </c>
      <c r="K390" s="1063">
        <v>0</v>
      </c>
      <c r="L390" s="1063">
        <v>0</v>
      </c>
      <c r="M390" s="1063">
        <v>0</v>
      </c>
      <c r="N390" s="1063">
        <v>1</v>
      </c>
      <c r="O390" s="1063">
        <v>3</v>
      </c>
      <c r="P390" s="1063">
        <v>1</v>
      </c>
      <c r="Q390" s="1063">
        <v>0</v>
      </c>
      <c r="R390" s="1063">
        <v>1</v>
      </c>
      <c r="S390" s="1063">
        <v>1</v>
      </c>
      <c r="T390" s="1063">
        <v>1</v>
      </c>
      <c r="U390" s="1063">
        <v>1</v>
      </c>
      <c r="V390" s="1063"/>
      <c r="W390" s="1049"/>
      <c r="X390" s="1049"/>
      <c r="Y390" s="1049"/>
      <c r="Z390" s="1049"/>
      <c r="AA390" s="1066"/>
    </row>
    <row r="391" spans="1:80" ht="28.8" x14ac:dyDescent="0.3">
      <c r="A391" s="1052">
        <v>965</v>
      </c>
      <c r="B391" s="1053">
        <v>965</v>
      </c>
      <c r="C391" s="1095" t="s">
        <v>1867</v>
      </c>
      <c r="D391" s="1096" t="s">
        <v>924</v>
      </c>
      <c r="E391" s="1056"/>
      <c r="F391" s="1063">
        <v>1</v>
      </c>
      <c r="G391" s="1063">
        <v>1</v>
      </c>
      <c r="H391" s="1063">
        <v>0</v>
      </c>
      <c r="I391" s="1063">
        <v>1</v>
      </c>
      <c r="J391" s="1063">
        <v>0</v>
      </c>
      <c r="K391" s="1063">
        <v>0</v>
      </c>
      <c r="L391" s="1063">
        <v>0</v>
      </c>
      <c r="M391" s="1063">
        <v>0</v>
      </c>
      <c r="N391" s="1063">
        <v>1</v>
      </c>
      <c r="O391" s="1063">
        <v>1</v>
      </c>
      <c r="P391" s="1063">
        <v>1</v>
      </c>
      <c r="Q391" s="1063">
        <v>0</v>
      </c>
      <c r="R391" s="1063">
        <v>2</v>
      </c>
      <c r="S391" s="1063">
        <v>1</v>
      </c>
      <c r="T391" s="1063">
        <v>1</v>
      </c>
      <c r="U391" s="1063">
        <v>1</v>
      </c>
      <c r="V391" s="1063"/>
      <c r="W391" s="1049"/>
      <c r="X391" s="1049"/>
      <c r="Y391" s="1049"/>
      <c r="Z391" s="1049"/>
      <c r="AA391" s="1066"/>
    </row>
    <row r="392" spans="1:80" ht="28.8" x14ac:dyDescent="0.3">
      <c r="A392" s="1052">
        <v>603</v>
      </c>
      <c r="B392" s="1053">
        <v>603</v>
      </c>
      <c r="C392" s="1095" t="s">
        <v>1868</v>
      </c>
      <c r="D392" s="1096" t="s">
        <v>929</v>
      </c>
      <c r="E392" s="1056"/>
      <c r="F392" s="1063">
        <v>1</v>
      </c>
      <c r="G392" s="1063">
        <v>0</v>
      </c>
      <c r="H392" s="1063">
        <v>0</v>
      </c>
      <c r="I392" s="1063">
        <v>1</v>
      </c>
      <c r="J392" s="1063">
        <v>0</v>
      </c>
      <c r="K392" s="1063">
        <v>0</v>
      </c>
      <c r="L392" s="1063">
        <v>0</v>
      </c>
      <c r="M392" s="1063">
        <v>0</v>
      </c>
      <c r="N392" s="1063">
        <v>1</v>
      </c>
      <c r="O392" s="1063">
        <v>0</v>
      </c>
      <c r="P392" s="1063">
        <v>1</v>
      </c>
      <c r="Q392" s="1063">
        <v>0</v>
      </c>
      <c r="R392" s="1063">
        <v>1</v>
      </c>
      <c r="S392" s="1063">
        <v>1</v>
      </c>
      <c r="T392" s="1063">
        <v>1</v>
      </c>
      <c r="U392" s="1063">
        <v>0</v>
      </c>
      <c r="V392" s="1063"/>
      <c r="W392" s="1049"/>
      <c r="X392" s="1049"/>
      <c r="Y392" s="1049"/>
      <c r="Z392" s="1049"/>
      <c r="AA392" s="1066"/>
    </row>
    <row r="393" spans="1:80" x14ac:dyDescent="0.3">
      <c r="A393" s="1052">
        <v>929</v>
      </c>
      <c r="B393" s="1053">
        <v>929</v>
      </c>
      <c r="C393" s="1095" t="s">
        <v>1868</v>
      </c>
      <c r="D393" s="1096" t="s">
        <v>925</v>
      </c>
      <c r="E393" s="1056"/>
      <c r="F393" s="1063">
        <v>2</v>
      </c>
      <c r="G393" s="1063">
        <v>0</v>
      </c>
      <c r="H393" s="1063">
        <v>0</v>
      </c>
      <c r="I393" s="1063">
        <v>2</v>
      </c>
      <c r="J393" s="1063">
        <v>0</v>
      </c>
      <c r="K393" s="1063">
        <v>0</v>
      </c>
      <c r="L393" s="1063">
        <v>0</v>
      </c>
      <c r="M393" s="1063">
        <v>0</v>
      </c>
      <c r="N393" s="1063">
        <v>2</v>
      </c>
      <c r="O393" s="1063">
        <v>0</v>
      </c>
      <c r="P393" s="1063">
        <v>2</v>
      </c>
      <c r="Q393" s="1063">
        <v>0</v>
      </c>
      <c r="R393" s="1063">
        <v>2</v>
      </c>
      <c r="S393" s="1063">
        <v>2</v>
      </c>
      <c r="T393" s="1063">
        <v>2</v>
      </c>
      <c r="U393" s="1063">
        <v>0</v>
      </c>
      <c r="V393" s="1063"/>
      <c r="W393" s="1049"/>
      <c r="X393" s="1049"/>
      <c r="Y393" s="1049"/>
      <c r="Z393" s="1049"/>
      <c r="AA393" s="1066"/>
    </row>
    <row r="394" spans="1:80" x14ac:dyDescent="0.3">
      <c r="A394" s="1052">
        <v>930</v>
      </c>
      <c r="B394" s="1053">
        <v>930</v>
      </c>
      <c r="C394" s="1095" t="s">
        <v>1868</v>
      </c>
      <c r="D394" s="1096" t="s">
        <v>926</v>
      </c>
      <c r="E394" s="1056"/>
      <c r="F394" s="1063">
        <v>2</v>
      </c>
      <c r="G394" s="1063">
        <v>0</v>
      </c>
      <c r="H394" s="1063">
        <v>0</v>
      </c>
      <c r="I394" s="1063">
        <v>2</v>
      </c>
      <c r="J394" s="1063">
        <v>0</v>
      </c>
      <c r="K394" s="1063">
        <v>0</v>
      </c>
      <c r="L394" s="1063">
        <v>0</v>
      </c>
      <c r="M394" s="1063">
        <v>0</v>
      </c>
      <c r="N394" s="1063">
        <v>2</v>
      </c>
      <c r="O394" s="1063">
        <v>0</v>
      </c>
      <c r="P394" s="1063">
        <v>2</v>
      </c>
      <c r="Q394" s="1063">
        <v>0</v>
      </c>
      <c r="R394" s="1063">
        <v>2</v>
      </c>
      <c r="S394" s="1063">
        <v>2</v>
      </c>
      <c r="T394" s="1063">
        <v>2</v>
      </c>
      <c r="U394" s="1063">
        <v>0</v>
      </c>
      <c r="V394" s="1063"/>
      <c r="W394" s="1049"/>
      <c r="X394" s="1049"/>
      <c r="Y394" s="1049"/>
      <c r="Z394" s="1049"/>
      <c r="AA394" s="1066"/>
    </row>
    <row r="395" spans="1:80" x14ac:dyDescent="0.3">
      <c r="A395" s="1049">
        <v>931</v>
      </c>
      <c r="B395" s="1049">
        <v>931</v>
      </c>
      <c r="C395" s="1049" t="s">
        <v>1868</v>
      </c>
      <c r="D395" s="1049" t="s">
        <v>927</v>
      </c>
      <c r="E395" s="1049"/>
      <c r="F395" s="1066">
        <v>2</v>
      </c>
      <c r="G395" s="1066">
        <v>0</v>
      </c>
      <c r="H395" s="1066">
        <v>0</v>
      </c>
      <c r="I395" s="1066">
        <v>2</v>
      </c>
      <c r="J395" s="1066">
        <v>0</v>
      </c>
      <c r="K395" s="1066">
        <v>0</v>
      </c>
      <c r="L395" s="1066">
        <v>0</v>
      </c>
      <c r="M395" s="1066">
        <v>0</v>
      </c>
      <c r="N395" s="1066">
        <v>2</v>
      </c>
      <c r="O395" s="1066">
        <v>0</v>
      </c>
      <c r="P395" s="1066">
        <v>2</v>
      </c>
      <c r="Q395" s="1066">
        <v>0</v>
      </c>
      <c r="R395" s="1066">
        <v>2</v>
      </c>
      <c r="S395" s="1066">
        <v>2</v>
      </c>
      <c r="T395" s="1066">
        <v>2</v>
      </c>
      <c r="U395" s="1066">
        <v>0</v>
      </c>
      <c r="V395" s="1066">
        <v>0</v>
      </c>
      <c r="W395" s="1049"/>
      <c r="X395" s="1049"/>
      <c r="Y395" s="1049"/>
      <c r="Z395" s="1049"/>
      <c r="AA395" s="1049"/>
    </row>
    <row r="396" spans="1:80" x14ac:dyDescent="0.3">
      <c r="A396" s="1049">
        <v>932</v>
      </c>
      <c r="B396" s="1049">
        <v>932</v>
      </c>
      <c r="C396" s="1049" t="s">
        <v>1868</v>
      </c>
      <c r="D396" s="1049" t="s">
        <v>928</v>
      </c>
      <c r="E396" s="1049"/>
      <c r="F396" s="1049">
        <v>2</v>
      </c>
      <c r="G396" s="1049">
        <v>0</v>
      </c>
      <c r="H396" s="1049">
        <v>0</v>
      </c>
      <c r="I396" s="1049">
        <v>2</v>
      </c>
      <c r="J396" s="1049">
        <v>0</v>
      </c>
      <c r="K396" s="1049">
        <v>0</v>
      </c>
      <c r="L396" s="1049">
        <v>0</v>
      </c>
      <c r="M396" s="1049">
        <v>0</v>
      </c>
      <c r="N396" s="1049">
        <v>2</v>
      </c>
      <c r="O396" s="1049">
        <v>0</v>
      </c>
      <c r="P396" s="1049">
        <v>2</v>
      </c>
      <c r="Q396" s="1049">
        <v>0</v>
      </c>
      <c r="R396" s="1049">
        <v>2</v>
      </c>
      <c r="S396" s="1049">
        <v>2</v>
      </c>
      <c r="T396" s="1049">
        <v>2</v>
      </c>
      <c r="U396" s="1049">
        <v>0</v>
      </c>
      <c r="V396" s="1049"/>
      <c r="W396" s="1049"/>
      <c r="X396" s="1049"/>
      <c r="Y396" s="1049"/>
      <c r="Z396" s="1049"/>
      <c r="AA396" s="1066"/>
    </row>
    <row r="397" spans="1:80" x14ac:dyDescent="0.3">
      <c r="A397" s="1049"/>
      <c r="B397" s="1049"/>
      <c r="C397" s="1049"/>
      <c r="D397" s="1056"/>
      <c r="E397" s="1049"/>
      <c r="F397" s="1066">
        <v>53955</v>
      </c>
      <c r="G397" s="1066">
        <v>53995</v>
      </c>
      <c r="H397" s="1066">
        <v>53898</v>
      </c>
      <c r="I397" s="1066">
        <v>1916215</v>
      </c>
      <c r="J397" s="1066">
        <v>0</v>
      </c>
      <c r="K397" s="1066">
        <v>0</v>
      </c>
      <c r="L397" s="1066">
        <v>0</v>
      </c>
      <c r="M397" s="1066">
        <v>0</v>
      </c>
      <c r="N397" s="1066">
        <v>53973</v>
      </c>
      <c r="O397" s="1066">
        <v>54040</v>
      </c>
      <c r="P397" s="1066">
        <v>10671357</v>
      </c>
      <c r="Q397" s="1066">
        <v>0</v>
      </c>
      <c r="R397" s="1066">
        <v>53981</v>
      </c>
      <c r="S397" s="1066">
        <v>54000</v>
      </c>
      <c r="T397" s="1066">
        <v>53985</v>
      </c>
      <c r="U397" s="1066">
        <v>53981</v>
      </c>
      <c r="V397" s="1066">
        <v>0</v>
      </c>
      <c r="W397" s="1049"/>
      <c r="X397" s="1049"/>
      <c r="Y397" s="1049"/>
      <c r="Z397" s="1049"/>
      <c r="AA397" s="1066"/>
    </row>
    <row r="398" spans="1:80" x14ac:dyDescent="0.3">
      <c r="A398" s="1049"/>
      <c r="B398" s="1049"/>
      <c r="C398" s="1049"/>
      <c r="D398" s="1049"/>
      <c r="E398" s="1049"/>
      <c r="F398" s="1049"/>
      <c r="G398" s="1049"/>
      <c r="H398" s="1049"/>
      <c r="I398" s="1049"/>
      <c r="J398" s="1049"/>
      <c r="K398" s="1049"/>
      <c r="L398" s="1049"/>
      <c r="M398" s="1049"/>
      <c r="N398" s="1049"/>
      <c r="O398" s="1049"/>
      <c r="P398" s="1049"/>
      <c r="Q398" s="1049"/>
      <c r="R398" s="1049"/>
      <c r="S398" s="1049"/>
      <c r="T398" s="1049"/>
      <c r="U398" s="1049"/>
      <c r="V398" s="1049"/>
      <c r="W398" s="1049"/>
      <c r="X398" s="1049"/>
      <c r="Y398" s="1049"/>
      <c r="Z398" s="1049"/>
      <c r="AA398" s="1066"/>
    </row>
    <row r="399" spans="1:80" x14ac:dyDescent="0.3">
      <c r="A399" s="1049"/>
      <c r="B399" s="1049"/>
      <c r="C399" s="1049"/>
      <c r="D399" s="1049" t="s">
        <v>1871</v>
      </c>
      <c r="E399" s="1049"/>
      <c r="F399" s="1047">
        <v>-61529</v>
      </c>
      <c r="G399" s="1047">
        <v>4027730880</v>
      </c>
      <c r="H399" s="1047">
        <v>1719641021</v>
      </c>
      <c r="I399" s="1047">
        <v>2603887573</v>
      </c>
      <c r="J399" s="1049">
        <v>0</v>
      </c>
      <c r="K399" s="1049">
        <v>0</v>
      </c>
      <c r="L399" s="1049">
        <v>0</v>
      </c>
      <c r="M399" s="1049">
        <v>0</v>
      </c>
      <c r="N399" s="1047">
        <v>1866880193</v>
      </c>
      <c r="O399" s="1047">
        <v>364357305</v>
      </c>
      <c r="P399" s="1047">
        <v>-10671357</v>
      </c>
      <c r="Q399" s="1049">
        <v>0</v>
      </c>
      <c r="R399" s="1047">
        <v>836435294</v>
      </c>
      <c r="S399" s="1047">
        <v>1019578134</v>
      </c>
      <c r="T399" s="1047">
        <v>487238734</v>
      </c>
      <c r="U399" s="1047">
        <v>1787560385</v>
      </c>
      <c r="V399" s="1049"/>
      <c r="W399" s="1049"/>
      <c r="X399" s="1049"/>
      <c r="Y399" s="1049"/>
      <c r="Z399" s="1049"/>
      <c r="AA399" s="1066"/>
      <c r="AB399" s="417"/>
      <c r="AC399" s="417"/>
      <c r="AD399" s="417"/>
      <c r="AE399" s="417"/>
      <c r="AF399" s="417"/>
      <c r="AG399" s="417"/>
      <c r="AH399" s="417"/>
      <c r="AI399" s="417"/>
      <c r="AJ399" s="417"/>
      <c r="AK399" s="417"/>
      <c r="AL399" s="417"/>
      <c r="AM399" s="417"/>
      <c r="AN399" s="417"/>
      <c r="AO399" s="417"/>
      <c r="AP399" s="417"/>
      <c r="AQ399" s="417"/>
      <c r="AR399" s="417"/>
      <c r="AS399" s="417"/>
      <c r="AT399" s="417">
        <v>39445176.779999994</v>
      </c>
      <c r="AU399" s="417">
        <v>122080119.18000001</v>
      </c>
      <c r="AV399" s="417">
        <v>592660935.70000005</v>
      </c>
      <c r="AW399" s="417">
        <v>18678565.740000002</v>
      </c>
      <c r="AX399" s="417">
        <v>42071312.769999996</v>
      </c>
      <c r="AY399" s="417">
        <v>155903871.10999998</v>
      </c>
      <c r="AZ399" s="417">
        <v>127534484.46000001</v>
      </c>
      <c r="BA399" s="417">
        <v>248492607.52000001</v>
      </c>
      <c r="BB399" s="417">
        <v>1576019.96</v>
      </c>
      <c r="BC399" s="417">
        <v>70270835.769999996</v>
      </c>
      <c r="BD399" s="417">
        <v>9.9999999999999992E-2</v>
      </c>
      <c r="BE399" s="417">
        <v>3539252.45</v>
      </c>
      <c r="BF399" s="417">
        <v>1079840787.5300002</v>
      </c>
      <c r="BG399" s="417">
        <v>9.9999999999999992E-2</v>
      </c>
      <c r="BH399" s="417">
        <v>1854805.9</v>
      </c>
      <c r="BI399" s="417">
        <v>110790692.17</v>
      </c>
      <c r="BJ399" s="417">
        <v>112690578.48</v>
      </c>
      <c r="BK399" s="417">
        <v>0.01</v>
      </c>
      <c r="BL399" s="417">
        <v>303639561.58999997</v>
      </c>
      <c r="BM399" s="417">
        <v>155900898.44</v>
      </c>
      <c r="BN399" s="417">
        <v>1514376</v>
      </c>
      <c r="BO399" s="417">
        <v>250217394.79999998</v>
      </c>
      <c r="BP399" s="417">
        <v>133707149.79000001</v>
      </c>
      <c r="BQ399" s="417">
        <v>70929674.940000013</v>
      </c>
      <c r="BR399" s="417">
        <v>84916797.150000006</v>
      </c>
      <c r="BS399" s="417">
        <v>59448838.159999996</v>
      </c>
      <c r="BT399" s="417">
        <v>1032784966.46</v>
      </c>
      <c r="BU399" s="417">
        <v>80149153.910000011</v>
      </c>
      <c r="BV399" s="417">
        <v>163234566.41999999</v>
      </c>
      <c r="BW399" s="417">
        <v>53953388.990000002</v>
      </c>
      <c r="BX399" s="417">
        <v>44775966.809999995</v>
      </c>
      <c r="BY399" s="417">
        <v>1653275.52</v>
      </c>
      <c r="BZ399" s="417">
        <v>1959376.27</v>
      </c>
      <c r="CA399" s="417">
        <v>782248469.95000005</v>
      </c>
      <c r="CB399" s="417">
        <v>2207035.62</v>
      </c>
    </row>
    <row r="400" spans="1:80" s="1052" customFormat="1" x14ac:dyDescent="0.3">
      <c r="A400" s="1049"/>
      <c r="B400" s="1049"/>
      <c r="C400" s="1049"/>
      <c r="D400" s="1049"/>
      <c r="E400" s="1049"/>
      <c r="F400" s="1047"/>
      <c r="G400" s="1047"/>
      <c r="H400" s="1047"/>
      <c r="I400" s="1047"/>
      <c r="J400" s="1049"/>
      <c r="K400" s="1049"/>
      <c r="L400" s="1049"/>
      <c r="M400" s="1049"/>
      <c r="N400" s="1047"/>
      <c r="O400" s="1047"/>
      <c r="P400" s="1047"/>
      <c r="Q400" s="1049"/>
      <c r="R400" s="1047"/>
      <c r="S400" s="1047"/>
      <c r="T400" s="1047"/>
      <c r="U400" s="1047"/>
      <c r="V400" s="1049"/>
      <c r="W400" s="1049"/>
      <c r="X400" s="1049"/>
      <c r="Y400" s="1049"/>
      <c r="Z400" s="1049"/>
      <c r="AA400" s="1066"/>
      <c r="AB400" s="417"/>
      <c r="AC400" s="417"/>
      <c r="AD400" s="417"/>
      <c r="AE400" s="417"/>
      <c r="AF400" s="417"/>
      <c r="AG400" s="417"/>
      <c r="AH400" s="417"/>
      <c r="AI400" s="417"/>
      <c r="AJ400" s="417"/>
      <c r="AK400" s="417"/>
      <c r="AL400" s="417"/>
      <c r="AM400" s="417"/>
      <c r="AN400" s="417"/>
      <c r="AO400" s="417"/>
      <c r="AP400" s="417"/>
      <c r="AQ400" s="417"/>
      <c r="AR400" s="417"/>
      <c r="AS400" s="417"/>
      <c r="AT400" s="417"/>
      <c r="AU400" s="417"/>
      <c r="AV400" s="417"/>
      <c r="AW400" s="417"/>
      <c r="AX400" s="417"/>
      <c r="AY400" s="417"/>
      <c r="AZ400" s="417"/>
      <c r="BA400" s="417"/>
      <c r="BB400" s="417"/>
      <c r="BC400" s="417"/>
      <c r="BD400" s="417"/>
      <c r="BE400" s="417"/>
      <c r="BF400" s="417"/>
      <c r="BG400" s="417"/>
      <c r="BH400" s="417"/>
      <c r="BI400" s="417"/>
      <c r="BJ400" s="417"/>
      <c r="BK400" s="417"/>
      <c r="BL400" s="417"/>
      <c r="BM400" s="417"/>
      <c r="BN400" s="417"/>
      <c r="BO400" s="417"/>
      <c r="BP400" s="417"/>
      <c r="BQ400" s="417"/>
      <c r="BR400" s="417"/>
      <c r="BS400" s="417"/>
      <c r="BT400" s="417"/>
      <c r="BU400" s="417"/>
      <c r="BV400" s="417"/>
      <c r="BW400" s="417"/>
      <c r="BX400" s="417"/>
      <c r="BY400" s="417"/>
      <c r="BZ400" s="417"/>
      <c r="CA400" s="417"/>
      <c r="CB400" s="417"/>
    </row>
    <row r="401" spans="1:80" s="1052" customFormat="1" x14ac:dyDescent="0.3">
      <c r="A401" s="1049"/>
      <c r="B401" s="1049"/>
      <c r="C401" s="1049"/>
      <c r="D401" s="1049"/>
      <c r="E401" s="1049"/>
      <c r="F401" s="1047"/>
      <c r="G401" s="1047"/>
      <c r="H401" s="1047"/>
      <c r="I401" s="1047"/>
      <c r="J401" s="1049"/>
      <c r="K401" s="1049"/>
      <c r="L401" s="1049"/>
      <c r="M401" s="1049"/>
      <c r="N401" s="1047"/>
      <c r="O401" s="1047"/>
      <c r="P401" s="1047"/>
      <c r="Q401" s="1049"/>
      <c r="R401" s="1047"/>
      <c r="S401" s="1047"/>
      <c r="T401" s="1047"/>
      <c r="U401" s="1047"/>
      <c r="V401" s="1049"/>
      <c r="W401" s="1049"/>
      <c r="X401" s="1049"/>
      <c r="Y401" s="1049"/>
      <c r="Z401" s="1049"/>
      <c r="AA401" s="1066"/>
      <c r="AB401" s="417"/>
      <c r="AC401" s="417"/>
      <c r="AD401" s="417"/>
      <c r="AE401" s="417"/>
      <c r="AF401" s="417"/>
      <c r="AG401" s="417"/>
      <c r="AH401" s="417"/>
      <c r="AI401" s="417"/>
      <c r="AJ401" s="417"/>
      <c r="AK401" s="417"/>
      <c r="AL401" s="417"/>
      <c r="AM401" s="417"/>
      <c r="AN401" s="417"/>
      <c r="AO401" s="417"/>
      <c r="AP401" s="417"/>
      <c r="AQ401" s="417"/>
      <c r="AR401" s="417"/>
      <c r="AS401" s="417"/>
      <c r="AT401" s="417"/>
      <c r="AU401" s="417"/>
      <c r="AV401" s="417"/>
      <c r="AW401" s="417"/>
      <c r="AX401" s="417"/>
      <c r="AY401" s="417"/>
      <c r="AZ401" s="417"/>
      <c r="BA401" s="417"/>
      <c r="BB401" s="417"/>
      <c r="BC401" s="417"/>
      <c r="BD401" s="417"/>
      <c r="BE401" s="417"/>
      <c r="BF401" s="417"/>
      <c r="BG401" s="417"/>
      <c r="BH401" s="417"/>
      <c r="BI401" s="417"/>
      <c r="BJ401" s="417"/>
      <c r="BK401" s="417"/>
      <c r="BL401" s="417"/>
      <c r="BM401" s="417"/>
      <c r="BN401" s="417"/>
      <c r="BO401" s="417"/>
      <c r="BP401" s="417"/>
      <c r="BQ401" s="417"/>
      <c r="BR401" s="417"/>
      <c r="BS401" s="417"/>
      <c r="BT401" s="417"/>
      <c r="BU401" s="417"/>
      <c r="BV401" s="417"/>
      <c r="BW401" s="417"/>
      <c r="BX401" s="417"/>
      <c r="BY401" s="417"/>
      <c r="BZ401" s="417"/>
      <c r="CA401" s="417"/>
      <c r="CB401" s="417"/>
    </row>
    <row r="402" spans="1:80" s="1052" customFormat="1" x14ac:dyDescent="0.3">
      <c r="A402" s="1049"/>
      <c r="B402" s="1049"/>
      <c r="C402" s="1049"/>
      <c r="D402" s="1049"/>
      <c r="E402" s="1049"/>
      <c r="F402" s="1047"/>
      <c r="G402" s="1047"/>
      <c r="H402" s="1047"/>
      <c r="I402" s="1047"/>
      <c r="J402" s="1049"/>
      <c r="K402" s="1049"/>
      <c r="L402" s="1049"/>
      <c r="M402" s="1049"/>
      <c r="N402" s="1047"/>
      <c r="O402" s="1047"/>
      <c r="P402" s="1047"/>
      <c r="Q402" s="1049"/>
      <c r="R402" s="1047"/>
      <c r="S402" s="1047"/>
      <c r="T402" s="1047"/>
      <c r="U402" s="1047"/>
      <c r="V402" s="1049"/>
      <c r="W402" s="1049"/>
      <c r="X402" s="1049"/>
      <c r="Y402" s="1049"/>
      <c r="Z402" s="1049"/>
      <c r="AA402" s="1066"/>
      <c r="AB402" s="417"/>
      <c r="AC402" s="417"/>
      <c r="AD402" s="417"/>
      <c r="AE402" s="417"/>
      <c r="AF402" s="417"/>
      <c r="AG402" s="417"/>
      <c r="AH402" s="417"/>
      <c r="AI402" s="417"/>
      <c r="AJ402" s="417"/>
      <c r="AK402" s="417"/>
      <c r="AL402" s="417"/>
      <c r="AM402" s="417"/>
      <c r="AN402" s="417"/>
      <c r="AO402" s="417"/>
      <c r="AP402" s="417"/>
      <c r="AQ402" s="417"/>
      <c r="AR402" s="417"/>
      <c r="AS402" s="417"/>
      <c r="AT402" s="417"/>
      <c r="AU402" s="417"/>
      <c r="AV402" s="417"/>
      <c r="AW402" s="417"/>
      <c r="AX402" s="417"/>
      <c r="AY402" s="417"/>
      <c r="AZ402" s="417"/>
      <c r="BA402" s="417"/>
      <c r="BB402" s="417"/>
      <c r="BC402" s="417"/>
      <c r="BD402" s="417"/>
      <c r="BE402" s="417"/>
      <c r="BF402" s="417"/>
      <c r="BG402" s="417"/>
      <c r="BH402" s="417"/>
      <c r="BI402" s="417"/>
      <c r="BJ402" s="417"/>
      <c r="BK402" s="417"/>
      <c r="BL402" s="417"/>
      <c r="BM402" s="417"/>
      <c r="BN402" s="417"/>
      <c r="BO402" s="417"/>
      <c r="BP402" s="417"/>
      <c r="BQ402" s="417"/>
      <c r="BR402" s="417"/>
      <c r="BS402" s="417"/>
      <c r="BT402" s="417"/>
      <c r="BU402" s="417"/>
      <c r="BV402" s="417"/>
      <c r="BW402" s="417"/>
      <c r="BX402" s="417"/>
      <c r="BY402" s="417"/>
      <c r="BZ402" s="417"/>
      <c r="CA402" s="417"/>
      <c r="CB402" s="417"/>
    </row>
    <row r="403" spans="1:80" x14ac:dyDescent="0.3">
      <c r="A403" s="1049"/>
      <c r="B403" s="1053" t="s">
        <v>1872</v>
      </c>
      <c r="C403" s="1049"/>
      <c r="D403" s="1049"/>
      <c r="E403" s="1049"/>
      <c r="F403" s="1049"/>
      <c r="G403" s="1049"/>
      <c r="H403" s="1049"/>
      <c r="I403" s="1049"/>
      <c r="J403" s="1049"/>
      <c r="K403" s="1049"/>
      <c r="L403" s="1049"/>
      <c r="M403" s="1049"/>
      <c r="N403" s="1049"/>
      <c r="O403" s="1049"/>
      <c r="P403" s="1049"/>
      <c r="Q403" s="1049"/>
      <c r="R403" s="1049"/>
      <c r="S403" s="1049"/>
      <c r="T403" s="1049"/>
      <c r="U403" s="1049"/>
      <c r="V403" s="1049"/>
      <c r="W403" s="1049"/>
      <c r="X403" s="1049"/>
      <c r="Y403" s="1049"/>
      <c r="Z403" s="1049"/>
      <c r="AA403" s="1066"/>
      <c r="AB403" s="417"/>
      <c r="AC403" s="417"/>
      <c r="AD403" s="417"/>
      <c r="AE403" s="417"/>
      <c r="AF403" s="417"/>
      <c r="AG403" s="417"/>
      <c r="AH403" s="417"/>
      <c r="AI403" s="417"/>
      <c r="AJ403" s="417"/>
      <c r="AK403" s="417"/>
      <c r="AL403" s="417"/>
      <c r="AM403" s="417"/>
      <c r="AN403" s="417"/>
      <c r="AO403" s="417"/>
      <c r="AP403" s="417"/>
      <c r="AQ403" s="417"/>
      <c r="AR403" s="417"/>
      <c r="AS403" s="417"/>
      <c r="AT403" s="417">
        <v>39445176.780000001</v>
      </c>
      <c r="AU403" s="417">
        <v>122080119.18000001</v>
      </c>
      <c r="AV403" s="417">
        <v>592660935.70000005</v>
      </c>
      <c r="AW403" s="417">
        <v>18678565.739999998</v>
      </c>
      <c r="AX403" s="417">
        <v>42071312.770000003</v>
      </c>
      <c r="AY403" s="417">
        <v>155903871.11000001</v>
      </c>
      <c r="AZ403" s="417">
        <v>127534484.45999999</v>
      </c>
      <c r="BA403" s="417">
        <v>248492607.52000001</v>
      </c>
      <c r="BB403" s="417">
        <v>1576019.96</v>
      </c>
      <c r="BC403" s="417">
        <v>70270835.769999996</v>
      </c>
      <c r="BD403" s="417">
        <v>0.1</v>
      </c>
      <c r="BE403" s="417">
        <v>3539252.45</v>
      </c>
      <c r="BF403" s="417">
        <v>1079840787.53</v>
      </c>
      <c r="BG403" s="417">
        <v>0.1</v>
      </c>
      <c r="BH403" s="417">
        <v>1854805.9</v>
      </c>
      <c r="BI403" s="417">
        <v>110790692.17</v>
      </c>
      <c r="BJ403" s="417">
        <v>112690578.48</v>
      </c>
      <c r="BK403" s="417">
        <v>0.01</v>
      </c>
      <c r="BL403" s="417">
        <v>303639561.58999997</v>
      </c>
      <c r="BM403" s="417">
        <v>155900898.44</v>
      </c>
      <c r="BN403" s="417">
        <v>1514376</v>
      </c>
      <c r="BO403" s="417">
        <v>250217394.80000001</v>
      </c>
      <c r="BP403" s="417">
        <v>133707149.79000001</v>
      </c>
      <c r="BQ403" s="417">
        <v>70929674.939999998</v>
      </c>
      <c r="BR403" s="417">
        <v>84916797.150000006</v>
      </c>
      <c r="BS403" s="417">
        <v>59448838.159999996</v>
      </c>
      <c r="BT403" s="417">
        <v>1032784966.46</v>
      </c>
      <c r="BU403" s="417">
        <v>80149153.909999996</v>
      </c>
      <c r="BV403" s="417">
        <v>163234566.41999999</v>
      </c>
      <c r="BW403" s="417">
        <v>53953388.990000002</v>
      </c>
      <c r="BX403" s="417">
        <v>44775966.810000002</v>
      </c>
      <c r="BY403" s="417">
        <v>1653275.52</v>
      </c>
      <c r="BZ403" s="417">
        <v>1959376.27</v>
      </c>
      <c r="CA403" s="417">
        <v>782248469.95000005</v>
      </c>
      <c r="CB403" s="417">
        <v>2207035.62</v>
      </c>
    </row>
    <row r="404" spans="1:80" x14ac:dyDescent="0.3">
      <c r="A404" s="1049"/>
      <c r="B404" s="1049"/>
      <c r="C404" s="1049"/>
      <c r="D404" s="1049"/>
      <c r="E404" s="1049"/>
      <c r="F404" s="1049"/>
      <c r="G404" s="1049"/>
      <c r="H404" s="1049"/>
      <c r="I404" s="1049"/>
      <c r="J404" s="1049"/>
      <c r="K404" s="1049"/>
      <c r="L404" s="1049"/>
      <c r="M404" s="1049"/>
      <c r="N404" s="1049"/>
      <c r="O404" s="1049"/>
      <c r="P404" s="1049"/>
      <c r="Q404" s="1049"/>
      <c r="R404" s="1049"/>
      <c r="S404" s="1049"/>
      <c r="T404" s="1049"/>
      <c r="U404" s="1049"/>
      <c r="V404" s="1049"/>
      <c r="W404" s="1049"/>
      <c r="X404" s="1049"/>
      <c r="Y404" s="1049"/>
      <c r="Z404" s="1049"/>
      <c r="AA404" s="1066"/>
      <c r="AB404" s="417"/>
      <c r="AC404" s="417"/>
      <c r="AD404" s="417"/>
      <c r="AE404" s="417"/>
      <c r="AF404" s="417"/>
      <c r="AG404" s="417"/>
      <c r="AH404" s="417"/>
      <c r="AI404" s="417"/>
      <c r="AJ404" s="417"/>
      <c r="AK404" s="417"/>
      <c r="AL404" s="417"/>
      <c r="AM404" s="417"/>
      <c r="AN404" s="417"/>
      <c r="AO404" s="417"/>
      <c r="AP404" s="417"/>
      <c r="AQ404" s="417"/>
      <c r="AR404" s="417"/>
      <c r="AS404" s="417"/>
      <c r="AT404" s="417">
        <v>0</v>
      </c>
      <c r="AU404" s="417">
        <v>0</v>
      </c>
      <c r="AV404" s="417">
        <v>0</v>
      </c>
      <c r="AW404" s="417">
        <v>0</v>
      </c>
      <c r="AX404" s="417">
        <v>0</v>
      </c>
      <c r="AY404" s="417">
        <v>0</v>
      </c>
      <c r="AZ404" s="417">
        <v>0</v>
      </c>
      <c r="BA404" s="417">
        <v>0</v>
      </c>
      <c r="BB404" s="417">
        <v>0</v>
      </c>
      <c r="BC404" s="417">
        <v>0</v>
      </c>
      <c r="BD404" s="417">
        <v>0</v>
      </c>
      <c r="BE404" s="417">
        <v>0</v>
      </c>
      <c r="BF404" s="417">
        <v>0</v>
      </c>
      <c r="BG404" s="417">
        <v>0</v>
      </c>
      <c r="BH404" s="417">
        <v>0</v>
      </c>
      <c r="BI404" s="417">
        <v>0</v>
      </c>
      <c r="BJ404" s="417">
        <v>0</v>
      </c>
      <c r="BK404" s="417">
        <v>0</v>
      </c>
      <c r="BL404" s="417">
        <v>0</v>
      </c>
      <c r="BM404" s="417">
        <v>0</v>
      </c>
      <c r="BN404" s="417">
        <v>0</v>
      </c>
      <c r="BO404" s="417">
        <v>0</v>
      </c>
      <c r="BP404" s="417">
        <v>0</v>
      </c>
      <c r="BQ404" s="417">
        <v>0</v>
      </c>
      <c r="BR404" s="417">
        <v>0</v>
      </c>
      <c r="BS404" s="417">
        <v>0</v>
      </c>
      <c r="BT404" s="417">
        <v>0</v>
      </c>
      <c r="BU404" s="417">
        <v>0</v>
      </c>
      <c r="BV404" s="417">
        <v>0</v>
      </c>
      <c r="BW404" s="417">
        <v>0</v>
      </c>
      <c r="BX404" s="417">
        <v>0</v>
      </c>
      <c r="BY404" s="417">
        <v>0</v>
      </c>
      <c r="BZ404" s="417">
        <v>0</v>
      </c>
      <c r="CA404" s="417">
        <v>0</v>
      </c>
      <c r="CB404" s="417">
        <v>0</v>
      </c>
    </row>
    <row r="405" spans="1:80" ht="72" x14ac:dyDescent="0.3">
      <c r="A405" s="1049"/>
      <c r="B405" s="1113">
        <v>947</v>
      </c>
      <c r="C405" s="1114" t="s">
        <v>773</v>
      </c>
      <c r="D405" s="1049"/>
      <c r="E405" s="1049"/>
      <c r="F405" s="1049"/>
      <c r="G405" s="1049"/>
      <c r="H405" s="1049"/>
      <c r="I405" s="1049"/>
      <c r="J405" s="1049"/>
      <c r="K405" s="1049"/>
      <c r="L405" s="1049"/>
      <c r="M405" s="1049"/>
      <c r="N405" s="1049"/>
      <c r="O405" s="1049"/>
      <c r="P405" s="1049"/>
      <c r="Q405" s="1049"/>
      <c r="R405" s="1049"/>
      <c r="S405" s="1049"/>
      <c r="T405" s="1049"/>
      <c r="U405" s="1049"/>
      <c r="V405" s="1049"/>
      <c r="W405" s="1049"/>
      <c r="X405" s="1049"/>
      <c r="Y405" s="1049"/>
      <c r="Z405" s="1049"/>
      <c r="AA405" s="1066"/>
    </row>
    <row r="406" spans="1:80" ht="72" x14ac:dyDescent="0.3">
      <c r="A406" s="1049"/>
      <c r="B406" s="1113">
        <v>948</v>
      </c>
      <c r="C406" s="1114" t="s">
        <v>774</v>
      </c>
      <c r="D406" s="1049"/>
      <c r="E406" s="1049"/>
      <c r="F406" s="1049"/>
      <c r="G406" s="1049"/>
      <c r="H406" s="1049"/>
      <c r="I406" s="1049"/>
      <c r="J406" s="1049"/>
      <c r="K406" s="1049"/>
      <c r="L406" s="1049"/>
      <c r="M406" s="1049"/>
      <c r="N406" s="1049"/>
      <c r="O406" s="1049"/>
      <c r="P406" s="1049"/>
      <c r="Q406" s="1049"/>
      <c r="R406" s="1049"/>
      <c r="S406" s="1049"/>
      <c r="T406" s="1049"/>
      <c r="U406" s="1049"/>
      <c r="V406" s="1049"/>
      <c r="W406" s="1049"/>
      <c r="X406" s="1049"/>
      <c r="Y406" s="1049"/>
      <c r="Z406" s="1049"/>
      <c r="AA406" s="1066"/>
    </row>
    <row r="407" spans="1:80" ht="57.6" x14ac:dyDescent="0.3">
      <c r="B407" s="1113">
        <v>949</v>
      </c>
      <c r="C407" s="1114" t="s">
        <v>802</v>
      </c>
      <c r="D407" s="1049"/>
      <c r="E407" s="1049"/>
      <c r="F407" s="1049"/>
      <c r="G407" s="1049"/>
      <c r="H407" s="1049"/>
      <c r="I407" s="1049"/>
      <c r="J407" s="1049"/>
      <c r="K407" s="1049"/>
      <c r="L407" s="1049"/>
      <c r="M407" s="1049"/>
      <c r="N407" s="1049"/>
      <c r="O407" s="1049"/>
      <c r="P407" s="1049"/>
      <c r="Q407" s="1049"/>
      <c r="R407" s="1049"/>
      <c r="S407" s="1049"/>
      <c r="T407" s="1049"/>
      <c r="U407" s="1049"/>
      <c r="V407" s="1049"/>
      <c r="W407" s="1049"/>
      <c r="X407" s="1049"/>
      <c r="Y407" s="1049"/>
      <c r="Z407" s="1049"/>
      <c r="AA407" s="1066"/>
    </row>
    <row r="408" spans="1:80" ht="57.6" x14ac:dyDescent="0.3">
      <c r="B408" s="1113">
        <v>950</v>
      </c>
      <c r="C408" s="1114" t="s">
        <v>803</v>
      </c>
      <c r="D408" s="1049"/>
      <c r="E408" s="1049"/>
      <c r="F408" s="1049"/>
      <c r="G408" s="1049"/>
      <c r="H408" s="1049"/>
      <c r="I408" s="1049"/>
      <c r="J408" s="1049"/>
      <c r="K408" s="1049"/>
      <c r="L408" s="1049"/>
      <c r="M408" s="1049"/>
      <c r="N408" s="1049"/>
      <c r="O408" s="1049"/>
      <c r="P408" s="1049"/>
      <c r="Q408" s="1049"/>
      <c r="R408" s="1049"/>
      <c r="S408" s="1049"/>
      <c r="T408" s="1049"/>
      <c r="U408" s="1049"/>
      <c r="V408" s="1049"/>
      <c r="W408" s="1049"/>
      <c r="X408" s="1049"/>
      <c r="Y408" s="1049"/>
      <c r="Z408" s="1049"/>
      <c r="AA408" s="1066"/>
    </row>
    <row r="409" spans="1:80" ht="115.2" x14ac:dyDescent="0.3">
      <c r="B409" s="1113">
        <v>952</v>
      </c>
      <c r="C409" s="1114" t="s">
        <v>804</v>
      </c>
      <c r="D409" s="1049"/>
      <c r="E409" s="1049"/>
      <c r="F409" s="1049"/>
      <c r="G409" s="1049"/>
      <c r="H409" s="1049"/>
      <c r="I409" s="1049"/>
      <c r="J409" s="1049"/>
      <c r="K409" s="1049"/>
      <c r="L409" s="1049"/>
      <c r="M409" s="1049"/>
      <c r="N409" s="1049"/>
      <c r="O409" s="1049"/>
      <c r="P409" s="1049"/>
      <c r="Q409" s="1049"/>
      <c r="R409" s="1049"/>
      <c r="S409" s="1049"/>
      <c r="T409" s="1049"/>
      <c r="U409" s="1049"/>
      <c r="V409" s="1049"/>
      <c r="W409" s="1049"/>
      <c r="X409" s="1049"/>
      <c r="Y409" s="1049"/>
      <c r="Z409" s="1049"/>
      <c r="AA409" s="1066"/>
    </row>
    <row r="410" spans="1:80" ht="100.8" x14ac:dyDescent="0.3">
      <c r="B410" s="1113">
        <v>954</v>
      </c>
      <c r="C410" s="1114" t="s">
        <v>805</v>
      </c>
      <c r="D410" s="1049"/>
      <c r="E410" s="1049"/>
      <c r="F410" s="1049"/>
      <c r="G410" s="1049"/>
      <c r="H410" s="1049"/>
      <c r="I410" s="1049"/>
      <c r="J410" s="1049"/>
      <c r="K410" s="1049"/>
      <c r="L410" s="1049"/>
      <c r="M410" s="1049"/>
      <c r="N410" s="1049"/>
      <c r="O410" s="1049"/>
      <c r="P410" s="1049"/>
      <c r="Q410" s="1049"/>
      <c r="R410" s="1049"/>
      <c r="S410" s="1049"/>
      <c r="T410" s="1049"/>
      <c r="U410" s="1049"/>
      <c r="V410" s="1049"/>
      <c r="W410" s="1049"/>
      <c r="X410" s="1049"/>
      <c r="Y410" s="1049"/>
      <c r="Z410" s="1049"/>
      <c r="AA410" s="1066"/>
    </row>
    <row r="411" spans="1:80" ht="115.2" x14ac:dyDescent="0.3">
      <c r="B411" s="1113">
        <v>956</v>
      </c>
      <c r="C411" s="1114" t="s">
        <v>806</v>
      </c>
      <c r="D411" s="1049"/>
      <c r="E411" s="1049"/>
      <c r="F411" s="1049"/>
      <c r="G411" s="1049"/>
      <c r="H411" s="1049"/>
      <c r="I411" s="1049"/>
      <c r="J411" s="1049"/>
      <c r="K411" s="1049"/>
      <c r="L411" s="1049"/>
      <c r="M411" s="1049"/>
      <c r="N411" s="1049"/>
      <c r="O411" s="1049"/>
      <c r="P411" s="1049"/>
      <c r="Q411" s="1049"/>
      <c r="R411" s="1049"/>
      <c r="S411" s="1049"/>
      <c r="T411" s="1049"/>
      <c r="U411" s="1049"/>
      <c r="V411" s="1049"/>
      <c r="W411" s="1049"/>
      <c r="X411" s="1049"/>
      <c r="Y411" s="1049"/>
      <c r="Z411" s="1049"/>
      <c r="AA411" s="1066"/>
    </row>
    <row r="412" spans="1:80" ht="230.4" x14ac:dyDescent="0.3">
      <c r="B412" s="1113">
        <v>958</v>
      </c>
      <c r="C412" s="1114" t="s">
        <v>807</v>
      </c>
      <c r="D412" s="1049"/>
      <c r="E412" s="1049"/>
      <c r="F412" s="1049"/>
      <c r="G412" s="1049"/>
      <c r="H412" s="1049"/>
      <c r="I412" s="1049"/>
      <c r="J412" s="1049"/>
      <c r="K412" s="1049"/>
      <c r="L412" s="1049"/>
      <c r="M412" s="1049"/>
      <c r="N412" s="1049"/>
      <c r="O412" s="1049"/>
      <c r="P412" s="1049"/>
      <c r="Q412" s="1049"/>
      <c r="R412" s="1049"/>
      <c r="S412" s="1049"/>
      <c r="T412" s="1049"/>
      <c r="U412" s="1049"/>
      <c r="V412" s="1049"/>
      <c r="W412" s="1049"/>
      <c r="X412" s="1049"/>
      <c r="Y412" s="1049"/>
      <c r="Z412" s="1049"/>
      <c r="AA412" s="1066"/>
    </row>
    <row r="413" spans="1:80" x14ac:dyDescent="0.3">
      <c r="B413" s="1113">
        <v>960</v>
      </c>
      <c r="C413" s="1114" t="s">
        <v>798</v>
      </c>
      <c r="D413" s="1049"/>
      <c r="E413" s="1049"/>
      <c r="F413" s="1049"/>
      <c r="G413" s="1049"/>
      <c r="H413" s="1049"/>
      <c r="I413" s="1049"/>
      <c r="J413" s="1049"/>
      <c r="K413" s="1049"/>
      <c r="L413" s="1049"/>
      <c r="M413" s="1049"/>
      <c r="N413" s="1049"/>
      <c r="O413" s="1049"/>
      <c r="P413" s="1049"/>
      <c r="Q413" s="1049"/>
      <c r="R413" s="1049"/>
      <c r="S413" s="1049"/>
      <c r="T413" s="1049"/>
      <c r="U413" s="1049"/>
      <c r="V413" s="1049"/>
      <c r="W413" s="1049"/>
      <c r="X413" s="1049"/>
      <c r="Y413" s="1049"/>
      <c r="Z413" s="1049"/>
      <c r="AA413" s="1066"/>
    </row>
    <row r="414" spans="1:80" x14ac:dyDescent="0.3">
      <c r="B414" s="1113">
        <v>962</v>
      </c>
      <c r="C414" s="1114" t="s">
        <v>759</v>
      </c>
      <c r="D414" s="1049"/>
      <c r="E414" s="1049"/>
      <c r="F414" s="1049"/>
      <c r="G414" s="1049"/>
      <c r="H414" s="1049"/>
      <c r="I414" s="1049"/>
      <c r="J414" s="1049"/>
      <c r="K414" s="1049"/>
      <c r="L414" s="1049"/>
      <c r="M414" s="1049"/>
      <c r="N414" s="1049"/>
      <c r="O414" s="1049"/>
      <c r="P414" s="1049"/>
      <c r="Q414" s="1049"/>
      <c r="R414" s="1049"/>
      <c r="S414" s="1049"/>
      <c r="T414" s="1049"/>
      <c r="U414" s="1049"/>
      <c r="V414" s="1049"/>
      <c r="W414" s="1049"/>
      <c r="X414" s="1049"/>
      <c r="Y414" s="1049"/>
      <c r="Z414" s="1049"/>
      <c r="AA414" s="1066"/>
    </row>
    <row r="415" spans="1:80" x14ac:dyDescent="0.3">
      <c r="B415" s="1113">
        <v>964</v>
      </c>
      <c r="C415" s="1114" t="s">
        <v>1873</v>
      </c>
      <c r="D415" s="1049"/>
      <c r="E415" s="1049"/>
      <c r="F415" s="1049"/>
      <c r="G415" s="1049"/>
      <c r="H415" s="1049"/>
      <c r="I415" s="1049"/>
      <c r="J415" s="1049"/>
      <c r="K415" s="1049"/>
      <c r="L415" s="1049"/>
      <c r="M415" s="1049"/>
      <c r="N415" s="1049"/>
      <c r="O415" s="1049"/>
      <c r="P415" s="1049"/>
      <c r="Q415" s="1049"/>
      <c r="R415" s="1049"/>
      <c r="S415" s="1049"/>
      <c r="T415" s="1049"/>
      <c r="U415" s="1049"/>
      <c r="V415" s="1049"/>
      <c r="W415" s="1049"/>
      <c r="X415" s="1049"/>
      <c r="Y415" s="1049"/>
      <c r="Z415" s="1049"/>
      <c r="AA415" s="1066"/>
    </row>
    <row r="416" spans="1:80" x14ac:dyDescent="0.3">
      <c r="B416" s="1113">
        <v>966</v>
      </c>
      <c r="C416" s="1114" t="s">
        <v>761</v>
      </c>
      <c r="D416" s="1049"/>
      <c r="E416" s="1049"/>
      <c r="F416" s="1049"/>
      <c r="G416" s="1049"/>
      <c r="H416" s="1049"/>
      <c r="I416" s="1049"/>
      <c r="J416" s="1049"/>
      <c r="K416" s="1049"/>
      <c r="L416" s="1049"/>
      <c r="M416" s="1049"/>
      <c r="N416" s="1049"/>
      <c r="O416" s="1049"/>
      <c r="P416" s="1049"/>
      <c r="Q416" s="1049"/>
      <c r="R416" s="1049"/>
      <c r="S416" s="1049"/>
      <c r="T416" s="1049"/>
      <c r="U416" s="1049"/>
      <c r="V416" s="1049"/>
      <c r="W416" s="1049"/>
      <c r="X416" s="1049"/>
      <c r="Y416" s="1049"/>
      <c r="Z416" s="1049"/>
      <c r="AA416" s="1066"/>
    </row>
    <row r="417" spans="2:27" x14ac:dyDescent="0.3">
      <c r="B417" s="1113">
        <v>968</v>
      </c>
      <c r="C417" s="1114" t="s">
        <v>762</v>
      </c>
      <c r="D417" s="1049"/>
      <c r="E417" s="1049"/>
      <c r="F417" s="1049"/>
      <c r="G417" s="1049"/>
      <c r="H417" s="1049"/>
      <c r="I417" s="1049"/>
      <c r="J417" s="1049"/>
      <c r="K417" s="1049"/>
      <c r="L417" s="1049"/>
      <c r="M417" s="1049"/>
      <c r="N417" s="1049"/>
      <c r="O417" s="1049"/>
      <c r="P417" s="1049"/>
      <c r="Q417" s="1049"/>
      <c r="R417" s="1049"/>
      <c r="S417" s="1049"/>
      <c r="T417" s="1049"/>
      <c r="U417" s="1049"/>
      <c r="V417" s="1049"/>
      <c r="W417" s="1049"/>
      <c r="X417" s="1049"/>
      <c r="Y417" s="1049"/>
      <c r="Z417" s="1049"/>
      <c r="AA417" s="1066"/>
    </row>
    <row r="418" spans="2:27" x14ac:dyDescent="0.3">
      <c r="B418" s="1049"/>
      <c r="C418" s="1049"/>
      <c r="D418" s="1049"/>
      <c r="E418" s="1049"/>
      <c r="F418" s="1049"/>
      <c r="G418" s="1049"/>
      <c r="H418" s="1049"/>
      <c r="I418" s="1049"/>
      <c r="J418" s="1049"/>
      <c r="K418" s="1049"/>
      <c r="L418" s="1049"/>
      <c r="M418" s="1049"/>
      <c r="N418" s="1049"/>
      <c r="O418" s="1049"/>
      <c r="P418" s="1049"/>
      <c r="Q418" s="1049"/>
      <c r="R418" s="1049"/>
      <c r="S418" s="1049"/>
      <c r="T418" s="1049"/>
      <c r="U418" s="1049"/>
      <c r="V418" s="1049"/>
      <c r="W418" s="1049"/>
      <c r="X418" s="1049"/>
      <c r="Y418" s="1049"/>
      <c r="Z418" s="1049"/>
      <c r="AA418" s="1066"/>
    </row>
    <row r="419" spans="2:27" x14ac:dyDescent="0.3">
      <c r="B419" s="1049"/>
      <c r="C419" s="1049"/>
      <c r="D419" s="1049"/>
      <c r="E419" s="1049"/>
      <c r="F419" s="1049"/>
      <c r="G419" s="1049"/>
      <c r="H419" s="1049"/>
      <c r="I419" s="1049"/>
      <c r="J419" s="1049"/>
      <c r="K419" s="1049"/>
      <c r="L419" s="1049"/>
      <c r="M419" s="1049"/>
      <c r="N419" s="1049"/>
      <c r="O419" s="1049"/>
      <c r="P419" s="1049"/>
      <c r="Q419" s="1049"/>
      <c r="R419" s="1049"/>
      <c r="S419" s="1049"/>
      <c r="T419" s="1049"/>
      <c r="U419" s="1049"/>
      <c r="V419" s="1049"/>
      <c r="W419" s="1049"/>
      <c r="X419" s="1049"/>
      <c r="Y419" s="1049"/>
      <c r="Z419" s="1049"/>
      <c r="AA419" s="1066"/>
    </row>
    <row r="420" spans="2:27" x14ac:dyDescent="0.3">
      <c r="B420" s="1049"/>
      <c r="C420" s="1049"/>
      <c r="D420" s="1049"/>
      <c r="E420" s="1049"/>
      <c r="F420" s="1049"/>
      <c r="G420" s="1049"/>
      <c r="H420" s="1049"/>
      <c r="I420" s="1049"/>
      <c r="J420" s="1049"/>
      <c r="K420" s="1049"/>
      <c r="L420" s="1049"/>
      <c r="M420" s="1049"/>
      <c r="N420" s="1049"/>
      <c r="O420" s="1049"/>
      <c r="P420" s="1049"/>
      <c r="Q420" s="1049"/>
      <c r="R420" s="1049"/>
      <c r="S420" s="1049"/>
      <c r="T420" s="1049"/>
      <c r="U420" s="1049"/>
      <c r="V420" s="1049"/>
      <c r="W420" s="1049"/>
      <c r="X420" s="1049"/>
      <c r="Y420" s="1049"/>
      <c r="Z420" s="1049"/>
      <c r="AA420" s="1066"/>
    </row>
    <row r="421" spans="2:27" x14ac:dyDescent="0.3">
      <c r="B421" s="1049"/>
      <c r="C421" s="1049"/>
      <c r="D421" s="1049"/>
      <c r="E421" s="1049"/>
      <c r="F421" s="1049"/>
      <c r="G421" s="1049"/>
      <c r="H421" s="1049"/>
      <c r="I421" s="1049"/>
      <c r="J421" s="1049"/>
      <c r="K421" s="1049"/>
      <c r="L421" s="1049"/>
      <c r="M421" s="1049"/>
      <c r="N421" s="1049"/>
      <c r="O421" s="1049"/>
      <c r="P421" s="1049"/>
      <c r="Q421" s="1049"/>
      <c r="R421" s="1049"/>
      <c r="S421" s="1049"/>
      <c r="T421" s="1049"/>
      <c r="U421" s="1049"/>
      <c r="V421" s="1049"/>
      <c r="W421" s="1049"/>
      <c r="X421" s="1049"/>
      <c r="Y421" s="1049"/>
      <c r="Z421" s="1049"/>
      <c r="AA421" s="1066"/>
    </row>
    <row r="422" spans="2:27" x14ac:dyDescent="0.3">
      <c r="B422" s="1049"/>
      <c r="C422" s="1049"/>
      <c r="D422" s="1049"/>
      <c r="E422" s="1049"/>
      <c r="F422" s="1049"/>
      <c r="G422" s="1049"/>
      <c r="H422" s="1049"/>
      <c r="I422" s="1049"/>
      <c r="J422" s="1049"/>
      <c r="K422" s="1049"/>
      <c r="L422" s="1049"/>
      <c r="M422" s="1049"/>
      <c r="N422" s="1049"/>
      <c r="O422" s="1049"/>
      <c r="P422" s="1049"/>
      <c r="Q422" s="1049"/>
      <c r="R422" s="1049"/>
      <c r="S422" s="1049"/>
      <c r="T422" s="1049"/>
      <c r="U422" s="1049"/>
      <c r="V422" s="1049"/>
      <c r="W422" s="1049"/>
      <c r="X422" s="1049"/>
      <c r="Y422" s="1049"/>
      <c r="Z422" s="1049"/>
      <c r="AA422" s="1066"/>
    </row>
    <row r="423" spans="2:27" x14ac:dyDescent="0.3">
      <c r="AA423" s="1066"/>
    </row>
    <row r="424" spans="2:27" x14ac:dyDescent="0.3">
      <c r="AA424" s="1066"/>
    </row>
    <row r="425" spans="2:27" x14ac:dyDescent="0.3">
      <c r="AA425" s="1066"/>
    </row>
    <row r="426" spans="2:27" x14ac:dyDescent="0.3">
      <c r="AA426" s="1066"/>
    </row>
    <row r="427" spans="2:27" x14ac:dyDescent="0.3">
      <c r="AA427" s="1066"/>
    </row>
    <row r="428" spans="2:27" x14ac:dyDescent="0.3">
      <c r="AA428" s="1066"/>
    </row>
    <row r="429" spans="2:27" x14ac:dyDescent="0.3">
      <c r="AA429" s="1066"/>
    </row>
    <row r="430" spans="2:27" x14ac:dyDescent="0.3">
      <c r="AA430" s="1066"/>
    </row>
    <row r="431" spans="2:27" x14ac:dyDescent="0.3">
      <c r="AA431" s="1066"/>
    </row>
    <row r="432" spans="2:27" x14ac:dyDescent="0.3">
      <c r="AA432" s="1066"/>
    </row>
    <row r="433" spans="27:27" x14ac:dyDescent="0.3">
      <c r="AA433" s="1066"/>
    </row>
    <row r="434" spans="27:27" x14ac:dyDescent="0.3">
      <c r="AA434" s="1066"/>
    </row>
    <row r="435" spans="27:27" x14ac:dyDescent="0.3">
      <c r="AA435" s="1066"/>
    </row>
    <row r="436" spans="27:27" x14ac:dyDescent="0.3">
      <c r="AA436" s="1066"/>
    </row>
    <row r="437" spans="27:27" x14ac:dyDescent="0.3">
      <c r="AA437" s="1066"/>
    </row>
    <row r="438" spans="27:27" x14ac:dyDescent="0.3">
      <c r="AA438" s="1066"/>
    </row>
    <row r="439" spans="27:27" x14ac:dyDescent="0.3">
      <c r="AA439" s="1066"/>
    </row>
    <row r="440" spans="27:27" x14ac:dyDescent="0.3">
      <c r="AA440" s="1066"/>
    </row>
    <row r="441" spans="27:27" x14ac:dyDescent="0.3">
      <c r="AA441" s="1066"/>
    </row>
    <row r="442" spans="27:27" x14ac:dyDescent="0.3">
      <c r="AA442" s="1066"/>
    </row>
    <row r="443" spans="27:27" x14ac:dyDescent="0.3">
      <c r="AA443" s="1066"/>
    </row>
    <row r="444" spans="27:27" x14ac:dyDescent="0.3">
      <c r="AA444" s="1066"/>
    </row>
    <row r="445" spans="27:27" x14ac:dyDescent="0.3">
      <c r="AA445" s="1066"/>
    </row>
    <row r="446" spans="27:27" x14ac:dyDescent="0.3">
      <c r="AA446" s="1066"/>
    </row>
    <row r="447" spans="27:27" x14ac:dyDescent="0.3">
      <c r="AA447" s="1066"/>
    </row>
    <row r="448" spans="27:27" x14ac:dyDescent="0.3">
      <c r="AA448" s="1066"/>
    </row>
    <row r="449" spans="27:27" x14ac:dyDescent="0.3">
      <c r="AA449" s="1066"/>
    </row>
    <row r="450" spans="27:27" x14ac:dyDescent="0.3">
      <c r="AA450" s="1066"/>
    </row>
    <row r="451" spans="27:27" x14ac:dyDescent="0.3">
      <c r="AA451" s="1066"/>
    </row>
    <row r="452" spans="27:27" x14ac:dyDescent="0.3">
      <c r="AA452" s="1066"/>
    </row>
    <row r="453" spans="27:27" x14ac:dyDescent="0.3">
      <c r="AA453" s="1066"/>
    </row>
    <row r="454" spans="27:27" x14ac:dyDescent="0.3">
      <c r="AA454" s="1066"/>
    </row>
    <row r="455" spans="27:27" x14ac:dyDescent="0.3">
      <c r="AA455" s="1066"/>
    </row>
    <row r="456" spans="27:27" x14ac:dyDescent="0.3">
      <c r="AA456" s="1066"/>
    </row>
    <row r="457" spans="27:27" x14ac:dyDescent="0.3">
      <c r="AA457" s="1066"/>
    </row>
    <row r="458" spans="27:27" x14ac:dyDescent="0.3">
      <c r="AA458" s="1066"/>
    </row>
    <row r="459" spans="27:27" x14ac:dyDescent="0.3">
      <c r="AA459" s="1066"/>
    </row>
  </sheetData>
  <sheetProtection algorithmName="SHA-512" hashValue="pfKBpYzVJQ8x+cX+rXRUYMPY2HVOjlmZvcwGB6dDha6CuSWi4qxJFIl6/tfdzc09octHCKFUQzbBjdNmvXo3lg==" saltValue="XPjtJoTjuZ8gGtMtbK3cxQ=="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V97"/>
  <sheetViews>
    <sheetView zoomScale="120" zoomScaleNormal="120" workbookViewId="0">
      <selection activeCell="F1" sqref="F1"/>
    </sheetView>
  </sheetViews>
  <sheetFormatPr defaultColWidth="9.109375" defaultRowHeight="14.4" x14ac:dyDescent="0.3"/>
  <cols>
    <col min="1" max="2" width="9.109375" style="274"/>
    <col min="3" max="3" width="35.6640625" style="274" customWidth="1"/>
    <col min="4" max="4" width="9.109375" style="274"/>
    <col min="5" max="14" width="15.6640625" style="274" customWidth="1"/>
    <col min="15" max="16" width="23.109375" style="274" customWidth="1"/>
    <col min="17" max="17" width="24.33203125" style="274" customWidth="1"/>
    <col min="18" max="19" width="15.6640625" style="274" customWidth="1"/>
    <col min="20" max="20" width="19.5546875" style="274" customWidth="1"/>
    <col min="21" max="21" width="18.5546875" style="274" customWidth="1"/>
    <col min="22" max="22" width="18.88671875" style="274" customWidth="1"/>
    <col min="23" max="16384" width="9.109375" style="274"/>
  </cols>
  <sheetData>
    <row r="1" spans="1:22" ht="28.8" x14ac:dyDescent="0.3">
      <c r="A1" s="274" t="s">
        <v>1714</v>
      </c>
      <c r="B1" s="274" t="s">
        <v>1715</v>
      </c>
      <c r="D1" s="274" t="s">
        <v>1715</v>
      </c>
      <c r="E1" s="274" t="s">
        <v>1715</v>
      </c>
      <c r="F1" s="274" t="s">
        <v>1691</v>
      </c>
      <c r="G1" s="274" t="s">
        <v>1692</v>
      </c>
      <c r="H1" s="274" t="s">
        <v>1693</v>
      </c>
      <c r="I1" s="274" t="s">
        <v>1694</v>
      </c>
      <c r="J1" s="274" t="s">
        <v>1695</v>
      </c>
      <c r="K1" s="274" t="s">
        <v>1697</v>
      </c>
      <c r="L1" s="274" t="s">
        <v>1699</v>
      </c>
      <c r="M1" s="274" t="s">
        <v>1701</v>
      </c>
      <c r="N1" s="274" t="s">
        <v>1702</v>
      </c>
      <c r="O1" s="1004" t="s">
        <v>1703</v>
      </c>
      <c r="P1" s="274" t="s">
        <v>1705</v>
      </c>
      <c r="Q1" s="274" t="s">
        <v>1706</v>
      </c>
      <c r="R1" s="274" t="s">
        <v>1707</v>
      </c>
      <c r="S1" s="274" t="s">
        <v>1708</v>
      </c>
      <c r="T1" s="274" t="s">
        <v>1709</v>
      </c>
      <c r="U1" s="274" t="s">
        <v>1712</v>
      </c>
      <c r="V1" s="274" t="s">
        <v>1713</v>
      </c>
    </row>
    <row r="2" spans="1:22" x14ac:dyDescent="0.3">
      <c r="C2" s="274" t="s">
        <v>1716</v>
      </c>
      <c r="D2" s="274" t="s">
        <v>1717</v>
      </c>
      <c r="E2" s="274" t="s">
        <v>297</v>
      </c>
      <c r="F2" s="274">
        <v>53876</v>
      </c>
      <c r="G2" s="274">
        <v>53926</v>
      </c>
      <c r="H2" s="274">
        <v>53880</v>
      </c>
      <c r="I2" s="274">
        <v>53881</v>
      </c>
      <c r="J2" s="274">
        <v>53938</v>
      </c>
      <c r="K2" s="274">
        <v>53884</v>
      </c>
      <c r="L2" s="274">
        <v>53889</v>
      </c>
      <c r="M2" s="274">
        <v>53890</v>
      </c>
      <c r="N2" s="274">
        <v>53897</v>
      </c>
      <c r="O2" s="274">
        <v>53970</v>
      </c>
      <c r="P2" s="274">
        <v>53950</v>
      </c>
      <c r="Q2" s="274">
        <v>53901</v>
      </c>
      <c r="R2" s="274">
        <v>53902</v>
      </c>
      <c r="S2" s="274">
        <v>53923</v>
      </c>
      <c r="T2" s="274">
        <v>53908</v>
      </c>
      <c r="U2" s="274">
        <v>53913</v>
      </c>
      <c r="V2" s="274">
        <v>53915</v>
      </c>
    </row>
    <row r="3" spans="1:22" x14ac:dyDescent="0.3">
      <c r="A3" s="274">
        <v>13</v>
      </c>
      <c r="B3" s="274">
        <v>13</v>
      </c>
      <c r="C3" s="274" t="s">
        <v>1718</v>
      </c>
      <c r="D3" s="274" t="s">
        <v>1719</v>
      </c>
      <c r="E3" s="274" t="s">
        <v>305</v>
      </c>
      <c r="F3" s="274">
        <v>698994</v>
      </c>
      <c r="G3" s="274">
        <v>163952994</v>
      </c>
      <c r="H3" s="274">
        <v>0</v>
      </c>
      <c r="I3" s="274">
        <v>176928064</v>
      </c>
      <c r="J3" s="274">
        <v>0</v>
      </c>
      <c r="K3" s="274">
        <v>0</v>
      </c>
      <c r="L3" s="274">
        <v>0</v>
      </c>
      <c r="M3" s="274">
        <v>0</v>
      </c>
      <c r="N3" s="274">
        <v>61139316</v>
      </c>
      <c r="O3" s="274">
        <v>22900282</v>
      </c>
      <c r="P3" s="274">
        <v>63156577</v>
      </c>
      <c r="Q3" s="274">
        <v>379168000</v>
      </c>
      <c r="R3" s="274">
        <v>23198755</v>
      </c>
      <c r="S3" s="274">
        <v>33324090</v>
      </c>
      <c r="T3" s="274">
        <v>13620806</v>
      </c>
      <c r="U3" s="274">
        <v>123548844</v>
      </c>
      <c r="V3" s="274">
        <v>0</v>
      </c>
    </row>
    <row r="4" spans="1:22" x14ac:dyDescent="0.3">
      <c r="A4" s="274">
        <v>14</v>
      </c>
      <c r="B4" s="274">
        <v>14</v>
      </c>
      <c r="C4" s="274" t="s">
        <v>1720</v>
      </c>
      <c r="D4" s="274" t="s">
        <v>306</v>
      </c>
      <c r="E4" s="274" t="s">
        <v>307</v>
      </c>
      <c r="F4" s="274">
        <v>189828</v>
      </c>
      <c r="G4" s="274">
        <v>68153567</v>
      </c>
      <c r="H4" s="274">
        <v>0</v>
      </c>
      <c r="I4" s="274">
        <v>43578352</v>
      </c>
      <c r="J4" s="274">
        <v>0</v>
      </c>
      <c r="K4" s="274">
        <v>0</v>
      </c>
      <c r="L4" s="274">
        <v>0</v>
      </c>
      <c r="M4" s="274">
        <v>0</v>
      </c>
      <c r="N4" s="274">
        <v>21493081</v>
      </c>
      <c r="O4" s="274">
        <v>3206480</v>
      </c>
      <c r="P4" s="274">
        <v>33712893</v>
      </c>
      <c r="Q4" s="274">
        <v>173033000</v>
      </c>
      <c r="R4" s="274">
        <v>9370709</v>
      </c>
      <c r="S4" s="274">
        <v>17925060</v>
      </c>
      <c r="T4" s="274">
        <v>7795561</v>
      </c>
      <c r="U4" s="274">
        <v>17456587</v>
      </c>
      <c r="V4" s="274">
        <v>0</v>
      </c>
    </row>
    <row r="5" spans="1:22" x14ac:dyDescent="0.3">
      <c r="A5" s="274">
        <v>32</v>
      </c>
      <c r="B5" s="274">
        <v>32</v>
      </c>
      <c r="C5" s="274" t="s">
        <v>316</v>
      </c>
      <c r="D5" s="274" t="s">
        <v>316</v>
      </c>
      <c r="E5" s="274" t="s">
        <v>317</v>
      </c>
      <c r="F5" s="274">
        <v>0</v>
      </c>
      <c r="G5" s="274">
        <v>22655217</v>
      </c>
      <c r="H5" s="274">
        <v>0</v>
      </c>
      <c r="I5" s="274">
        <v>16434226</v>
      </c>
      <c r="J5" s="274">
        <v>0</v>
      </c>
      <c r="K5" s="274">
        <v>0</v>
      </c>
      <c r="L5" s="274">
        <v>0</v>
      </c>
      <c r="M5" s="274">
        <v>0</v>
      </c>
      <c r="N5" s="274">
        <v>10375605</v>
      </c>
      <c r="O5" s="274">
        <v>2797583</v>
      </c>
      <c r="P5" s="274">
        <v>15511821</v>
      </c>
      <c r="Q5" s="274">
        <v>52916000</v>
      </c>
      <c r="R5" s="274">
        <v>4572691</v>
      </c>
      <c r="S5" s="274">
        <v>7523713</v>
      </c>
      <c r="T5" s="274">
        <v>3649470</v>
      </c>
      <c r="U5" s="274">
        <v>11091619</v>
      </c>
      <c r="V5" s="274">
        <v>0</v>
      </c>
    </row>
    <row r="6" spans="1:22" x14ac:dyDescent="0.3">
      <c r="A6" s="274">
        <v>33</v>
      </c>
      <c r="B6" s="274">
        <v>33</v>
      </c>
      <c r="C6" s="274" t="s">
        <v>318</v>
      </c>
      <c r="D6" s="274" t="s">
        <v>318</v>
      </c>
      <c r="E6" s="274" t="s">
        <v>319</v>
      </c>
      <c r="F6" s="274">
        <v>-29351</v>
      </c>
      <c r="G6" s="274">
        <v>35261060</v>
      </c>
      <c r="H6" s="274">
        <v>0</v>
      </c>
      <c r="I6" s="274">
        <v>42779075</v>
      </c>
      <c r="J6" s="274">
        <v>0</v>
      </c>
      <c r="K6" s="274">
        <v>0</v>
      </c>
      <c r="L6" s="274">
        <v>0</v>
      </c>
      <c r="M6" s="274">
        <v>0</v>
      </c>
      <c r="N6" s="274">
        <v>14690113</v>
      </c>
      <c r="O6" s="274">
        <v>3046208</v>
      </c>
      <c r="P6" s="274">
        <v>-12753794</v>
      </c>
      <c r="Q6" s="274">
        <v>157686000</v>
      </c>
      <c r="R6" s="274">
        <v>5582347</v>
      </c>
      <c r="S6" s="274">
        <v>6567926</v>
      </c>
      <c r="T6" s="274">
        <v>5558717</v>
      </c>
      <c r="U6" s="274">
        <v>5643300</v>
      </c>
      <c r="V6" s="274">
        <v>0</v>
      </c>
    </row>
    <row r="7" spans="1:22" x14ac:dyDescent="0.3">
      <c r="A7" s="274">
        <v>34</v>
      </c>
      <c r="B7" s="274">
        <v>34</v>
      </c>
      <c r="C7" s="274" t="s">
        <v>320</v>
      </c>
      <c r="D7" s="274" t="s">
        <v>320</v>
      </c>
      <c r="E7" s="274" t="s">
        <v>321</v>
      </c>
      <c r="F7" s="274">
        <v>698994</v>
      </c>
      <c r="G7" s="274">
        <v>394213286</v>
      </c>
      <c r="H7" s="274">
        <v>0</v>
      </c>
      <c r="I7" s="274">
        <v>130421785</v>
      </c>
      <c r="J7" s="274">
        <v>0</v>
      </c>
      <c r="K7" s="274">
        <v>0</v>
      </c>
      <c r="L7" s="274">
        <v>0</v>
      </c>
      <c r="M7" s="274">
        <v>0</v>
      </c>
      <c r="N7" s="274">
        <v>37961561</v>
      </c>
      <c r="O7" s="274">
        <v>12292185</v>
      </c>
      <c r="P7" s="274">
        <v>133650607</v>
      </c>
      <c r="Q7" s="274">
        <v>800521000</v>
      </c>
      <c r="R7" s="274">
        <v>6324418</v>
      </c>
      <c r="S7" s="274">
        <v>12033722</v>
      </c>
      <c r="T7" s="274">
        <v>5543718</v>
      </c>
      <c r="U7" s="274">
        <v>88364429</v>
      </c>
      <c r="V7" s="274">
        <v>0</v>
      </c>
    </row>
    <row r="8" spans="1:22" x14ac:dyDescent="0.3">
      <c r="A8" s="274">
        <v>35</v>
      </c>
      <c r="B8" s="274">
        <v>35</v>
      </c>
      <c r="C8" s="274" t="s">
        <v>617</v>
      </c>
      <c r="D8" s="274" t="s">
        <v>1721</v>
      </c>
      <c r="E8" s="274" t="s">
        <v>322</v>
      </c>
      <c r="F8" s="274">
        <v>0</v>
      </c>
      <c r="G8" s="274">
        <v>55083671</v>
      </c>
      <c r="H8" s="274">
        <v>0</v>
      </c>
      <c r="I8" s="274">
        <v>31557963</v>
      </c>
      <c r="J8" s="274">
        <v>0</v>
      </c>
      <c r="K8" s="274">
        <v>0</v>
      </c>
      <c r="L8" s="274">
        <v>0</v>
      </c>
      <c r="M8" s="274">
        <v>0</v>
      </c>
      <c r="N8" s="274">
        <v>27550169</v>
      </c>
      <c r="O8" s="274">
        <v>8220550</v>
      </c>
      <c r="P8" s="274">
        <v>29998283</v>
      </c>
      <c r="Q8" s="274">
        <v>131513000</v>
      </c>
      <c r="R8" s="274">
        <v>10554078</v>
      </c>
      <c r="S8" s="274">
        <v>19842376</v>
      </c>
      <c r="T8" s="274">
        <v>5394572</v>
      </c>
      <c r="U8" s="274">
        <v>25985073</v>
      </c>
      <c r="V8" s="274">
        <v>0</v>
      </c>
    </row>
    <row r="9" spans="1:22" x14ac:dyDescent="0.3">
      <c r="A9" s="274">
        <v>36</v>
      </c>
      <c r="B9" s="274">
        <v>36</v>
      </c>
      <c r="C9" s="274" t="s">
        <v>618</v>
      </c>
      <c r="D9" s="274" t="s">
        <v>1444</v>
      </c>
      <c r="E9" s="274" t="s">
        <v>323</v>
      </c>
      <c r="F9" s="274">
        <v>0</v>
      </c>
      <c r="G9" s="274">
        <v>506010513</v>
      </c>
      <c r="H9" s="274">
        <v>0</v>
      </c>
      <c r="I9" s="274">
        <v>332179319</v>
      </c>
      <c r="J9" s="274">
        <v>0</v>
      </c>
      <c r="K9" s="274">
        <v>0</v>
      </c>
      <c r="L9" s="274">
        <v>0</v>
      </c>
      <c r="M9" s="274">
        <v>0</v>
      </c>
      <c r="N9" s="274">
        <v>265390383</v>
      </c>
      <c r="O9" s="274">
        <v>70717625</v>
      </c>
      <c r="P9" s="274">
        <v>397223918</v>
      </c>
      <c r="Q9" s="274">
        <v>1116743000</v>
      </c>
      <c r="R9" s="274">
        <v>119189467</v>
      </c>
      <c r="S9" s="274">
        <v>174098522</v>
      </c>
      <c r="T9" s="274">
        <v>104009930</v>
      </c>
      <c r="U9" s="274">
        <v>270375491</v>
      </c>
      <c r="V9" s="274">
        <v>0</v>
      </c>
    </row>
    <row r="10" spans="1:22" x14ac:dyDescent="0.3">
      <c r="A10" s="274">
        <v>37</v>
      </c>
      <c r="B10" s="274">
        <v>37</v>
      </c>
      <c r="C10" s="274" t="s">
        <v>324</v>
      </c>
      <c r="D10" s="274" t="s">
        <v>324</v>
      </c>
      <c r="E10" s="274" t="s">
        <v>325</v>
      </c>
      <c r="F10" s="274">
        <v>0</v>
      </c>
      <c r="G10" s="274">
        <v>55530000</v>
      </c>
      <c r="H10" s="274">
        <v>0</v>
      </c>
      <c r="I10" s="274">
        <v>37666804</v>
      </c>
      <c r="J10" s="274">
        <v>0</v>
      </c>
      <c r="K10" s="274">
        <v>0</v>
      </c>
      <c r="L10" s="274">
        <v>0</v>
      </c>
      <c r="M10" s="274">
        <v>0</v>
      </c>
      <c r="N10" s="274">
        <v>19714382</v>
      </c>
      <c r="O10" s="274">
        <v>9303637</v>
      </c>
      <c r="P10" s="274">
        <v>96588952</v>
      </c>
      <c r="Q10" s="274">
        <v>367183000</v>
      </c>
      <c r="R10" s="274">
        <v>22186222</v>
      </c>
      <c r="S10" s="274">
        <v>34426895</v>
      </c>
      <c r="T10" s="274">
        <v>4058680</v>
      </c>
      <c r="U10" s="274">
        <v>41014511</v>
      </c>
      <c r="V10" s="274">
        <v>0</v>
      </c>
    </row>
    <row r="11" spans="1:22" x14ac:dyDescent="0.3">
      <c r="A11" s="274">
        <v>38</v>
      </c>
      <c r="B11" s="274">
        <v>38</v>
      </c>
      <c r="C11" s="274" t="s">
        <v>619</v>
      </c>
      <c r="D11" s="274" t="s">
        <v>1722</v>
      </c>
      <c r="E11" s="274" t="s">
        <v>326</v>
      </c>
      <c r="F11" s="274">
        <v>509166</v>
      </c>
      <c r="G11" s="274">
        <v>398790598</v>
      </c>
      <c r="H11" s="274">
        <v>0</v>
      </c>
      <c r="I11" s="274">
        <v>132916716</v>
      </c>
      <c r="J11" s="274">
        <v>0</v>
      </c>
      <c r="K11" s="274">
        <v>0</v>
      </c>
      <c r="L11" s="274">
        <v>0</v>
      </c>
      <c r="M11" s="274">
        <v>0</v>
      </c>
      <c r="N11" s="274">
        <v>68749743</v>
      </c>
      <c r="O11" s="274">
        <v>17848689</v>
      </c>
      <c r="P11" s="274">
        <v>237756073</v>
      </c>
      <c r="Q11" s="274">
        <v>871201000</v>
      </c>
      <c r="R11" s="274">
        <v>79781708</v>
      </c>
      <c r="S11" s="274">
        <v>12658597</v>
      </c>
      <c r="T11" s="274">
        <v>14682401</v>
      </c>
      <c r="U11" s="274">
        <v>108782765</v>
      </c>
      <c r="V11" s="274">
        <v>0</v>
      </c>
    </row>
    <row r="12" spans="1:22" x14ac:dyDescent="0.3">
      <c r="A12" s="274">
        <v>39</v>
      </c>
      <c r="B12" s="274">
        <v>39</v>
      </c>
      <c r="C12" s="274" t="s">
        <v>327</v>
      </c>
      <c r="D12" s="274" t="s">
        <v>327</v>
      </c>
      <c r="E12" s="274" t="s">
        <v>328</v>
      </c>
      <c r="F12" s="274">
        <v>0</v>
      </c>
      <c r="G12" s="274">
        <v>1490000</v>
      </c>
      <c r="H12" s="274">
        <v>0</v>
      </c>
      <c r="I12" s="274">
        <v>3169003</v>
      </c>
      <c r="J12" s="274">
        <v>0</v>
      </c>
      <c r="K12" s="274">
        <v>0</v>
      </c>
      <c r="L12" s="274">
        <v>0</v>
      </c>
      <c r="M12" s="274">
        <v>0</v>
      </c>
      <c r="N12" s="274">
        <v>3280830</v>
      </c>
      <c r="O12" s="274">
        <v>631724</v>
      </c>
      <c r="P12" s="274">
        <v>2420000</v>
      </c>
      <c r="Q12" s="274">
        <v>18912000</v>
      </c>
      <c r="R12" s="274">
        <v>2281573</v>
      </c>
      <c r="S12" s="274">
        <v>5901916</v>
      </c>
      <c r="T12" s="274">
        <v>1010750</v>
      </c>
      <c r="U12" s="274">
        <v>33760484</v>
      </c>
      <c r="V12" s="274">
        <v>0</v>
      </c>
    </row>
    <row r="13" spans="1:22" x14ac:dyDescent="0.3">
      <c r="A13" s="274">
        <v>40</v>
      </c>
      <c r="B13" s="274">
        <v>40</v>
      </c>
      <c r="C13" s="274" t="s">
        <v>329</v>
      </c>
      <c r="D13" s="274" t="s">
        <v>329</v>
      </c>
      <c r="E13" s="274" t="s">
        <v>330</v>
      </c>
      <c r="F13" s="274">
        <v>0</v>
      </c>
      <c r="G13" s="274">
        <v>420241993</v>
      </c>
      <c r="H13" s="274">
        <v>0</v>
      </c>
      <c r="I13" s="274">
        <v>309483446</v>
      </c>
      <c r="J13" s="274">
        <v>0</v>
      </c>
      <c r="K13" s="274">
        <v>0</v>
      </c>
      <c r="L13" s="274">
        <v>0</v>
      </c>
      <c r="M13" s="274">
        <v>0</v>
      </c>
      <c r="N13" s="274">
        <v>246018309</v>
      </c>
      <c r="O13" s="274">
        <v>37209394</v>
      </c>
      <c r="P13" s="274">
        <v>232144556</v>
      </c>
      <c r="Q13" s="274">
        <v>112644000</v>
      </c>
      <c r="R13" s="274">
        <v>90856483</v>
      </c>
      <c r="S13" s="274">
        <v>145251166</v>
      </c>
      <c r="T13" s="274">
        <v>63029613</v>
      </c>
      <c r="U13" s="274">
        <v>200131483</v>
      </c>
      <c r="V13" s="274">
        <v>0</v>
      </c>
    </row>
    <row r="14" spans="1:22" x14ac:dyDescent="0.3">
      <c r="A14" s="274">
        <v>41</v>
      </c>
      <c r="B14" s="274">
        <v>41</v>
      </c>
      <c r="C14" s="274" t="s">
        <v>331</v>
      </c>
      <c r="D14" s="274" t="s">
        <v>331</v>
      </c>
      <c r="E14" s="274" t="s">
        <v>332</v>
      </c>
      <c r="F14" s="274">
        <v>0</v>
      </c>
      <c r="G14" s="274">
        <v>1563193</v>
      </c>
      <c r="H14" s="274">
        <v>0</v>
      </c>
      <c r="I14" s="274">
        <v>1095067</v>
      </c>
      <c r="J14" s="274">
        <v>0</v>
      </c>
      <c r="K14" s="274">
        <v>0</v>
      </c>
      <c r="L14" s="274">
        <v>0</v>
      </c>
      <c r="M14" s="274">
        <v>0</v>
      </c>
      <c r="N14" s="274">
        <v>698062</v>
      </c>
      <c r="O14" s="274">
        <v>287175</v>
      </c>
      <c r="P14" s="274">
        <v>4925372</v>
      </c>
      <c r="Q14" s="274">
        <v>14600000</v>
      </c>
      <c r="R14" s="274">
        <v>1248564</v>
      </c>
      <c r="S14" s="274">
        <v>1202757</v>
      </c>
      <c r="T14" s="274">
        <v>210159</v>
      </c>
      <c r="U14" s="274">
        <v>2527126</v>
      </c>
      <c r="V14" s="274">
        <v>0</v>
      </c>
    </row>
    <row r="15" spans="1:22" x14ac:dyDescent="0.3">
      <c r="A15" s="274">
        <v>104</v>
      </c>
      <c r="B15" s="274">
        <v>104</v>
      </c>
      <c r="C15" s="274" t="s">
        <v>368</v>
      </c>
      <c r="D15" s="274" t="s">
        <v>368</v>
      </c>
      <c r="E15" s="274" t="s">
        <v>369</v>
      </c>
      <c r="F15" s="274">
        <v>0</v>
      </c>
      <c r="G15" s="274">
        <v>58170464</v>
      </c>
      <c r="H15" s="274">
        <v>0</v>
      </c>
      <c r="I15" s="274">
        <v>11146060</v>
      </c>
      <c r="J15" s="274">
        <v>0</v>
      </c>
      <c r="K15" s="274">
        <v>0</v>
      </c>
      <c r="L15" s="274">
        <v>0</v>
      </c>
      <c r="M15" s="274">
        <v>0</v>
      </c>
      <c r="N15" s="274">
        <v>4045072</v>
      </c>
      <c r="O15" s="274">
        <v>1879132</v>
      </c>
      <c r="P15" s="274">
        <v>4063412</v>
      </c>
      <c r="Q15" s="274">
        <v>66535000</v>
      </c>
      <c r="R15" s="274">
        <v>3386747</v>
      </c>
      <c r="S15" s="274">
        <v>706948</v>
      </c>
      <c r="T15" s="274">
        <v>1739413</v>
      </c>
      <c r="U15" s="274">
        <v>14426283</v>
      </c>
      <c r="V15" s="274">
        <v>0</v>
      </c>
    </row>
    <row r="16" spans="1:22" x14ac:dyDescent="0.3">
      <c r="A16" s="274">
        <v>107</v>
      </c>
      <c r="B16" s="274">
        <v>107</v>
      </c>
      <c r="C16" s="274" t="s">
        <v>620</v>
      </c>
      <c r="D16" s="274" t="s">
        <v>1723</v>
      </c>
      <c r="E16" s="274" t="s">
        <v>370</v>
      </c>
      <c r="F16" s="274">
        <v>1404</v>
      </c>
      <c r="G16" s="274">
        <v>426649653</v>
      </c>
      <c r="H16" s="274">
        <v>0</v>
      </c>
      <c r="I16" s="274">
        <v>315840974</v>
      </c>
      <c r="J16" s="274">
        <v>0</v>
      </c>
      <c r="K16" s="274">
        <v>0</v>
      </c>
      <c r="L16" s="274">
        <v>0</v>
      </c>
      <c r="M16" s="274">
        <v>0</v>
      </c>
      <c r="N16" s="274">
        <v>250955628</v>
      </c>
      <c r="O16" s="274">
        <v>40066719</v>
      </c>
      <c r="P16" s="274">
        <v>237271584</v>
      </c>
      <c r="Q16" s="274">
        <v>1164389000</v>
      </c>
      <c r="R16" s="274">
        <v>99173838</v>
      </c>
      <c r="S16" s="274">
        <v>148578726</v>
      </c>
      <c r="T16" s="274">
        <v>64954823</v>
      </c>
      <c r="U16" s="274">
        <v>205081961</v>
      </c>
      <c r="V16" s="274">
        <v>0</v>
      </c>
    </row>
    <row r="17" spans="1:22" x14ac:dyDescent="0.3">
      <c r="A17" s="274">
        <v>108</v>
      </c>
      <c r="B17" s="274">
        <v>108</v>
      </c>
      <c r="C17" s="274" t="s">
        <v>621</v>
      </c>
      <c r="D17" s="274" t="s">
        <v>1724</v>
      </c>
      <c r="E17" s="274" t="s">
        <v>371</v>
      </c>
      <c r="F17" s="274">
        <v>26453</v>
      </c>
      <c r="G17" s="274">
        <v>421221515</v>
      </c>
      <c r="H17" s="274">
        <v>0</v>
      </c>
      <c r="I17" s="274">
        <v>293303614</v>
      </c>
      <c r="J17" s="274">
        <v>0</v>
      </c>
      <c r="K17" s="274">
        <v>0</v>
      </c>
      <c r="L17" s="274">
        <v>0</v>
      </c>
      <c r="M17" s="274">
        <v>0</v>
      </c>
      <c r="N17" s="274">
        <v>243139128</v>
      </c>
      <c r="O17" s="274">
        <v>42711331</v>
      </c>
      <c r="P17" s="274">
        <v>244189897</v>
      </c>
      <c r="Q17" s="274">
        <v>1053552000</v>
      </c>
      <c r="R17" s="274">
        <v>97048972</v>
      </c>
      <c r="S17" s="274">
        <v>150811218</v>
      </c>
      <c r="T17" s="274">
        <v>64422445</v>
      </c>
      <c r="U17" s="274">
        <v>205039097</v>
      </c>
      <c r="V17" s="274">
        <v>0</v>
      </c>
    </row>
    <row r="18" spans="1:22" x14ac:dyDescent="0.3">
      <c r="A18" s="274">
        <v>194</v>
      </c>
      <c r="B18" s="274">
        <v>194</v>
      </c>
      <c r="C18" s="274" t="s">
        <v>385</v>
      </c>
      <c r="D18" s="274" t="s">
        <v>385</v>
      </c>
      <c r="E18" s="274" t="s">
        <v>386</v>
      </c>
      <c r="F18" s="274">
        <v>0</v>
      </c>
      <c r="G18" s="274">
        <v>0</v>
      </c>
      <c r="H18" s="274">
        <v>0</v>
      </c>
      <c r="I18" s="274">
        <v>825500</v>
      </c>
      <c r="J18" s="274">
        <v>0</v>
      </c>
      <c r="K18" s="274">
        <v>0</v>
      </c>
      <c r="L18" s="274">
        <v>0</v>
      </c>
      <c r="M18" s="274">
        <v>0</v>
      </c>
      <c r="N18" s="274">
        <v>0</v>
      </c>
      <c r="O18" s="274">
        <v>302511</v>
      </c>
      <c r="P18" s="274">
        <v>0</v>
      </c>
      <c r="Q18" s="274">
        <v>838000</v>
      </c>
      <c r="R18" s="274">
        <v>0</v>
      </c>
      <c r="S18" s="274">
        <v>308865</v>
      </c>
      <c r="T18" s="274">
        <v>0</v>
      </c>
      <c r="U18" s="274">
        <v>895792</v>
      </c>
      <c r="V18" s="274">
        <v>0</v>
      </c>
    </row>
    <row r="19" spans="1:22" x14ac:dyDescent="0.3">
      <c r="A19" s="274">
        <v>294</v>
      </c>
      <c r="B19" s="274">
        <v>294</v>
      </c>
      <c r="C19" s="274" t="s">
        <v>844</v>
      </c>
      <c r="D19" s="274" t="s">
        <v>1725</v>
      </c>
      <c r="E19" s="274" t="s">
        <v>397</v>
      </c>
      <c r="F19" s="274">
        <v>-25049</v>
      </c>
      <c r="G19" s="274">
        <v>13624204</v>
      </c>
      <c r="H19" s="274">
        <v>0</v>
      </c>
      <c r="I19" s="274">
        <v>25748830</v>
      </c>
      <c r="J19" s="274">
        <v>0</v>
      </c>
      <c r="K19" s="274">
        <v>0</v>
      </c>
      <c r="L19" s="274">
        <v>0</v>
      </c>
      <c r="M19" s="274">
        <v>0</v>
      </c>
      <c r="N19" s="274">
        <v>8723027</v>
      </c>
      <c r="O19" s="274">
        <v>-110747</v>
      </c>
      <c r="P19" s="274">
        <v>1807550</v>
      </c>
      <c r="Q19" s="274">
        <v>107531000</v>
      </c>
      <c r="R19" s="274">
        <v>2885033</v>
      </c>
      <c r="S19" s="274">
        <v>-436416</v>
      </c>
      <c r="T19" s="274">
        <v>547510</v>
      </c>
      <c r="U19" s="274">
        <v>-4905748</v>
      </c>
      <c r="V19" s="274">
        <v>0</v>
      </c>
    </row>
    <row r="20" spans="1:22" x14ac:dyDescent="0.3">
      <c r="A20" s="274">
        <v>502</v>
      </c>
      <c r="B20" s="274">
        <v>502</v>
      </c>
      <c r="C20" s="274" t="s">
        <v>186</v>
      </c>
      <c r="D20" s="274" t="s">
        <v>186</v>
      </c>
      <c r="E20" s="274" t="s">
        <v>469</v>
      </c>
      <c r="F20" s="274">
        <v>698994</v>
      </c>
      <c r="G20" s="274">
        <v>394213286</v>
      </c>
      <c r="H20" s="274">
        <v>0</v>
      </c>
      <c r="I20" s="274">
        <v>130421785</v>
      </c>
      <c r="J20" s="274">
        <v>0</v>
      </c>
      <c r="K20" s="274">
        <v>0</v>
      </c>
      <c r="L20" s="274">
        <v>0</v>
      </c>
      <c r="M20" s="274">
        <v>0</v>
      </c>
      <c r="N20" s="274">
        <v>37961561</v>
      </c>
      <c r="O20" s="274">
        <v>12292185</v>
      </c>
      <c r="P20" s="274">
        <v>133650607</v>
      </c>
      <c r="Q20" s="274">
        <v>800521000</v>
      </c>
      <c r="R20" s="274">
        <v>6324418</v>
      </c>
      <c r="S20" s="274">
        <v>4836156</v>
      </c>
      <c r="T20" s="274">
        <v>5543718</v>
      </c>
      <c r="U20" s="274">
        <v>88364429</v>
      </c>
      <c r="V20" s="274">
        <v>0</v>
      </c>
    </row>
    <row r="21" spans="1:22" x14ac:dyDescent="0.3">
      <c r="A21" s="274">
        <v>503</v>
      </c>
      <c r="B21" s="274">
        <v>503</v>
      </c>
      <c r="C21" s="274" t="s">
        <v>187</v>
      </c>
      <c r="D21" s="274" t="s">
        <v>187</v>
      </c>
      <c r="E21" s="274" t="s">
        <v>470</v>
      </c>
      <c r="F21" s="274">
        <v>0</v>
      </c>
      <c r="G21" s="274">
        <v>0</v>
      </c>
      <c r="H21" s="274">
        <v>0</v>
      </c>
      <c r="I21" s="274">
        <v>15452027</v>
      </c>
      <c r="J21" s="274">
        <v>0</v>
      </c>
      <c r="K21" s="274">
        <v>0</v>
      </c>
      <c r="L21" s="274">
        <v>0</v>
      </c>
      <c r="M21" s="274">
        <v>0</v>
      </c>
      <c r="N21" s="274">
        <v>0</v>
      </c>
      <c r="O21" s="274">
        <v>378296</v>
      </c>
      <c r="P21" s="274">
        <v>114687025</v>
      </c>
      <c r="Q21" s="274">
        <v>53280000</v>
      </c>
      <c r="R21" s="274">
        <v>64161694</v>
      </c>
      <c r="S21" s="274">
        <v>13873248</v>
      </c>
      <c r="T21" s="274">
        <v>10352352</v>
      </c>
      <c r="U21" s="274">
        <v>4345432</v>
      </c>
      <c r="V21" s="274">
        <v>0</v>
      </c>
    </row>
    <row r="22" spans="1:22" x14ac:dyDescent="0.3">
      <c r="A22" s="274">
        <v>534</v>
      </c>
      <c r="B22" s="274">
        <v>534</v>
      </c>
      <c r="C22" s="274" t="s">
        <v>275</v>
      </c>
      <c r="D22" s="274" t="s">
        <v>275</v>
      </c>
      <c r="E22" s="274" t="s">
        <v>501</v>
      </c>
      <c r="F22" s="274">
        <v>0</v>
      </c>
      <c r="G22" s="274">
        <v>17692850</v>
      </c>
      <c r="H22" s="274">
        <v>0</v>
      </c>
      <c r="I22" s="274">
        <v>6241709</v>
      </c>
      <c r="J22" s="274">
        <v>0</v>
      </c>
      <c r="K22" s="274">
        <v>0</v>
      </c>
      <c r="L22" s="274">
        <v>0</v>
      </c>
      <c r="M22" s="274">
        <v>0</v>
      </c>
      <c r="N22" s="274">
        <v>13537907</v>
      </c>
      <c r="O22" s="274">
        <v>1573564</v>
      </c>
      <c r="P22" s="274">
        <v>7232188</v>
      </c>
      <c r="Q22" s="274">
        <v>50495000</v>
      </c>
      <c r="R22" s="274">
        <v>3684839</v>
      </c>
      <c r="S22" s="274">
        <v>6569113</v>
      </c>
      <c r="T22" s="274">
        <v>2204506</v>
      </c>
      <c r="U22" s="274">
        <v>7376697</v>
      </c>
      <c r="V22" s="274">
        <v>0</v>
      </c>
    </row>
    <row r="23" spans="1:22" ht="129.6" x14ac:dyDescent="0.3">
      <c r="A23" s="274">
        <v>547</v>
      </c>
      <c r="B23" s="274">
        <v>547</v>
      </c>
      <c r="C23" s="1004" t="s">
        <v>541</v>
      </c>
      <c r="D23" s="1004" t="s">
        <v>541</v>
      </c>
      <c r="E23" s="274" t="s">
        <v>514</v>
      </c>
      <c r="F23" s="274">
        <v>2</v>
      </c>
      <c r="G23" s="274">
        <v>3</v>
      </c>
      <c r="H23" s="274">
        <v>0</v>
      </c>
      <c r="I23" s="274">
        <v>2</v>
      </c>
      <c r="J23" s="274">
        <v>0</v>
      </c>
      <c r="K23" s="274">
        <v>0</v>
      </c>
      <c r="L23" s="274">
        <v>0</v>
      </c>
      <c r="M23" s="274">
        <v>0</v>
      </c>
      <c r="N23" s="274">
        <v>2</v>
      </c>
      <c r="O23" s="274">
        <v>2</v>
      </c>
      <c r="P23" s="274">
        <v>3</v>
      </c>
      <c r="Q23" s="274">
        <v>2</v>
      </c>
      <c r="R23" s="274">
        <v>2</v>
      </c>
      <c r="S23" s="274">
        <v>1</v>
      </c>
      <c r="T23" s="274">
        <v>2</v>
      </c>
      <c r="U23" s="274">
        <v>0</v>
      </c>
      <c r="V23" s="274">
        <v>0</v>
      </c>
    </row>
    <row r="24" spans="1:22" x14ac:dyDescent="0.3">
      <c r="A24" s="274">
        <v>554</v>
      </c>
      <c r="B24" s="274">
        <v>554</v>
      </c>
      <c r="C24" s="274" t="s">
        <v>577</v>
      </c>
      <c r="D24" s="274" t="s">
        <v>577</v>
      </c>
      <c r="E24" s="274" t="s">
        <v>578</v>
      </c>
      <c r="F24" s="274">
        <v>0</v>
      </c>
      <c r="G24" s="274">
        <v>0</v>
      </c>
      <c r="H24" s="274">
        <v>0</v>
      </c>
      <c r="I24" s="274">
        <v>960260</v>
      </c>
      <c r="J24" s="274">
        <v>0</v>
      </c>
      <c r="K24" s="274">
        <v>0</v>
      </c>
      <c r="L24" s="274">
        <v>0</v>
      </c>
      <c r="M24" s="274">
        <v>0</v>
      </c>
      <c r="N24" s="274">
        <v>0</v>
      </c>
      <c r="O24" s="274">
        <v>0</v>
      </c>
      <c r="P24" s="274">
        <v>0</v>
      </c>
      <c r="Q24" s="274">
        <v>1929891</v>
      </c>
      <c r="R24" s="274">
        <v>0</v>
      </c>
      <c r="S24" s="274">
        <v>38752673</v>
      </c>
      <c r="T24" s="274">
        <v>0</v>
      </c>
      <c r="U24" s="274">
        <v>0</v>
      </c>
      <c r="V24" s="274">
        <v>0</v>
      </c>
    </row>
    <row r="25" spans="1:22" x14ac:dyDescent="0.3">
      <c r="A25" s="274">
        <v>555</v>
      </c>
      <c r="B25" s="274">
        <v>555</v>
      </c>
      <c r="C25" s="274" t="s">
        <v>579</v>
      </c>
      <c r="D25" s="274" t="s">
        <v>579</v>
      </c>
      <c r="E25" s="274" t="s">
        <v>580</v>
      </c>
      <c r="F25" s="274">
        <v>0</v>
      </c>
      <c r="G25" s="274">
        <v>0</v>
      </c>
      <c r="H25" s="274">
        <v>0</v>
      </c>
      <c r="I25" s="274">
        <v>616952</v>
      </c>
      <c r="J25" s="274">
        <v>0</v>
      </c>
      <c r="K25" s="274">
        <v>0</v>
      </c>
      <c r="L25" s="274">
        <v>0</v>
      </c>
      <c r="M25" s="274">
        <v>0</v>
      </c>
      <c r="N25" s="274">
        <v>0</v>
      </c>
      <c r="O25" s="274">
        <v>0</v>
      </c>
      <c r="P25" s="274">
        <v>0</v>
      </c>
      <c r="Q25" s="274">
        <v>406844</v>
      </c>
      <c r="R25" s="274">
        <v>0</v>
      </c>
      <c r="S25" s="274">
        <v>38752673</v>
      </c>
      <c r="T25" s="274">
        <v>0</v>
      </c>
      <c r="U25" s="274">
        <v>0</v>
      </c>
      <c r="V25" s="274">
        <v>0</v>
      </c>
    </row>
    <row r="26" spans="1:22" x14ac:dyDescent="0.3">
      <c r="A26" s="274">
        <v>556</v>
      </c>
      <c r="B26" s="274">
        <v>556</v>
      </c>
      <c r="C26" s="274" t="s">
        <v>581</v>
      </c>
      <c r="D26" s="274" t="s">
        <v>581</v>
      </c>
      <c r="E26" s="274" t="s">
        <v>582</v>
      </c>
      <c r="F26" s="274">
        <v>0</v>
      </c>
      <c r="G26" s="274">
        <v>0</v>
      </c>
      <c r="H26" s="274">
        <v>0</v>
      </c>
      <c r="I26" s="274">
        <v>0</v>
      </c>
      <c r="J26" s="274">
        <v>0</v>
      </c>
      <c r="K26" s="274">
        <v>0</v>
      </c>
      <c r="L26" s="274">
        <v>0</v>
      </c>
      <c r="M26" s="274">
        <v>0</v>
      </c>
      <c r="N26" s="274">
        <v>0</v>
      </c>
      <c r="O26" s="274">
        <v>0</v>
      </c>
      <c r="P26" s="274">
        <v>0</v>
      </c>
      <c r="Q26" s="274">
        <v>3788537</v>
      </c>
      <c r="R26" s="274">
        <v>0</v>
      </c>
      <c r="S26" s="274">
        <v>0</v>
      </c>
      <c r="T26" s="274">
        <v>0</v>
      </c>
      <c r="U26" s="274">
        <v>0</v>
      </c>
      <c r="V26" s="274">
        <v>0</v>
      </c>
    </row>
    <row r="27" spans="1:22" x14ac:dyDescent="0.3">
      <c r="A27" s="274">
        <v>557</v>
      </c>
      <c r="B27" s="274">
        <v>557</v>
      </c>
      <c r="C27" s="274" t="s">
        <v>583</v>
      </c>
      <c r="D27" s="274" t="s">
        <v>583</v>
      </c>
      <c r="E27" s="274" t="s">
        <v>584</v>
      </c>
      <c r="F27" s="274">
        <v>0</v>
      </c>
      <c r="G27" s="274">
        <v>0</v>
      </c>
      <c r="H27" s="274">
        <v>0</v>
      </c>
      <c r="I27" s="274">
        <v>0</v>
      </c>
      <c r="J27" s="274">
        <v>0</v>
      </c>
      <c r="K27" s="274">
        <v>0</v>
      </c>
      <c r="L27" s="274">
        <v>0</v>
      </c>
      <c r="M27" s="274">
        <v>0</v>
      </c>
      <c r="N27" s="274">
        <v>0</v>
      </c>
      <c r="O27" s="274">
        <v>0</v>
      </c>
      <c r="P27" s="274">
        <v>0</v>
      </c>
      <c r="Q27" s="274">
        <v>3270890</v>
      </c>
      <c r="R27" s="274">
        <v>0</v>
      </c>
      <c r="S27" s="274">
        <v>0</v>
      </c>
      <c r="T27" s="274">
        <v>0</v>
      </c>
      <c r="U27" s="274">
        <v>0</v>
      </c>
      <c r="V27" s="274">
        <v>0</v>
      </c>
    </row>
    <row r="28" spans="1:22" x14ac:dyDescent="0.3">
      <c r="A28" s="274">
        <v>577</v>
      </c>
      <c r="B28" s="274">
        <v>577</v>
      </c>
      <c r="C28" s="274" t="s">
        <v>1726</v>
      </c>
      <c r="D28" s="274" t="s">
        <v>624</v>
      </c>
      <c r="E28" s="274" t="s">
        <v>625</v>
      </c>
      <c r="F28" s="274">
        <v>0</v>
      </c>
      <c r="G28" s="274">
        <v>0</v>
      </c>
      <c r="H28" s="274">
        <v>0</v>
      </c>
      <c r="I28" s="274">
        <v>1</v>
      </c>
      <c r="J28" s="274">
        <v>0</v>
      </c>
      <c r="K28" s="274">
        <v>0</v>
      </c>
      <c r="L28" s="274">
        <v>0</v>
      </c>
      <c r="M28" s="274">
        <v>0</v>
      </c>
      <c r="N28" s="274">
        <v>0</v>
      </c>
      <c r="O28" s="274">
        <v>0</v>
      </c>
      <c r="P28" s="274">
        <v>1</v>
      </c>
      <c r="Q28" s="274">
        <v>1</v>
      </c>
      <c r="R28" s="274">
        <v>1</v>
      </c>
      <c r="S28" s="274">
        <v>0</v>
      </c>
      <c r="T28" s="274">
        <v>0</v>
      </c>
      <c r="U28" s="274">
        <v>0</v>
      </c>
      <c r="V28" s="274">
        <v>0</v>
      </c>
    </row>
    <row r="29" spans="1:22" x14ac:dyDescent="0.3">
      <c r="A29" s="274">
        <v>591</v>
      </c>
      <c r="B29" s="274">
        <v>591</v>
      </c>
      <c r="C29" s="274" t="s">
        <v>609</v>
      </c>
      <c r="D29" s="274" t="s">
        <v>609</v>
      </c>
      <c r="E29" s="274" t="s">
        <v>1727</v>
      </c>
      <c r="F29" s="274">
        <v>26453</v>
      </c>
      <c r="G29" s="274">
        <v>421221505</v>
      </c>
      <c r="H29" s="274">
        <v>0</v>
      </c>
      <c r="I29" s="274">
        <v>294398681</v>
      </c>
      <c r="J29" s="274">
        <v>0</v>
      </c>
      <c r="K29" s="274">
        <v>0</v>
      </c>
      <c r="L29" s="274">
        <v>0</v>
      </c>
      <c r="M29" s="274">
        <v>0</v>
      </c>
      <c r="N29" s="274">
        <v>244227206</v>
      </c>
      <c r="O29" s="274">
        <v>42711331</v>
      </c>
      <c r="P29" s="274">
        <v>244189897</v>
      </c>
      <c r="Q29" s="274">
        <v>1073377000</v>
      </c>
      <c r="R29" s="274">
        <v>98297536</v>
      </c>
      <c r="S29" s="274">
        <v>150811218</v>
      </c>
      <c r="T29" s="274">
        <v>64697763</v>
      </c>
      <c r="U29" s="274">
        <v>205039097</v>
      </c>
      <c r="V29" s="274">
        <v>0</v>
      </c>
    </row>
    <row r="30" spans="1:22" x14ac:dyDescent="0.3">
      <c r="A30" s="274">
        <v>592</v>
      </c>
      <c r="B30" s="274">
        <v>592</v>
      </c>
      <c r="C30" s="274" t="s">
        <v>610</v>
      </c>
      <c r="D30" s="274" t="s">
        <v>610</v>
      </c>
      <c r="E30" s="274" t="s">
        <v>1728</v>
      </c>
      <c r="F30" s="274">
        <v>-25049</v>
      </c>
      <c r="G30" s="274">
        <v>13624204</v>
      </c>
      <c r="H30" s="274">
        <v>0</v>
      </c>
      <c r="I30" s="274">
        <v>25748830</v>
      </c>
      <c r="J30" s="274">
        <v>0</v>
      </c>
      <c r="K30" s="274">
        <v>0</v>
      </c>
      <c r="L30" s="274">
        <v>0</v>
      </c>
      <c r="M30" s="274">
        <v>0</v>
      </c>
      <c r="N30" s="274">
        <v>8723027</v>
      </c>
      <c r="O30" s="274">
        <v>-110747</v>
      </c>
      <c r="P30" s="274">
        <v>1807550</v>
      </c>
      <c r="Q30" s="274">
        <v>107531000</v>
      </c>
      <c r="R30" s="274">
        <v>2885033</v>
      </c>
      <c r="S30" s="274">
        <v>-436416</v>
      </c>
      <c r="T30" s="274">
        <v>547510</v>
      </c>
      <c r="U30" s="274">
        <v>-4905748</v>
      </c>
      <c r="V30" s="274">
        <v>0</v>
      </c>
    </row>
    <row r="31" spans="1:22" ht="409.6" x14ac:dyDescent="0.3">
      <c r="A31" s="274">
        <v>603</v>
      </c>
      <c r="B31" s="274">
        <v>603</v>
      </c>
      <c r="C31" s="1004" t="s">
        <v>670</v>
      </c>
      <c r="D31" s="1004" t="s">
        <v>670</v>
      </c>
      <c r="E31" s="274" t="s">
        <v>1729</v>
      </c>
      <c r="F31" s="274">
        <v>1</v>
      </c>
      <c r="G31" s="274">
        <v>1</v>
      </c>
      <c r="H31" s="274">
        <v>0</v>
      </c>
      <c r="I31" s="274">
        <v>1</v>
      </c>
      <c r="J31" s="274">
        <v>0</v>
      </c>
      <c r="K31" s="274">
        <v>0</v>
      </c>
      <c r="L31" s="274">
        <v>0</v>
      </c>
      <c r="M31" s="274">
        <v>0</v>
      </c>
      <c r="N31" s="274">
        <v>1</v>
      </c>
      <c r="O31" s="274">
        <v>1</v>
      </c>
      <c r="P31" s="274">
        <v>1</v>
      </c>
      <c r="Q31" s="274">
        <v>1</v>
      </c>
      <c r="R31" s="274">
        <v>1</v>
      </c>
      <c r="S31" s="274">
        <v>2</v>
      </c>
      <c r="T31" s="274">
        <v>1</v>
      </c>
      <c r="U31" s="274">
        <v>1</v>
      </c>
      <c r="V31" s="274">
        <v>0</v>
      </c>
    </row>
    <row r="32" spans="1:22" x14ac:dyDescent="0.3">
      <c r="A32" s="274">
        <v>605</v>
      </c>
      <c r="B32" s="274">
        <v>605</v>
      </c>
      <c r="C32" s="274" t="s">
        <v>673</v>
      </c>
      <c r="D32" s="274" t="s">
        <v>673</v>
      </c>
      <c r="E32" s="274" t="s">
        <v>1730</v>
      </c>
      <c r="F32" s="274">
        <v>1</v>
      </c>
      <c r="G32" s="274">
        <v>1</v>
      </c>
      <c r="H32" s="274">
        <v>0</v>
      </c>
      <c r="I32" s="274">
        <v>1</v>
      </c>
      <c r="J32" s="274">
        <v>0</v>
      </c>
      <c r="K32" s="274">
        <v>0</v>
      </c>
      <c r="L32" s="274">
        <v>0</v>
      </c>
      <c r="M32" s="274">
        <v>0</v>
      </c>
      <c r="N32" s="274">
        <v>1</v>
      </c>
      <c r="O32" s="274">
        <v>1</v>
      </c>
      <c r="P32" s="274">
        <v>1</v>
      </c>
      <c r="Q32" s="274">
        <v>1</v>
      </c>
      <c r="R32" s="274">
        <v>1</v>
      </c>
      <c r="S32" s="274">
        <v>1</v>
      </c>
      <c r="T32" s="274">
        <v>1</v>
      </c>
      <c r="U32" s="274">
        <v>1</v>
      </c>
      <c r="V32" s="274">
        <v>0</v>
      </c>
    </row>
    <row r="33" spans="1:22" x14ac:dyDescent="0.3">
      <c r="A33" s="274">
        <v>606</v>
      </c>
      <c r="B33" s="274">
        <v>606</v>
      </c>
      <c r="C33" s="274" t="s">
        <v>688</v>
      </c>
      <c r="D33" s="274" t="s">
        <v>688</v>
      </c>
      <c r="E33" s="274" t="s">
        <v>1731</v>
      </c>
      <c r="F33" s="274">
        <v>0</v>
      </c>
      <c r="G33" s="274">
        <v>0</v>
      </c>
      <c r="H33" s="274">
        <v>0</v>
      </c>
      <c r="I33" s="274">
        <v>1</v>
      </c>
      <c r="J33" s="274">
        <v>0</v>
      </c>
      <c r="K33" s="274">
        <v>0</v>
      </c>
      <c r="L33" s="274">
        <v>0</v>
      </c>
      <c r="M33" s="274">
        <v>0</v>
      </c>
      <c r="N33" s="274">
        <v>0</v>
      </c>
      <c r="O33" s="274">
        <v>0</v>
      </c>
      <c r="P33" s="274">
        <v>0</v>
      </c>
      <c r="Q33" s="274">
        <v>1</v>
      </c>
      <c r="R33" s="274">
        <v>0</v>
      </c>
      <c r="S33" s="274">
        <v>1</v>
      </c>
      <c r="T33" s="274">
        <v>0</v>
      </c>
      <c r="U33" s="274">
        <v>0</v>
      </c>
      <c r="V33" s="274">
        <v>0</v>
      </c>
    </row>
    <row r="34" spans="1:22" x14ac:dyDescent="0.3">
      <c r="A34" s="274">
        <v>607</v>
      </c>
      <c r="B34" s="274">
        <v>607</v>
      </c>
      <c r="C34" s="274" t="s">
        <v>663</v>
      </c>
      <c r="D34" s="274" t="s">
        <v>663</v>
      </c>
      <c r="E34" s="274" t="s">
        <v>1732</v>
      </c>
      <c r="F34" s="274">
        <v>0</v>
      </c>
      <c r="G34" s="274">
        <v>5992320</v>
      </c>
      <c r="H34" s="274">
        <v>0</v>
      </c>
      <c r="I34" s="274">
        <v>0</v>
      </c>
      <c r="J34" s="274">
        <v>0</v>
      </c>
      <c r="K34" s="274">
        <v>0</v>
      </c>
      <c r="L34" s="274">
        <v>0</v>
      </c>
      <c r="M34" s="274">
        <v>0</v>
      </c>
      <c r="N34" s="274">
        <v>0</v>
      </c>
      <c r="O34" s="274">
        <v>0</v>
      </c>
      <c r="P34" s="274">
        <v>1156141</v>
      </c>
      <c r="Q34" s="274">
        <v>0</v>
      </c>
      <c r="R34" s="274">
        <v>0</v>
      </c>
      <c r="S34" s="274">
        <v>15153534</v>
      </c>
      <c r="T34" s="274">
        <v>0</v>
      </c>
      <c r="U34" s="274">
        <v>0</v>
      </c>
      <c r="V34" s="274">
        <v>0</v>
      </c>
    </row>
    <row r="35" spans="1:22" x14ac:dyDescent="0.3">
      <c r="A35" s="274">
        <v>608</v>
      </c>
      <c r="B35" s="274">
        <v>608</v>
      </c>
      <c r="C35" s="274" t="s">
        <v>664</v>
      </c>
      <c r="D35" s="274" t="s">
        <v>664</v>
      </c>
      <c r="E35" s="274" t="s">
        <v>1733</v>
      </c>
      <c r="F35" s="274">
        <v>0</v>
      </c>
      <c r="G35" s="274">
        <v>6707794</v>
      </c>
      <c r="H35" s="274">
        <v>0</v>
      </c>
      <c r="I35" s="274">
        <v>0</v>
      </c>
      <c r="J35" s="274">
        <v>0</v>
      </c>
      <c r="K35" s="274">
        <v>0</v>
      </c>
      <c r="L35" s="274">
        <v>0</v>
      </c>
      <c r="M35" s="274">
        <v>0</v>
      </c>
      <c r="N35" s="274">
        <v>0</v>
      </c>
      <c r="O35" s="274">
        <v>0</v>
      </c>
      <c r="P35" s="274">
        <v>1813608</v>
      </c>
      <c r="Q35" s="274">
        <v>0</v>
      </c>
      <c r="R35" s="274">
        <v>0</v>
      </c>
      <c r="S35" s="274">
        <v>0</v>
      </c>
      <c r="T35" s="274">
        <v>0</v>
      </c>
      <c r="U35" s="274">
        <v>0</v>
      </c>
      <c r="V35" s="274">
        <v>0</v>
      </c>
    </row>
    <row r="36" spans="1:22" x14ac:dyDescent="0.3">
      <c r="A36" s="274">
        <v>609</v>
      </c>
      <c r="B36" s="274">
        <v>609</v>
      </c>
      <c r="C36" s="274" t="s">
        <v>682</v>
      </c>
      <c r="D36" s="274" t="s">
        <v>682</v>
      </c>
      <c r="E36" s="274" t="s">
        <v>1734</v>
      </c>
      <c r="F36" s="274">
        <v>0</v>
      </c>
      <c r="G36" s="274">
        <v>111.9</v>
      </c>
      <c r="H36" s="274">
        <v>0</v>
      </c>
      <c r="I36" s="274">
        <v>0</v>
      </c>
      <c r="J36" s="274">
        <v>0</v>
      </c>
      <c r="K36" s="274">
        <v>0</v>
      </c>
      <c r="L36" s="274">
        <v>0</v>
      </c>
      <c r="M36" s="274">
        <v>0</v>
      </c>
      <c r="N36" s="274">
        <v>0</v>
      </c>
      <c r="O36" s="274">
        <v>0</v>
      </c>
      <c r="P36" s="274">
        <v>156.80000000000001</v>
      </c>
      <c r="Q36" s="274">
        <v>0</v>
      </c>
      <c r="R36" s="274">
        <v>0</v>
      </c>
      <c r="S36" s="274">
        <v>0</v>
      </c>
      <c r="T36" s="274">
        <v>0</v>
      </c>
      <c r="U36" s="274">
        <v>0</v>
      </c>
      <c r="V36" s="274">
        <v>0</v>
      </c>
    </row>
    <row r="37" spans="1:22" x14ac:dyDescent="0.3">
      <c r="A37" s="274">
        <v>610</v>
      </c>
      <c r="B37" s="274">
        <v>610</v>
      </c>
      <c r="C37" s="274" t="s">
        <v>665</v>
      </c>
      <c r="D37" s="274" t="s">
        <v>665</v>
      </c>
      <c r="E37" s="274" t="s">
        <v>1735</v>
      </c>
      <c r="F37" s="274">
        <v>0</v>
      </c>
      <c r="G37" s="274">
        <v>0</v>
      </c>
      <c r="H37" s="274">
        <v>0</v>
      </c>
      <c r="I37" s="274">
        <v>0</v>
      </c>
      <c r="J37" s="274">
        <v>0</v>
      </c>
      <c r="K37" s="274">
        <v>0</v>
      </c>
      <c r="L37" s="274">
        <v>0</v>
      </c>
      <c r="M37" s="274">
        <v>0</v>
      </c>
      <c r="N37" s="274">
        <v>0</v>
      </c>
      <c r="O37" s="274">
        <v>0</v>
      </c>
      <c r="P37" s="274">
        <v>0</v>
      </c>
      <c r="Q37" s="274">
        <v>0</v>
      </c>
      <c r="R37" s="274">
        <v>0</v>
      </c>
      <c r="S37" s="274">
        <v>0</v>
      </c>
      <c r="T37" s="274">
        <v>0</v>
      </c>
      <c r="U37" s="274">
        <v>0</v>
      </c>
      <c r="V37" s="274">
        <v>0</v>
      </c>
    </row>
    <row r="38" spans="1:22" x14ac:dyDescent="0.3">
      <c r="A38" s="274">
        <v>611</v>
      </c>
      <c r="B38" s="274">
        <v>611</v>
      </c>
      <c r="C38" s="274" t="s">
        <v>666</v>
      </c>
      <c r="D38" s="274" t="s">
        <v>666</v>
      </c>
      <c r="E38" s="274" t="s">
        <v>1736</v>
      </c>
      <c r="F38" s="274">
        <v>0</v>
      </c>
      <c r="G38" s="274">
        <v>0</v>
      </c>
      <c r="H38" s="274">
        <v>0</v>
      </c>
      <c r="I38" s="274">
        <v>0</v>
      </c>
      <c r="J38" s="274">
        <v>0</v>
      </c>
      <c r="K38" s="274">
        <v>0</v>
      </c>
      <c r="L38" s="274">
        <v>0</v>
      </c>
      <c r="M38" s="274">
        <v>0</v>
      </c>
      <c r="N38" s="274">
        <v>0</v>
      </c>
      <c r="O38" s="274">
        <v>0</v>
      </c>
      <c r="P38" s="274">
        <v>0</v>
      </c>
      <c r="Q38" s="274">
        <v>0</v>
      </c>
      <c r="R38" s="274">
        <v>0</v>
      </c>
      <c r="S38" s="274">
        <v>0</v>
      </c>
      <c r="T38" s="274">
        <v>0</v>
      </c>
      <c r="U38" s="274">
        <v>0</v>
      </c>
      <c r="V38" s="274">
        <v>0</v>
      </c>
    </row>
    <row r="39" spans="1:22" x14ac:dyDescent="0.3">
      <c r="A39" s="274">
        <v>612</v>
      </c>
      <c r="B39" s="274">
        <v>612</v>
      </c>
      <c r="C39" s="274" t="s">
        <v>683</v>
      </c>
      <c r="D39" s="274" t="s">
        <v>683</v>
      </c>
      <c r="E39" s="274" t="s">
        <v>1737</v>
      </c>
      <c r="F39" s="274">
        <v>0</v>
      </c>
      <c r="G39" s="274">
        <v>0</v>
      </c>
      <c r="H39" s="274">
        <v>0</v>
      </c>
      <c r="I39" s="274">
        <v>0</v>
      </c>
      <c r="J39" s="274">
        <v>0</v>
      </c>
      <c r="K39" s="274">
        <v>0</v>
      </c>
      <c r="L39" s="274">
        <v>0</v>
      </c>
      <c r="M39" s="274">
        <v>0</v>
      </c>
      <c r="N39" s="274">
        <v>0</v>
      </c>
      <c r="O39" s="274">
        <v>0</v>
      </c>
      <c r="P39" s="274">
        <v>0</v>
      </c>
      <c r="Q39" s="274">
        <v>0</v>
      </c>
      <c r="R39" s="274">
        <v>0</v>
      </c>
      <c r="S39" s="274">
        <v>0</v>
      </c>
      <c r="T39" s="274">
        <v>0</v>
      </c>
      <c r="U39" s="274">
        <v>0</v>
      </c>
      <c r="V39" s="274">
        <v>0</v>
      </c>
    </row>
    <row r="40" spans="1:22" x14ac:dyDescent="0.3">
      <c r="A40" s="274">
        <v>613</v>
      </c>
      <c r="B40" s="274">
        <v>613</v>
      </c>
      <c r="C40" s="274" t="s">
        <v>674</v>
      </c>
      <c r="D40" s="274" t="s">
        <v>674</v>
      </c>
      <c r="E40" s="274" t="s">
        <v>1738</v>
      </c>
      <c r="F40" s="274">
        <v>0</v>
      </c>
      <c r="G40" s="274">
        <v>0</v>
      </c>
      <c r="H40" s="274">
        <v>0</v>
      </c>
      <c r="I40" s="274">
        <v>0</v>
      </c>
      <c r="J40" s="274">
        <v>0</v>
      </c>
      <c r="K40" s="274">
        <v>0</v>
      </c>
      <c r="L40" s="274">
        <v>0</v>
      </c>
      <c r="M40" s="274">
        <v>0</v>
      </c>
      <c r="N40" s="274">
        <v>0</v>
      </c>
      <c r="O40" s="274">
        <v>0</v>
      </c>
      <c r="P40" s="274">
        <v>0</v>
      </c>
      <c r="Q40" s="274">
        <v>0</v>
      </c>
      <c r="R40" s="274">
        <v>0</v>
      </c>
      <c r="S40" s="274">
        <v>0</v>
      </c>
      <c r="T40" s="274">
        <v>0</v>
      </c>
      <c r="U40" s="274">
        <v>0</v>
      </c>
      <c r="V40" s="274">
        <v>0</v>
      </c>
    </row>
    <row r="41" spans="1:22" x14ac:dyDescent="0.3">
      <c r="A41" s="274">
        <v>614</v>
      </c>
      <c r="B41" s="274">
        <v>614</v>
      </c>
      <c r="C41" s="274" t="s">
        <v>667</v>
      </c>
      <c r="D41" s="274" t="s">
        <v>667</v>
      </c>
      <c r="E41" s="274" t="s">
        <v>1739</v>
      </c>
      <c r="F41" s="274">
        <v>0</v>
      </c>
      <c r="G41" s="274">
        <v>0</v>
      </c>
      <c r="H41" s="274">
        <v>0</v>
      </c>
      <c r="I41" s="274">
        <v>0</v>
      </c>
      <c r="J41" s="274">
        <v>0</v>
      </c>
      <c r="K41" s="274">
        <v>0</v>
      </c>
      <c r="L41" s="274">
        <v>0</v>
      </c>
      <c r="M41" s="274">
        <v>0</v>
      </c>
      <c r="N41" s="274">
        <v>0</v>
      </c>
      <c r="O41" s="274">
        <v>0</v>
      </c>
      <c r="P41" s="274">
        <v>0</v>
      </c>
      <c r="Q41" s="274">
        <v>0</v>
      </c>
      <c r="R41" s="274">
        <v>0</v>
      </c>
      <c r="S41" s="274">
        <v>0</v>
      </c>
      <c r="T41" s="274">
        <v>0</v>
      </c>
      <c r="U41" s="274">
        <v>0</v>
      </c>
      <c r="V41" s="274">
        <v>0</v>
      </c>
    </row>
    <row r="42" spans="1:22" x14ac:dyDescent="0.3">
      <c r="A42" s="274">
        <v>615</v>
      </c>
      <c r="B42" s="274">
        <v>615</v>
      </c>
      <c r="C42" s="274" t="s">
        <v>684</v>
      </c>
      <c r="D42" s="274" t="s">
        <v>684</v>
      </c>
      <c r="E42" s="274" t="s">
        <v>1740</v>
      </c>
      <c r="F42" s="274">
        <v>0</v>
      </c>
      <c r="G42" s="274">
        <v>0</v>
      </c>
      <c r="H42" s="274">
        <v>0</v>
      </c>
      <c r="I42" s="274">
        <v>0</v>
      </c>
      <c r="J42" s="274">
        <v>0</v>
      </c>
      <c r="K42" s="274">
        <v>0</v>
      </c>
      <c r="L42" s="274">
        <v>0</v>
      </c>
      <c r="M42" s="274">
        <v>0</v>
      </c>
      <c r="N42" s="274">
        <v>0</v>
      </c>
      <c r="O42" s="274">
        <v>0</v>
      </c>
      <c r="P42" s="274">
        <v>0</v>
      </c>
      <c r="Q42" s="274">
        <v>0</v>
      </c>
      <c r="R42" s="274">
        <v>0</v>
      </c>
      <c r="S42" s="274">
        <v>0</v>
      </c>
      <c r="T42" s="274">
        <v>0</v>
      </c>
      <c r="U42" s="274">
        <v>0</v>
      </c>
      <c r="V42" s="274">
        <v>0</v>
      </c>
    </row>
    <row r="43" spans="1:22" x14ac:dyDescent="0.3">
      <c r="A43" s="274">
        <v>616</v>
      </c>
      <c r="B43" s="274">
        <v>616</v>
      </c>
      <c r="C43" s="274" t="s">
        <v>668</v>
      </c>
      <c r="D43" s="274" t="s">
        <v>668</v>
      </c>
      <c r="E43" s="274" t="s">
        <v>1741</v>
      </c>
      <c r="F43" s="274">
        <v>0</v>
      </c>
      <c r="G43" s="274">
        <v>0</v>
      </c>
      <c r="H43" s="274">
        <v>0</v>
      </c>
      <c r="I43" s="274">
        <v>0</v>
      </c>
      <c r="J43" s="274">
        <v>0</v>
      </c>
      <c r="K43" s="274">
        <v>0</v>
      </c>
      <c r="L43" s="274">
        <v>0</v>
      </c>
      <c r="M43" s="274">
        <v>0</v>
      </c>
      <c r="N43" s="274">
        <v>0</v>
      </c>
      <c r="O43" s="274">
        <v>0</v>
      </c>
      <c r="P43" s="274">
        <v>0</v>
      </c>
      <c r="Q43" s="274">
        <v>0</v>
      </c>
      <c r="R43" s="274">
        <v>0</v>
      </c>
      <c r="S43" s="274">
        <v>0</v>
      </c>
      <c r="T43" s="274">
        <v>0</v>
      </c>
      <c r="U43" s="274">
        <v>0</v>
      </c>
      <c r="V43" s="274">
        <v>0</v>
      </c>
    </row>
    <row r="44" spans="1:22" x14ac:dyDescent="0.3">
      <c r="A44" s="274">
        <v>617</v>
      </c>
      <c r="B44" s="274">
        <v>617</v>
      </c>
      <c r="C44" s="274" t="s">
        <v>669</v>
      </c>
      <c r="D44" s="274" t="s">
        <v>669</v>
      </c>
      <c r="E44" s="274" t="s">
        <v>1742</v>
      </c>
      <c r="F44" s="274">
        <v>0</v>
      </c>
      <c r="G44" s="274">
        <v>0</v>
      </c>
      <c r="H44" s="274">
        <v>0</v>
      </c>
      <c r="I44" s="274">
        <v>0</v>
      </c>
      <c r="J44" s="274">
        <v>0</v>
      </c>
      <c r="K44" s="274">
        <v>0</v>
      </c>
      <c r="L44" s="274">
        <v>0</v>
      </c>
      <c r="M44" s="274">
        <v>0</v>
      </c>
      <c r="N44" s="274">
        <v>0</v>
      </c>
      <c r="O44" s="274">
        <v>0</v>
      </c>
      <c r="P44" s="274">
        <v>0</v>
      </c>
      <c r="Q44" s="274">
        <v>0</v>
      </c>
      <c r="R44" s="274">
        <v>0</v>
      </c>
      <c r="S44" s="274">
        <v>0</v>
      </c>
      <c r="T44" s="274">
        <v>0</v>
      </c>
      <c r="U44" s="274">
        <v>0</v>
      </c>
      <c r="V44" s="274">
        <v>0</v>
      </c>
    </row>
    <row r="45" spans="1:22" x14ac:dyDescent="0.3">
      <c r="A45" s="274">
        <v>618</v>
      </c>
      <c r="B45" s="274">
        <v>618</v>
      </c>
      <c r="C45" s="274" t="s">
        <v>685</v>
      </c>
      <c r="D45" s="274" t="s">
        <v>685</v>
      </c>
      <c r="E45" s="274" t="s">
        <v>1743</v>
      </c>
      <c r="F45" s="274">
        <v>0</v>
      </c>
      <c r="G45" s="274">
        <v>0</v>
      </c>
      <c r="H45" s="274">
        <v>0</v>
      </c>
      <c r="I45" s="274">
        <v>0</v>
      </c>
      <c r="J45" s="274">
        <v>0</v>
      </c>
      <c r="K45" s="274">
        <v>0</v>
      </c>
      <c r="L45" s="274">
        <v>0</v>
      </c>
      <c r="M45" s="274">
        <v>0</v>
      </c>
      <c r="N45" s="274">
        <v>0</v>
      </c>
      <c r="O45" s="274">
        <v>0</v>
      </c>
      <c r="P45" s="274">
        <v>0</v>
      </c>
      <c r="Q45" s="274">
        <v>0</v>
      </c>
      <c r="R45" s="274">
        <v>0</v>
      </c>
      <c r="S45" s="274">
        <v>0</v>
      </c>
      <c r="T45" s="274">
        <v>0</v>
      </c>
      <c r="U45" s="274">
        <v>0</v>
      </c>
      <c r="V45" s="274">
        <v>0</v>
      </c>
    </row>
    <row r="46" spans="1:22" x14ac:dyDescent="0.3">
      <c r="A46" s="274">
        <v>620</v>
      </c>
      <c r="B46" s="274">
        <v>620</v>
      </c>
      <c r="C46" s="274" t="s">
        <v>678</v>
      </c>
      <c r="D46" s="274" t="s">
        <v>678</v>
      </c>
      <c r="E46" s="274" t="s">
        <v>1744</v>
      </c>
      <c r="F46" s="274">
        <v>2</v>
      </c>
      <c r="G46" s="274">
        <v>2</v>
      </c>
      <c r="H46" s="274">
        <v>0</v>
      </c>
      <c r="I46" s="274">
        <v>2</v>
      </c>
      <c r="J46" s="274">
        <v>0</v>
      </c>
      <c r="K46" s="274">
        <v>0</v>
      </c>
      <c r="L46" s="274">
        <v>0</v>
      </c>
      <c r="M46" s="274">
        <v>0</v>
      </c>
      <c r="N46" s="274">
        <v>0</v>
      </c>
      <c r="O46" s="274">
        <v>2</v>
      </c>
      <c r="P46" s="274">
        <v>1</v>
      </c>
      <c r="Q46" s="274">
        <v>2</v>
      </c>
      <c r="R46" s="274">
        <v>2</v>
      </c>
      <c r="S46" s="274">
        <v>2</v>
      </c>
      <c r="T46" s="274">
        <v>2</v>
      </c>
      <c r="U46" s="274">
        <v>1</v>
      </c>
      <c r="V46" s="274">
        <v>0</v>
      </c>
    </row>
    <row r="47" spans="1:22" x14ac:dyDescent="0.3">
      <c r="A47" s="274">
        <v>621</v>
      </c>
      <c r="B47" s="274">
        <v>621</v>
      </c>
      <c r="C47" s="274" t="s">
        <v>1745</v>
      </c>
      <c r="D47" s="274" t="s">
        <v>1745</v>
      </c>
      <c r="E47" s="274" t="s">
        <v>1746</v>
      </c>
      <c r="F47" s="274">
        <v>0</v>
      </c>
      <c r="G47" s="274">
        <v>0</v>
      </c>
      <c r="H47" s="274">
        <v>0</v>
      </c>
      <c r="I47" s="274">
        <v>0</v>
      </c>
      <c r="J47" s="274">
        <v>0</v>
      </c>
      <c r="K47" s="274">
        <v>0</v>
      </c>
      <c r="L47" s="274">
        <v>0</v>
      </c>
      <c r="M47" s="274">
        <v>0</v>
      </c>
      <c r="N47" s="274">
        <v>0</v>
      </c>
      <c r="O47" s="274">
        <v>0</v>
      </c>
      <c r="P47" s="274">
        <v>0</v>
      </c>
      <c r="Q47" s="274">
        <v>0</v>
      </c>
      <c r="R47" s="274">
        <v>0</v>
      </c>
      <c r="S47" s="274">
        <v>0</v>
      </c>
      <c r="T47" s="274">
        <v>0</v>
      </c>
      <c r="U47" s="274">
        <v>0</v>
      </c>
      <c r="V47" s="274">
        <v>0</v>
      </c>
    </row>
    <row r="48" spans="1:22" x14ac:dyDescent="0.3">
      <c r="A48" s="274">
        <v>622</v>
      </c>
      <c r="B48" s="274">
        <v>622</v>
      </c>
      <c r="C48" s="274" t="s">
        <v>1747</v>
      </c>
      <c r="D48" s="274" t="s">
        <v>1747</v>
      </c>
      <c r="E48" s="274" t="s">
        <v>1748</v>
      </c>
      <c r="F48" s="274">
        <v>0</v>
      </c>
      <c r="G48" s="274">
        <v>0</v>
      </c>
      <c r="H48" s="274">
        <v>0</v>
      </c>
      <c r="I48" s="274">
        <v>0</v>
      </c>
      <c r="J48" s="274">
        <v>0</v>
      </c>
      <c r="K48" s="274">
        <v>0</v>
      </c>
      <c r="L48" s="274">
        <v>0</v>
      </c>
      <c r="M48" s="274">
        <v>0</v>
      </c>
      <c r="N48" s="274">
        <v>0</v>
      </c>
      <c r="O48" s="274">
        <v>0</v>
      </c>
      <c r="P48" s="274">
        <v>0</v>
      </c>
      <c r="Q48" s="274">
        <v>0</v>
      </c>
      <c r="R48" s="274">
        <v>2176509</v>
      </c>
      <c r="S48" s="274">
        <v>0</v>
      </c>
      <c r="T48" s="274">
        <v>0</v>
      </c>
      <c r="U48" s="274">
        <v>0</v>
      </c>
      <c r="V48" s="274">
        <v>0</v>
      </c>
    </row>
    <row r="49" spans="1:22" ht="259.2" x14ac:dyDescent="0.3">
      <c r="A49" s="274">
        <v>625</v>
      </c>
      <c r="B49" s="274">
        <v>625</v>
      </c>
      <c r="C49" s="1004" t="s">
        <v>787</v>
      </c>
      <c r="D49" s="1004" t="s">
        <v>787</v>
      </c>
      <c r="E49" s="274" t="s">
        <v>1749</v>
      </c>
      <c r="F49" s="274">
        <v>1</v>
      </c>
      <c r="G49" s="274">
        <v>1</v>
      </c>
      <c r="H49" s="274">
        <v>0</v>
      </c>
      <c r="I49" s="274">
        <v>1</v>
      </c>
      <c r="J49" s="274">
        <v>0</v>
      </c>
      <c r="K49" s="274">
        <v>0</v>
      </c>
      <c r="L49" s="274">
        <v>0</v>
      </c>
      <c r="M49" s="274">
        <v>0</v>
      </c>
      <c r="N49" s="274">
        <v>1</v>
      </c>
      <c r="O49" s="274">
        <v>1</v>
      </c>
      <c r="P49" s="274">
        <v>1</v>
      </c>
      <c r="Q49" s="274">
        <v>1</v>
      </c>
      <c r="R49" s="274">
        <v>1</v>
      </c>
      <c r="S49" s="274">
        <v>1</v>
      </c>
      <c r="T49" s="274">
        <v>1</v>
      </c>
      <c r="U49" s="274">
        <v>1</v>
      </c>
      <c r="V49" s="274">
        <v>0</v>
      </c>
    </row>
    <row r="50" spans="1:22" x14ac:dyDescent="0.3">
      <c r="A50" s="274">
        <v>992</v>
      </c>
      <c r="B50" s="274">
        <v>992</v>
      </c>
      <c r="C50" s="274" t="s">
        <v>1750</v>
      </c>
      <c r="D50" s="274" t="s">
        <v>1750</v>
      </c>
      <c r="E50" s="274" t="s">
        <v>602</v>
      </c>
      <c r="F50" s="274">
        <v>0</v>
      </c>
      <c r="G50" s="274">
        <v>2</v>
      </c>
      <c r="H50" s="274">
        <v>0</v>
      </c>
      <c r="I50" s="274">
        <v>1</v>
      </c>
      <c r="J50" s="274">
        <v>0</v>
      </c>
      <c r="K50" s="274">
        <v>0</v>
      </c>
      <c r="L50" s="274">
        <v>0</v>
      </c>
      <c r="M50" s="274">
        <v>0</v>
      </c>
      <c r="N50" s="274">
        <v>1</v>
      </c>
      <c r="O50" s="274">
        <v>3</v>
      </c>
      <c r="P50" s="274">
        <v>2</v>
      </c>
      <c r="Q50" s="274">
        <v>1</v>
      </c>
      <c r="R50" s="274">
        <v>3</v>
      </c>
      <c r="S50" s="274">
        <v>2</v>
      </c>
      <c r="T50" s="274">
        <v>1</v>
      </c>
      <c r="U50" s="274">
        <v>1</v>
      </c>
      <c r="V50" s="274">
        <v>0</v>
      </c>
    </row>
    <row r="51" spans="1:22" x14ac:dyDescent="0.3">
      <c r="A51" s="274">
        <v>993</v>
      </c>
      <c r="B51" s="274">
        <v>993</v>
      </c>
      <c r="C51" s="274" t="s">
        <v>515</v>
      </c>
      <c r="D51" s="274" t="s">
        <v>1751</v>
      </c>
      <c r="E51" s="274" t="s">
        <v>516</v>
      </c>
      <c r="F51" s="274">
        <v>0</v>
      </c>
      <c r="G51" s="274">
        <v>0</v>
      </c>
      <c r="H51" s="274">
        <v>0</v>
      </c>
      <c r="I51" s="274">
        <v>0</v>
      </c>
      <c r="J51" s="274">
        <v>0</v>
      </c>
      <c r="K51" s="274">
        <v>0</v>
      </c>
      <c r="L51" s="274">
        <v>0</v>
      </c>
      <c r="M51" s="274">
        <v>0</v>
      </c>
      <c r="N51" s="274">
        <v>0</v>
      </c>
      <c r="O51" s="274">
        <v>0</v>
      </c>
      <c r="P51" s="274">
        <v>0</v>
      </c>
      <c r="Q51" s="274">
        <v>0</v>
      </c>
      <c r="R51" s="274">
        <v>0</v>
      </c>
      <c r="S51" s="274">
        <v>0</v>
      </c>
      <c r="T51" s="274">
        <v>0</v>
      </c>
      <c r="U51" s="274">
        <v>0</v>
      </c>
      <c r="V51" s="274">
        <v>0</v>
      </c>
    </row>
    <row r="52" spans="1:22" x14ac:dyDescent="0.3">
      <c r="A52" s="274">
        <v>994</v>
      </c>
      <c r="B52" s="274">
        <v>994</v>
      </c>
      <c r="C52" s="274" t="s">
        <v>517</v>
      </c>
      <c r="D52" s="274" t="s">
        <v>1752</v>
      </c>
      <c r="E52" s="274" t="s">
        <v>518</v>
      </c>
      <c r="F52" s="274">
        <v>0</v>
      </c>
      <c r="G52" s="274">
        <v>0</v>
      </c>
      <c r="H52" s="274">
        <v>0</v>
      </c>
      <c r="I52" s="274">
        <v>0</v>
      </c>
      <c r="J52" s="274">
        <v>0</v>
      </c>
      <c r="K52" s="274">
        <v>0</v>
      </c>
      <c r="L52" s="274">
        <v>0</v>
      </c>
      <c r="M52" s="274">
        <v>0</v>
      </c>
      <c r="N52" s="274">
        <v>0</v>
      </c>
      <c r="O52" s="274">
        <v>0</v>
      </c>
      <c r="P52" s="274">
        <v>0</v>
      </c>
      <c r="Q52" s="274">
        <v>0</v>
      </c>
      <c r="R52" s="274">
        <v>0</v>
      </c>
      <c r="S52" s="274">
        <v>0</v>
      </c>
      <c r="T52" s="274">
        <v>0</v>
      </c>
      <c r="U52" s="274">
        <v>0</v>
      </c>
      <c r="V52" s="274">
        <v>0</v>
      </c>
    </row>
    <row r="53" spans="1:22" x14ac:dyDescent="0.3">
      <c r="A53" s="274">
        <v>998</v>
      </c>
      <c r="B53" s="274">
        <v>998</v>
      </c>
      <c r="C53" s="274" t="s">
        <v>292</v>
      </c>
      <c r="D53" s="274" t="s">
        <v>292</v>
      </c>
      <c r="E53" s="274" t="s">
        <v>523</v>
      </c>
      <c r="F53" s="274">
        <v>53</v>
      </c>
      <c r="G53" s="274">
        <v>53</v>
      </c>
      <c r="H53" s="274">
        <v>0</v>
      </c>
      <c r="I53" s="274">
        <v>53</v>
      </c>
      <c r="J53" s="274">
        <v>0</v>
      </c>
      <c r="K53" s="274">
        <v>0</v>
      </c>
      <c r="L53" s="274">
        <v>0</v>
      </c>
      <c r="M53" s="274">
        <v>0</v>
      </c>
      <c r="N53" s="274">
        <v>53</v>
      </c>
      <c r="O53" s="274">
        <v>53</v>
      </c>
      <c r="P53" s="274">
        <v>53</v>
      </c>
      <c r="Q53" s="274">
        <v>53</v>
      </c>
      <c r="R53" s="274">
        <v>53</v>
      </c>
      <c r="S53" s="274">
        <v>53</v>
      </c>
      <c r="T53" s="274">
        <v>53</v>
      </c>
      <c r="U53" s="274">
        <v>53</v>
      </c>
      <c r="V53" s="274">
        <v>0</v>
      </c>
    </row>
    <row r="54" spans="1:22" x14ac:dyDescent="0.3">
      <c r="A54" s="274">
        <v>999</v>
      </c>
      <c r="B54" s="274">
        <v>999</v>
      </c>
      <c r="C54" s="274" t="s">
        <v>293</v>
      </c>
      <c r="D54" s="274" t="s">
        <v>293</v>
      </c>
      <c r="E54" s="274" t="s">
        <v>524</v>
      </c>
      <c r="F54" s="274">
        <v>53876</v>
      </c>
      <c r="G54" s="274">
        <v>53926</v>
      </c>
      <c r="H54" s="274">
        <v>0</v>
      </c>
      <c r="I54" s="274">
        <v>53881</v>
      </c>
      <c r="J54" s="274">
        <v>0</v>
      </c>
      <c r="K54" s="274">
        <v>0</v>
      </c>
      <c r="L54" s="274">
        <v>0</v>
      </c>
      <c r="M54" s="274">
        <v>0</v>
      </c>
      <c r="N54" s="274">
        <v>53897</v>
      </c>
      <c r="O54" s="274">
        <v>53970</v>
      </c>
      <c r="P54" s="274">
        <v>53950</v>
      </c>
      <c r="Q54" s="274">
        <v>53901</v>
      </c>
      <c r="R54" s="274">
        <v>53902</v>
      </c>
      <c r="S54" s="274">
        <v>53923</v>
      </c>
      <c r="T54" s="274">
        <v>53908</v>
      </c>
      <c r="U54" s="274">
        <v>53913</v>
      </c>
      <c r="V54" s="274">
        <v>0</v>
      </c>
    </row>
    <row r="56" spans="1:22" x14ac:dyDescent="0.3">
      <c r="D56" s="274" t="s">
        <v>1753</v>
      </c>
      <c r="F56" s="1047">
        <f>SUM(F3:F55)</f>
        <v>2824773</v>
      </c>
      <c r="G56" s="1047">
        <f t="shared" ref="G56:V56" si="0">SUM(G3:G55)</f>
        <v>3902117987.9000001</v>
      </c>
      <c r="H56" s="1047">
        <f t="shared" si="0"/>
        <v>0</v>
      </c>
      <c r="I56" s="1047">
        <f t="shared" si="0"/>
        <v>2378968986</v>
      </c>
      <c r="J56" s="1047">
        <f t="shared" si="0"/>
        <v>0</v>
      </c>
      <c r="K56" s="1047">
        <f t="shared" si="0"/>
        <v>0</v>
      </c>
      <c r="L56" s="1047">
        <f t="shared" si="0"/>
        <v>0</v>
      </c>
      <c r="M56" s="1047">
        <f t="shared" si="0"/>
        <v>0</v>
      </c>
      <c r="N56" s="1047">
        <f t="shared" si="0"/>
        <v>1588428066</v>
      </c>
      <c r="O56" s="1047">
        <f t="shared" si="0"/>
        <v>330209140</v>
      </c>
      <c r="P56" s="1047">
        <v>2226258886.8000002</v>
      </c>
      <c r="Q56" s="1047">
        <f t="shared" si="0"/>
        <v>8683619126</v>
      </c>
      <c r="R56" s="1047">
        <f t="shared" si="0"/>
        <v>755225600</v>
      </c>
      <c r="S56" s="1047">
        <f t="shared" si="0"/>
        <v>1039092266</v>
      </c>
      <c r="T56" s="1047">
        <f t="shared" si="0"/>
        <v>443628386</v>
      </c>
      <c r="U56" s="1047">
        <f t="shared" si="0"/>
        <v>1649492975</v>
      </c>
      <c r="V56" s="1047">
        <f t="shared" si="0"/>
        <v>0</v>
      </c>
    </row>
    <row r="57" spans="1:22" x14ac:dyDescent="0.3">
      <c r="D57" s="274" t="s">
        <v>1754</v>
      </c>
      <c r="F57" s="1047">
        <v>2824773</v>
      </c>
      <c r="G57" s="1047">
        <v>3902117987.9000001</v>
      </c>
      <c r="H57" s="274" t="s">
        <v>1755</v>
      </c>
      <c r="I57" s="1047">
        <v>2378968986</v>
      </c>
      <c r="J57" s="274" t="s">
        <v>1755</v>
      </c>
      <c r="K57" s="274" t="s">
        <v>1755</v>
      </c>
      <c r="L57" s="274" t="s">
        <v>1755</v>
      </c>
      <c r="M57" s="274" t="s">
        <v>1755</v>
      </c>
      <c r="N57" s="1047">
        <v>1588428066.05</v>
      </c>
      <c r="O57" s="1047">
        <v>330209140</v>
      </c>
      <c r="P57" s="1047"/>
      <c r="Q57" s="1047">
        <v>8683619126</v>
      </c>
      <c r="R57" s="1047">
        <v>755225600</v>
      </c>
      <c r="S57" s="1047">
        <v>1039092266</v>
      </c>
      <c r="T57" s="1047">
        <v>443628386</v>
      </c>
      <c r="U57" s="1047">
        <v>1649492975</v>
      </c>
      <c r="V57" s="274" t="s">
        <v>1755</v>
      </c>
    </row>
    <row r="58" spans="1:22" x14ac:dyDescent="0.3">
      <c r="D58" s="274" t="s">
        <v>1756</v>
      </c>
      <c r="F58" s="1047">
        <f>F56-F57</f>
        <v>0</v>
      </c>
      <c r="G58" s="1047">
        <f t="shared" ref="G58:V58" si="1">G56-G57</f>
        <v>0</v>
      </c>
      <c r="H58" s="1047" t="e">
        <f t="shared" si="1"/>
        <v>#VALUE!</v>
      </c>
      <c r="I58" s="1047">
        <f t="shared" si="1"/>
        <v>0</v>
      </c>
      <c r="J58" s="1047" t="e">
        <f t="shared" si="1"/>
        <v>#VALUE!</v>
      </c>
      <c r="K58" s="1047" t="e">
        <f t="shared" si="1"/>
        <v>#VALUE!</v>
      </c>
      <c r="L58" s="1047" t="e">
        <f t="shared" si="1"/>
        <v>#VALUE!</v>
      </c>
      <c r="M58" s="1047" t="e">
        <f t="shared" si="1"/>
        <v>#VALUE!</v>
      </c>
      <c r="N58" s="1047">
        <f t="shared" si="1"/>
        <v>-4.999995231628418E-2</v>
      </c>
      <c r="O58" s="1047">
        <f t="shared" si="1"/>
        <v>0</v>
      </c>
      <c r="P58" s="1047"/>
      <c r="Q58" s="1047">
        <f t="shared" si="1"/>
        <v>0</v>
      </c>
      <c r="R58" s="1047">
        <f t="shared" si="1"/>
        <v>0</v>
      </c>
      <c r="S58" s="1047">
        <f t="shared" si="1"/>
        <v>0</v>
      </c>
      <c r="T58" s="1047">
        <f t="shared" si="1"/>
        <v>0</v>
      </c>
      <c r="U58" s="1047">
        <f t="shared" si="1"/>
        <v>0</v>
      </c>
      <c r="V58" s="1047" t="e">
        <f t="shared" si="1"/>
        <v>#VALUE!</v>
      </c>
    </row>
    <row r="60" spans="1:22" x14ac:dyDescent="0.3">
      <c r="D60" s="274" t="s">
        <v>1757</v>
      </c>
      <c r="G60" s="274" t="s">
        <v>1758</v>
      </c>
      <c r="M60" s="274" t="s">
        <v>1759</v>
      </c>
      <c r="V60" s="274" t="s">
        <v>1760</v>
      </c>
    </row>
    <row r="61" spans="1:22" x14ac:dyDescent="0.3">
      <c r="G61" s="274" t="s">
        <v>1761</v>
      </c>
      <c r="M61" s="274" t="s">
        <v>1762</v>
      </c>
      <c r="V61" s="274" t="s">
        <v>1763</v>
      </c>
    </row>
    <row r="62" spans="1:22" x14ac:dyDescent="0.3">
      <c r="G62" s="274" t="s">
        <v>1764</v>
      </c>
      <c r="M62" s="1048">
        <v>41851</v>
      </c>
      <c r="V62" s="274" t="s">
        <v>1765</v>
      </c>
    </row>
    <row r="69" spans="1:22" x14ac:dyDescent="0.3">
      <c r="A69" s="274">
        <v>554</v>
      </c>
      <c r="F69" s="274">
        <f>F24</f>
        <v>0</v>
      </c>
      <c r="G69" s="274">
        <f t="shared" ref="G69:V73" si="2">G24</f>
        <v>0</v>
      </c>
      <c r="H69" s="274">
        <f t="shared" si="2"/>
        <v>0</v>
      </c>
      <c r="I69" s="274">
        <f t="shared" si="2"/>
        <v>960260</v>
      </c>
      <c r="J69" s="274">
        <f t="shared" si="2"/>
        <v>0</v>
      </c>
      <c r="K69" s="274">
        <f t="shared" si="2"/>
        <v>0</v>
      </c>
      <c r="L69" s="274">
        <f t="shared" si="2"/>
        <v>0</v>
      </c>
      <c r="M69" s="274">
        <f t="shared" si="2"/>
        <v>0</v>
      </c>
      <c r="N69" s="274">
        <f t="shared" si="2"/>
        <v>0</v>
      </c>
      <c r="O69" s="274">
        <f t="shared" si="2"/>
        <v>0</v>
      </c>
      <c r="P69" s="274">
        <f t="shared" si="2"/>
        <v>0</v>
      </c>
      <c r="Q69" s="274">
        <f t="shared" si="2"/>
        <v>1929891</v>
      </c>
      <c r="R69" s="274">
        <f t="shared" si="2"/>
        <v>0</v>
      </c>
      <c r="S69" s="274">
        <f t="shared" si="2"/>
        <v>38752673</v>
      </c>
      <c r="T69" s="274">
        <f t="shared" si="2"/>
        <v>0</v>
      </c>
      <c r="U69" s="274">
        <f t="shared" si="2"/>
        <v>0</v>
      </c>
      <c r="V69" s="274">
        <f t="shared" si="2"/>
        <v>0</v>
      </c>
    </row>
    <row r="70" spans="1:22" x14ac:dyDescent="0.3">
      <c r="A70" s="274">
        <v>555</v>
      </c>
      <c r="F70" s="274">
        <f t="shared" ref="F70:V73" si="3">F25</f>
        <v>0</v>
      </c>
      <c r="G70" s="274">
        <f t="shared" si="3"/>
        <v>0</v>
      </c>
      <c r="H70" s="274">
        <f t="shared" si="3"/>
        <v>0</v>
      </c>
      <c r="I70" s="274">
        <f t="shared" si="3"/>
        <v>616952</v>
      </c>
      <c r="J70" s="274">
        <f t="shared" si="3"/>
        <v>0</v>
      </c>
      <c r="K70" s="274">
        <f t="shared" si="3"/>
        <v>0</v>
      </c>
      <c r="L70" s="274">
        <f t="shared" si="3"/>
        <v>0</v>
      </c>
      <c r="M70" s="274">
        <f t="shared" si="3"/>
        <v>0</v>
      </c>
      <c r="N70" s="274">
        <f t="shared" si="3"/>
        <v>0</v>
      </c>
      <c r="O70" s="274">
        <f t="shared" si="3"/>
        <v>0</v>
      </c>
      <c r="P70" s="274">
        <f t="shared" si="2"/>
        <v>0</v>
      </c>
      <c r="Q70" s="274">
        <f t="shared" si="3"/>
        <v>406844</v>
      </c>
      <c r="R70" s="274">
        <f t="shared" si="3"/>
        <v>0</v>
      </c>
      <c r="S70" s="274">
        <f t="shared" si="3"/>
        <v>38752673</v>
      </c>
      <c r="T70" s="274">
        <f t="shared" si="3"/>
        <v>0</v>
      </c>
      <c r="U70" s="274">
        <f t="shared" si="3"/>
        <v>0</v>
      </c>
      <c r="V70" s="274">
        <f t="shared" si="3"/>
        <v>0</v>
      </c>
    </row>
    <row r="71" spans="1:22" x14ac:dyDescent="0.3">
      <c r="A71" s="274">
        <v>556</v>
      </c>
      <c r="F71" s="274">
        <f t="shared" si="3"/>
        <v>0</v>
      </c>
      <c r="G71" s="274">
        <f t="shared" si="3"/>
        <v>0</v>
      </c>
      <c r="H71" s="274">
        <f t="shared" si="3"/>
        <v>0</v>
      </c>
      <c r="I71" s="274">
        <f t="shared" si="3"/>
        <v>0</v>
      </c>
      <c r="J71" s="274">
        <f t="shared" si="3"/>
        <v>0</v>
      </c>
      <c r="K71" s="274">
        <f t="shared" si="3"/>
        <v>0</v>
      </c>
      <c r="L71" s="274">
        <f t="shared" si="3"/>
        <v>0</v>
      </c>
      <c r="M71" s="274">
        <f t="shared" si="3"/>
        <v>0</v>
      </c>
      <c r="N71" s="274">
        <f t="shared" si="3"/>
        <v>0</v>
      </c>
      <c r="O71" s="274">
        <f t="shared" si="3"/>
        <v>0</v>
      </c>
      <c r="P71" s="274">
        <f t="shared" si="2"/>
        <v>0</v>
      </c>
      <c r="Q71" s="274">
        <f t="shared" si="3"/>
        <v>3788537</v>
      </c>
      <c r="R71" s="274">
        <f t="shared" si="3"/>
        <v>0</v>
      </c>
      <c r="S71" s="274">
        <f t="shared" si="3"/>
        <v>0</v>
      </c>
      <c r="T71" s="274">
        <f t="shared" si="3"/>
        <v>0</v>
      </c>
      <c r="U71" s="274">
        <f t="shared" si="3"/>
        <v>0</v>
      </c>
      <c r="V71" s="274">
        <f t="shared" si="3"/>
        <v>0</v>
      </c>
    </row>
    <row r="72" spans="1:22" x14ac:dyDescent="0.3">
      <c r="A72" s="274">
        <v>557</v>
      </c>
      <c r="F72" s="274">
        <f t="shared" si="3"/>
        <v>0</v>
      </c>
      <c r="G72" s="274">
        <f t="shared" si="3"/>
        <v>0</v>
      </c>
      <c r="H72" s="274">
        <f t="shared" si="3"/>
        <v>0</v>
      </c>
      <c r="I72" s="274">
        <f t="shared" si="3"/>
        <v>0</v>
      </c>
      <c r="J72" s="274">
        <f t="shared" si="3"/>
        <v>0</v>
      </c>
      <c r="K72" s="274">
        <f t="shared" si="3"/>
        <v>0</v>
      </c>
      <c r="L72" s="274">
        <f t="shared" si="3"/>
        <v>0</v>
      </c>
      <c r="M72" s="274">
        <f t="shared" si="3"/>
        <v>0</v>
      </c>
      <c r="N72" s="274">
        <f t="shared" si="3"/>
        <v>0</v>
      </c>
      <c r="O72" s="274">
        <f t="shared" si="3"/>
        <v>0</v>
      </c>
      <c r="P72" s="274">
        <f t="shared" si="2"/>
        <v>0</v>
      </c>
      <c r="Q72" s="274">
        <f t="shared" si="3"/>
        <v>3270890</v>
      </c>
      <c r="R72" s="274">
        <f t="shared" si="3"/>
        <v>0</v>
      </c>
      <c r="S72" s="274">
        <f t="shared" si="3"/>
        <v>0</v>
      </c>
      <c r="T72" s="274">
        <f t="shared" si="3"/>
        <v>0</v>
      </c>
      <c r="U72" s="274">
        <f t="shared" si="3"/>
        <v>0</v>
      </c>
      <c r="V72" s="274">
        <f t="shared" si="3"/>
        <v>0</v>
      </c>
    </row>
    <row r="73" spans="1:22" x14ac:dyDescent="0.3">
      <c r="A73" s="274">
        <v>577</v>
      </c>
      <c r="F73" s="274">
        <f>F28</f>
        <v>0</v>
      </c>
      <c r="G73" s="274">
        <f t="shared" si="3"/>
        <v>0</v>
      </c>
      <c r="H73" s="274">
        <f t="shared" si="3"/>
        <v>0</v>
      </c>
      <c r="I73" s="274">
        <f t="shared" si="3"/>
        <v>1</v>
      </c>
      <c r="J73" s="274">
        <f t="shared" si="3"/>
        <v>0</v>
      </c>
      <c r="K73" s="274">
        <f t="shared" si="3"/>
        <v>0</v>
      </c>
      <c r="L73" s="274">
        <f t="shared" si="3"/>
        <v>0</v>
      </c>
      <c r="M73" s="274">
        <f t="shared" si="3"/>
        <v>0</v>
      </c>
      <c r="N73" s="274">
        <f t="shared" si="3"/>
        <v>0</v>
      </c>
      <c r="O73" s="274">
        <f t="shared" si="3"/>
        <v>0</v>
      </c>
      <c r="P73" s="274">
        <f t="shared" si="2"/>
        <v>1</v>
      </c>
      <c r="Q73" s="274">
        <f t="shared" si="3"/>
        <v>1</v>
      </c>
      <c r="R73" s="274">
        <f t="shared" si="3"/>
        <v>1</v>
      </c>
      <c r="S73" s="274">
        <f t="shared" si="3"/>
        <v>0</v>
      </c>
      <c r="T73" s="274">
        <f t="shared" si="3"/>
        <v>0</v>
      </c>
      <c r="U73" s="274">
        <f t="shared" si="3"/>
        <v>0</v>
      </c>
      <c r="V73" s="274">
        <f t="shared" si="3"/>
        <v>0</v>
      </c>
    </row>
    <row r="74" spans="1:22" x14ac:dyDescent="0.3">
      <c r="A74" s="274">
        <v>603</v>
      </c>
      <c r="F74" s="274">
        <f>F31</f>
        <v>1</v>
      </c>
      <c r="G74" s="274">
        <f t="shared" ref="G74:V89" si="4">G31</f>
        <v>1</v>
      </c>
      <c r="H74" s="274">
        <f t="shared" si="4"/>
        <v>0</v>
      </c>
      <c r="I74" s="274">
        <f t="shared" si="4"/>
        <v>1</v>
      </c>
      <c r="J74" s="274">
        <f t="shared" si="4"/>
        <v>0</v>
      </c>
      <c r="K74" s="274">
        <f t="shared" si="4"/>
        <v>0</v>
      </c>
      <c r="L74" s="274">
        <f t="shared" si="4"/>
        <v>0</v>
      </c>
      <c r="M74" s="274">
        <f t="shared" si="4"/>
        <v>0</v>
      </c>
      <c r="N74" s="274">
        <f t="shared" si="4"/>
        <v>1</v>
      </c>
      <c r="O74" s="274">
        <f t="shared" si="4"/>
        <v>1</v>
      </c>
      <c r="P74" s="274">
        <f t="shared" si="4"/>
        <v>1</v>
      </c>
      <c r="Q74" s="274">
        <f t="shared" si="4"/>
        <v>1</v>
      </c>
      <c r="R74" s="274">
        <f t="shared" si="4"/>
        <v>1</v>
      </c>
      <c r="S74" s="274">
        <f t="shared" si="4"/>
        <v>2</v>
      </c>
      <c r="T74" s="274">
        <f t="shared" si="4"/>
        <v>1</v>
      </c>
      <c r="U74" s="274">
        <f t="shared" si="4"/>
        <v>1</v>
      </c>
      <c r="V74" s="274">
        <f t="shared" si="4"/>
        <v>0</v>
      </c>
    </row>
    <row r="75" spans="1:22" x14ac:dyDescent="0.3">
      <c r="A75" s="274">
        <v>605</v>
      </c>
      <c r="F75" s="274">
        <f>F32</f>
        <v>1</v>
      </c>
      <c r="G75" s="274">
        <f t="shared" si="4"/>
        <v>1</v>
      </c>
      <c r="H75" s="274">
        <f t="shared" si="4"/>
        <v>0</v>
      </c>
      <c r="I75" s="274">
        <f t="shared" si="4"/>
        <v>1</v>
      </c>
      <c r="J75" s="274">
        <f t="shared" si="4"/>
        <v>0</v>
      </c>
      <c r="K75" s="274">
        <f t="shared" si="4"/>
        <v>0</v>
      </c>
      <c r="L75" s="274">
        <f t="shared" si="4"/>
        <v>0</v>
      </c>
      <c r="M75" s="274">
        <f t="shared" si="4"/>
        <v>0</v>
      </c>
      <c r="N75" s="274">
        <f t="shared" si="4"/>
        <v>1</v>
      </c>
      <c r="O75" s="274">
        <f t="shared" si="4"/>
        <v>1</v>
      </c>
      <c r="P75" s="274">
        <f t="shared" si="4"/>
        <v>1</v>
      </c>
      <c r="Q75" s="274">
        <f t="shared" si="4"/>
        <v>1</v>
      </c>
      <c r="R75" s="274">
        <f t="shared" si="4"/>
        <v>1</v>
      </c>
      <c r="S75" s="274">
        <f t="shared" si="4"/>
        <v>1</v>
      </c>
      <c r="T75" s="274">
        <f t="shared" si="4"/>
        <v>1</v>
      </c>
      <c r="U75" s="274">
        <f t="shared" si="4"/>
        <v>1</v>
      </c>
      <c r="V75" s="274">
        <f t="shared" si="4"/>
        <v>0</v>
      </c>
    </row>
    <row r="76" spans="1:22" x14ac:dyDescent="0.3">
      <c r="A76" s="274">
        <v>606</v>
      </c>
      <c r="F76" s="274">
        <f t="shared" ref="F76:V89" si="5">F33</f>
        <v>0</v>
      </c>
      <c r="G76" s="274">
        <f t="shared" si="5"/>
        <v>0</v>
      </c>
      <c r="H76" s="274">
        <f t="shared" si="5"/>
        <v>0</v>
      </c>
      <c r="I76" s="274">
        <f t="shared" si="5"/>
        <v>1</v>
      </c>
      <c r="J76" s="274">
        <f t="shared" si="5"/>
        <v>0</v>
      </c>
      <c r="K76" s="274">
        <f t="shared" si="5"/>
        <v>0</v>
      </c>
      <c r="L76" s="274">
        <f t="shared" si="5"/>
        <v>0</v>
      </c>
      <c r="M76" s="274">
        <f t="shared" si="5"/>
        <v>0</v>
      </c>
      <c r="N76" s="274">
        <f t="shared" si="5"/>
        <v>0</v>
      </c>
      <c r="O76" s="274">
        <f t="shared" si="5"/>
        <v>0</v>
      </c>
      <c r="P76" s="274">
        <f t="shared" si="4"/>
        <v>0</v>
      </c>
      <c r="Q76" s="274">
        <f t="shared" si="5"/>
        <v>1</v>
      </c>
      <c r="R76" s="274">
        <f t="shared" si="5"/>
        <v>0</v>
      </c>
      <c r="S76" s="274">
        <f t="shared" si="5"/>
        <v>1</v>
      </c>
      <c r="T76" s="274">
        <f t="shared" si="5"/>
        <v>0</v>
      </c>
      <c r="U76" s="274">
        <f t="shared" si="5"/>
        <v>0</v>
      </c>
      <c r="V76" s="274">
        <f t="shared" si="5"/>
        <v>0</v>
      </c>
    </row>
    <row r="77" spans="1:22" x14ac:dyDescent="0.3">
      <c r="A77" s="274">
        <v>607</v>
      </c>
      <c r="F77" s="274">
        <f t="shared" si="5"/>
        <v>0</v>
      </c>
      <c r="G77" s="274">
        <f t="shared" si="5"/>
        <v>5992320</v>
      </c>
      <c r="H77" s="274">
        <f t="shared" si="5"/>
        <v>0</v>
      </c>
      <c r="I77" s="274">
        <f t="shared" si="5"/>
        <v>0</v>
      </c>
      <c r="J77" s="274">
        <f t="shared" si="5"/>
        <v>0</v>
      </c>
      <c r="K77" s="274">
        <f t="shared" si="5"/>
        <v>0</v>
      </c>
      <c r="L77" s="274">
        <f t="shared" si="5"/>
        <v>0</v>
      </c>
      <c r="M77" s="274">
        <f t="shared" si="5"/>
        <v>0</v>
      </c>
      <c r="N77" s="274">
        <f t="shared" si="5"/>
        <v>0</v>
      </c>
      <c r="O77" s="274">
        <f t="shared" si="5"/>
        <v>0</v>
      </c>
      <c r="P77" s="274">
        <f t="shared" si="4"/>
        <v>1156141</v>
      </c>
      <c r="Q77" s="274">
        <f t="shared" si="5"/>
        <v>0</v>
      </c>
      <c r="R77" s="274">
        <f t="shared" si="5"/>
        <v>0</v>
      </c>
      <c r="S77" s="274">
        <f t="shared" si="5"/>
        <v>15153534</v>
      </c>
      <c r="T77" s="274">
        <f t="shared" si="5"/>
        <v>0</v>
      </c>
      <c r="U77" s="274">
        <f t="shared" si="5"/>
        <v>0</v>
      </c>
      <c r="V77" s="274">
        <f t="shared" si="5"/>
        <v>0</v>
      </c>
    </row>
    <row r="78" spans="1:22" x14ac:dyDescent="0.3">
      <c r="A78" s="274">
        <v>608</v>
      </c>
      <c r="F78" s="274">
        <f t="shared" si="5"/>
        <v>0</v>
      </c>
      <c r="G78" s="274">
        <f t="shared" si="5"/>
        <v>6707794</v>
      </c>
      <c r="H78" s="274">
        <f t="shared" si="5"/>
        <v>0</v>
      </c>
      <c r="I78" s="274">
        <f t="shared" si="5"/>
        <v>0</v>
      </c>
      <c r="J78" s="274">
        <f t="shared" si="5"/>
        <v>0</v>
      </c>
      <c r="K78" s="274">
        <f t="shared" si="5"/>
        <v>0</v>
      </c>
      <c r="L78" s="274">
        <f t="shared" si="5"/>
        <v>0</v>
      </c>
      <c r="M78" s="274">
        <f t="shared" si="5"/>
        <v>0</v>
      </c>
      <c r="N78" s="274">
        <f t="shared" si="5"/>
        <v>0</v>
      </c>
      <c r="O78" s="274">
        <f t="shared" si="5"/>
        <v>0</v>
      </c>
      <c r="P78" s="274">
        <f t="shared" si="4"/>
        <v>1813608</v>
      </c>
      <c r="Q78" s="274">
        <f t="shared" si="5"/>
        <v>0</v>
      </c>
      <c r="R78" s="274">
        <f t="shared" si="5"/>
        <v>0</v>
      </c>
      <c r="S78" s="274">
        <f t="shared" si="5"/>
        <v>0</v>
      </c>
      <c r="T78" s="274">
        <f t="shared" si="5"/>
        <v>0</v>
      </c>
      <c r="U78" s="274">
        <f t="shared" si="5"/>
        <v>0</v>
      </c>
      <c r="V78" s="274">
        <f t="shared" si="5"/>
        <v>0</v>
      </c>
    </row>
    <row r="79" spans="1:22" x14ac:dyDescent="0.3">
      <c r="A79" s="274">
        <v>609</v>
      </c>
      <c r="F79" s="274">
        <f t="shared" si="5"/>
        <v>0</v>
      </c>
      <c r="G79" s="274">
        <f t="shared" si="5"/>
        <v>111.9</v>
      </c>
      <c r="H79" s="274">
        <f t="shared" si="5"/>
        <v>0</v>
      </c>
      <c r="I79" s="274">
        <f t="shared" si="5"/>
        <v>0</v>
      </c>
      <c r="J79" s="274">
        <f t="shared" si="5"/>
        <v>0</v>
      </c>
      <c r="K79" s="274">
        <f t="shared" si="5"/>
        <v>0</v>
      </c>
      <c r="L79" s="274">
        <f t="shared" si="5"/>
        <v>0</v>
      </c>
      <c r="M79" s="274">
        <f t="shared" si="5"/>
        <v>0</v>
      </c>
      <c r="N79" s="274">
        <f t="shared" si="5"/>
        <v>0</v>
      </c>
      <c r="O79" s="274">
        <f t="shared" si="5"/>
        <v>0</v>
      </c>
      <c r="P79" s="274">
        <f t="shared" si="4"/>
        <v>156.80000000000001</v>
      </c>
      <c r="Q79" s="274">
        <f t="shared" si="5"/>
        <v>0</v>
      </c>
      <c r="R79" s="274">
        <f t="shared" si="5"/>
        <v>0</v>
      </c>
      <c r="S79" s="274">
        <f t="shared" si="5"/>
        <v>0</v>
      </c>
      <c r="T79" s="274">
        <f t="shared" si="5"/>
        <v>0</v>
      </c>
      <c r="U79" s="274">
        <f t="shared" si="5"/>
        <v>0</v>
      </c>
      <c r="V79" s="274">
        <f t="shared" si="5"/>
        <v>0</v>
      </c>
    </row>
    <row r="80" spans="1:22" x14ac:dyDescent="0.3">
      <c r="A80" s="274">
        <v>610</v>
      </c>
      <c r="F80" s="274">
        <f t="shared" si="5"/>
        <v>0</v>
      </c>
      <c r="G80" s="274">
        <f t="shared" si="5"/>
        <v>0</v>
      </c>
      <c r="H80" s="274">
        <f t="shared" si="5"/>
        <v>0</v>
      </c>
      <c r="I80" s="274">
        <f t="shared" si="5"/>
        <v>0</v>
      </c>
      <c r="J80" s="274">
        <f t="shared" si="5"/>
        <v>0</v>
      </c>
      <c r="K80" s="274">
        <f t="shared" si="5"/>
        <v>0</v>
      </c>
      <c r="L80" s="274">
        <f t="shared" si="5"/>
        <v>0</v>
      </c>
      <c r="M80" s="274">
        <f t="shared" si="5"/>
        <v>0</v>
      </c>
      <c r="N80" s="274">
        <f t="shared" si="5"/>
        <v>0</v>
      </c>
      <c r="O80" s="274">
        <f t="shared" si="5"/>
        <v>0</v>
      </c>
      <c r="P80" s="274">
        <f t="shared" si="4"/>
        <v>0</v>
      </c>
      <c r="Q80" s="274">
        <f t="shared" si="5"/>
        <v>0</v>
      </c>
      <c r="R80" s="274">
        <f t="shared" si="5"/>
        <v>0</v>
      </c>
      <c r="S80" s="274">
        <f t="shared" si="5"/>
        <v>0</v>
      </c>
      <c r="T80" s="274">
        <f t="shared" si="5"/>
        <v>0</v>
      </c>
      <c r="U80" s="274">
        <f t="shared" si="5"/>
        <v>0</v>
      </c>
      <c r="V80" s="274">
        <f t="shared" si="5"/>
        <v>0</v>
      </c>
    </row>
    <row r="81" spans="1:22" x14ac:dyDescent="0.3">
      <c r="A81" s="274">
        <v>611</v>
      </c>
      <c r="F81" s="274">
        <f t="shared" si="5"/>
        <v>0</v>
      </c>
      <c r="G81" s="274">
        <f t="shared" si="5"/>
        <v>0</v>
      </c>
      <c r="H81" s="274">
        <f t="shared" si="5"/>
        <v>0</v>
      </c>
      <c r="I81" s="274">
        <f t="shared" si="5"/>
        <v>0</v>
      </c>
      <c r="J81" s="274">
        <f t="shared" si="5"/>
        <v>0</v>
      </c>
      <c r="K81" s="274">
        <f t="shared" si="5"/>
        <v>0</v>
      </c>
      <c r="L81" s="274">
        <f t="shared" si="5"/>
        <v>0</v>
      </c>
      <c r="M81" s="274">
        <f t="shared" si="5"/>
        <v>0</v>
      </c>
      <c r="N81" s="274">
        <f t="shared" si="5"/>
        <v>0</v>
      </c>
      <c r="O81" s="274">
        <f t="shared" si="5"/>
        <v>0</v>
      </c>
      <c r="P81" s="274">
        <f t="shared" si="4"/>
        <v>0</v>
      </c>
      <c r="Q81" s="274">
        <f t="shared" si="5"/>
        <v>0</v>
      </c>
      <c r="R81" s="274">
        <f t="shared" si="5"/>
        <v>0</v>
      </c>
      <c r="S81" s="274">
        <f t="shared" si="5"/>
        <v>0</v>
      </c>
      <c r="T81" s="274">
        <f t="shared" si="5"/>
        <v>0</v>
      </c>
      <c r="U81" s="274">
        <f t="shared" si="5"/>
        <v>0</v>
      </c>
      <c r="V81" s="274">
        <f t="shared" si="5"/>
        <v>0</v>
      </c>
    </row>
    <row r="82" spans="1:22" x14ac:dyDescent="0.3">
      <c r="A82" s="274">
        <v>612</v>
      </c>
      <c r="F82" s="274">
        <f t="shared" si="5"/>
        <v>0</v>
      </c>
      <c r="G82" s="274">
        <f t="shared" si="5"/>
        <v>0</v>
      </c>
      <c r="H82" s="274">
        <f t="shared" si="5"/>
        <v>0</v>
      </c>
      <c r="I82" s="274">
        <f t="shared" si="5"/>
        <v>0</v>
      </c>
      <c r="J82" s="274">
        <f t="shared" si="5"/>
        <v>0</v>
      </c>
      <c r="K82" s="274">
        <f t="shared" si="5"/>
        <v>0</v>
      </c>
      <c r="L82" s="274">
        <f t="shared" si="5"/>
        <v>0</v>
      </c>
      <c r="M82" s="274">
        <f t="shared" si="5"/>
        <v>0</v>
      </c>
      <c r="N82" s="274">
        <f t="shared" si="5"/>
        <v>0</v>
      </c>
      <c r="O82" s="274">
        <f t="shared" si="5"/>
        <v>0</v>
      </c>
      <c r="P82" s="274">
        <f t="shared" si="4"/>
        <v>0</v>
      </c>
      <c r="Q82" s="274">
        <f t="shared" si="5"/>
        <v>0</v>
      </c>
      <c r="R82" s="274">
        <f t="shared" si="5"/>
        <v>0</v>
      </c>
      <c r="S82" s="274">
        <f t="shared" si="5"/>
        <v>0</v>
      </c>
      <c r="T82" s="274">
        <f t="shared" si="5"/>
        <v>0</v>
      </c>
      <c r="U82" s="274">
        <f t="shared" si="5"/>
        <v>0</v>
      </c>
      <c r="V82" s="274">
        <f t="shared" si="5"/>
        <v>0</v>
      </c>
    </row>
    <row r="83" spans="1:22" x14ac:dyDescent="0.3">
      <c r="A83" s="274">
        <v>613</v>
      </c>
      <c r="F83" s="274">
        <f t="shared" si="5"/>
        <v>0</v>
      </c>
      <c r="G83" s="274">
        <f t="shared" si="5"/>
        <v>0</v>
      </c>
      <c r="H83" s="274">
        <f t="shared" si="5"/>
        <v>0</v>
      </c>
      <c r="I83" s="274">
        <f t="shared" si="5"/>
        <v>0</v>
      </c>
      <c r="J83" s="274">
        <f t="shared" si="5"/>
        <v>0</v>
      </c>
      <c r="K83" s="274">
        <f t="shared" si="5"/>
        <v>0</v>
      </c>
      <c r="L83" s="274">
        <f t="shared" si="5"/>
        <v>0</v>
      </c>
      <c r="M83" s="274">
        <f t="shared" si="5"/>
        <v>0</v>
      </c>
      <c r="N83" s="274">
        <f t="shared" si="5"/>
        <v>0</v>
      </c>
      <c r="O83" s="274">
        <f t="shared" si="5"/>
        <v>0</v>
      </c>
      <c r="P83" s="274">
        <f t="shared" si="4"/>
        <v>0</v>
      </c>
      <c r="Q83" s="274">
        <f t="shared" si="5"/>
        <v>0</v>
      </c>
      <c r="R83" s="274">
        <f t="shared" si="5"/>
        <v>0</v>
      </c>
      <c r="S83" s="274">
        <f t="shared" si="5"/>
        <v>0</v>
      </c>
      <c r="T83" s="274">
        <f t="shared" si="5"/>
        <v>0</v>
      </c>
      <c r="U83" s="274">
        <f t="shared" si="5"/>
        <v>0</v>
      </c>
      <c r="V83" s="274">
        <f t="shared" si="5"/>
        <v>0</v>
      </c>
    </row>
    <row r="84" spans="1:22" x14ac:dyDescent="0.3">
      <c r="A84" s="274">
        <v>614</v>
      </c>
      <c r="F84" s="274">
        <f t="shared" si="5"/>
        <v>0</v>
      </c>
      <c r="G84" s="274">
        <f t="shared" si="5"/>
        <v>0</v>
      </c>
      <c r="H84" s="274">
        <f t="shared" si="5"/>
        <v>0</v>
      </c>
      <c r="I84" s="274">
        <f t="shared" si="5"/>
        <v>0</v>
      </c>
      <c r="J84" s="274">
        <f t="shared" si="5"/>
        <v>0</v>
      </c>
      <c r="K84" s="274">
        <f t="shared" si="5"/>
        <v>0</v>
      </c>
      <c r="L84" s="274">
        <f t="shared" si="5"/>
        <v>0</v>
      </c>
      <c r="M84" s="274">
        <f t="shared" si="5"/>
        <v>0</v>
      </c>
      <c r="N84" s="274">
        <f t="shared" si="5"/>
        <v>0</v>
      </c>
      <c r="O84" s="274">
        <f t="shared" si="5"/>
        <v>0</v>
      </c>
      <c r="P84" s="274">
        <f t="shared" si="4"/>
        <v>0</v>
      </c>
      <c r="Q84" s="274">
        <f t="shared" si="5"/>
        <v>0</v>
      </c>
      <c r="R84" s="274">
        <f t="shared" si="5"/>
        <v>0</v>
      </c>
      <c r="S84" s="274">
        <f t="shared" si="5"/>
        <v>0</v>
      </c>
      <c r="T84" s="274">
        <f t="shared" si="5"/>
        <v>0</v>
      </c>
      <c r="U84" s="274">
        <f t="shared" si="5"/>
        <v>0</v>
      </c>
      <c r="V84" s="274">
        <f t="shared" si="5"/>
        <v>0</v>
      </c>
    </row>
    <row r="85" spans="1:22" x14ac:dyDescent="0.3">
      <c r="A85" s="274">
        <v>615</v>
      </c>
      <c r="F85" s="274">
        <f t="shared" si="5"/>
        <v>0</v>
      </c>
      <c r="G85" s="274">
        <f t="shared" si="5"/>
        <v>0</v>
      </c>
      <c r="H85" s="274">
        <f t="shared" si="5"/>
        <v>0</v>
      </c>
      <c r="I85" s="274">
        <f t="shared" si="5"/>
        <v>0</v>
      </c>
      <c r="J85" s="274">
        <f t="shared" si="5"/>
        <v>0</v>
      </c>
      <c r="K85" s="274">
        <f t="shared" si="5"/>
        <v>0</v>
      </c>
      <c r="L85" s="274">
        <f t="shared" si="5"/>
        <v>0</v>
      </c>
      <c r="M85" s="274">
        <f t="shared" si="5"/>
        <v>0</v>
      </c>
      <c r="N85" s="274">
        <f t="shared" si="5"/>
        <v>0</v>
      </c>
      <c r="O85" s="274">
        <f t="shared" si="5"/>
        <v>0</v>
      </c>
      <c r="P85" s="274">
        <f t="shared" si="4"/>
        <v>0</v>
      </c>
      <c r="Q85" s="274">
        <f t="shared" si="5"/>
        <v>0</v>
      </c>
      <c r="R85" s="274">
        <f t="shared" si="5"/>
        <v>0</v>
      </c>
      <c r="S85" s="274">
        <f t="shared" si="5"/>
        <v>0</v>
      </c>
      <c r="T85" s="274">
        <f t="shared" si="5"/>
        <v>0</v>
      </c>
      <c r="U85" s="274">
        <f t="shared" si="5"/>
        <v>0</v>
      </c>
      <c r="V85" s="274">
        <f t="shared" si="5"/>
        <v>0</v>
      </c>
    </row>
    <row r="86" spans="1:22" x14ac:dyDescent="0.3">
      <c r="A86" s="274">
        <v>616</v>
      </c>
      <c r="F86" s="274">
        <f t="shared" si="5"/>
        <v>0</v>
      </c>
      <c r="G86" s="274">
        <f t="shared" si="5"/>
        <v>0</v>
      </c>
      <c r="H86" s="274">
        <f t="shared" si="5"/>
        <v>0</v>
      </c>
      <c r="I86" s="274">
        <f t="shared" si="5"/>
        <v>0</v>
      </c>
      <c r="J86" s="274">
        <f t="shared" si="5"/>
        <v>0</v>
      </c>
      <c r="K86" s="274">
        <f t="shared" si="5"/>
        <v>0</v>
      </c>
      <c r="L86" s="274">
        <f t="shared" si="5"/>
        <v>0</v>
      </c>
      <c r="M86" s="274">
        <f t="shared" si="5"/>
        <v>0</v>
      </c>
      <c r="N86" s="274">
        <f t="shared" si="5"/>
        <v>0</v>
      </c>
      <c r="O86" s="274">
        <f t="shared" si="5"/>
        <v>0</v>
      </c>
      <c r="P86" s="274">
        <f t="shared" si="4"/>
        <v>0</v>
      </c>
      <c r="Q86" s="274">
        <f t="shared" si="5"/>
        <v>0</v>
      </c>
      <c r="R86" s="274">
        <f t="shared" si="5"/>
        <v>0</v>
      </c>
      <c r="S86" s="274">
        <f t="shared" si="5"/>
        <v>0</v>
      </c>
      <c r="T86" s="274">
        <f t="shared" si="5"/>
        <v>0</v>
      </c>
      <c r="U86" s="274">
        <f t="shared" si="5"/>
        <v>0</v>
      </c>
      <c r="V86" s="274">
        <f t="shared" si="5"/>
        <v>0</v>
      </c>
    </row>
    <row r="87" spans="1:22" x14ac:dyDescent="0.3">
      <c r="A87" s="274">
        <v>617</v>
      </c>
      <c r="F87" s="274">
        <f t="shared" si="5"/>
        <v>0</v>
      </c>
      <c r="G87" s="274">
        <f t="shared" si="5"/>
        <v>0</v>
      </c>
      <c r="H87" s="274">
        <f t="shared" si="5"/>
        <v>0</v>
      </c>
      <c r="I87" s="274">
        <f t="shared" si="5"/>
        <v>0</v>
      </c>
      <c r="J87" s="274">
        <f t="shared" si="5"/>
        <v>0</v>
      </c>
      <c r="K87" s="274">
        <f t="shared" si="5"/>
        <v>0</v>
      </c>
      <c r="L87" s="274">
        <f t="shared" si="5"/>
        <v>0</v>
      </c>
      <c r="M87" s="274">
        <f t="shared" si="5"/>
        <v>0</v>
      </c>
      <c r="N87" s="274">
        <f t="shared" si="5"/>
        <v>0</v>
      </c>
      <c r="O87" s="274">
        <f t="shared" si="5"/>
        <v>0</v>
      </c>
      <c r="P87" s="274">
        <f t="shared" si="4"/>
        <v>0</v>
      </c>
      <c r="Q87" s="274">
        <f t="shared" si="5"/>
        <v>0</v>
      </c>
      <c r="R87" s="274">
        <f t="shared" si="5"/>
        <v>0</v>
      </c>
      <c r="S87" s="274">
        <f t="shared" si="5"/>
        <v>0</v>
      </c>
      <c r="T87" s="274">
        <f t="shared" si="5"/>
        <v>0</v>
      </c>
      <c r="U87" s="274">
        <f t="shared" si="5"/>
        <v>0</v>
      </c>
      <c r="V87" s="274">
        <f t="shared" si="5"/>
        <v>0</v>
      </c>
    </row>
    <row r="88" spans="1:22" x14ac:dyDescent="0.3">
      <c r="A88" s="274">
        <v>618</v>
      </c>
      <c r="F88" s="274">
        <f t="shared" si="5"/>
        <v>0</v>
      </c>
      <c r="G88" s="274">
        <f t="shared" si="5"/>
        <v>0</v>
      </c>
      <c r="H88" s="274">
        <f t="shared" si="5"/>
        <v>0</v>
      </c>
      <c r="I88" s="274">
        <f t="shared" si="5"/>
        <v>0</v>
      </c>
      <c r="J88" s="274">
        <f t="shared" si="5"/>
        <v>0</v>
      </c>
      <c r="K88" s="274">
        <f t="shared" si="5"/>
        <v>0</v>
      </c>
      <c r="L88" s="274">
        <f t="shared" si="5"/>
        <v>0</v>
      </c>
      <c r="M88" s="274">
        <f t="shared" si="5"/>
        <v>0</v>
      </c>
      <c r="N88" s="274">
        <f t="shared" si="5"/>
        <v>0</v>
      </c>
      <c r="O88" s="274">
        <f t="shared" si="5"/>
        <v>0</v>
      </c>
      <c r="P88" s="274">
        <f t="shared" si="4"/>
        <v>0</v>
      </c>
      <c r="Q88" s="274">
        <f t="shared" si="5"/>
        <v>0</v>
      </c>
      <c r="R88" s="274">
        <f t="shared" si="5"/>
        <v>0</v>
      </c>
      <c r="S88" s="274">
        <f t="shared" si="5"/>
        <v>0</v>
      </c>
      <c r="T88" s="274">
        <f t="shared" si="5"/>
        <v>0</v>
      </c>
      <c r="U88" s="274">
        <f t="shared" si="5"/>
        <v>0</v>
      </c>
      <c r="V88" s="274">
        <f t="shared" si="5"/>
        <v>0</v>
      </c>
    </row>
    <row r="89" spans="1:22" x14ac:dyDescent="0.3">
      <c r="A89" s="274">
        <v>620</v>
      </c>
      <c r="F89" s="274">
        <f>F46</f>
        <v>2</v>
      </c>
      <c r="G89" s="274">
        <f t="shared" si="5"/>
        <v>2</v>
      </c>
      <c r="H89" s="274">
        <f t="shared" si="5"/>
        <v>0</v>
      </c>
      <c r="I89" s="274">
        <f t="shared" si="5"/>
        <v>2</v>
      </c>
      <c r="J89" s="274">
        <f t="shared" si="5"/>
        <v>0</v>
      </c>
      <c r="K89" s="274">
        <f t="shared" si="5"/>
        <v>0</v>
      </c>
      <c r="L89" s="274">
        <f t="shared" si="5"/>
        <v>0</v>
      </c>
      <c r="M89" s="274">
        <f t="shared" si="5"/>
        <v>0</v>
      </c>
      <c r="N89" s="274">
        <f t="shared" si="5"/>
        <v>0</v>
      </c>
      <c r="O89" s="274">
        <f t="shared" si="5"/>
        <v>2</v>
      </c>
      <c r="P89" s="274">
        <f t="shared" si="4"/>
        <v>1</v>
      </c>
      <c r="Q89" s="274">
        <f t="shared" si="5"/>
        <v>2</v>
      </c>
      <c r="R89" s="274">
        <f t="shared" si="5"/>
        <v>2</v>
      </c>
      <c r="S89" s="274">
        <f t="shared" si="5"/>
        <v>2</v>
      </c>
      <c r="T89" s="274">
        <f t="shared" si="5"/>
        <v>2</v>
      </c>
      <c r="U89" s="274">
        <f t="shared" si="5"/>
        <v>1</v>
      </c>
      <c r="V89" s="274">
        <f t="shared" si="5"/>
        <v>0</v>
      </c>
    </row>
    <row r="90" spans="1:22" x14ac:dyDescent="0.3">
      <c r="A90" s="274">
        <v>625</v>
      </c>
      <c r="F90" s="274">
        <f>F49</f>
        <v>1</v>
      </c>
      <c r="G90" s="274">
        <f t="shared" ref="G90:V91" si="6">G49</f>
        <v>1</v>
      </c>
      <c r="H90" s="274">
        <f t="shared" si="6"/>
        <v>0</v>
      </c>
      <c r="I90" s="274">
        <f t="shared" si="6"/>
        <v>1</v>
      </c>
      <c r="J90" s="274">
        <f t="shared" si="6"/>
        <v>0</v>
      </c>
      <c r="K90" s="274">
        <f t="shared" si="6"/>
        <v>0</v>
      </c>
      <c r="L90" s="274">
        <f t="shared" si="6"/>
        <v>0</v>
      </c>
      <c r="M90" s="274">
        <f t="shared" si="6"/>
        <v>0</v>
      </c>
      <c r="N90" s="274">
        <f t="shared" si="6"/>
        <v>1</v>
      </c>
      <c r="O90" s="274">
        <f t="shared" si="6"/>
        <v>1</v>
      </c>
      <c r="P90" s="274">
        <f t="shared" si="6"/>
        <v>1</v>
      </c>
      <c r="Q90" s="274">
        <f t="shared" si="6"/>
        <v>1</v>
      </c>
      <c r="R90" s="274">
        <f t="shared" si="6"/>
        <v>1</v>
      </c>
      <c r="S90" s="274">
        <f t="shared" si="6"/>
        <v>1</v>
      </c>
      <c r="T90" s="274">
        <f t="shared" si="6"/>
        <v>1</v>
      </c>
      <c r="U90" s="274">
        <f t="shared" si="6"/>
        <v>1</v>
      </c>
      <c r="V90" s="274">
        <f t="shared" si="6"/>
        <v>0</v>
      </c>
    </row>
    <row r="91" spans="1:22" x14ac:dyDescent="0.3">
      <c r="A91" s="274">
        <v>992</v>
      </c>
      <c r="F91" s="274">
        <f>F50</f>
        <v>0</v>
      </c>
      <c r="G91" s="274">
        <f t="shared" si="6"/>
        <v>2</v>
      </c>
      <c r="H91" s="274">
        <f t="shared" si="6"/>
        <v>0</v>
      </c>
      <c r="I91" s="274">
        <f t="shared" si="6"/>
        <v>1</v>
      </c>
      <c r="J91" s="274">
        <f t="shared" si="6"/>
        <v>0</v>
      </c>
      <c r="K91" s="274">
        <f t="shared" si="6"/>
        <v>0</v>
      </c>
      <c r="L91" s="274">
        <f t="shared" si="6"/>
        <v>0</v>
      </c>
      <c r="M91" s="274">
        <f t="shared" si="6"/>
        <v>0</v>
      </c>
      <c r="N91" s="274">
        <f t="shared" si="6"/>
        <v>1</v>
      </c>
      <c r="O91" s="274">
        <f t="shared" si="6"/>
        <v>3</v>
      </c>
      <c r="P91" s="274">
        <f t="shared" si="6"/>
        <v>2</v>
      </c>
      <c r="Q91" s="274">
        <f t="shared" si="6"/>
        <v>1</v>
      </c>
      <c r="R91" s="274">
        <f t="shared" si="6"/>
        <v>3</v>
      </c>
      <c r="S91" s="274">
        <f t="shared" si="6"/>
        <v>2</v>
      </c>
      <c r="T91" s="274">
        <f t="shared" si="6"/>
        <v>1</v>
      </c>
      <c r="U91" s="274">
        <f t="shared" si="6"/>
        <v>1</v>
      </c>
      <c r="V91" s="274">
        <f t="shared" si="6"/>
        <v>0</v>
      </c>
    </row>
    <row r="92" spans="1:22" x14ac:dyDescent="0.3">
      <c r="A92" s="274">
        <v>998</v>
      </c>
      <c r="F92" s="274">
        <f>F53</f>
        <v>53</v>
      </c>
      <c r="G92" s="274">
        <f t="shared" ref="G92:V93" si="7">G53</f>
        <v>53</v>
      </c>
      <c r="H92" s="274">
        <f t="shared" si="7"/>
        <v>0</v>
      </c>
      <c r="I92" s="274">
        <f t="shared" si="7"/>
        <v>53</v>
      </c>
      <c r="J92" s="274">
        <f t="shared" si="7"/>
        <v>0</v>
      </c>
      <c r="K92" s="274">
        <f t="shared" si="7"/>
        <v>0</v>
      </c>
      <c r="L92" s="274">
        <f t="shared" si="7"/>
        <v>0</v>
      </c>
      <c r="M92" s="274">
        <f t="shared" si="7"/>
        <v>0</v>
      </c>
      <c r="N92" s="274">
        <f t="shared" si="7"/>
        <v>53</v>
      </c>
      <c r="O92" s="274">
        <f t="shared" si="7"/>
        <v>53</v>
      </c>
      <c r="P92" s="274">
        <f t="shared" si="7"/>
        <v>53</v>
      </c>
      <c r="Q92" s="274">
        <f t="shared" si="7"/>
        <v>53</v>
      </c>
      <c r="R92" s="274">
        <f t="shared" si="7"/>
        <v>53</v>
      </c>
      <c r="S92" s="274">
        <f t="shared" si="7"/>
        <v>53</v>
      </c>
      <c r="T92" s="274">
        <f t="shared" si="7"/>
        <v>53</v>
      </c>
      <c r="U92" s="274">
        <f t="shared" si="7"/>
        <v>53</v>
      </c>
      <c r="V92" s="274">
        <f t="shared" si="7"/>
        <v>0</v>
      </c>
    </row>
    <row r="93" spans="1:22" x14ac:dyDescent="0.3">
      <c r="A93" s="274">
        <v>999</v>
      </c>
      <c r="F93" s="274">
        <f>F54</f>
        <v>53876</v>
      </c>
      <c r="G93" s="274">
        <f t="shared" si="7"/>
        <v>53926</v>
      </c>
      <c r="H93" s="274">
        <f t="shared" si="7"/>
        <v>0</v>
      </c>
      <c r="I93" s="274">
        <f t="shared" si="7"/>
        <v>53881</v>
      </c>
      <c r="J93" s="274">
        <f t="shared" si="7"/>
        <v>0</v>
      </c>
      <c r="K93" s="274">
        <f t="shared" si="7"/>
        <v>0</v>
      </c>
      <c r="L93" s="274">
        <f t="shared" si="7"/>
        <v>0</v>
      </c>
      <c r="M93" s="274">
        <f t="shared" si="7"/>
        <v>0</v>
      </c>
      <c r="N93" s="274">
        <f t="shared" si="7"/>
        <v>53897</v>
      </c>
      <c r="O93" s="274">
        <f t="shared" si="7"/>
        <v>53970</v>
      </c>
      <c r="P93" s="274">
        <f t="shared" si="7"/>
        <v>53950</v>
      </c>
      <c r="Q93" s="274">
        <f t="shared" si="7"/>
        <v>53901</v>
      </c>
      <c r="R93" s="274">
        <f t="shared" si="7"/>
        <v>53902</v>
      </c>
      <c r="S93" s="274">
        <f t="shared" si="7"/>
        <v>53923</v>
      </c>
      <c r="T93" s="274">
        <f t="shared" si="7"/>
        <v>53908</v>
      </c>
      <c r="U93" s="274">
        <f t="shared" si="7"/>
        <v>53913</v>
      </c>
      <c r="V93" s="274">
        <f t="shared" si="7"/>
        <v>0</v>
      </c>
    </row>
    <row r="95" spans="1:22" x14ac:dyDescent="0.3">
      <c r="F95" s="274">
        <f>SUM(F69:F94)</f>
        <v>53934</v>
      </c>
      <c r="G95" s="274">
        <f t="shared" ref="G95:V95" si="8">SUM(G69:G94)</f>
        <v>12754211.9</v>
      </c>
      <c r="H95" s="274">
        <f t="shared" si="8"/>
        <v>0</v>
      </c>
      <c r="I95" s="274">
        <f t="shared" si="8"/>
        <v>1631154</v>
      </c>
      <c r="J95" s="274">
        <f t="shared" si="8"/>
        <v>0</v>
      </c>
      <c r="K95" s="274">
        <f t="shared" si="8"/>
        <v>0</v>
      </c>
      <c r="L95" s="274">
        <f t="shared" si="8"/>
        <v>0</v>
      </c>
      <c r="M95" s="274">
        <f t="shared" si="8"/>
        <v>0</v>
      </c>
      <c r="N95" s="274">
        <f t="shared" si="8"/>
        <v>53954</v>
      </c>
      <c r="O95" s="274">
        <f t="shared" si="8"/>
        <v>54031</v>
      </c>
      <c r="P95" s="274">
        <f t="shared" si="8"/>
        <v>3023915.8</v>
      </c>
      <c r="Q95" s="274">
        <f t="shared" si="8"/>
        <v>9450124</v>
      </c>
      <c r="R95" s="274">
        <f t="shared" si="8"/>
        <v>53964</v>
      </c>
      <c r="S95" s="274">
        <f t="shared" si="8"/>
        <v>92712865</v>
      </c>
      <c r="T95" s="274">
        <f t="shared" si="8"/>
        <v>53967</v>
      </c>
      <c r="U95" s="274">
        <f t="shared" si="8"/>
        <v>53971</v>
      </c>
      <c r="V95" s="274">
        <f t="shared" si="8"/>
        <v>0</v>
      </c>
    </row>
    <row r="97" spans="6:22" x14ac:dyDescent="0.3">
      <c r="F97" s="1047">
        <f>F56-F95</f>
        <v>2770839</v>
      </c>
      <c r="G97" s="1047">
        <f t="shared" ref="G97:V97" si="9">G56-G95</f>
        <v>3889363776</v>
      </c>
      <c r="H97" s="1047">
        <f t="shared" si="9"/>
        <v>0</v>
      </c>
      <c r="I97" s="1047">
        <f t="shared" si="9"/>
        <v>2377337832</v>
      </c>
      <c r="J97" s="1047">
        <f t="shared" si="9"/>
        <v>0</v>
      </c>
      <c r="K97" s="1047">
        <f t="shared" si="9"/>
        <v>0</v>
      </c>
      <c r="L97" s="1047">
        <f t="shared" si="9"/>
        <v>0</v>
      </c>
      <c r="M97" s="1047">
        <f t="shared" si="9"/>
        <v>0</v>
      </c>
      <c r="N97" s="1047">
        <f t="shared" si="9"/>
        <v>1588374112</v>
      </c>
      <c r="O97" s="1047">
        <f t="shared" si="9"/>
        <v>330155109</v>
      </c>
      <c r="P97" s="1047">
        <f t="shared" si="9"/>
        <v>2223234971</v>
      </c>
      <c r="Q97" s="1047">
        <f t="shared" si="9"/>
        <v>8674169002</v>
      </c>
      <c r="R97" s="1047">
        <f t="shared" si="9"/>
        <v>755171636</v>
      </c>
      <c r="S97" s="1047">
        <f t="shared" si="9"/>
        <v>946379401</v>
      </c>
      <c r="T97" s="1047">
        <f t="shared" si="9"/>
        <v>443574419</v>
      </c>
      <c r="U97" s="1047">
        <f t="shared" si="9"/>
        <v>1649439004</v>
      </c>
      <c r="V97" s="1047">
        <f t="shared" si="9"/>
        <v>0</v>
      </c>
    </row>
  </sheetData>
  <sheetProtection algorithmName="SHA-512" hashValue="PBu4LrGtySAygFPBTiOdTkgLnSZ7uHu7kH8UrCMigbSEDMv7v2K95RrcxQCPKW1gmhmM7psjoYiDJ5OzGK2lKQ==" saltValue="51vyvduV6yqKmKIkl9sm7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12" customWidth="1"/>
    <col min="2" max="2" width="8" style="312" customWidth="1"/>
    <col min="3" max="3" width="14.88671875" style="312" customWidth="1"/>
    <col min="4" max="4" width="16" style="312" customWidth="1"/>
    <col min="5" max="7" width="9.109375" style="312"/>
    <col min="8" max="8" width="21.33203125" style="312" customWidth="1"/>
    <col min="9" max="16384" width="9.109375" style="312"/>
  </cols>
  <sheetData>
    <row r="1" spans="1:11" ht="15.75" customHeight="1" x14ac:dyDescent="0.3">
      <c r="A1" s="1287" t="s">
        <v>1050</v>
      </c>
      <c r="B1" s="1287"/>
      <c r="C1" s="1287"/>
      <c r="D1" s="1287"/>
    </row>
    <row r="2" spans="1:11" ht="15.75" customHeight="1" x14ac:dyDescent="0.3">
      <c r="A2" s="1289" t="s">
        <v>1158</v>
      </c>
      <c r="B2" s="1289"/>
      <c r="C2" s="1289"/>
      <c r="D2" s="1289"/>
    </row>
    <row r="3" spans="1:11" ht="21.9" customHeight="1" x14ac:dyDescent="0.3">
      <c r="A3" s="1287" t="s">
        <v>1159</v>
      </c>
      <c r="B3" s="1287"/>
      <c r="C3" s="1287"/>
      <c r="D3" s="1287"/>
    </row>
    <row r="4" spans="1:11" ht="21" customHeight="1" x14ac:dyDescent="0.3">
      <c r="A4" s="740"/>
      <c r="B4" s="740"/>
      <c r="C4" s="739" t="s">
        <v>1160</v>
      </c>
      <c r="D4" s="739" t="s">
        <v>1161</v>
      </c>
      <c r="I4" s="740"/>
      <c r="J4" s="739"/>
      <c r="K4" s="739"/>
    </row>
    <row r="5" spans="1:11" ht="15.75" customHeight="1" x14ac:dyDescent="0.3">
      <c r="A5" s="740"/>
      <c r="B5" s="735" t="s">
        <v>1162</v>
      </c>
      <c r="C5" s="739" t="s">
        <v>1163</v>
      </c>
      <c r="D5" s="739" t="s">
        <v>1164</v>
      </c>
      <c r="I5" s="735"/>
      <c r="J5" s="739"/>
      <c r="K5" s="739"/>
    </row>
    <row r="6" spans="1:11" ht="21" customHeight="1" x14ac:dyDescent="0.3">
      <c r="A6" s="719" t="s">
        <v>1165</v>
      </c>
      <c r="B6" s="735" t="s">
        <v>1166</v>
      </c>
      <c r="C6" s="739" t="s">
        <v>1167</v>
      </c>
      <c r="D6" s="739" t="s">
        <v>1167</v>
      </c>
      <c r="I6" s="735"/>
      <c r="J6" s="739"/>
      <c r="K6" s="739"/>
    </row>
    <row r="7" spans="1:11" ht="21.9" customHeight="1" x14ac:dyDescent="0.3">
      <c r="A7" s="719" t="s">
        <v>1168</v>
      </c>
      <c r="B7" s="724">
        <v>0.59699999999999998</v>
      </c>
      <c r="C7" s="720">
        <v>2015</v>
      </c>
      <c r="D7" s="720">
        <v>2021</v>
      </c>
      <c r="H7" s="726"/>
      <c r="I7" s="722"/>
      <c r="J7" s="733"/>
      <c r="K7" s="733"/>
    </row>
    <row r="8" spans="1:11" ht="15.75" customHeight="1" x14ac:dyDescent="0.3">
      <c r="A8" s="719" t="s">
        <v>1169</v>
      </c>
      <c r="B8" s="724">
        <v>0.52900000000000003</v>
      </c>
      <c r="C8" s="720">
        <v>2017</v>
      </c>
      <c r="D8" s="720">
        <v>2021</v>
      </c>
      <c r="H8" s="726"/>
      <c r="I8" s="722"/>
      <c r="J8" s="733"/>
      <c r="K8" s="733"/>
    </row>
    <row r="9" spans="1:11" ht="15.75" customHeight="1" x14ac:dyDescent="0.3">
      <c r="A9" s="719" t="s">
        <v>1170</v>
      </c>
      <c r="B9" s="724">
        <v>0.63</v>
      </c>
      <c r="C9" s="720">
        <v>2013</v>
      </c>
      <c r="D9" s="720">
        <v>2021</v>
      </c>
      <c r="H9" s="726"/>
      <c r="I9" s="722"/>
      <c r="J9" s="733"/>
      <c r="K9" s="733"/>
    </row>
    <row r="10" spans="1:11" ht="15.75" customHeight="1" x14ac:dyDescent="0.3">
      <c r="A10" s="719" t="s">
        <v>1171</v>
      </c>
      <c r="B10" s="724">
        <v>0.73499999999999999</v>
      </c>
      <c r="C10" s="720">
        <v>2016</v>
      </c>
      <c r="D10" s="720">
        <v>2021</v>
      </c>
      <c r="H10" s="726"/>
      <c r="I10" s="722"/>
      <c r="J10" s="733"/>
      <c r="K10" s="733"/>
    </row>
    <row r="11" spans="1:11" ht="21.9" customHeight="1" x14ac:dyDescent="0.3">
      <c r="A11" s="719" t="s">
        <v>1172</v>
      </c>
      <c r="B11" s="724">
        <v>0.67</v>
      </c>
      <c r="C11" s="720">
        <v>2017</v>
      </c>
      <c r="D11" s="720">
        <v>2021</v>
      </c>
      <c r="H11" s="726"/>
      <c r="I11" s="722"/>
      <c r="J11" s="733"/>
      <c r="K11" s="733"/>
    </row>
    <row r="12" spans="1:11" ht="21" customHeight="1" x14ac:dyDescent="0.3">
      <c r="A12" s="719" t="s">
        <v>1173</v>
      </c>
      <c r="B12" s="724">
        <v>0.72</v>
      </c>
      <c r="C12" s="720">
        <v>2016</v>
      </c>
      <c r="D12" s="720">
        <v>2021</v>
      </c>
      <c r="H12" s="726"/>
      <c r="I12" s="722"/>
      <c r="J12" s="733"/>
      <c r="K12" s="733"/>
    </row>
    <row r="13" spans="1:11" ht="15.75" customHeight="1" x14ac:dyDescent="0.3">
      <c r="A13" s="719" t="s">
        <v>1174</v>
      </c>
      <c r="B13" s="724">
        <v>0.80500000000000005</v>
      </c>
      <c r="C13" s="720">
        <v>2013</v>
      </c>
      <c r="D13" s="720">
        <v>2021</v>
      </c>
      <c r="H13" s="726"/>
      <c r="I13" s="722"/>
      <c r="J13" s="733"/>
      <c r="K13" s="733"/>
    </row>
    <row r="14" spans="1:11" ht="15.75" customHeight="1" x14ac:dyDescent="0.3">
      <c r="A14" s="719" t="s">
        <v>1175</v>
      </c>
      <c r="B14" s="724">
        <v>0.48</v>
      </c>
      <c r="C14" s="720">
        <v>2013</v>
      </c>
      <c r="D14" s="720">
        <v>2021</v>
      </c>
      <c r="H14" s="726"/>
      <c r="I14" s="722"/>
      <c r="J14" s="733"/>
      <c r="K14" s="733"/>
    </row>
    <row r="15" spans="1:11" ht="15.75" customHeight="1" x14ac:dyDescent="0.3">
      <c r="A15" s="719" t="s">
        <v>1176</v>
      </c>
      <c r="B15" s="724">
        <v>0.54</v>
      </c>
      <c r="C15" s="720">
        <v>2015</v>
      </c>
      <c r="D15" s="720">
        <v>2021</v>
      </c>
      <c r="H15" s="726"/>
      <c r="I15" s="722"/>
      <c r="J15" s="733"/>
      <c r="K15" s="725"/>
    </row>
    <row r="16" spans="1:11" ht="21" customHeight="1" x14ac:dyDescent="0.3">
      <c r="A16" s="719" t="s">
        <v>1177</v>
      </c>
      <c r="B16" s="724">
        <v>0.73799999999999999</v>
      </c>
      <c r="C16" s="720">
        <v>2017</v>
      </c>
      <c r="D16" s="720">
        <v>2021</v>
      </c>
      <c r="H16" s="726"/>
      <c r="I16" s="722"/>
      <c r="J16" s="733"/>
      <c r="K16" s="725"/>
    </row>
    <row r="17" spans="1:11" ht="21.9" customHeight="1" x14ac:dyDescent="0.3">
      <c r="A17" s="719" t="s">
        <v>1178</v>
      </c>
      <c r="B17" s="724">
        <v>0.74350000000000005</v>
      </c>
      <c r="C17" s="720">
        <v>2017</v>
      </c>
      <c r="D17" s="720">
        <v>2021</v>
      </c>
      <c r="H17" s="726"/>
      <c r="I17" s="722"/>
      <c r="J17" s="733"/>
      <c r="K17" s="725"/>
    </row>
    <row r="18" spans="1:11" ht="15.75" customHeight="1" x14ac:dyDescent="0.3">
      <c r="A18" s="719" t="s">
        <v>1179</v>
      </c>
      <c r="B18" s="724">
        <v>0.78600000000000003</v>
      </c>
      <c r="C18" s="720">
        <v>2013</v>
      </c>
      <c r="D18" s="720">
        <v>2021</v>
      </c>
      <c r="H18" s="726"/>
      <c r="I18" s="722"/>
      <c r="J18" s="733"/>
      <c r="K18" s="725"/>
    </row>
    <row r="19" spans="1:11" ht="15.75" customHeight="1" x14ac:dyDescent="0.3">
      <c r="A19" s="719" t="s">
        <v>1180</v>
      </c>
      <c r="B19" s="724">
        <v>0.58499999999999996</v>
      </c>
      <c r="C19" s="720">
        <v>2017</v>
      </c>
      <c r="D19" s="720">
        <v>2021</v>
      </c>
      <c r="H19" s="726"/>
      <c r="I19" s="722"/>
      <c r="J19" s="733"/>
      <c r="K19" s="725"/>
    </row>
    <row r="20" spans="1:11" ht="15.75" customHeight="1" x14ac:dyDescent="0.3">
      <c r="A20" s="719" t="s">
        <v>1181</v>
      </c>
      <c r="B20" s="724">
        <v>0.38</v>
      </c>
      <c r="C20" s="720">
        <v>2016</v>
      </c>
      <c r="D20" s="720">
        <v>2021</v>
      </c>
    </row>
    <row r="21" spans="1:11" ht="21.9" customHeight="1" x14ac:dyDescent="0.3">
      <c r="A21" s="728" t="s">
        <v>1182</v>
      </c>
      <c r="B21" s="724">
        <v>0.55500000000000005</v>
      </c>
      <c r="C21" s="720">
        <v>2017</v>
      </c>
      <c r="D21" s="738">
        <v>2021</v>
      </c>
    </row>
    <row r="22" spans="1:11" ht="21" customHeight="1" x14ac:dyDescent="0.3">
      <c r="A22" s="728" t="s">
        <v>1183</v>
      </c>
      <c r="B22" s="724">
        <v>0.8679</v>
      </c>
      <c r="C22" s="720">
        <v>2017</v>
      </c>
      <c r="D22" s="738">
        <v>2021</v>
      </c>
    </row>
    <row r="23" spans="1:11" ht="15.75" customHeight="1" x14ac:dyDescent="0.3">
      <c r="A23" s="728" t="s">
        <v>1184</v>
      </c>
      <c r="B23" s="724">
        <v>0.72</v>
      </c>
      <c r="C23" s="720">
        <v>2013</v>
      </c>
      <c r="D23" s="738">
        <v>2021</v>
      </c>
    </row>
    <row r="24" spans="1:11" ht="15.75" customHeight="1" x14ac:dyDescent="0.3">
      <c r="A24" s="728" t="s">
        <v>1185</v>
      </c>
      <c r="B24" s="724">
        <v>0.5494</v>
      </c>
      <c r="C24" s="720">
        <v>2017</v>
      </c>
      <c r="D24" s="738">
        <v>2021</v>
      </c>
    </row>
    <row r="25" spans="1:11" ht="15.75" customHeight="1" x14ac:dyDescent="0.3">
      <c r="A25" s="728" t="s">
        <v>1186</v>
      </c>
      <c r="B25" s="724">
        <v>0.67</v>
      </c>
      <c r="C25" s="720">
        <v>2017</v>
      </c>
      <c r="D25" s="738">
        <v>2021</v>
      </c>
    </row>
    <row r="26" spans="1:11" ht="21.9" customHeight="1" x14ac:dyDescent="0.3">
      <c r="A26" s="728" t="s">
        <v>1187</v>
      </c>
      <c r="B26" s="724">
        <v>0.66</v>
      </c>
      <c r="C26" s="720">
        <v>2017</v>
      </c>
      <c r="D26" s="738">
        <v>2021</v>
      </c>
    </row>
    <row r="27" spans="1:11" ht="21.9" customHeight="1" x14ac:dyDescent="0.3">
      <c r="A27" s="728" t="s">
        <v>1188</v>
      </c>
      <c r="B27" s="724">
        <v>0.58199999999999996</v>
      </c>
      <c r="C27" s="720">
        <v>2016</v>
      </c>
      <c r="D27" s="738">
        <v>2021</v>
      </c>
    </row>
    <row r="28" spans="1:11" ht="15.75" customHeight="1" x14ac:dyDescent="0.3">
      <c r="A28" s="728" t="s">
        <v>1189</v>
      </c>
      <c r="B28" s="724">
        <v>0.36</v>
      </c>
      <c r="C28" s="720">
        <v>2013</v>
      </c>
      <c r="D28" s="738">
        <v>2021</v>
      </c>
    </row>
    <row r="29" spans="1:11" ht="15.75" customHeight="1" x14ac:dyDescent="0.3">
      <c r="A29" s="728" t="s">
        <v>1190</v>
      </c>
      <c r="B29" s="724">
        <v>0.63600000000000001</v>
      </c>
      <c r="C29" s="720">
        <v>2016</v>
      </c>
      <c r="D29" s="738">
        <v>2021</v>
      </c>
    </row>
    <row r="30" spans="1:11" ht="15.75" customHeight="1" x14ac:dyDescent="0.3">
      <c r="A30" s="728" t="s">
        <v>1191</v>
      </c>
      <c r="B30" s="724">
        <v>0.73089999999999999</v>
      </c>
      <c r="C30" s="720">
        <v>2015</v>
      </c>
      <c r="D30" s="738">
        <v>2021</v>
      </c>
    </row>
    <row r="31" spans="1:11" ht="21" customHeight="1" x14ac:dyDescent="0.3">
      <c r="A31" s="728" t="s">
        <v>1192</v>
      </c>
      <c r="B31" s="724">
        <v>0.85499999999999998</v>
      </c>
      <c r="C31" s="720">
        <v>2013</v>
      </c>
      <c r="D31" s="738">
        <v>2021</v>
      </c>
    </row>
    <row r="32" spans="1:11" ht="21.9" customHeight="1" x14ac:dyDescent="0.3">
      <c r="A32" s="741" t="s">
        <v>1193</v>
      </c>
      <c r="B32" s="718">
        <v>0.55000000000000004</v>
      </c>
      <c r="C32" s="737">
        <v>2018</v>
      </c>
      <c r="D32" s="737">
        <v>2022</v>
      </c>
    </row>
    <row r="33" spans="1:4" ht="15.75" customHeight="1" x14ac:dyDescent="0.3">
      <c r="A33" s="741" t="s">
        <v>1194</v>
      </c>
      <c r="B33" s="718">
        <v>0.82</v>
      </c>
      <c r="C33" s="737">
        <v>2015</v>
      </c>
      <c r="D33" s="737">
        <v>2022</v>
      </c>
    </row>
    <row r="34" spans="1:4" ht="15.75" customHeight="1" x14ac:dyDescent="0.3">
      <c r="A34" s="741" t="s">
        <v>1195</v>
      </c>
      <c r="B34" s="718">
        <v>0.755</v>
      </c>
      <c r="C34" s="737">
        <v>2014</v>
      </c>
      <c r="D34" s="737">
        <v>2022</v>
      </c>
    </row>
    <row r="35" spans="1:4" ht="15.75" customHeight="1" x14ac:dyDescent="0.3">
      <c r="A35" s="741" t="s">
        <v>1196</v>
      </c>
      <c r="B35" s="718">
        <v>0.5494</v>
      </c>
      <c r="C35" s="737">
        <v>2016</v>
      </c>
      <c r="D35" s="737">
        <v>2022</v>
      </c>
    </row>
    <row r="36" spans="1:4" ht="21.9" customHeight="1" x14ac:dyDescent="0.3">
      <c r="A36" s="741" t="s">
        <v>1197</v>
      </c>
      <c r="B36" s="718">
        <v>0.73499999999999999</v>
      </c>
      <c r="C36" s="737">
        <v>2017</v>
      </c>
      <c r="D36" s="737">
        <v>2022</v>
      </c>
    </row>
    <row r="37" spans="1:4" ht="21" customHeight="1" x14ac:dyDescent="0.3">
      <c r="A37" s="741" t="s">
        <v>1198</v>
      </c>
      <c r="B37" s="718">
        <v>0.73050000000000004</v>
      </c>
      <c r="C37" s="737">
        <v>2017</v>
      </c>
      <c r="D37" s="737">
        <v>2022</v>
      </c>
    </row>
    <row r="38" spans="1:4" ht="15.75" customHeight="1" x14ac:dyDescent="0.3">
      <c r="A38" s="741" t="s">
        <v>1199</v>
      </c>
      <c r="B38" s="718">
        <v>0.75</v>
      </c>
      <c r="C38" s="737">
        <v>2017</v>
      </c>
      <c r="D38" s="737">
        <v>2022</v>
      </c>
    </row>
    <row r="39" spans="1:4" ht="15.75" customHeight="1" x14ac:dyDescent="0.3">
      <c r="A39" s="741" t="s">
        <v>1200</v>
      </c>
      <c r="B39" s="718">
        <v>0.75</v>
      </c>
      <c r="C39" s="737">
        <v>2014</v>
      </c>
      <c r="D39" s="737">
        <v>2022</v>
      </c>
    </row>
    <row r="40" spans="1:4" ht="15.75" customHeight="1" x14ac:dyDescent="0.3">
      <c r="A40" s="742" t="s">
        <v>1201</v>
      </c>
      <c r="B40" s="718">
        <v>0.77</v>
      </c>
      <c r="C40" s="737">
        <v>2014</v>
      </c>
      <c r="D40" s="723">
        <v>2022</v>
      </c>
    </row>
    <row r="41" spans="1:4" ht="21" customHeight="1" x14ac:dyDescent="0.3">
      <c r="A41" s="742" t="s">
        <v>1202</v>
      </c>
      <c r="B41" s="718">
        <v>0.57999999999999996</v>
      </c>
      <c r="C41" s="737">
        <v>2018</v>
      </c>
      <c r="D41" s="723">
        <v>2022</v>
      </c>
    </row>
    <row r="42" spans="1:4" ht="21.9" customHeight="1" x14ac:dyDescent="0.3">
      <c r="A42" s="742" t="s">
        <v>1203</v>
      </c>
      <c r="B42" s="718">
        <v>0.70499999999999996</v>
      </c>
      <c r="C42" s="737">
        <v>2018</v>
      </c>
      <c r="D42" s="723">
        <v>2022</v>
      </c>
    </row>
    <row r="43" spans="1:4" ht="15.75" customHeight="1" x14ac:dyDescent="0.3">
      <c r="A43" s="742" t="s">
        <v>1204</v>
      </c>
      <c r="B43" s="718">
        <v>0.77</v>
      </c>
      <c r="C43" s="737">
        <v>2014</v>
      </c>
      <c r="D43" s="723">
        <v>2022</v>
      </c>
    </row>
    <row r="44" spans="1:4" ht="15.75" customHeight="1" x14ac:dyDescent="0.3">
      <c r="A44" s="742" t="s">
        <v>1205</v>
      </c>
      <c r="B44" s="718">
        <v>0.40300000000000002</v>
      </c>
      <c r="C44" s="737">
        <v>2014</v>
      </c>
      <c r="D44" s="723">
        <v>2022</v>
      </c>
    </row>
    <row r="45" spans="1:4" ht="15.75" customHeight="1" x14ac:dyDescent="0.3">
      <c r="A45" s="719" t="s">
        <v>1206</v>
      </c>
      <c r="B45" s="724">
        <v>0.79</v>
      </c>
      <c r="C45" s="720">
        <v>2015</v>
      </c>
      <c r="D45" s="720">
        <v>2023</v>
      </c>
    </row>
    <row r="46" spans="1:4" ht="21.9" customHeight="1" x14ac:dyDescent="0.3">
      <c r="A46" s="719" t="s">
        <v>1207</v>
      </c>
      <c r="B46" s="724">
        <v>0.443</v>
      </c>
      <c r="C46" s="720">
        <v>2019</v>
      </c>
      <c r="D46" s="720">
        <v>2023</v>
      </c>
    </row>
    <row r="47" spans="1:4" ht="21" customHeight="1" x14ac:dyDescent="0.3">
      <c r="A47" s="719" t="s">
        <v>1208</v>
      </c>
      <c r="B47" s="724">
        <v>0.48499999999999999</v>
      </c>
      <c r="C47" s="720">
        <v>2019</v>
      </c>
      <c r="D47" s="720">
        <v>2023</v>
      </c>
    </row>
    <row r="48" spans="1:4" ht="15.75" customHeight="1" x14ac:dyDescent="0.3">
      <c r="A48" s="719" t="s">
        <v>1209</v>
      </c>
      <c r="B48" s="724">
        <v>0.74</v>
      </c>
      <c r="C48" s="720">
        <v>2015</v>
      </c>
      <c r="D48" s="720">
        <v>2023</v>
      </c>
    </row>
    <row r="49" spans="1:4" ht="15.75" customHeight="1" x14ac:dyDescent="0.3">
      <c r="A49" s="719" t="s">
        <v>1210</v>
      </c>
      <c r="B49" s="724">
        <v>0.57499999999999996</v>
      </c>
      <c r="C49" s="720">
        <v>2019</v>
      </c>
      <c r="D49" s="720">
        <v>2023</v>
      </c>
    </row>
    <row r="50" spans="1:4" ht="15.75" customHeight="1" x14ac:dyDescent="0.3">
      <c r="A50" s="719" t="s">
        <v>1211</v>
      </c>
      <c r="B50" s="724">
        <v>0.71220000000000006</v>
      </c>
      <c r="C50" s="720">
        <v>2019</v>
      </c>
      <c r="D50" s="720">
        <v>2023</v>
      </c>
    </row>
    <row r="51" spans="1:4" ht="21.9" customHeight="1" x14ac:dyDescent="0.3">
      <c r="A51" s="719" t="s">
        <v>1212</v>
      </c>
      <c r="B51" s="724">
        <v>0.83</v>
      </c>
      <c r="C51" s="720">
        <v>2019</v>
      </c>
      <c r="D51" s="720">
        <v>2023</v>
      </c>
    </row>
    <row r="52" spans="1:4" ht="21.9" customHeight="1" x14ac:dyDescent="0.3">
      <c r="A52" s="719" t="s">
        <v>1213</v>
      </c>
      <c r="B52" s="724">
        <v>0.65</v>
      </c>
      <c r="C52" s="720">
        <v>2019</v>
      </c>
      <c r="D52" s="720">
        <v>2023</v>
      </c>
    </row>
    <row r="53" spans="1:4" ht="15.75" customHeight="1" x14ac:dyDescent="0.3">
      <c r="A53" s="719" t="s">
        <v>1214</v>
      </c>
      <c r="B53" s="724">
        <v>0.56100000000000005</v>
      </c>
      <c r="C53" s="720">
        <v>2019</v>
      </c>
      <c r="D53" s="720">
        <v>2023</v>
      </c>
    </row>
    <row r="54" spans="1:4" ht="15.75" customHeight="1" x14ac:dyDescent="0.3">
      <c r="A54" s="719" t="s">
        <v>1215</v>
      </c>
      <c r="B54" s="724">
        <v>0.77</v>
      </c>
      <c r="C54" s="720">
        <v>2017</v>
      </c>
      <c r="D54" s="720">
        <v>2023</v>
      </c>
    </row>
    <row r="55" spans="1:4" ht="15.75" customHeight="1" x14ac:dyDescent="0.3">
      <c r="A55" s="719" t="s">
        <v>1216</v>
      </c>
      <c r="B55" s="724">
        <v>0.53749999999999998</v>
      </c>
      <c r="C55" s="720">
        <v>2019</v>
      </c>
      <c r="D55" s="720">
        <v>2023</v>
      </c>
    </row>
    <row r="56" spans="1:4" ht="36" customHeight="1" x14ac:dyDescent="0.3">
      <c r="A56" s="728" t="s">
        <v>1217</v>
      </c>
      <c r="B56" s="724">
        <v>0.77500000000000002</v>
      </c>
      <c r="C56" s="720">
        <v>2019</v>
      </c>
      <c r="D56" s="738">
        <v>2023</v>
      </c>
    </row>
    <row r="57" spans="1:4" ht="36" customHeight="1" x14ac:dyDescent="0.3">
      <c r="A57" s="728" t="s">
        <v>1218</v>
      </c>
      <c r="B57" s="724">
        <v>0.59899999999999998</v>
      </c>
      <c r="C57" s="720">
        <v>2019</v>
      </c>
      <c r="D57" s="738">
        <v>2023</v>
      </c>
    </row>
    <row r="58" spans="1:4" ht="36" customHeight="1" x14ac:dyDescent="0.3">
      <c r="A58" s="728" t="s">
        <v>1219</v>
      </c>
      <c r="B58" s="724">
        <v>0.37469999999999998</v>
      </c>
      <c r="C58" s="720">
        <v>2019</v>
      </c>
      <c r="D58" s="738">
        <v>2023</v>
      </c>
    </row>
    <row r="59" spans="1:4" ht="36" customHeight="1" x14ac:dyDescent="0.3">
      <c r="A59" s="728" t="s">
        <v>1220</v>
      </c>
      <c r="B59" s="724">
        <v>0.58750000000000002</v>
      </c>
      <c r="C59" s="720">
        <v>2019</v>
      </c>
      <c r="D59" s="738">
        <v>2023</v>
      </c>
    </row>
    <row r="60" spans="1:4" ht="36" customHeight="1" x14ac:dyDescent="0.3">
      <c r="A60" s="728" t="s">
        <v>1221</v>
      </c>
      <c r="B60" s="724">
        <v>0.6169</v>
      </c>
      <c r="C60" s="720">
        <v>2019</v>
      </c>
      <c r="D60" s="738">
        <v>2023</v>
      </c>
    </row>
    <row r="61" spans="1:4" ht="36" customHeight="1" x14ac:dyDescent="0.3">
      <c r="A61" s="728" t="s">
        <v>1222</v>
      </c>
      <c r="B61" s="724">
        <v>0.51</v>
      </c>
      <c r="C61" s="720">
        <v>2019</v>
      </c>
      <c r="D61" s="738">
        <v>2023</v>
      </c>
    </row>
    <row r="62" spans="1:4" ht="36" customHeight="1" x14ac:dyDescent="0.3">
      <c r="A62" s="728" t="s">
        <v>1223</v>
      </c>
      <c r="B62" s="724">
        <v>0.91</v>
      </c>
      <c r="C62" s="720">
        <v>2015</v>
      </c>
      <c r="D62" s="738">
        <v>2023</v>
      </c>
    </row>
    <row r="63" spans="1:4" ht="36" customHeight="1" x14ac:dyDescent="0.3">
      <c r="A63" s="728" t="s">
        <v>1224</v>
      </c>
      <c r="B63" s="724">
        <v>0.65749999999999997</v>
      </c>
      <c r="C63" s="720">
        <v>2019</v>
      </c>
      <c r="D63" s="738">
        <v>2023</v>
      </c>
    </row>
    <row r="64" spans="1:4" ht="36" customHeight="1" x14ac:dyDescent="0.3">
      <c r="A64" s="728" t="s">
        <v>1225</v>
      </c>
      <c r="B64" s="724">
        <v>0.59699999999999998</v>
      </c>
      <c r="C64" s="720">
        <v>2019</v>
      </c>
      <c r="D64" s="738">
        <v>2023</v>
      </c>
    </row>
    <row r="65" spans="1:4" ht="36" customHeight="1" x14ac:dyDescent="0.3">
      <c r="A65" s="728" t="s">
        <v>1226</v>
      </c>
      <c r="B65" s="724">
        <v>0.66</v>
      </c>
      <c r="C65" s="720">
        <v>2019</v>
      </c>
      <c r="D65" s="738">
        <v>2023</v>
      </c>
    </row>
    <row r="66" spans="1:4" ht="36" customHeight="1" x14ac:dyDescent="0.3">
      <c r="A66" s="728" t="s">
        <v>1227</v>
      </c>
      <c r="B66" s="724">
        <v>0.66</v>
      </c>
      <c r="C66" s="720">
        <v>2017</v>
      </c>
      <c r="D66" s="738">
        <v>2023</v>
      </c>
    </row>
    <row r="67" spans="1:4" ht="36" customHeight="1" x14ac:dyDescent="0.3">
      <c r="A67" s="719" t="s">
        <v>1228</v>
      </c>
      <c r="B67" s="724">
        <v>0.74</v>
      </c>
      <c r="C67" s="720">
        <v>2020</v>
      </c>
      <c r="D67" s="720">
        <v>2024</v>
      </c>
    </row>
    <row r="68" spans="1:4" ht="36" customHeight="1" x14ac:dyDescent="0.3">
      <c r="A68" s="719" t="s">
        <v>1229</v>
      </c>
      <c r="B68" s="724">
        <v>0.33</v>
      </c>
      <c r="C68" s="720">
        <v>2020</v>
      </c>
      <c r="D68" s="720">
        <v>2024</v>
      </c>
    </row>
    <row r="69" spans="1:4" ht="36" customHeight="1" x14ac:dyDescent="0.3">
      <c r="A69" s="719" t="s">
        <v>1230</v>
      </c>
      <c r="B69" s="724">
        <v>0.80500000000000005</v>
      </c>
      <c r="C69" s="720">
        <v>2018</v>
      </c>
      <c r="D69" s="720">
        <v>2024</v>
      </c>
    </row>
    <row r="70" spans="1:4" ht="36" customHeight="1" x14ac:dyDescent="0.3">
      <c r="A70" s="719" t="s">
        <v>1231</v>
      </c>
      <c r="B70" s="724">
        <v>0.76</v>
      </c>
      <c r="C70" s="720">
        <v>2020</v>
      </c>
      <c r="D70" s="720">
        <v>2024</v>
      </c>
    </row>
    <row r="71" spans="1:4" ht="36" customHeight="1" x14ac:dyDescent="0.3">
      <c r="A71" s="728" t="s">
        <v>1232</v>
      </c>
      <c r="B71" s="724">
        <v>0.59</v>
      </c>
      <c r="C71" s="720">
        <v>2016</v>
      </c>
      <c r="D71" s="738">
        <v>2024</v>
      </c>
    </row>
    <row r="72" spans="1:4" ht="36" customHeight="1" x14ac:dyDescent="0.3">
      <c r="A72" s="728" t="s">
        <v>1233</v>
      </c>
      <c r="B72" s="724">
        <v>0.67969999999999997</v>
      </c>
      <c r="C72" s="720">
        <v>2020</v>
      </c>
      <c r="D72" s="738">
        <v>2024</v>
      </c>
    </row>
    <row r="73" spans="1:4" ht="36" customHeight="1" x14ac:dyDescent="0.3">
      <c r="A73" s="728" t="s">
        <v>1234</v>
      </c>
      <c r="B73" s="724">
        <v>0.83</v>
      </c>
      <c r="C73" s="720">
        <v>2016</v>
      </c>
      <c r="D73" s="738">
        <v>2024</v>
      </c>
    </row>
    <row r="74" spans="1:4" ht="36" customHeight="1" x14ac:dyDescent="0.3">
      <c r="A74" s="728" t="s">
        <v>1235</v>
      </c>
      <c r="B74" s="724">
        <v>0.77</v>
      </c>
      <c r="C74" s="720">
        <v>2018</v>
      </c>
      <c r="D74" s="738">
        <v>2024</v>
      </c>
    </row>
    <row r="75" spans="1:4" ht="36" customHeight="1" x14ac:dyDescent="0.3">
      <c r="A75" s="728" t="s">
        <v>1236</v>
      </c>
      <c r="B75" s="724">
        <v>0.89</v>
      </c>
      <c r="C75" s="720">
        <v>2016</v>
      </c>
      <c r="D75" s="738">
        <v>2024</v>
      </c>
    </row>
    <row r="76" spans="1:4" ht="36" customHeight="1" x14ac:dyDescent="0.3">
      <c r="A76" s="728" t="s">
        <v>1237</v>
      </c>
      <c r="B76" s="724">
        <v>0.6</v>
      </c>
      <c r="C76" s="720">
        <v>2020</v>
      </c>
      <c r="D76" s="738">
        <v>2024</v>
      </c>
    </row>
    <row r="77" spans="1:4" ht="36" customHeight="1" x14ac:dyDescent="0.3">
      <c r="A77" s="728" t="s">
        <v>1238</v>
      </c>
      <c r="B77" s="724">
        <v>0.73</v>
      </c>
      <c r="C77" s="720">
        <v>2016</v>
      </c>
      <c r="D77" s="738">
        <v>2024</v>
      </c>
    </row>
    <row r="78" spans="1:4" ht="36" customHeight="1" x14ac:dyDescent="0.3">
      <c r="A78" s="728" t="s">
        <v>1239</v>
      </c>
      <c r="B78" s="724">
        <v>0.6</v>
      </c>
      <c r="C78" s="720">
        <v>2016</v>
      </c>
      <c r="D78" s="738">
        <v>2024</v>
      </c>
    </row>
    <row r="79" spans="1:4" ht="36" customHeight="1" x14ac:dyDescent="0.3">
      <c r="A79" s="719" t="s">
        <v>1240</v>
      </c>
      <c r="B79" s="724">
        <v>0.67</v>
      </c>
      <c r="C79" s="720">
        <v>2017</v>
      </c>
      <c r="D79" s="720">
        <v>2025</v>
      </c>
    </row>
    <row r="80" spans="1:4" ht="36" customHeight="1" x14ac:dyDescent="0.3">
      <c r="A80" s="719" t="s">
        <v>1241</v>
      </c>
      <c r="B80" s="724">
        <v>0.69499999999999995</v>
      </c>
      <c r="C80" s="720">
        <v>2019</v>
      </c>
      <c r="D80" s="720">
        <v>2025</v>
      </c>
    </row>
    <row r="81" spans="1:4" ht="36" customHeight="1" x14ac:dyDescent="0.3">
      <c r="A81" s="719" t="s">
        <v>1242</v>
      </c>
      <c r="B81" s="724">
        <v>0.79900000000000004</v>
      </c>
      <c r="C81" s="720">
        <v>2017</v>
      </c>
      <c r="D81" s="720">
        <v>2025</v>
      </c>
    </row>
    <row r="82" spans="1:4" ht="36" customHeight="1" x14ac:dyDescent="0.3">
      <c r="A82" s="719" t="s">
        <v>1243</v>
      </c>
      <c r="B82" s="724">
        <v>0.40050000000000002</v>
      </c>
      <c r="C82" s="720">
        <v>2020</v>
      </c>
      <c r="D82" s="720">
        <v>2025</v>
      </c>
    </row>
    <row r="83" spans="1:4" ht="36" customHeight="1" x14ac:dyDescent="0.3">
      <c r="A83" s="719" t="s">
        <v>1244</v>
      </c>
      <c r="B83" s="724">
        <v>0.95</v>
      </c>
      <c r="C83" s="720">
        <v>2017</v>
      </c>
      <c r="D83" s="720">
        <v>2025</v>
      </c>
    </row>
    <row r="84" spans="1:4" ht="36" customHeight="1" x14ac:dyDescent="0.3">
      <c r="A84" s="719" t="s">
        <v>1245</v>
      </c>
      <c r="B84" s="724">
        <v>0.79</v>
      </c>
      <c r="C84" s="720">
        <v>2017</v>
      </c>
      <c r="D84" s="720">
        <v>2025</v>
      </c>
    </row>
    <row r="85" spans="1:4" ht="36" customHeight="1" x14ac:dyDescent="0.3">
      <c r="A85" s="728" t="s">
        <v>1246</v>
      </c>
      <c r="B85" s="724">
        <v>0.76</v>
      </c>
      <c r="C85" s="720">
        <v>2019</v>
      </c>
      <c r="D85" s="738">
        <v>2025</v>
      </c>
    </row>
    <row r="86" spans="1:4" ht="36" customHeight="1" x14ac:dyDescent="0.3">
      <c r="A86" s="728" t="s">
        <v>1247</v>
      </c>
      <c r="B86" s="724">
        <v>0.84499999999999997</v>
      </c>
      <c r="C86" s="720">
        <v>2017</v>
      </c>
      <c r="D86" s="738">
        <v>2025</v>
      </c>
    </row>
    <row r="87" spans="1:4" ht="36" customHeight="1" x14ac:dyDescent="0.3">
      <c r="A87" s="728" t="s">
        <v>1248</v>
      </c>
      <c r="B87" s="724">
        <v>0.81</v>
      </c>
      <c r="C87" s="720">
        <v>2017</v>
      </c>
      <c r="D87" s="738">
        <v>2025</v>
      </c>
    </row>
    <row r="88" spans="1:4" ht="36" customHeight="1" x14ac:dyDescent="0.3">
      <c r="A88" s="728" t="s">
        <v>1249</v>
      </c>
      <c r="B88" s="724">
        <v>0.67</v>
      </c>
      <c r="C88" s="720">
        <v>2017</v>
      </c>
      <c r="D88" s="738">
        <v>2025</v>
      </c>
    </row>
    <row r="89" spans="1:4" ht="36" customHeight="1" x14ac:dyDescent="0.3">
      <c r="A89" s="728" t="s">
        <v>1250</v>
      </c>
      <c r="B89" s="724">
        <v>0.63270000000000004</v>
      </c>
      <c r="C89" s="720">
        <v>2019</v>
      </c>
      <c r="D89" s="738">
        <v>2025</v>
      </c>
    </row>
    <row r="90" spans="1:4" ht="36" customHeight="1" x14ac:dyDescent="0.3">
      <c r="A90" s="728" t="s">
        <v>1251</v>
      </c>
      <c r="B90" s="724">
        <v>0.94</v>
      </c>
      <c r="C90" s="720">
        <v>2017</v>
      </c>
      <c r="D90" s="738">
        <v>2025</v>
      </c>
    </row>
    <row r="91" spans="1:4" ht="36" customHeight="1" x14ac:dyDescent="0.3">
      <c r="A91" s="728" t="s">
        <v>1252</v>
      </c>
      <c r="B91" s="724">
        <v>0.81</v>
      </c>
      <c r="C91" s="720">
        <v>2017</v>
      </c>
      <c r="D91" s="738">
        <v>2025</v>
      </c>
    </row>
    <row r="92" spans="1:4" ht="36" customHeight="1" x14ac:dyDescent="0.3">
      <c r="A92" s="719" t="s">
        <v>1253</v>
      </c>
      <c r="B92" s="724">
        <v>0.77700000000000002</v>
      </c>
      <c r="C92" s="720">
        <v>2018</v>
      </c>
      <c r="D92" s="720">
        <v>2026</v>
      </c>
    </row>
    <row r="93" spans="1:4" ht="36" customHeight="1" x14ac:dyDescent="0.3">
      <c r="A93" s="719" t="s">
        <v>1254</v>
      </c>
      <c r="B93" s="724">
        <v>0.63500000000000001</v>
      </c>
      <c r="C93" s="720">
        <v>2018</v>
      </c>
      <c r="D93" s="720">
        <v>2026</v>
      </c>
    </row>
    <row r="94" spans="1:4" ht="36" customHeight="1" x14ac:dyDescent="0.3">
      <c r="A94" s="719" t="s">
        <v>1255</v>
      </c>
      <c r="B94" s="724">
        <v>0.43</v>
      </c>
      <c r="C94" s="720">
        <v>2018</v>
      </c>
      <c r="D94" s="720">
        <v>2026</v>
      </c>
    </row>
    <row r="95" spans="1:4" ht="36" customHeight="1" x14ac:dyDescent="0.3">
      <c r="A95" s="719" t="s">
        <v>1256</v>
      </c>
      <c r="B95" s="724">
        <v>0.84</v>
      </c>
      <c r="C95" s="720">
        <v>2018</v>
      </c>
      <c r="D95" s="720">
        <v>2026</v>
      </c>
    </row>
    <row r="96" spans="1:4" ht="36" customHeight="1" x14ac:dyDescent="0.3">
      <c r="A96" s="719" t="s">
        <v>1257</v>
      </c>
      <c r="B96" s="724">
        <v>0.84</v>
      </c>
      <c r="C96" s="720">
        <v>2019</v>
      </c>
      <c r="D96" s="720">
        <v>2027</v>
      </c>
    </row>
    <row r="97" spans="1:4" ht="36" customHeight="1" x14ac:dyDescent="0.3">
      <c r="A97" s="728" t="s">
        <v>1258</v>
      </c>
      <c r="B97" s="724">
        <v>0.64500000000000002</v>
      </c>
      <c r="C97" s="720">
        <v>2019</v>
      </c>
      <c r="D97" s="738">
        <v>2027</v>
      </c>
    </row>
    <row r="98" spans="1:4" ht="36" customHeight="1" x14ac:dyDescent="0.3">
      <c r="A98" s="728" t="s">
        <v>1259</v>
      </c>
      <c r="B98" s="724">
        <v>0.69499999999999995</v>
      </c>
      <c r="C98" s="720">
        <v>2019</v>
      </c>
      <c r="D98" s="738">
        <v>2027</v>
      </c>
    </row>
    <row r="99" spans="1:4" ht="36" customHeight="1" x14ac:dyDescent="0.3">
      <c r="A99" s="728" t="s">
        <v>1260</v>
      </c>
      <c r="B99" s="724">
        <v>0.82499999999999996</v>
      </c>
      <c r="C99" s="720">
        <v>2019</v>
      </c>
      <c r="D99" s="738">
        <v>2027</v>
      </c>
    </row>
    <row r="100" spans="1:4" ht="36" customHeight="1" x14ac:dyDescent="0.3">
      <c r="A100" s="728" t="s">
        <v>1261</v>
      </c>
      <c r="B100" s="724">
        <v>1</v>
      </c>
      <c r="C100" s="720">
        <v>2019</v>
      </c>
      <c r="D100" s="738">
        <v>2027</v>
      </c>
    </row>
    <row r="101" spans="1:4" ht="36" customHeight="1" x14ac:dyDescent="0.3">
      <c r="A101" s="728" t="s">
        <v>1262</v>
      </c>
      <c r="B101" s="724">
        <v>0.66349999999999998</v>
      </c>
      <c r="C101" s="720">
        <v>2019</v>
      </c>
      <c r="D101" s="738">
        <v>2027</v>
      </c>
    </row>
    <row r="102" spans="1:4" ht="36" customHeight="1" x14ac:dyDescent="0.3">
      <c r="A102" s="719" t="s">
        <v>1263</v>
      </c>
      <c r="B102" s="724">
        <v>0.86499999999999999</v>
      </c>
      <c r="C102" s="720">
        <v>2020</v>
      </c>
      <c r="D102" s="720">
        <v>2028</v>
      </c>
    </row>
    <row r="103" spans="1:4" ht="36" customHeight="1" x14ac:dyDescent="0.3">
      <c r="A103" s="719" t="s">
        <v>1264</v>
      </c>
      <c r="B103" s="724">
        <v>0.46</v>
      </c>
      <c r="C103" s="720">
        <v>2020</v>
      </c>
      <c r="D103" s="720">
        <v>2028</v>
      </c>
    </row>
    <row r="104" spans="1:4" ht="36" customHeight="1" x14ac:dyDescent="0.3">
      <c r="A104" s="728" t="s">
        <v>1265</v>
      </c>
      <c r="B104" s="724">
        <v>0.5</v>
      </c>
      <c r="C104" s="720">
        <v>2020</v>
      </c>
      <c r="D104" s="738">
        <v>2028</v>
      </c>
    </row>
    <row r="105" spans="1:4" ht="36" customHeight="1" x14ac:dyDescent="0.3">
      <c r="A105" s="728" t="s">
        <v>1266</v>
      </c>
      <c r="B105" s="724">
        <v>0.62</v>
      </c>
      <c r="C105" s="720">
        <v>2020</v>
      </c>
      <c r="D105" s="738">
        <v>2028</v>
      </c>
    </row>
    <row r="106" spans="1:4" ht="36" customHeight="1" x14ac:dyDescent="0.3">
      <c r="A106" s="728" t="s">
        <v>1267</v>
      </c>
      <c r="B106" s="724">
        <v>0.625</v>
      </c>
      <c r="C106" s="720">
        <v>2020</v>
      </c>
      <c r="D106" s="738">
        <v>2028</v>
      </c>
    </row>
    <row r="107" spans="1:4" ht="36" customHeight="1" x14ac:dyDescent="0.3">
      <c r="A107" s="719"/>
      <c r="B107" s="724"/>
      <c r="C107" s="720"/>
      <c r="D107" s="720"/>
    </row>
    <row r="108" spans="1:4" ht="36" customHeight="1" x14ac:dyDescent="0.3">
      <c r="A108" s="719"/>
      <c r="B108" s="724"/>
      <c r="C108" s="720"/>
      <c r="D108" s="720"/>
    </row>
    <row r="109" spans="1:4" ht="36" customHeight="1" x14ac:dyDescent="0.3">
      <c r="A109" s="719"/>
      <c r="B109" s="724"/>
      <c r="C109" s="720"/>
      <c r="D109" s="720"/>
    </row>
    <row r="110" spans="1:4" ht="36" customHeight="1" x14ac:dyDescent="0.3">
      <c r="A110" s="719"/>
      <c r="B110" s="724"/>
      <c r="C110" s="720"/>
      <c r="D110" s="720"/>
    </row>
    <row r="111" spans="1:4" ht="36" customHeight="1" x14ac:dyDescent="0.3">
      <c r="A111" s="719"/>
      <c r="B111" s="724"/>
      <c r="C111" s="720"/>
      <c r="D111" s="720"/>
    </row>
    <row r="112" spans="1:4" ht="36" customHeight="1" x14ac:dyDescent="0.3">
      <c r="A112" s="1290" t="s">
        <v>1268</v>
      </c>
      <c r="B112" s="1290"/>
      <c r="C112" s="1290"/>
      <c r="D112" s="1290"/>
    </row>
    <row r="113" spans="1:4" ht="15.75" customHeight="1" x14ac:dyDescent="0.3">
      <c r="A113" s="1285" t="s">
        <v>1269</v>
      </c>
      <c r="B113" s="1285"/>
      <c r="C113" s="1285"/>
      <c r="D113" s="1285"/>
    </row>
    <row r="114" spans="1:4" ht="15.75" customHeight="1" x14ac:dyDescent="0.3">
      <c r="A114" s="1288" t="s">
        <v>1270</v>
      </c>
      <c r="B114" s="1288"/>
      <c r="C114" s="1288"/>
      <c r="D114" s="1288"/>
    </row>
    <row r="115" spans="1:4" ht="15.75" customHeight="1" x14ac:dyDescent="0.3">
      <c r="A115" s="1285" t="s">
        <v>1271</v>
      </c>
      <c r="B115" s="1285"/>
      <c r="C115" s="1285"/>
      <c r="D115" s="1285"/>
    </row>
    <row r="116" spans="1:4" ht="21.9" customHeight="1" x14ac:dyDescent="0.3">
      <c r="A116" s="1286" t="s">
        <v>1272</v>
      </c>
      <c r="B116" s="1286"/>
      <c r="C116" s="1286"/>
      <c r="D116" s="1286"/>
    </row>
    <row r="117" spans="1:4" ht="21" customHeight="1" x14ac:dyDescent="0.3">
      <c r="A117" s="1287" t="s">
        <v>1273</v>
      </c>
      <c r="B117" s="1287"/>
      <c r="C117" s="1287"/>
      <c r="D117" s="1287"/>
    </row>
    <row r="118" spans="1:4" ht="15.75" customHeight="1" x14ac:dyDescent="0.3">
      <c r="A118" s="1287" t="s">
        <v>1274</v>
      </c>
      <c r="B118" s="1287"/>
      <c r="C118" s="1287"/>
      <c r="D118" s="1287"/>
    </row>
    <row r="119" spans="1:4" ht="15.75" customHeight="1" x14ac:dyDescent="0.3">
      <c r="A119" s="1287" t="s">
        <v>1275</v>
      </c>
      <c r="B119" s="1287"/>
      <c r="C119" s="1287"/>
      <c r="D119" s="1287"/>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1"/>
  <sheetViews>
    <sheetView workbookViewId="0">
      <selection activeCell="N26" sqref="N26"/>
    </sheetView>
  </sheetViews>
  <sheetFormatPr defaultColWidth="9.109375" defaultRowHeight="14.4" x14ac:dyDescent="0.3"/>
  <cols>
    <col min="1" max="1" width="28.5546875" style="746" customWidth="1"/>
    <col min="2" max="12" width="9.109375" style="746"/>
    <col min="13" max="13" width="9.109375" style="1124"/>
    <col min="14" max="16384" width="9.109375" style="746"/>
  </cols>
  <sheetData>
    <row r="1" spans="1:21" x14ac:dyDescent="0.3">
      <c r="A1" s="746" t="s">
        <v>1621</v>
      </c>
      <c r="M1" s="1122" t="s">
        <v>1875</v>
      </c>
      <c r="N1" s="1049"/>
      <c r="O1" s="1049"/>
      <c r="P1" s="1049"/>
      <c r="Q1" s="1049"/>
      <c r="R1" s="1049" t="s">
        <v>1876</v>
      </c>
    </row>
    <row r="2" spans="1:21" x14ac:dyDescent="0.3">
      <c r="A2" s="1004" t="s">
        <v>1691</v>
      </c>
      <c r="B2" s="1044">
        <v>53876</v>
      </c>
      <c r="C2" s="732"/>
      <c r="D2" s="56"/>
      <c r="E2" s="56"/>
      <c r="G2" s="746">
        <v>100</v>
      </c>
      <c r="I2" s="746" t="s">
        <v>613</v>
      </c>
      <c r="M2" s="1123" t="s">
        <v>1691</v>
      </c>
      <c r="N2" s="1059">
        <v>53876</v>
      </c>
      <c r="O2" s="1049" t="b">
        <f>EXACT(A2,M2)</f>
        <v>1</v>
      </c>
      <c r="P2" s="1049" t="b">
        <f>EXACT(B2,N2)</f>
        <v>1</v>
      </c>
      <c r="R2" s="1049" t="s">
        <v>1691</v>
      </c>
      <c r="S2" s="1049">
        <v>53876</v>
      </c>
      <c r="T2" s="1049" t="b">
        <f>EXACT(M2,R2)</f>
        <v>1</v>
      </c>
      <c r="U2" s="1049" t="b">
        <f>EXACT(N2,S2)</f>
        <v>1</v>
      </c>
    </row>
    <row r="3" spans="1:21" ht="15" customHeight="1" x14ac:dyDescent="0.3">
      <c r="A3" s="1004" t="s">
        <v>1692</v>
      </c>
      <c r="B3" s="1044">
        <v>53926</v>
      </c>
      <c r="C3" s="732"/>
      <c r="D3" s="55"/>
      <c r="E3" s="56"/>
      <c r="G3" s="746">
        <v>200</v>
      </c>
      <c r="I3" s="746" t="s">
        <v>614</v>
      </c>
      <c r="M3" s="1123" t="s">
        <v>1692</v>
      </c>
      <c r="N3" s="1059">
        <v>53926</v>
      </c>
      <c r="O3" s="1049" t="b">
        <f t="shared" ref="O3:O5" si="0">EXACT(A3,M3)</f>
        <v>1</v>
      </c>
      <c r="P3" s="1049" t="b">
        <f t="shared" ref="P3:P5" si="1">EXACT(B3,N3)</f>
        <v>1</v>
      </c>
      <c r="R3" s="1049" t="s">
        <v>1692</v>
      </c>
      <c r="S3" s="1049">
        <v>53926</v>
      </c>
      <c r="T3" s="1049" t="b">
        <f t="shared" ref="T3:T5" si="2">EXACT(M3,R3)</f>
        <v>1</v>
      </c>
      <c r="U3" s="1049" t="b">
        <f t="shared" ref="U3:U5" si="3">EXACT(N3,S3)</f>
        <v>1</v>
      </c>
    </row>
    <row r="4" spans="1:21" ht="15" customHeight="1" x14ac:dyDescent="0.3">
      <c r="A4" s="1004" t="s">
        <v>1693</v>
      </c>
      <c r="B4" s="1044">
        <v>53880</v>
      </c>
      <c r="C4" s="732"/>
      <c r="D4" s="55"/>
      <c r="E4" s="56"/>
      <c r="G4" s="746">
        <v>300</v>
      </c>
      <c r="I4" s="746" t="s">
        <v>615</v>
      </c>
      <c r="M4" s="1123" t="s">
        <v>1693</v>
      </c>
      <c r="N4" s="1059">
        <v>53880</v>
      </c>
      <c r="O4" s="1049" t="b">
        <f t="shared" si="0"/>
        <v>1</v>
      </c>
      <c r="P4" s="1049" t="b">
        <f t="shared" si="1"/>
        <v>1</v>
      </c>
      <c r="R4" s="1049" t="s">
        <v>1693</v>
      </c>
      <c r="S4" s="1049">
        <v>53880</v>
      </c>
      <c r="T4" s="1049" t="b">
        <f t="shared" si="2"/>
        <v>1</v>
      </c>
      <c r="U4" s="1049" t="b">
        <f t="shared" si="3"/>
        <v>1</v>
      </c>
    </row>
    <row r="5" spans="1:21" x14ac:dyDescent="0.3">
      <c r="A5" s="1004" t="s">
        <v>1694</v>
      </c>
      <c r="B5" s="1044">
        <v>53881</v>
      </c>
      <c r="C5" s="732"/>
      <c r="D5" s="55"/>
      <c r="E5" s="56"/>
      <c r="G5" s="746">
        <v>400</v>
      </c>
      <c r="M5" s="1123" t="s">
        <v>1694</v>
      </c>
      <c r="N5" s="1059">
        <v>53881</v>
      </c>
      <c r="O5" s="1049" t="b">
        <f t="shared" si="0"/>
        <v>1</v>
      </c>
      <c r="P5" s="1049" t="b">
        <f t="shared" si="1"/>
        <v>1</v>
      </c>
      <c r="R5" s="1049" t="s">
        <v>1694</v>
      </c>
      <c r="S5" s="1049">
        <v>53881</v>
      </c>
      <c r="T5" s="1049" t="b">
        <f t="shared" si="2"/>
        <v>1</v>
      </c>
      <c r="U5" s="1049" t="b">
        <f t="shared" si="3"/>
        <v>1</v>
      </c>
    </row>
    <row r="6" spans="1:21" ht="28.8" x14ac:dyDescent="0.3">
      <c r="A6" s="1004" t="s">
        <v>1695</v>
      </c>
      <c r="B6" s="1044">
        <v>53938</v>
      </c>
      <c r="C6" s="732"/>
      <c r="D6" s="55"/>
      <c r="E6" s="56"/>
      <c r="G6" s="746">
        <v>500</v>
      </c>
      <c r="M6" s="1123" t="s">
        <v>1695</v>
      </c>
      <c r="N6" s="1059">
        <v>53938</v>
      </c>
      <c r="O6" s="1049" t="b">
        <f t="shared" ref="O6:O8" si="4">EXACT(A6,M6)</f>
        <v>1</v>
      </c>
      <c r="P6" s="1049" t="b">
        <f t="shared" ref="P6:P8" si="5">EXACT(B6,N6)</f>
        <v>1</v>
      </c>
      <c r="R6" s="1049" t="s">
        <v>1695</v>
      </c>
      <c r="S6" s="1049">
        <v>53938</v>
      </c>
      <c r="T6" s="1049" t="b">
        <f t="shared" ref="T6:T8" si="6">EXACT(M6,R6)</f>
        <v>1</v>
      </c>
      <c r="U6" s="1049" t="b">
        <f t="shared" ref="U6:U8" si="7">EXACT(N6,S6)</f>
        <v>1</v>
      </c>
    </row>
    <row r="7" spans="1:21" ht="28.8" x14ac:dyDescent="0.3">
      <c r="A7" s="1004" t="s">
        <v>1697</v>
      </c>
      <c r="B7" s="1044">
        <v>53884</v>
      </c>
      <c r="D7" s="55"/>
      <c r="E7" s="56"/>
      <c r="M7" s="1123" t="s">
        <v>1697</v>
      </c>
      <c r="N7" s="1059">
        <v>53884</v>
      </c>
      <c r="O7" s="1049" t="b">
        <f t="shared" si="4"/>
        <v>1</v>
      </c>
      <c r="P7" s="1049" t="b">
        <f t="shared" si="5"/>
        <v>1</v>
      </c>
      <c r="R7" s="1049" t="s">
        <v>1697</v>
      </c>
      <c r="S7" s="1049">
        <v>53884</v>
      </c>
      <c r="T7" s="1049" t="b">
        <f t="shared" si="6"/>
        <v>1</v>
      </c>
      <c r="U7" s="1049" t="b">
        <f t="shared" si="7"/>
        <v>1</v>
      </c>
    </row>
    <row r="8" spans="1:21" x14ac:dyDescent="0.3">
      <c r="A8" s="1004" t="s">
        <v>1699</v>
      </c>
      <c r="B8" s="1044">
        <v>53889</v>
      </c>
      <c r="C8" s="732"/>
      <c r="D8" s="55"/>
      <c r="E8" s="56"/>
      <c r="M8" s="1123" t="s">
        <v>1699</v>
      </c>
      <c r="N8" s="1059">
        <v>53889</v>
      </c>
      <c r="O8" s="1049" t="b">
        <f t="shared" si="4"/>
        <v>1</v>
      </c>
      <c r="P8" s="1049" t="b">
        <f t="shared" si="5"/>
        <v>1</v>
      </c>
      <c r="R8" s="1049" t="s">
        <v>1699</v>
      </c>
      <c r="S8" s="1049">
        <v>53889</v>
      </c>
      <c r="T8" s="1049" t="b">
        <f t="shared" si="6"/>
        <v>1</v>
      </c>
      <c r="U8" s="1049" t="b">
        <f t="shared" si="7"/>
        <v>1</v>
      </c>
    </row>
    <row r="9" spans="1:21" ht="28.8" x14ac:dyDescent="0.3">
      <c r="A9" s="1004" t="s">
        <v>1701</v>
      </c>
      <c r="B9" s="1044">
        <v>53890</v>
      </c>
      <c r="C9" s="732"/>
      <c r="D9" s="55"/>
      <c r="E9" s="56"/>
      <c r="M9" s="1123" t="s">
        <v>1701</v>
      </c>
      <c r="N9" s="1059">
        <v>53890</v>
      </c>
      <c r="O9" s="1049" t="b">
        <f t="shared" ref="O9:O10" si="8">EXACT(A9,M9)</f>
        <v>1</v>
      </c>
      <c r="P9" s="1049" t="b">
        <f t="shared" ref="P9:P10" si="9">EXACT(B9,N9)</f>
        <v>1</v>
      </c>
      <c r="R9" s="1049" t="s">
        <v>1701</v>
      </c>
      <c r="S9" s="1049">
        <v>53890</v>
      </c>
      <c r="T9" s="1049" t="b">
        <f t="shared" ref="T9:T10" si="10">EXACT(M9,R9)</f>
        <v>1</v>
      </c>
      <c r="U9" s="1049" t="b">
        <f t="shared" ref="U9:U10" si="11">EXACT(N9,S9)</f>
        <v>1</v>
      </c>
    </row>
    <row r="10" spans="1:21" ht="28.8" x14ac:dyDescent="0.3">
      <c r="A10" s="1004" t="s">
        <v>1702</v>
      </c>
      <c r="B10" s="1044">
        <v>53897</v>
      </c>
      <c r="C10" s="732"/>
      <c r="D10" s="55"/>
      <c r="E10" s="56"/>
      <c r="M10" s="1123" t="s">
        <v>1702</v>
      </c>
      <c r="N10" s="1059">
        <v>53897</v>
      </c>
      <c r="O10" s="1049" t="b">
        <f t="shared" si="8"/>
        <v>1</v>
      </c>
      <c r="P10" s="1049" t="b">
        <f t="shared" si="9"/>
        <v>1</v>
      </c>
      <c r="R10" s="1049" t="s">
        <v>1702</v>
      </c>
      <c r="S10" s="1049">
        <v>53897</v>
      </c>
      <c r="T10" s="1049" t="b">
        <f t="shared" si="10"/>
        <v>1</v>
      </c>
      <c r="U10" s="1049" t="b">
        <f t="shared" si="11"/>
        <v>1</v>
      </c>
    </row>
    <row r="11" spans="1:21" ht="28.8" x14ac:dyDescent="0.3">
      <c r="A11" s="1004" t="s">
        <v>1703</v>
      </c>
      <c r="B11" s="1044">
        <v>53970</v>
      </c>
      <c r="C11" s="732"/>
      <c r="D11" s="55"/>
      <c r="E11" s="56"/>
      <c r="M11" s="1123" t="s">
        <v>1703</v>
      </c>
      <c r="N11" s="1059">
        <v>53970</v>
      </c>
      <c r="O11" s="1049" t="b">
        <f t="shared" ref="O11" si="12">EXACT(A11,M11)</f>
        <v>1</v>
      </c>
      <c r="P11" s="1049" t="b">
        <f t="shared" ref="P11" si="13">EXACT(B11,N11)</f>
        <v>1</v>
      </c>
      <c r="R11" s="1122" t="s">
        <v>1703</v>
      </c>
      <c r="S11" s="1049">
        <v>53970</v>
      </c>
      <c r="T11" s="1049" t="b">
        <f t="shared" ref="T11:T17" si="14">EXACT(M11,R11)</f>
        <v>1</v>
      </c>
      <c r="U11" s="1049" t="b">
        <f t="shared" ref="U11:U17" si="15">EXACT(N11,S11)</f>
        <v>1</v>
      </c>
    </row>
    <row r="12" spans="1:21" ht="25.2" customHeight="1" x14ac:dyDescent="0.3">
      <c r="A12" s="1123" t="s">
        <v>1768</v>
      </c>
      <c r="B12" s="1044">
        <v>53950</v>
      </c>
      <c r="C12" s="732"/>
      <c r="M12" s="1123" t="s">
        <v>1768</v>
      </c>
      <c r="N12" s="1059" t="s">
        <v>1769</v>
      </c>
      <c r="O12" s="1049" t="b">
        <f t="shared" ref="O12:O17" si="16">EXACT(A12,M12)</f>
        <v>1</v>
      </c>
      <c r="P12" s="1049" t="b">
        <f t="shared" ref="P12:P17" si="17">EXACT(B12,N12)</f>
        <v>1</v>
      </c>
      <c r="R12" s="1049" t="s">
        <v>1705</v>
      </c>
      <c r="S12" s="1049">
        <v>53950</v>
      </c>
      <c r="T12" s="1049" t="b">
        <f t="shared" si="14"/>
        <v>0</v>
      </c>
      <c r="U12" s="1049" t="b">
        <f t="shared" si="15"/>
        <v>1</v>
      </c>
    </row>
    <row r="13" spans="1:21" ht="33.6" customHeight="1" x14ac:dyDescent="0.3">
      <c r="A13" s="1004" t="s">
        <v>1706</v>
      </c>
      <c r="B13" s="1044">
        <v>53901</v>
      </c>
      <c r="C13" s="732"/>
      <c r="D13" s="55"/>
      <c r="E13" s="56"/>
      <c r="M13" s="1123" t="s">
        <v>1706</v>
      </c>
      <c r="N13" s="1059">
        <v>53901</v>
      </c>
      <c r="O13" s="1049" t="b">
        <f t="shared" si="16"/>
        <v>1</v>
      </c>
      <c r="P13" s="1049" t="b">
        <f t="shared" si="17"/>
        <v>1</v>
      </c>
      <c r="R13" s="1049" t="s">
        <v>1706</v>
      </c>
      <c r="S13" s="1049">
        <v>53901</v>
      </c>
      <c r="T13" s="1049" t="b">
        <f t="shared" si="14"/>
        <v>1</v>
      </c>
      <c r="U13" s="1049" t="b">
        <f t="shared" si="15"/>
        <v>1</v>
      </c>
    </row>
    <row r="14" spans="1:21" ht="28.8" x14ac:dyDescent="0.3">
      <c r="A14" s="1004" t="s">
        <v>1707</v>
      </c>
      <c r="B14" s="1044">
        <v>53902</v>
      </c>
      <c r="C14" s="732"/>
      <c r="D14" s="55"/>
      <c r="E14" s="56"/>
      <c r="M14" s="1123" t="s">
        <v>1707</v>
      </c>
      <c r="N14" s="1059">
        <v>53902</v>
      </c>
      <c r="O14" s="1049" t="b">
        <f t="shared" si="16"/>
        <v>1</v>
      </c>
      <c r="P14" s="1049" t="b">
        <f t="shared" si="17"/>
        <v>1</v>
      </c>
      <c r="R14" s="1049" t="s">
        <v>1707</v>
      </c>
      <c r="S14" s="1049">
        <v>53902</v>
      </c>
      <c r="T14" s="1049" t="b">
        <f t="shared" si="14"/>
        <v>1</v>
      </c>
      <c r="U14" s="1049" t="b">
        <f t="shared" si="15"/>
        <v>1</v>
      </c>
    </row>
    <row r="15" spans="1:21" x14ac:dyDescent="0.3">
      <c r="A15" s="1004" t="s">
        <v>1708</v>
      </c>
      <c r="B15" s="1044">
        <v>53923</v>
      </c>
      <c r="C15" s="732"/>
      <c r="D15" s="55"/>
      <c r="E15" s="56"/>
      <c r="M15" s="1123" t="s">
        <v>1708</v>
      </c>
      <c r="N15" s="1059">
        <v>53923</v>
      </c>
      <c r="O15" s="1049" t="b">
        <f t="shared" si="16"/>
        <v>1</v>
      </c>
      <c r="P15" s="1049" t="b">
        <f t="shared" si="17"/>
        <v>1</v>
      </c>
      <c r="R15" s="1049" t="s">
        <v>1708</v>
      </c>
      <c r="S15" s="1049">
        <v>53923</v>
      </c>
      <c r="T15" s="1049" t="b">
        <f t="shared" si="14"/>
        <v>1</v>
      </c>
      <c r="U15" s="1049" t="b">
        <f t="shared" si="15"/>
        <v>1</v>
      </c>
    </row>
    <row r="16" spans="1:21" ht="28.8" x14ac:dyDescent="0.3">
      <c r="A16" s="1004" t="s">
        <v>1709</v>
      </c>
      <c r="B16" s="1044">
        <v>53908</v>
      </c>
      <c r="C16" s="732"/>
      <c r="D16" s="55"/>
      <c r="E16" s="56"/>
      <c r="M16" s="1123" t="s">
        <v>1709</v>
      </c>
      <c r="N16" s="1059">
        <v>53908</v>
      </c>
      <c r="O16" s="1049" t="b">
        <f t="shared" si="16"/>
        <v>1</v>
      </c>
      <c r="P16" s="1049" t="b">
        <f t="shared" si="17"/>
        <v>1</v>
      </c>
      <c r="R16" s="1049" t="s">
        <v>1709</v>
      </c>
      <c r="S16" s="1049">
        <v>53908</v>
      </c>
      <c r="T16" s="1049" t="b">
        <f t="shared" si="14"/>
        <v>1</v>
      </c>
      <c r="U16" s="1049" t="b">
        <f t="shared" si="15"/>
        <v>1</v>
      </c>
    </row>
    <row r="17" spans="1:21" ht="43.2" x14ac:dyDescent="0.3">
      <c r="A17" s="1004" t="s">
        <v>1712</v>
      </c>
      <c r="B17" s="1044">
        <v>53913</v>
      </c>
      <c r="C17" s="732"/>
      <c r="D17" s="55"/>
      <c r="E17" s="56"/>
      <c r="M17" s="1123" t="s">
        <v>1712</v>
      </c>
      <c r="N17" s="1059">
        <v>53913</v>
      </c>
      <c r="O17" s="1049" t="b">
        <f t="shared" si="16"/>
        <v>1</v>
      </c>
      <c r="P17" s="1049" t="b">
        <f t="shared" si="17"/>
        <v>1</v>
      </c>
      <c r="R17" s="1049" t="s">
        <v>1712</v>
      </c>
      <c r="S17" s="1049">
        <v>53913</v>
      </c>
      <c r="T17" s="1049" t="b">
        <f t="shared" si="14"/>
        <v>1</v>
      </c>
      <c r="U17" s="1049" t="b">
        <f t="shared" si="15"/>
        <v>1</v>
      </c>
    </row>
    <row r="18" spans="1:21" x14ac:dyDescent="0.3">
      <c r="D18" s="55"/>
      <c r="E18" s="56"/>
    </row>
    <row r="19" spans="1:21" x14ac:dyDescent="0.3">
      <c r="A19" s="1045"/>
      <c r="B19" s="1046"/>
      <c r="C19" s="732"/>
    </row>
    <row r="20" spans="1:21" x14ac:dyDescent="0.3">
      <c r="A20" s="1045"/>
      <c r="B20" s="1046"/>
      <c r="C20" s="732"/>
      <c r="D20" s="55"/>
      <c r="E20" s="56"/>
    </row>
    <row r="21" spans="1:21" x14ac:dyDescent="0.3">
      <c r="A21" s="1045"/>
      <c r="B21" s="1046"/>
      <c r="C21" s="732"/>
      <c r="D21" s="55"/>
      <c r="E21" s="56"/>
    </row>
    <row r="22" spans="1:21" x14ac:dyDescent="0.3">
      <c r="A22" s="1045"/>
      <c r="B22" s="1046"/>
      <c r="C22" s="732"/>
      <c r="D22" s="55"/>
      <c r="E22" s="56"/>
    </row>
    <row r="23" spans="1:21" x14ac:dyDescent="0.3">
      <c r="A23" s="1045"/>
      <c r="B23" s="1046"/>
      <c r="C23" s="732"/>
      <c r="D23" s="55"/>
      <c r="E23" s="56"/>
    </row>
    <row r="24" spans="1:21" x14ac:dyDescent="0.3">
      <c r="A24" s="1045"/>
      <c r="B24" s="1046"/>
      <c r="D24" s="1122" t="s">
        <v>1704</v>
      </c>
      <c r="E24" s="55"/>
      <c r="F24" s="56"/>
    </row>
    <row r="25" spans="1:21" x14ac:dyDescent="0.3">
      <c r="A25" s="1045"/>
      <c r="B25" s="1046"/>
      <c r="D25" s="732"/>
      <c r="E25" s="1044">
        <v>53893</v>
      </c>
      <c r="F25" s="1126" t="s">
        <v>1878</v>
      </c>
    </row>
    <row r="26" spans="1:21" x14ac:dyDescent="0.3">
      <c r="A26" s="1045"/>
      <c r="B26" s="1046"/>
      <c r="C26" s="732"/>
      <c r="D26" s="55"/>
      <c r="E26" s="56"/>
    </row>
    <row r="27" spans="1:21" x14ac:dyDescent="0.3">
      <c r="A27" s="1045"/>
      <c r="B27" s="1046"/>
      <c r="C27" s="732"/>
      <c r="D27" s="55"/>
      <c r="E27" s="56"/>
    </row>
    <row r="28" spans="1:21" x14ac:dyDescent="0.3">
      <c r="A28" s="1045"/>
      <c r="B28" s="1046"/>
      <c r="C28" s="732"/>
      <c r="D28" s="55"/>
      <c r="E28" s="56"/>
    </row>
    <row r="29" spans="1:21" x14ac:dyDescent="0.3">
      <c r="A29" s="1045"/>
      <c r="B29" s="1046"/>
      <c r="C29" s="732"/>
      <c r="D29" s="55"/>
      <c r="E29" s="56"/>
    </row>
    <row r="30" spans="1:21" x14ac:dyDescent="0.3">
      <c r="A30" s="1045"/>
      <c r="B30" s="1046"/>
      <c r="C30" s="732"/>
      <c r="D30" s="1122" t="s">
        <v>1696</v>
      </c>
      <c r="E30" s="1044">
        <v>53883</v>
      </c>
      <c r="F30" s="1125" t="s">
        <v>1877</v>
      </c>
    </row>
    <row r="31" spans="1:21" x14ac:dyDescent="0.3">
      <c r="A31" s="1045"/>
      <c r="B31" s="1046"/>
      <c r="C31" s="732"/>
      <c r="D31" s="1122" t="s">
        <v>1698</v>
      </c>
      <c r="E31" s="1044">
        <v>53887</v>
      </c>
      <c r="F31" s="1126" t="s">
        <v>1879</v>
      </c>
    </row>
    <row r="32" spans="1:21" x14ac:dyDescent="0.3">
      <c r="A32" s="1045"/>
      <c r="B32" s="1046"/>
      <c r="C32" s="732"/>
      <c r="D32" s="1122" t="s">
        <v>1700</v>
      </c>
      <c r="E32" s="1044">
        <v>53878</v>
      </c>
      <c r="F32" s="746" t="s">
        <v>1877</v>
      </c>
    </row>
    <row r="33" spans="1:21" x14ac:dyDescent="0.3">
      <c r="A33" s="1045"/>
      <c r="B33" s="1046"/>
      <c r="C33" s="732"/>
      <c r="D33" s="1122" t="s">
        <v>1710</v>
      </c>
      <c r="E33" s="1044">
        <v>53909</v>
      </c>
      <c r="F33" s="1126" t="s">
        <v>1879</v>
      </c>
    </row>
    <row r="34" spans="1:21" x14ac:dyDescent="0.3">
      <c r="A34" s="1045"/>
      <c r="B34" s="1046"/>
      <c r="C34" s="732"/>
      <c r="D34" s="1122" t="s">
        <v>1711</v>
      </c>
      <c r="E34" s="1044">
        <v>53910</v>
      </c>
      <c r="F34" s="1126" t="s">
        <v>1879</v>
      </c>
    </row>
    <row r="35" spans="1:21" x14ac:dyDescent="0.3">
      <c r="A35" s="1045"/>
      <c r="B35" s="1046"/>
      <c r="C35" s="732"/>
      <c r="D35" s="1122" t="s">
        <v>1713</v>
      </c>
      <c r="E35" s="1044">
        <v>53915</v>
      </c>
      <c r="F35" s="732" t="s">
        <v>1877</v>
      </c>
      <c r="G35" s="55"/>
      <c r="H35" s="56"/>
      <c r="M35" s="1123" t="s">
        <v>1713</v>
      </c>
      <c r="N35" s="1059"/>
      <c r="O35" s="1049" t="b">
        <f>EXACT(D35,M35)</f>
        <v>1</v>
      </c>
      <c r="P35" s="1049" t="b">
        <f>EXACT(E35,N35)</f>
        <v>0</v>
      </c>
      <c r="R35" s="1049" t="s">
        <v>1713</v>
      </c>
      <c r="S35" s="1049">
        <v>53915</v>
      </c>
      <c r="T35" s="1049" t="b">
        <f>EXACT(M35,R35)</f>
        <v>1</v>
      </c>
      <c r="U35" s="1049" t="b">
        <f>EXACT(N35,S35)</f>
        <v>0</v>
      </c>
    </row>
    <row r="36" spans="1:21" x14ac:dyDescent="0.3">
      <c r="A36" s="1045"/>
      <c r="B36" s="1046"/>
      <c r="C36" s="732"/>
      <c r="D36" s="55"/>
      <c r="E36" s="56"/>
    </row>
    <row r="37" spans="1:21" x14ac:dyDescent="0.3">
      <c r="A37" s="1045"/>
      <c r="B37" s="1046"/>
      <c r="C37" s="732"/>
      <c r="D37" s="55"/>
      <c r="E37" s="56"/>
    </row>
    <row r="38" spans="1:21" x14ac:dyDescent="0.3">
      <c r="A38" s="1045"/>
      <c r="B38" s="1046"/>
      <c r="C38" s="732"/>
      <c r="D38" s="55"/>
      <c r="E38" s="56"/>
    </row>
    <row r="39" spans="1:21" x14ac:dyDescent="0.3">
      <c r="A39" s="1045"/>
      <c r="B39" s="1046"/>
      <c r="C39" s="732"/>
      <c r="D39" s="55"/>
      <c r="E39" s="56"/>
    </row>
    <row r="40" spans="1:21" x14ac:dyDescent="0.3">
      <c r="A40" s="1045"/>
      <c r="B40" s="1046"/>
      <c r="C40" s="732"/>
      <c r="D40" s="55"/>
      <c r="E40" s="56"/>
    </row>
    <row r="41" spans="1:21" x14ac:dyDescent="0.3">
      <c r="A41" s="1045"/>
      <c r="B41" s="1046"/>
      <c r="C41" s="732"/>
      <c r="D41" s="55"/>
      <c r="E41" s="56"/>
    </row>
    <row r="42" spans="1:21" x14ac:dyDescent="0.3">
      <c r="A42" s="1045"/>
      <c r="B42" s="1046"/>
      <c r="C42" s="732"/>
      <c r="D42" s="55"/>
      <c r="E42" s="56"/>
    </row>
    <row r="43" spans="1:21" x14ac:dyDescent="0.3">
      <c r="A43" s="1045"/>
      <c r="B43" s="1046"/>
      <c r="C43" s="732"/>
      <c r="D43" s="55"/>
      <c r="E43" s="56"/>
    </row>
    <row r="44" spans="1:21" x14ac:dyDescent="0.3">
      <c r="A44" s="1045"/>
      <c r="B44" s="1046"/>
      <c r="C44" s="732"/>
      <c r="D44" s="55"/>
      <c r="E44" s="56"/>
    </row>
    <row r="45" spans="1:21" x14ac:dyDescent="0.3">
      <c r="A45" s="1045"/>
      <c r="B45" s="1046"/>
      <c r="C45" s="732"/>
      <c r="D45" s="55"/>
      <c r="E45" s="56"/>
    </row>
    <row r="46" spans="1:21" x14ac:dyDescent="0.3">
      <c r="A46" s="1045"/>
      <c r="B46" s="1046"/>
      <c r="C46" s="732"/>
      <c r="D46" s="55"/>
      <c r="E46" s="56"/>
    </row>
    <row r="47" spans="1:21" x14ac:dyDescent="0.3">
      <c r="A47" s="1045"/>
      <c r="B47" s="1046"/>
      <c r="C47" s="732"/>
      <c r="D47" s="55"/>
      <c r="E47" s="56"/>
    </row>
    <row r="48" spans="1:21" x14ac:dyDescent="0.3">
      <c r="A48" s="1045"/>
      <c r="B48" s="1046"/>
      <c r="C48" s="732"/>
      <c r="D48" s="55"/>
      <c r="E48" s="56"/>
    </row>
    <row r="49" spans="1:5" x14ac:dyDescent="0.3">
      <c r="A49" s="1045"/>
      <c r="B49" s="1046"/>
      <c r="C49" s="732"/>
      <c r="D49" s="55"/>
      <c r="E49" s="56"/>
    </row>
    <row r="50" spans="1:5" x14ac:dyDescent="0.3">
      <c r="A50" s="1045"/>
      <c r="B50" s="1046"/>
      <c r="C50" s="732"/>
      <c r="D50" s="55"/>
      <c r="E50" s="56"/>
    </row>
    <row r="51" spans="1:5" x14ac:dyDescent="0.3">
      <c r="A51" s="1045"/>
      <c r="B51" s="1046"/>
      <c r="C51" s="732"/>
      <c r="D51" s="55"/>
      <c r="E51" s="56"/>
    </row>
    <row r="52" spans="1:5" x14ac:dyDescent="0.3">
      <c r="A52" s="1045"/>
      <c r="B52" s="1046"/>
      <c r="C52" s="732"/>
      <c r="D52" s="55"/>
      <c r="E52" s="56"/>
    </row>
    <row r="53" spans="1:5" x14ac:dyDescent="0.3">
      <c r="A53" s="1045"/>
      <c r="B53" s="1046"/>
      <c r="C53" s="732"/>
      <c r="D53" s="55"/>
      <c r="E53" s="56"/>
    </row>
    <row r="54" spans="1:5" x14ac:dyDescent="0.3">
      <c r="A54" s="1045"/>
      <c r="B54" s="1046"/>
      <c r="C54" s="732"/>
      <c r="D54" s="55"/>
      <c r="E54" s="56"/>
    </row>
    <row r="55" spans="1:5" x14ac:dyDescent="0.3">
      <c r="A55" s="1045"/>
      <c r="B55" s="1046"/>
      <c r="C55" s="732"/>
      <c r="D55" s="55"/>
      <c r="E55" s="56"/>
    </row>
    <row r="56" spans="1:5" x14ac:dyDescent="0.3">
      <c r="A56" s="1045"/>
      <c r="B56" s="1046"/>
      <c r="C56" s="732"/>
      <c r="D56" s="55"/>
      <c r="E56" s="56"/>
    </row>
    <row r="57" spans="1:5" x14ac:dyDescent="0.3">
      <c r="A57" s="1045"/>
      <c r="B57" s="1046"/>
      <c r="C57" s="732"/>
      <c r="D57" s="55"/>
      <c r="E57" s="56"/>
    </row>
    <row r="58" spans="1:5" x14ac:dyDescent="0.3">
      <c r="A58" s="1045"/>
      <c r="B58" s="1046"/>
      <c r="C58" s="732"/>
      <c r="D58" s="55"/>
      <c r="E58" s="56"/>
    </row>
    <row r="59" spans="1:5" x14ac:dyDescent="0.3">
      <c r="A59" s="1045"/>
      <c r="B59" s="1046"/>
      <c r="C59" s="732"/>
      <c r="D59" s="55"/>
      <c r="E59" s="56"/>
    </row>
    <row r="60" spans="1:5" x14ac:dyDescent="0.3">
      <c r="A60" s="1045"/>
      <c r="B60" s="1046"/>
      <c r="C60" s="732"/>
      <c r="D60" s="55"/>
      <c r="E60" s="56"/>
    </row>
    <row r="61" spans="1:5" x14ac:dyDescent="0.3">
      <c r="A61" s="1045"/>
      <c r="B61" s="1046"/>
      <c r="C61" s="732"/>
      <c r="D61" s="55"/>
      <c r="E61" s="56"/>
    </row>
    <row r="62" spans="1:5" x14ac:dyDescent="0.3">
      <c r="A62" s="1045"/>
      <c r="B62" s="1046"/>
      <c r="C62" s="732"/>
      <c r="D62" s="55"/>
      <c r="E62" s="56"/>
    </row>
    <row r="63" spans="1:5" x14ac:dyDescent="0.3">
      <c r="A63" s="1045"/>
      <c r="B63" s="1046"/>
      <c r="C63" s="732"/>
      <c r="D63" s="55"/>
      <c r="E63" s="56"/>
    </row>
    <row r="64" spans="1:5" x14ac:dyDescent="0.3">
      <c r="A64" s="1045"/>
      <c r="B64" s="1046"/>
      <c r="C64" s="732"/>
      <c r="D64" s="55"/>
      <c r="E64" s="56"/>
    </row>
    <row r="65" spans="1:5" x14ac:dyDescent="0.3">
      <c r="A65" s="1045"/>
      <c r="B65" s="1046"/>
      <c r="C65" s="732"/>
      <c r="D65" s="55"/>
      <c r="E65" s="56"/>
    </row>
    <row r="66" spans="1:5" x14ac:dyDescent="0.3">
      <c r="A66" s="1045"/>
      <c r="B66" s="1046"/>
      <c r="C66" s="732"/>
      <c r="D66" s="55"/>
      <c r="E66" s="56"/>
    </row>
    <row r="67" spans="1:5" x14ac:dyDescent="0.3">
      <c r="A67" s="1045"/>
      <c r="B67" s="1046"/>
      <c r="C67" s="732"/>
      <c r="D67" s="55"/>
      <c r="E67" s="56"/>
    </row>
    <row r="68" spans="1:5" x14ac:dyDescent="0.3">
      <c r="A68" s="1045"/>
      <c r="B68" s="1046"/>
      <c r="D68" s="55"/>
      <c r="E68" s="56"/>
    </row>
    <row r="69" spans="1:5" x14ac:dyDescent="0.3">
      <c r="A69" s="1045"/>
      <c r="B69" s="1046"/>
      <c r="D69" s="55"/>
      <c r="E69" s="56"/>
    </row>
    <row r="70" spans="1:5" x14ac:dyDescent="0.3">
      <c r="A70" s="1045"/>
      <c r="B70" s="1046"/>
      <c r="D70" s="55"/>
      <c r="E70" s="56"/>
    </row>
    <row r="71" spans="1:5" x14ac:dyDescent="0.3">
      <c r="D71" s="55"/>
      <c r="E71" s="56"/>
    </row>
  </sheetData>
  <sheetProtection algorithmName="SHA-512" hashValue="6SidJJZoGmS4xIlyvXTMUyvZlxndbHpeGeIOv9HouKwYT3lHsMgyzdzoFAKE/bdMqP6Y0wxdEyWydBgkEuGVsA==" saltValue="qufiARwRepXCzMohCJEhSg=="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B13" sqref="B13"/>
    </sheetView>
  </sheetViews>
  <sheetFormatPr defaultColWidth="9.109375" defaultRowHeight="14.4" x14ac:dyDescent="0.3"/>
  <cols>
    <col min="1" max="1" width="45.109375" style="424" customWidth="1"/>
    <col min="2" max="2" width="36.44140625" style="424" customWidth="1"/>
    <col min="3" max="3" width="9.109375" style="424"/>
    <col min="4" max="4" width="1.33203125" style="424" customWidth="1"/>
    <col min="5" max="5" width="37.5546875" style="424" customWidth="1"/>
    <col min="6" max="6" width="18.109375" style="424" customWidth="1"/>
    <col min="7" max="7" width="16.109375" style="424" customWidth="1"/>
    <col min="8" max="8" width="3.109375" style="424" customWidth="1"/>
    <col min="9" max="16384" width="9.109375" style="424"/>
  </cols>
  <sheetData>
    <row r="1" spans="1:8" x14ac:dyDescent="0.3">
      <c r="A1" s="425"/>
      <c r="B1" s="426"/>
      <c r="C1" s="427"/>
      <c r="D1" s="427"/>
      <c r="E1" s="428"/>
      <c r="F1" s="427"/>
      <c r="G1" s="427"/>
      <c r="H1" s="427"/>
    </row>
    <row r="2" spans="1:8" x14ac:dyDescent="0.3">
      <c r="A2" s="429" t="s">
        <v>1028</v>
      </c>
      <c r="B2" s="430" t="str">
        <f>+'Unit Data from Audit Worksheet'!D2</f>
        <v>Select Unit Name from Drop Down List</v>
      </c>
      <c r="C2" s="427"/>
      <c r="D2" s="427"/>
      <c r="E2" s="428"/>
      <c r="F2" s="427"/>
      <c r="G2" s="427"/>
      <c r="H2" s="427"/>
    </row>
    <row r="3" spans="1:8" x14ac:dyDescent="0.3">
      <c r="A3" s="429" t="s">
        <v>1138</v>
      </c>
      <c r="B3" s="427" t="e">
        <f>+'Unit Data from Audit Worksheet'!D3</f>
        <v>#N/A</v>
      </c>
      <c r="C3" s="427"/>
      <c r="D3" s="427"/>
      <c r="E3" s="428"/>
      <c r="F3" s="427"/>
      <c r="G3" s="427"/>
      <c r="H3" s="427"/>
    </row>
    <row r="4" spans="1:8" x14ac:dyDescent="0.3">
      <c r="A4" s="427"/>
      <c r="B4" s="427"/>
      <c r="C4" s="427"/>
      <c r="D4" s="427"/>
      <c r="E4" s="428"/>
      <c r="F4" s="427"/>
      <c r="G4" s="427"/>
      <c r="H4" s="427"/>
    </row>
    <row r="5" spans="1:8" x14ac:dyDescent="0.3">
      <c r="A5" s="1300" t="s">
        <v>1029</v>
      </c>
      <c r="B5" s="1300"/>
      <c r="C5" s="1300"/>
      <c r="D5" s="427"/>
      <c r="E5" s="1301" t="s">
        <v>1030</v>
      </c>
      <c r="F5" s="1301"/>
      <c r="G5" s="427"/>
      <c r="H5" s="427"/>
    </row>
    <row r="6" spans="1:8" ht="15" thickBot="1" x14ac:dyDescent="0.35">
      <c r="A6" s="431"/>
      <c r="B6" s="432"/>
      <c r="C6" s="431"/>
      <c r="D6" s="425"/>
      <c r="E6" s="431"/>
      <c r="F6" s="432"/>
      <c r="G6" s="432"/>
      <c r="H6" s="427"/>
    </row>
    <row r="7" spans="1:8" ht="15" thickBot="1" x14ac:dyDescent="0.35">
      <c r="A7" s="433" t="s">
        <v>1031</v>
      </c>
      <c r="B7" s="434">
        <v>0.03</v>
      </c>
      <c r="C7" s="434"/>
      <c r="D7" s="434"/>
      <c r="E7" s="434"/>
      <c r="F7" s="434"/>
      <c r="G7" s="434"/>
      <c r="H7" s="434"/>
    </row>
    <row r="8" spans="1:8" ht="15" thickBot="1" x14ac:dyDescent="0.35">
      <c r="A8" s="427" t="s">
        <v>1404</v>
      </c>
      <c r="B8" s="435" t="e">
        <f>HLOOKUP(B2,'2020 Data(H)'!F1:CC398,353,FALSE)</f>
        <v>#N/A</v>
      </c>
      <c r="C8" s="436"/>
      <c r="D8" s="436"/>
      <c r="E8" s="436"/>
      <c r="F8" s="427"/>
      <c r="G8" s="427"/>
      <c r="H8" s="427"/>
    </row>
    <row r="9" spans="1:8" ht="15" thickBot="1" x14ac:dyDescent="0.35">
      <c r="A9" s="427" t="s">
        <v>1033</v>
      </c>
      <c r="B9" s="437" t="e">
        <f>B8*B7</f>
        <v>#N/A</v>
      </c>
      <c r="C9" s="438"/>
      <c r="D9" s="438"/>
      <c r="E9" s="438"/>
      <c r="F9" s="427"/>
      <c r="G9" s="427"/>
      <c r="H9" s="427"/>
    </row>
    <row r="10" spans="1:8" ht="15" thickBot="1" x14ac:dyDescent="0.35">
      <c r="A10" s="427"/>
      <c r="B10" s="427"/>
      <c r="C10" s="427"/>
      <c r="D10" s="427"/>
      <c r="E10" s="427"/>
      <c r="F10" s="427"/>
      <c r="G10" s="427"/>
      <c r="H10" s="427"/>
    </row>
    <row r="11" spans="1:8" ht="15" thickBot="1" x14ac:dyDescent="0.35">
      <c r="A11" s="433" t="s">
        <v>1034</v>
      </c>
      <c r="B11" s="434">
        <v>0.05</v>
      </c>
      <c r="C11" s="434"/>
      <c r="D11" s="434"/>
      <c r="E11" s="434"/>
      <c r="F11" s="434"/>
      <c r="G11" s="434"/>
      <c r="H11" s="434"/>
    </row>
    <row r="12" spans="1:8" ht="15" thickBot="1" x14ac:dyDescent="0.35">
      <c r="A12" s="427" t="s">
        <v>1405</v>
      </c>
      <c r="B12" s="439" t="e">
        <f>HLOOKUP(B2,'2020 Data(H)'!F1:CC398,55,FALSE)</f>
        <v>#N/A</v>
      </c>
      <c r="C12" s="440"/>
      <c r="D12" s="440"/>
      <c r="E12" s="440"/>
      <c r="F12" s="427"/>
      <c r="G12" s="427"/>
      <c r="H12" s="427"/>
    </row>
    <row r="13" spans="1:8" ht="15" thickBot="1" x14ac:dyDescent="0.35">
      <c r="A13" s="427" t="s">
        <v>1033</v>
      </c>
      <c r="B13" s="437" t="e">
        <f>B12*B11</f>
        <v>#N/A</v>
      </c>
      <c r="C13" s="438"/>
      <c r="D13" s="438"/>
      <c r="E13" s="438"/>
      <c r="F13" s="427"/>
      <c r="G13" s="427"/>
      <c r="H13" s="427"/>
    </row>
    <row r="14" spans="1:8" ht="15" thickBot="1" x14ac:dyDescent="0.35">
      <c r="A14" s="427"/>
      <c r="B14" s="427"/>
      <c r="C14" s="427"/>
      <c r="D14" s="427"/>
      <c r="E14" s="441" t="s">
        <v>1035</v>
      </c>
      <c r="F14" s="442">
        <f>+Import!L177</f>
        <v>0</v>
      </c>
      <c r="G14" s="443"/>
      <c r="H14" s="427"/>
    </row>
    <row r="15" spans="1:8" x14ac:dyDescent="0.3">
      <c r="A15" s="427"/>
      <c r="B15" s="427"/>
      <c r="C15" s="427"/>
      <c r="D15" s="427"/>
      <c r="E15" s="427"/>
      <c r="F15" s="427"/>
      <c r="G15" s="427"/>
      <c r="H15" s="444"/>
    </row>
    <row r="16" spans="1:8" x14ac:dyDescent="0.3">
      <c r="A16" s="427"/>
      <c r="B16" s="441"/>
      <c r="C16" s="427"/>
      <c r="D16" s="427"/>
      <c r="E16" s="427"/>
      <c r="F16" s="427"/>
      <c r="G16" s="427"/>
      <c r="H16" s="427"/>
    </row>
    <row r="17" spans="1:8" x14ac:dyDescent="0.3">
      <c r="A17" s="431"/>
      <c r="B17" s="432"/>
      <c r="C17" s="431"/>
      <c r="D17" s="425"/>
      <c r="E17" s="431"/>
      <c r="F17" s="432"/>
      <c r="G17" s="432"/>
      <c r="H17" s="427"/>
    </row>
    <row r="18" spans="1:8" ht="15" thickBot="1" x14ac:dyDescent="0.35">
      <c r="A18" s="445" t="s">
        <v>1036</v>
      </c>
      <c r="B18" s="427"/>
      <c r="C18" s="427"/>
      <c r="D18" s="427"/>
      <c r="E18" s="445" t="s">
        <v>1036</v>
      </c>
      <c r="F18" s="429" t="s">
        <v>1037</v>
      </c>
      <c r="G18" s="429" t="s">
        <v>1038</v>
      </c>
      <c r="H18" s="427"/>
    </row>
    <row r="19" spans="1:8" ht="15" thickBot="1" x14ac:dyDescent="0.35">
      <c r="A19" s="427" t="s">
        <v>1032</v>
      </c>
      <c r="B19" s="435" t="e">
        <f>+B8</f>
        <v>#N/A</v>
      </c>
      <c r="C19" s="436"/>
      <c r="D19" s="436"/>
      <c r="E19" s="427" t="s">
        <v>1039</v>
      </c>
      <c r="F19" s="446">
        <f>+Import!L229</f>
        <v>0</v>
      </c>
      <c r="G19" s="447" t="e">
        <f>+B21</f>
        <v>#N/A</v>
      </c>
      <c r="H19" s="427"/>
    </row>
    <row r="20" spans="1:8" ht="15" thickBot="1" x14ac:dyDescent="0.35">
      <c r="A20" s="427" t="s">
        <v>1040</v>
      </c>
      <c r="B20" s="448">
        <f>+Import!L243</f>
        <v>0</v>
      </c>
      <c r="C20" s="427"/>
      <c r="D20" s="427"/>
      <c r="E20" s="427"/>
      <c r="F20" s="449"/>
      <c r="G20" s="427"/>
      <c r="H20" s="427"/>
    </row>
    <row r="21" spans="1:8" ht="15" thickBot="1" x14ac:dyDescent="0.35">
      <c r="A21" s="427" t="s">
        <v>1033</v>
      </c>
      <c r="B21" s="437" t="e">
        <f>ROUND((B19/100)*B20,0)</f>
        <v>#N/A</v>
      </c>
      <c r="C21" s="450"/>
      <c r="D21" s="438"/>
      <c r="E21" s="427"/>
      <c r="F21" s="427"/>
      <c r="G21" s="427"/>
      <c r="H21" s="427"/>
    </row>
    <row r="22" spans="1:8" ht="15" thickBot="1" x14ac:dyDescent="0.35">
      <c r="A22" s="427"/>
      <c r="B22" s="427"/>
      <c r="C22" s="451"/>
      <c r="D22" s="451"/>
      <c r="E22" s="427"/>
      <c r="F22" s="427"/>
      <c r="G22" s="427"/>
      <c r="H22" s="427"/>
    </row>
    <row r="23" spans="1:8" ht="15" thickBot="1" x14ac:dyDescent="0.35">
      <c r="A23" s="441"/>
      <c r="B23" s="452"/>
      <c r="C23" s="427"/>
      <c r="D23" s="427"/>
      <c r="E23" s="453" t="s">
        <v>1041</v>
      </c>
      <c r="F23" s="437">
        <f>IF(F19=0,F14-F19,F14-MAX(F19,G19))</f>
        <v>0</v>
      </c>
      <c r="G23" s="454"/>
      <c r="H23" s="438"/>
    </row>
    <row r="24" spans="1:8" x14ac:dyDescent="0.3">
      <c r="A24" s="427"/>
      <c r="B24" s="427"/>
      <c r="C24" s="427"/>
      <c r="D24" s="427"/>
      <c r="E24" s="427"/>
      <c r="F24" s="450"/>
      <c r="G24" s="450"/>
      <c r="H24" s="438"/>
    </row>
    <row r="25" spans="1:8" x14ac:dyDescent="0.3">
      <c r="A25" s="431"/>
      <c r="B25" s="432"/>
      <c r="C25" s="431"/>
      <c r="D25" s="425"/>
      <c r="E25" s="431"/>
      <c r="F25" s="432"/>
      <c r="G25" s="432"/>
      <c r="H25" s="427"/>
    </row>
    <row r="26" spans="1:8" ht="15" thickBot="1" x14ac:dyDescent="0.35">
      <c r="A26" s="427"/>
      <c r="B26" s="427"/>
      <c r="C26" s="427"/>
      <c r="D26" s="445"/>
      <c r="E26" s="445" t="s">
        <v>1042</v>
      </c>
      <c r="F26" s="445"/>
      <c r="G26" s="445"/>
      <c r="H26" s="445"/>
    </row>
    <row r="27" spans="1:8" ht="15" thickBot="1" x14ac:dyDescent="0.35">
      <c r="A27" s="427"/>
      <c r="B27" s="427"/>
      <c r="C27" s="427"/>
      <c r="D27" s="451"/>
      <c r="E27" s="427" t="s">
        <v>1043</v>
      </c>
      <c r="F27" s="455" t="e">
        <f>MAX(B9,B13)</f>
        <v>#N/A</v>
      </c>
      <c r="G27" s="451"/>
      <c r="H27" s="427"/>
    </row>
    <row r="28" spans="1:8" ht="15" thickBot="1" x14ac:dyDescent="0.35">
      <c r="A28" s="427"/>
      <c r="B28" s="427"/>
      <c r="C28" s="427"/>
      <c r="D28" s="451"/>
      <c r="E28" s="427"/>
      <c r="F28" s="451"/>
      <c r="G28" s="451"/>
      <c r="H28" s="427"/>
    </row>
    <row r="29" spans="1:8" ht="33.75" customHeight="1" x14ac:dyDescent="0.3">
      <c r="A29" s="427"/>
      <c r="B29" s="427"/>
      <c r="C29" s="427"/>
      <c r="D29" s="456"/>
      <c r="E29" s="427" t="s">
        <v>1044</v>
      </c>
      <c r="F29" s="457" t="e">
        <f>IF(F23&lt;=F27,"Yes", "No, unit exceeds limit by:")</f>
        <v>#N/A</v>
      </c>
      <c r="G29" s="427"/>
      <c r="H29" s="427"/>
    </row>
    <row r="30" spans="1:8" ht="15" thickBot="1" x14ac:dyDescent="0.35">
      <c r="A30" s="427"/>
      <c r="B30" s="427"/>
      <c r="C30" s="427"/>
      <c r="D30" s="456"/>
      <c r="E30" s="427"/>
      <c r="F30" s="458" t="e">
        <f>IF(F23-F27&lt;=0,0,F23-F27)</f>
        <v>#N/A</v>
      </c>
      <c r="G30" s="459"/>
      <c r="H30" s="427"/>
    </row>
    <row r="31" spans="1:8" ht="15" thickBot="1" x14ac:dyDescent="0.35">
      <c r="A31" s="427"/>
      <c r="B31" s="427"/>
      <c r="C31" s="427"/>
      <c r="D31" s="427"/>
      <c r="E31" s="427"/>
      <c r="F31" s="427"/>
      <c r="G31" s="427"/>
      <c r="H31" s="427"/>
    </row>
    <row r="32" spans="1:8" x14ac:dyDescent="0.3">
      <c r="A32" s="427"/>
      <c r="B32" s="427"/>
      <c r="C32" s="427"/>
      <c r="D32" s="427"/>
      <c r="E32" s="453" t="s">
        <v>1045</v>
      </c>
      <c r="F32" s="460">
        <f>IF(F19=0,0,F19-G19)</f>
        <v>0</v>
      </c>
      <c r="G32" s="427"/>
      <c r="H32" s="427"/>
    </row>
    <row r="33" spans="1:7" ht="15" thickBot="1" x14ac:dyDescent="0.35">
      <c r="A33" s="427"/>
      <c r="B33" s="427"/>
      <c r="C33" s="427"/>
      <c r="D33" s="427"/>
      <c r="E33" s="427"/>
      <c r="F33" s="461" t="s">
        <v>681</v>
      </c>
      <c r="G33" s="427"/>
    </row>
    <row r="34" spans="1:7" x14ac:dyDescent="0.3">
      <c r="A34" s="425"/>
      <c r="B34" s="427"/>
      <c r="C34" s="427"/>
      <c r="D34" s="427"/>
      <c r="E34" s="425" t="s">
        <v>1046</v>
      </c>
      <c r="F34" s="427"/>
      <c r="G34" s="427"/>
    </row>
    <row r="35" spans="1:7" x14ac:dyDescent="0.3">
      <c r="A35" s="462"/>
      <c r="B35" s="462"/>
      <c r="C35" s="462"/>
      <c r="D35" s="427"/>
      <c r="E35" s="1302" t="s">
        <v>1406</v>
      </c>
      <c r="F35" s="1303"/>
      <c r="G35" s="1304"/>
    </row>
    <row r="36" spans="1:7" x14ac:dyDescent="0.3">
      <c r="A36" s="462"/>
      <c r="B36" s="462"/>
      <c r="C36" s="462"/>
      <c r="D36" s="427"/>
      <c r="E36" s="1305"/>
      <c r="F36" s="1306"/>
      <c r="G36" s="1307"/>
    </row>
    <row r="37" spans="1:7" x14ac:dyDescent="0.3">
      <c r="A37" s="462"/>
      <c r="B37" s="462"/>
      <c r="C37" s="462"/>
      <c r="D37" s="427"/>
      <c r="E37" s="1305"/>
      <c r="F37" s="1306"/>
      <c r="G37" s="1307"/>
    </row>
    <row r="38" spans="1:7" x14ac:dyDescent="0.3">
      <c r="A38" s="462"/>
      <c r="B38" s="462"/>
      <c r="C38" s="462"/>
      <c r="D38" s="427"/>
      <c r="E38" s="1308"/>
      <c r="F38" s="1309"/>
      <c r="G38" s="1310"/>
    </row>
    <row r="39" spans="1:7" x14ac:dyDescent="0.3">
      <c r="A39" s="462"/>
      <c r="B39" s="462"/>
      <c r="C39" s="462"/>
      <c r="D39" s="427"/>
      <c r="E39" s="463"/>
      <c r="F39" s="463"/>
      <c r="G39" s="463"/>
    </row>
    <row r="40" spans="1:7" x14ac:dyDescent="0.3">
      <c r="A40" s="462"/>
      <c r="B40" s="462"/>
      <c r="C40" s="462"/>
      <c r="D40" s="427"/>
      <c r="E40" s="1302" t="s">
        <v>1407</v>
      </c>
      <c r="F40" s="1303"/>
      <c r="G40" s="1304"/>
    </row>
    <row r="41" spans="1:7" x14ac:dyDescent="0.3">
      <c r="A41" s="427"/>
      <c r="B41" s="427"/>
      <c r="C41" s="427"/>
      <c r="D41" s="427"/>
      <c r="E41" s="1305"/>
      <c r="F41" s="1306"/>
      <c r="G41" s="1307"/>
    </row>
    <row r="42" spans="1:7" x14ac:dyDescent="0.3">
      <c r="A42" s="427"/>
      <c r="B42" s="427"/>
      <c r="C42" s="427"/>
      <c r="D42" s="427"/>
      <c r="E42" s="1308"/>
      <c r="F42" s="1309"/>
      <c r="G42" s="1310"/>
    </row>
    <row r="43" spans="1:7" x14ac:dyDescent="0.3">
      <c r="A43" s="427"/>
      <c r="B43" s="427"/>
      <c r="C43" s="427"/>
      <c r="D43" s="427"/>
      <c r="E43" s="427"/>
      <c r="F43" s="427"/>
      <c r="G43" s="427"/>
    </row>
    <row r="44" spans="1:7" ht="15" thickBot="1" x14ac:dyDescent="0.35">
      <c r="A44" s="427"/>
      <c r="B44" s="427"/>
      <c r="C44" s="427"/>
      <c r="D44" s="427"/>
      <c r="E44" s="1311" t="s">
        <v>1047</v>
      </c>
      <c r="F44" s="1311"/>
      <c r="G44" s="1311"/>
    </row>
    <row r="45" spans="1:7" x14ac:dyDescent="0.3">
      <c r="A45" s="427"/>
      <c r="B45" s="427"/>
      <c r="C45" s="427"/>
      <c r="D45" s="427"/>
      <c r="E45" s="1291"/>
      <c r="F45" s="1292"/>
      <c r="G45" s="1293"/>
    </row>
    <row r="46" spans="1:7" x14ac:dyDescent="0.3">
      <c r="A46" s="427"/>
      <c r="B46" s="427"/>
      <c r="C46" s="427"/>
      <c r="D46" s="427"/>
      <c r="E46" s="1294"/>
      <c r="F46" s="1295"/>
      <c r="G46" s="1296"/>
    </row>
    <row r="47" spans="1:7" x14ac:dyDescent="0.3">
      <c r="A47" s="427"/>
      <c r="B47" s="427"/>
      <c r="C47" s="427"/>
      <c r="D47" s="427"/>
      <c r="E47" s="1294"/>
      <c r="F47" s="1295"/>
      <c r="G47" s="1296"/>
    </row>
    <row r="48" spans="1:7" x14ac:dyDescent="0.3">
      <c r="A48" s="427"/>
      <c r="B48" s="427"/>
      <c r="C48" s="427"/>
      <c r="D48" s="427"/>
      <c r="E48" s="1294"/>
      <c r="F48" s="1295"/>
      <c r="G48" s="1296"/>
    </row>
    <row r="49" spans="5:7" x14ac:dyDescent="0.3">
      <c r="E49" s="1294"/>
      <c r="F49" s="1295"/>
      <c r="G49" s="1296"/>
    </row>
    <row r="50" spans="5:7" x14ac:dyDescent="0.3">
      <c r="E50" s="1294"/>
      <c r="F50" s="1295"/>
      <c r="G50" s="1296"/>
    </row>
    <row r="51" spans="5:7" x14ac:dyDescent="0.3">
      <c r="E51" s="1294"/>
      <c r="F51" s="1295"/>
      <c r="G51" s="1296"/>
    </row>
    <row r="52" spans="5:7" x14ac:dyDescent="0.3">
      <c r="E52" s="1294"/>
      <c r="F52" s="1295"/>
      <c r="G52" s="1296"/>
    </row>
    <row r="53" spans="5:7" x14ac:dyDescent="0.3">
      <c r="E53" s="1294"/>
      <c r="F53" s="1295"/>
      <c r="G53" s="1296"/>
    </row>
    <row r="54" spans="5:7" x14ac:dyDescent="0.3">
      <c r="E54" s="1294"/>
      <c r="F54" s="1295"/>
      <c r="G54" s="1296"/>
    </row>
    <row r="55" spans="5:7" x14ac:dyDescent="0.3">
      <c r="E55" s="1294"/>
      <c r="F55" s="1295"/>
      <c r="G55" s="1296"/>
    </row>
    <row r="56" spans="5:7" ht="15" thickBot="1" x14ac:dyDescent="0.35">
      <c r="E56" s="1297"/>
      <c r="F56" s="1298"/>
      <c r="G56" s="1299"/>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8.5546875" style="18" customWidth="1"/>
    <col min="2" max="2" width="16.33203125" style="5" customWidth="1"/>
    <col min="3" max="3" width="17.44140625" style="5" customWidth="1"/>
    <col min="4" max="4" width="46.33203125" style="750" customWidth="1"/>
    <col min="5" max="5" width="17.109375" style="18" customWidth="1"/>
    <col min="6" max="6" width="21.5546875" style="750" customWidth="1"/>
    <col min="7" max="7" width="26.6640625" style="844" customWidth="1"/>
    <col min="8" max="8" width="25.109375" style="634" customWidth="1"/>
    <col min="9" max="9" width="24" style="750"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308" hidden="1" customWidth="1"/>
    <col min="15" max="15" width="2.109375" style="18" hidden="1" customWidth="1"/>
    <col min="16" max="16" width="0" style="18" hidden="1" customWidth="1"/>
    <col min="17" max="17" width="15.109375" style="18" hidden="1" customWidth="1"/>
    <col min="18" max="25" width="9.109375" style="18"/>
    <col min="26" max="26" width="30.6640625" style="676" customWidth="1"/>
    <col min="27" max="1881" width="9.109375" style="18"/>
    <col min="1882" max="16384" width="9.109375" style="750"/>
  </cols>
  <sheetData>
    <row r="1" spans="1:44" ht="15" thickBot="1" x14ac:dyDescent="0.35">
      <c r="B1" s="846" t="s">
        <v>731</v>
      </c>
      <c r="C1" s="846"/>
      <c r="E1" s="753" t="s">
        <v>36</v>
      </c>
      <c r="F1" s="754">
        <v>2021</v>
      </c>
      <c r="G1" s="123" t="s">
        <v>126</v>
      </c>
      <c r="H1" s="755"/>
      <c r="I1" s="756"/>
      <c r="J1" s="757" t="s">
        <v>1322</v>
      </c>
      <c r="M1" s="18" t="s">
        <v>51</v>
      </c>
      <c r="O1" s="18">
        <v>1</v>
      </c>
    </row>
    <row r="2" spans="1:44" ht="44.25" customHeight="1" thickBot="1" x14ac:dyDescent="0.35">
      <c r="B2" s="1166" t="s">
        <v>525</v>
      </c>
      <c r="C2" s="1167"/>
      <c r="D2" s="758" t="s">
        <v>1621</v>
      </c>
      <c r="E2" s="1164" t="s">
        <v>539</v>
      </c>
      <c r="F2" s="1164"/>
      <c r="G2" s="1165"/>
      <c r="H2" s="1154" t="s">
        <v>2078</v>
      </c>
      <c r="M2" s="18" t="s">
        <v>52</v>
      </c>
      <c r="N2" s="308">
        <v>50</v>
      </c>
      <c r="O2" s="18">
        <v>2</v>
      </c>
    </row>
    <row r="3" spans="1:44" ht="15" thickBot="1" x14ac:dyDescent="0.35">
      <c r="B3" s="847" t="s">
        <v>0</v>
      </c>
      <c r="C3" s="848"/>
      <c r="D3" s="760" t="e">
        <f>VLOOKUP(D2,'Unit Names(H)'!A2:B144,2,FALSE)</f>
        <v>#N/A</v>
      </c>
      <c r="E3" s="957"/>
      <c r="F3" s="761"/>
      <c r="G3" s="762"/>
      <c r="H3" s="759"/>
      <c r="N3" s="308">
        <v>51</v>
      </c>
      <c r="O3" s="18">
        <v>3</v>
      </c>
    </row>
    <row r="4" spans="1:44" ht="15" thickBot="1" x14ac:dyDescent="0.35">
      <c r="B4" s="849" t="s">
        <v>1453</v>
      </c>
      <c r="C4" s="850"/>
      <c r="D4" s="763"/>
      <c r="E4" s="763"/>
      <c r="F4" s="764"/>
      <c r="G4" s="765"/>
      <c r="H4" s="759"/>
      <c r="I4" s="2"/>
      <c r="M4" s="18" t="s">
        <v>604</v>
      </c>
      <c r="N4" s="308">
        <v>52</v>
      </c>
      <c r="O4" s="18">
        <v>4</v>
      </c>
    </row>
    <row r="5" spans="1:44" ht="37.5" customHeight="1" x14ac:dyDescent="0.3">
      <c r="A5" s="712" t="s">
        <v>728</v>
      </c>
      <c r="B5" s="601" t="s">
        <v>111</v>
      </c>
      <c r="C5" s="601" t="s">
        <v>128</v>
      </c>
      <c r="D5" s="766" t="s">
        <v>1</v>
      </c>
      <c r="E5" s="766">
        <v>2020</v>
      </c>
      <c r="F5" s="767">
        <v>2021</v>
      </c>
      <c r="G5" s="768" t="s">
        <v>1575</v>
      </c>
      <c r="H5" s="769" t="s">
        <v>545</v>
      </c>
      <c r="I5" s="754" t="s">
        <v>13</v>
      </c>
      <c r="M5" s="18" t="s">
        <v>799</v>
      </c>
    </row>
    <row r="6" spans="1:44" ht="22.5" customHeight="1" x14ac:dyDescent="0.3">
      <c r="A6" s="600"/>
      <c r="B6" s="896" t="s">
        <v>127</v>
      </c>
      <c r="C6" s="897"/>
      <c r="D6" s="898"/>
      <c r="E6" s="899"/>
      <c r="F6" s="900"/>
      <c r="G6" s="892"/>
      <c r="H6" s="17"/>
      <c r="M6" s="18" t="s">
        <v>778</v>
      </c>
    </row>
    <row r="7" spans="1:44" s="18" customFormat="1" ht="63.75" hidden="1" customHeight="1" thickBot="1" x14ac:dyDescent="0.35">
      <c r="A7" s="108">
        <v>333</v>
      </c>
      <c r="B7" s="676" t="s">
        <v>67</v>
      </c>
      <c r="C7" s="676" t="s">
        <v>129</v>
      </c>
      <c r="D7" s="749" t="s">
        <v>1454</v>
      </c>
      <c r="E7" s="710" t="e">
        <f>HLOOKUP($D$2,'2020 Data(H)'!$C$1:$CZ$432,99,FALSE)</f>
        <v>#N/A</v>
      </c>
      <c r="F7" s="307">
        <v>0</v>
      </c>
      <c r="G7" s="771">
        <f>IF(F7&lt;0,"Note: Number is normally positive.",)</f>
        <v>0</v>
      </c>
      <c r="H7" s="772"/>
      <c r="I7" s="773"/>
      <c r="J7" s="616" t="s">
        <v>1301</v>
      </c>
      <c r="L7" s="736"/>
      <c r="M7" s="18" t="s">
        <v>800</v>
      </c>
      <c r="N7" s="308"/>
      <c r="Q7" s="307">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hidden="1" customHeight="1" thickBot="1" x14ac:dyDescent="0.35">
      <c r="A8" s="108">
        <v>500</v>
      </c>
      <c r="B8" s="676" t="s">
        <v>55</v>
      </c>
      <c r="C8" s="676" t="s">
        <v>129</v>
      </c>
      <c r="D8" s="749" t="s">
        <v>1455</v>
      </c>
      <c r="E8" s="710" t="e">
        <f>HLOOKUP($D$2,'2020 Data(H)'!$C$1:$CZ$432,150,FALSE)</f>
        <v>#N/A</v>
      </c>
      <c r="F8" s="307">
        <v>0</v>
      </c>
      <c r="G8" s="771">
        <f>IF(F8&lt;0,"Note: Number is normally positive.",)</f>
        <v>0</v>
      </c>
      <c r="H8" s="772"/>
      <c r="I8" s="772"/>
      <c r="J8" s="616"/>
      <c r="L8" s="745"/>
      <c r="M8" s="18" t="s">
        <v>801</v>
      </c>
      <c r="N8" s="308"/>
      <c r="Q8" s="307">
        <v>1528687</v>
      </c>
      <c r="Z8" s="108"/>
      <c r="AA8" s="108"/>
      <c r="AB8" s="108"/>
      <c r="AC8" s="108"/>
      <c r="AD8" s="108"/>
      <c r="AE8" s="108"/>
      <c r="AF8" s="108"/>
      <c r="AG8" s="108"/>
      <c r="AH8" s="108"/>
      <c r="AI8" s="108"/>
      <c r="AJ8" s="108"/>
      <c r="AK8" s="108"/>
      <c r="AL8" s="108"/>
      <c r="AM8" s="108"/>
      <c r="AN8" s="108"/>
      <c r="AO8" s="108"/>
      <c r="AP8" s="108"/>
      <c r="AQ8" s="108"/>
      <c r="AR8" s="108"/>
    </row>
    <row r="9" spans="1:44" ht="51" hidden="1" customHeight="1" thickBot="1" x14ac:dyDescent="0.35">
      <c r="A9" s="108">
        <v>385</v>
      </c>
      <c r="B9" s="634" t="s">
        <v>60</v>
      </c>
      <c r="C9" s="676" t="s">
        <v>129</v>
      </c>
      <c r="D9" s="107" t="s">
        <v>130</v>
      </c>
      <c r="E9" s="710" t="e">
        <f>HLOOKUP($D$2,'2020 Data(H)'!$C$1:$CZ$432,144,FALSE)</f>
        <v>#N/A</v>
      </c>
      <c r="F9" s="307">
        <v>0</v>
      </c>
      <c r="G9" s="771">
        <f>IF((F7+F8)&gt;F9,"Error: Please review Account numbers (333+500)&gt;385",)</f>
        <v>0</v>
      </c>
      <c r="H9" s="17"/>
      <c r="I9" s="772"/>
      <c r="J9" s="616"/>
      <c r="L9" s="745"/>
      <c r="Q9" s="307">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hidden="1" customHeight="1" thickBot="1" x14ac:dyDescent="0.35">
      <c r="A10" s="108">
        <v>575</v>
      </c>
      <c r="B10" s="676" t="s">
        <v>70</v>
      </c>
      <c r="C10" s="676" t="s">
        <v>129</v>
      </c>
      <c r="D10" s="851" t="s">
        <v>1456</v>
      </c>
      <c r="E10" s="710" t="e">
        <f>HLOOKUP($D$2,'2020 Data(H)'!$C$1:$CZ$432,225,FALSE)</f>
        <v>#N/A</v>
      </c>
      <c r="F10" s="307">
        <v>0</v>
      </c>
      <c r="G10" s="771">
        <f>IF(F10&lt;0,"Note: Number is normally positive.",)</f>
        <v>0</v>
      </c>
      <c r="H10" s="774"/>
      <c r="I10" s="775"/>
      <c r="L10" s="745"/>
      <c r="N10" s="308"/>
      <c r="Q10" s="307">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hidden="1" customHeight="1" thickBot="1" x14ac:dyDescent="0.35">
      <c r="A11" s="108">
        <v>576</v>
      </c>
      <c r="B11" s="676" t="s">
        <v>70</v>
      </c>
      <c r="C11" s="676" t="s">
        <v>129</v>
      </c>
      <c r="D11" s="851" t="s">
        <v>1457</v>
      </c>
      <c r="E11" s="710" t="e">
        <f>HLOOKUP($D$2,'2020 Data(H)'!$C$1:$CZ$432,226,FALSE)</f>
        <v>#N/A</v>
      </c>
      <c r="F11" s="307">
        <v>0</v>
      </c>
      <c r="G11" s="771">
        <f>IF(F11&lt;0,"Error: Enter as positive.",)</f>
        <v>0</v>
      </c>
      <c r="H11" s="774"/>
      <c r="I11" s="775"/>
      <c r="J11" s="616"/>
      <c r="L11" s="745"/>
      <c r="N11" s="308"/>
      <c r="Q11" s="307">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hidden="1" customHeight="1" thickBot="1" x14ac:dyDescent="0.35">
      <c r="A12" s="320">
        <v>626</v>
      </c>
      <c r="B12" s="852" t="s">
        <v>851</v>
      </c>
      <c r="C12" s="852" t="s">
        <v>129</v>
      </c>
      <c r="D12" s="350" t="s">
        <v>1458</v>
      </c>
      <c r="E12" s="710" t="e">
        <f>HLOOKUP($D$2,'2020 Data(H)'!$C$1:$CZ$432,285,FALSE)</f>
        <v>#N/A</v>
      </c>
      <c r="F12" s="307">
        <v>0</v>
      </c>
      <c r="G12" s="771">
        <f>IF(F12&lt;0,"Error: Enter as positive.",)</f>
        <v>0</v>
      </c>
      <c r="H12" s="776"/>
      <c r="I12" s="776"/>
      <c r="J12" s="616"/>
      <c r="L12" s="745"/>
      <c r="Q12" s="307">
        <v>136667</v>
      </c>
      <c r="Z12" s="320"/>
      <c r="AA12" s="320"/>
      <c r="AB12" s="320"/>
      <c r="AC12" s="320"/>
      <c r="AD12" s="320"/>
      <c r="AE12" s="320"/>
      <c r="AF12" s="320"/>
      <c r="AG12" s="320"/>
      <c r="AH12" s="320"/>
      <c r="AI12" s="320"/>
      <c r="AJ12" s="320"/>
      <c r="AK12" s="320"/>
      <c r="AL12" s="320"/>
      <c r="AM12" s="320"/>
      <c r="AN12" s="320"/>
      <c r="AO12" s="320"/>
      <c r="AP12" s="320"/>
      <c r="AQ12" s="320"/>
      <c r="AR12" s="320"/>
    </row>
    <row r="13" spans="1:44" ht="89.25" hidden="1" customHeight="1" thickBot="1" x14ac:dyDescent="0.35">
      <c r="A13" s="319">
        <v>627</v>
      </c>
      <c r="B13" s="853" t="s">
        <v>696</v>
      </c>
      <c r="C13" s="852" t="s">
        <v>129</v>
      </c>
      <c r="D13" s="350" t="s">
        <v>1459</v>
      </c>
      <c r="E13" s="710" t="e">
        <f>HLOOKUP($D$2,'2020 Data(H)'!$C$1:$CZ$432,286,FALSE)</f>
        <v>#N/A</v>
      </c>
      <c r="F13" s="307">
        <v>0</v>
      </c>
      <c r="G13" s="771">
        <f>IF(F13&gt;F12,"Please review account numbers 627 &gt;626",)</f>
        <v>0</v>
      </c>
      <c r="H13" s="776"/>
      <c r="I13" s="776"/>
      <c r="J13" s="616"/>
      <c r="L13" s="745"/>
      <c r="Q13" s="307">
        <v>0</v>
      </c>
      <c r="Z13" s="319"/>
      <c r="AA13" s="319"/>
      <c r="AB13" s="319"/>
      <c r="AC13" s="319"/>
      <c r="AD13" s="319"/>
      <c r="AE13" s="319"/>
      <c r="AF13" s="319"/>
      <c r="AG13" s="319"/>
      <c r="AH13" s="319"/>
      <c r="AI13" s="319"/>
      <c r="AJ13" s="319"/>
      <c r="AK13" s="319"/>
      <c r="AL13" s="319"/>
      <c r="AM13" s="319"/>
      <c r="AN13" s="319"/>
      <c r="AO13" s="319"/>
      <c r="AP13" s="319"/>
      <c r="AQ13" s="319"/>
      <c r="AR13" s="319"/>
    </row>
    <row r="14" spans="1:44" ht="105" hidden="1" customHeight="1" thickBot="1" x14ac:dyDescent="0.35">
      <c r="A14" s="319">
        <v>628</v>
      </c>
      <c r="B14" s="853" t="s">
        <v>696</v>
      </c>
      <c r="C14" s="852" t="s">
        <v>129</v>
      </c>
      <c r="D14" s="350" t="s">
        <v>1460</v>
      </c>
      <c r="E14" s="710" t="e">
        <f>HLOOKUP($D$2,'2020 Data(H)'!$C$1:$CZ$432,287,FALSE)</f>
        <v>#N/A</v>
      </c>
      <c r="F14" s="307">
        <v>0</v>
      </c>
      <c r="G14" s="771">
        <f>IF(F14&gt;F12,"Please review account numbers 628 &gt; 626",)</f>
        <v>0</v>
      </c>
      <c r="H14" s="776"/>
      <c r="I14" s="776"/>
      <c r="J14" s="616"/>
      <c r="L14" s="745"/>
      <c r="Q14" s="307">
        <v>56141</v>
      </c>
      <c r="Z14" s="319"/>
      <c r="AA14" s="319"/>
      <c r="AB14" s="319"/>
      <c r="AC14" s="319"/>
      <c r="AD14" s="319"/>
      <c r="AE14" s="319"/>
      <c r="AF14" s="319"/>
      <c r="AG14" s="319"/>
      <c r="AH14" s="319"/>
      <c r="AI14" s="319"/>
      <c r="AJ14" s="319"/>
      <c r="AK14" s="319"/>
      <c r="AL14" s="319"/>
      <c r="AM14" s="319"/>
      <c r="AN14" s="319"/>
      <c r="AO14" s="319"/>
      <c r="AP14" s="319"/>
      <c r="AQ14" s="319"/>
      <c r="AR14" s="319"/>
    </row>
    <row r="15" spans="1:44" ht="95.25" hidden="1" customHeight="1" thickBot="1" x14ac:dyDescent="0.35">
      <c r="A15" s="319">
        <v>629</v>
      </c>
      <c r="B15" s="853" t="s">
        <v>696</v>
      </c>
      <c r="C15" s="852" t="s">
        <v>129</v>
      </c>
      <c r="D15" s="350" t="s">
        <v>1461</v>
      </c>
      <c r="E15" s="710" t="e">
        <f>HLOOKUP($D$2,'2020 Data(H)'!$C$1:$CZ$432,288,FALSE)</f>
        <v>#N/A</v>
      </c>
      <c r="F15" s="307">
        <v>0</v>
      </c>
      <c r="G15" s="771">
        <f>IF(F15&gt;F12,"Please review account numbers 629 &gt; 626",)</f>
        <v>0</v>
      </c>
      <c r="H15" s="776"/>
      <c r="I15" s="776"/>
      <c r="J15" s="616"/>
      <c r="L15" s="745"/>
      <c r="Q15" s="307">
        <v>0</v>
      </c>
      <c r="Z15" s="319"/>
      <c r="AA15" s="319"/>
      <c r="AB15" s="319"/>
      <c r="AC15" s="319"/>
      <c r="AD15" s="319"/>
      <c r="AE15" s="319"/>
      <c r="AF15" s="319"/>
      <c r="AG15" s="319"/>
      <c r="AH15" s="319"/>
      <c r="AI15" s="319"/>
      <c r="AJ15" s="319"/>
      <c r="AK15" s="319"/>
      <c r="AL15" s="319"/>
      <c r="AM15" s="319"/>
      <c r="AN15" s="319"/>
      <c r="AO15" s="319"/>
      <c r="AP15" s="319"/>
      <c r="AQ15" s="319"/>
      <c r="AR15" s="319"/>
    </row>
    <row r="16" spans="1:44" ht="69" hidden="1" customHeight="1" thickBot="1" x14ac:dyDescent="0.35">
      <c r="A16" s="319">
        <v>630</v>
      </c>
      <c r="B16" s="853" t="s">
        <v>696</v>
      </c>
      <c r="C16" s="852" t="s">
        <v>129</v>
      </c>
      <c r="D16" s="350" t="s">
        <v>794</v>
      </c>
      <c r="E16" s="710" t="e">
        <f>HLOOKUP($D$2,'2020 Data(H)'!$C$1:$CZ$432,289,FALSE)</f>
        <v>#N/A</v>
      </c>
      <c r="F16" s="307">
        <v>0</v>
      </c>
      <c r="G16" s="771">
        <f>IF(F16&gt;F12,"Please review account numbers 630 &gt; 626",)</f>
        <v>0</v>
      </c>
      <c r="H16" s="776"/>
      <c r="I16" s="776"/>
      <c r="J16" s="616"/>
      <c r="L16" s="745"/>
      <c r="Q16" s="307">
        <v>0</v>
      </c>
      <c r="Z16" s="319"/>
      <c r="AA16" s="319"/>
      <c r="AB16" s="319"/>
      <c r="AC16" s="319"/>
      <c r="AD16" s="319"/>
      <c r="AE16" s="319"/>
      <c r="AF16" s="319"/>
      <c r="AG16" s="319"/>
      <c r="AH16" s="319"/>
      <c r="AI16" s="319"/>
      <c r="AJ16" s="319"/>
      <c r="AK16" s="319"/>
      <c r="AL16" s="319"/>
      <c r="AM16" s="319"/>
      <c r="AN16" s="319"/>
      <c r="AO16" s="319"/>
      <c r="AP16" s="319"/>
      <c r="AQ16" s="319"/>
      <c r="AR16" s="319"/>
    </row>
    <row r="17" spans="1:44" ht="95.25" hidden="1" customHeight="1" thickBot="1" x14ac:dyDescent="0.35">
      <c r="A17" s="319">
        <v>631</v>
      </c>
      <c r="B17" s="853" t="s">
        <v>696</v>
      </c>
      <c r="C17" s="852" t="s">
        <v>129</v>
      </c>
      <c r="D17" s="350" t="s">
        <v>1462</v>
      </c>
      <c r="E17" s="710" t="e">
        <f>HLOOKUP($D$2,'2020 Data(H)'!$C$1:$CZ$432,290,FALSE)</f>
        <v>#N/A</v>
      </c>
      <c r="F17" s="307">
        <v>0</v>
      </c>
      <c r="G17" s="771">
        <f>IF(F17&gt;F12,"Please review account numbers 631 &gt; 626",)</f>
        <v>0</v>
      </c>
      <c r="H17" s="776"/>
      <c r="I17" s="776"/>
      <c r="J17" s="616"/>
      <c r="L17" s="745"/>
      <c r="Q17" s="307">
        <v>0</v>
      </c>
      <c r="Z17" s="319"/>
      <c r="AA17" s="319"/>
      <c r="AB17" s="319"/>
      <c r="AC17" s="319"/>
      <c r="AD17" s="319"/>
      <c r="AE17" s="319"/>
      <c r="AF17" s="319"/>
      <c r="AG17" s="319"/>
      <c r="AH17" s="319"/>
      <c r="AI17" s="319"/>
      <c r="AJ17" s="319"/>
      <c r="AK17" s="319"/>
      <c r="AL17" s="319"/>
      <c r="AM17" s="319"/>
      <c r="AN17" s="319"/>
      <c r="AO17" s="319"/>
      <c r="AP17" s="319"/>
      <c r="AQ17" s="319"/>
      <c r="AR17" s="319"/>
    </row>
    <row r="18" spans="1:44" ht="111.75" hidden="1" customHeight="1" thickBot="1" x14ac:dyDescent="0.35">
      <c r="A18" s="319">
        <v>632</v>
      </c>
      <c r="B18" s="853" t="s">
        <v>696</v>
      </c>
      <c r="C18" s="852" t="s">
        <v>129</v>
      </c>
      <c r="D18" s="350" t="s">
        <v>1463</v>
      </c>
      <c r="E18" s="710" t="e">
        <f>HLOOKUP($D$2,'2020 Data(H)'!$C$1:$CZ$432,291,FALSE)</f>
        <v>#N/A</v>
      </c>
      <c r="F18" s="307">
        <v>0</v>
      </c>
      <c r="G18" s="771">
        <f>IF(F18&gt;F12,"Please review account numbers 632 &gt; 626",)</f>
        <v>0</v>
      </c>
      <c r="H18" s="776"/>
      <c r="I18" s="776"/>
      <c r="J18" s="616"/>
      <c r="L18" s="745"/>
      <c r="Q18" s="307">
        <v>0</v>
      </c>
      <c r="Z18" s="319"/>
      <c r="AA18" s="319"/>
      <c r="AB18" s="319"/>
      <c r="AC18" s="319"/>
      <c r="AD18" s="319"/>
      <c r="AE18" s="319"/>
      <c r="AF18" s="319"/>
      <c r="AG18" s="319"/>
      <c r="AH18" s="319"/>
      <c r="AI18" s="319"/>
      <c r="AJ18" s="319"/>
      <c r="AK18" s="319"/>
      <c r="AL18" s="319"/>
      <c r="AM18" s="319"/>
      <c r="AN18" s="319"/>
      <c r="AO18" s="319"/>
      <c r="AP18" s="319"/>
      <c r="AQ18" s="319"/>
      <c r="AR18" s="319"/>
    </row>
    <row r="19" spans="1:44" ht="55.5" hidden="1" customHeight="1" thickBot="1" x14ac:dyDescent="0.35">
      <c r="A19" s="108">
        <v>338</v>
      </c>
      <c r="B19" s="634" t="s">
        <v>56</v>
      </c>
      <c r="C19" s="676" t="s">
        <v>129</v>
      </c>
      <c r="D19" s="107" t="s">
        <v>131</v>
      </c>
      <c r="E19" s="710" t="e">
        <f>HLOOKUP($D$2,'2020 Data(H)'!$C$1:$CZ$432,104,FALSE)</f>
        <v>#N/A</v>
      </c>
      <c r="F19" s="307">
        <v>0</v>
      </c>
      <c r="G19" s="771" t="str">
        <f>IF(F12&gt;F19,"Error: Please review accts 626 &gt; 338","")</f>
        <v/>
      </c>
      <c r="H19" s="17"/>
      <c r="I19" s="772"/>
      <c r="J19" s="616"/>
      <c r="L19" s="745"/>
      <c r="Q19" s="307">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hidden="1" customHeight="1" thickBot="1" x14ac:dyDescent="0.35">
      <c r="A20" s="108">
        <v>335</v>
      </c>
      <c r="B20" s="634" t="s">
        <v>56</v>
      </c>
      <c r="C20" s="676" t="s">
        <v>129</v>
      </c>
      <c r="D20" s="749" t="s">
        <v>1464</v>
      </c>
      <c r="E20" s="710" t="e">
        <f>HLOOKUP($D$2,'2020 Data(H)'!$C$1:$CZ$432,101,FALSE)</f>
        <v>#N/A</v>
      </c>
      <c r="F20" s="307">
        <v>0</v>
      </c>
      <c r="G20" s="771">
        <f>IF(F20&lt;0,"Error: Enter as positive.",)</f>
        <v>0</v>
      </c>
      <c r="H20" s="17"/>
      <c r="I20" s="385"/>
      <c r="J20" s="616"/>
      <c r="L20" s="745"/>
      <c r="Q20" s="307">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hidden="1" customHeight="1" thickBot="1" x14ac:dyDescent="0.35">
      <c r="A21" s="108">
        <v>252</v>
      </c>
      <c r="B21" s="634" t="s">
        <v>56</v>
      </c>
      <c r="C21" s="676" t="s">
        <v>129</v>
      </c>
      <c r="D21" s="107" t="s">
        <v>132</v>
      </c>
      <c r="E21" s="710" t="e">
        <f>HLOOKUP($D$2,'2020 Data(H)'!$C$1:$CZ$432,78,FALSE)</f>
        <v>#N/A</v>
      </c>
      <c r="F21" s="307">
        <v>0</v>
      </c>
      <c r="G21" s="777"/>
      <c r="H21" s="17"/>
      <c r="I21" s="79"/>
      <c r="J21" s="616"/>
      <c r="L21" s="745"/>
      <c r="Q21" s="307">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hidden="1" thickBot="1" x14ac:dyDescent="0.35">
      <c r="A22" s="108">
        <v>253</v>
      </c>
      <c r="B22" s="634" t="s">
        <v>56</v>
      </c>
      <c r="C22" s="676" t="s">
        <v>129</v>
      </c>
      <c r="D22" s="107" t="s">
        <v>133</v>
      </c>
      <c r="E22" s="710" t="e">
        <f>HLOOKUP($D$2,'2020 Data(H)'!$C$1:$CZ$432,79,FALSE)</f>
        <v>#N/A</v>
      </c>
      <c r="F22" s="307">
        <v>0</v>
      </c>
      <c r="G22" s="771"/>
      <c r="H22" s="17"/>
      <c r="I22" s="79"/>
      <c r="J22" s="616"/>
      <c r="L22" s="745"/>
      <c r="Q22" s="307">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hidden="1" customHeight="1" thickBot="1" x14ac:dyDescent="0.35">
      <c r="A23" s="108">
        <v>254</v>
      </c>
      <c r="B23" s="634" t="s">
        <v>56</v>
      </c>
      <c r="C23" s="676" t="s">
        <v>129</v>
      </c>
      <c r="D23" s="107" t="s">
        <v>1465</v>
      </c>
      <c r="E23" s="710" t="e">
        <f>HLOOKUP($D$2,'2020 Data(H)'!$C$1:$CZ$432,80,FALSE)</f>
        <v>#N/A</v>
      </c>
      <c r="F23" s="307">
        <v>0</v>
      </c>
      <c r="G23" s="771">
        <f>IF(H23=0,,"Error: Total assets and deferred outflows less total liabilities and deferred inflows do not equal total net position. Account numbers  385-338-252-253-254 = 0.  The amount the formula is off is located in the cell to the right")</f>
        <v>0</v>
      </c>
      <c r="H23" s="774">
        <f>F9-F19-F21-F22-F23</f>
        <v>0</v>
      </c>
      <c r="I23" s="79"/>
      <c r="J23" s="616"/>
      <c r="L23" s="745"/>
      <c r="Q23" s="307">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84" t="s">
        <v>134</v>
      </c>
      <c r="C24" s="885"/>
      <c r="D24" s="889"/>
      <c r="E24" s="890"/>
      <c r="F24" s="901"/>
      <c r="G24" s="902"/>
      <c r="H24" s="17"/>
      <c r="I24" s="79"/>
      <c r="L24" s="745"/>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634" t="s">
        <v>55</v>
      </c>
      <c r="C25" s="676" t="s">
        <v>136</v>
      </c>
      <c r="D25" s="749" t="s">
        <v>1466</v>
      </c>
      <c r="E25" s="710" t="e">
        <f>HLOOKUP($D$2,'2020 Data(H)'!$C$1:$CZ$432,152,FALSE)</f>
        <v>#N/A</v>
      </c>
      <c r="F25" s="307">
        <v>0</v>
      </c>
      <c r="G25" s="771">
        <f>IF(F25&lt;0,"Note: Number is normally positive.",)</f>
        <v>0</v>
      </c>
      <c r="H25" s="17"/>
      <c r="I25" s="79"/>
      <c r="L25" s="745"/>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634" t="s">
        <v>55</v>
      </c>
      <c r="C26" s="676" t="s">
        <v>136</v>
      </c>
      <c r="D26" s="107" t="s">
        <v>135</v>
      </c>
      <c r="E26" s="710" t="e">
        <f>HLOOKUP($D$2,'2020 Data(H)'!$C$1:$CZ$432,153,FALSE)</f>
        <v>#N/A</v>
      </c>
      <c r="F26" s="278">
        <v>0</v>
      </c>
      <c r="G26" s="771">
        <f>IF(F26&lt;0,"Note: Number is normally positive.",)</f>
        <v>0</v>
      </c>
      <c r="H26" s="17"/>
      <c r="I26" s="79"/>
      <c r="L26" s="745"/>
      <c r="Z26" s="108"/>
      <c r="AA26" s="108"/>
      <c r="AB26" s="108"/>
      <c r="AC26" s="108"/>
      <c r="AD26" s="108"/>
      <c r="AE26" s="108"/>
      <c r="AF26" s="108"/>
      <c r="AG26" s="108"/>
      <c r="AH26" s="108"/>
      <c r="AI26" s="108"/>
      <c r="AJ26" s="108"/>
      <c r="AK26" s="108"/>
      <c r="AL26" s="108"/>
      <c r="AM26" s="108"/>
      <c r="AN26" s="108"/>
      <c r="AO26" s="108"/>
      <c r="AP26" s="108"/>
      <c r="AQ26" s="108"/>
      <c r="AR26" s="108"/>
    </row>
    <row r="27" spans="1:44" ht="27" hidden="1" customHeight="1" thickBot="1" x14ac:dyDescent="0.35">
      <c r="A27" s="108"/>
      <c r="B27" s="884" t="s">
        <v>137</v>
      </c>
      <c r="C27" s="885"/>
      <c r="D27" s="889"/>
      <c r="E27" s="890"/>
      <c r="F27" s="891"/>
      <c r="G27" s="892"/>
      <c r="H27" s="17"/>
      <c r="I27" s="79"/>
      <c r="L27" s="745"/>
      <c r="Z27" s="108"/>
      <c r="AA27" s="108"/>
      <c r="AB27" s="108"/>
      <c r="AC27" s="108"/>
      <c r="AD27" s="108"/>
      <c r="AE27" s="108"/>
      <c r="AF27" s="108"/>
      <c r="AG27" s="108"/>
      <c r="AH27" s="108"/>
      <c r="AI27" s="108"/>
      <c r="AJ27" s="108"/>
      <c r="AK27" s="108"/>
      <c r="AL27" s="108"/>
      <c r="AM27" s="108"/>
      <c r="AN27" s="108"/>
      <c r="AO27" s="108"/>
      <c r="AP27" s="108"/>
      <c r="AQ27" s="108"/>
      <c r="AR27" s="108"/>
    </row>
    <row r="28" spans="1:44" ht="49.5" hidden="1" customHeight="1" thickBot="1" x14ac:dyDescent="0.35">
      <c r="A28" s="108">
        <v>344</v>
      </c>
      <c r="B28" s="634" t="s">
        <v>56</v>
      </c>
      <c r="C28" s="634" t="s">
        <v>144</v>
      </c>
      <c r="D28" s="107" t="s">
        <v>138</v>
      </c>
      <c r="E28" s="710" t="e">
        <f>HLOOKUP($D$2,'2020 Data(H)'!$C$1:$CZ$432,110,FALSE)</f>
        <v>#N/A</v>
      </c>
      <c r="F28" s="307">
        <v>0</v>
      </c>
      <c r="G28" s="771">
        <f t="shared" ref="G28:G35" si="0">IF(F28&lt;0,"Error: Enter as positive.",)</f>
        <v>0</v>
      </c>
      <c r="H28" s="17"/>
      <c r="I28" s="79"/>
      <c r="L28" s="745"/>
      <c r="Z28" s="108"/>
      <c r="AA28" s="108"/>
      <c r="AB28" s="108"/>
      <c r="AC28" s="108"/>
      <c r="AD28" s="108"/>
      <c r="AE28" s="108"/>
      <c r="AF28" s="108"/>
      <c r="AG28" s="108"/>
      <c r="AH28" s="108"/>
      <c r="AI28" s="108"/>
      <c r="AJ28" s="108"/>
      <c r="AK28" s="108"/>
      <c r="AL28" s="108"/>
      <c r="AM28" s="108"/>
      <c r="AN28" s="108"/>
      <c r="AO28" s="108"/>
      <c r="AP28" s="108"/>
      <c r="AQ28" s="108"/>
      <c r="AR28" s="108"/>
    </row>
    <row r="29" spans="1:44" ht="49.5" hidden="1" customHeight="1" thickBot="1" x14ac:dyDescent="0.35">
      <c r="A29" s="108">
        <v>388</v>
      </c>
      <c r="B29" s="634" t="s">
        <v>60</v>
      </c>
      <c r="C29" s="634" t="s">
        <v>144</v>
      </c>
      <c r="D29" s="107" t="s">
        <v>139</v>
      </c>
      <c r="E29" s="710" t="e">
        <f>HLOOKUP($D$2,'2020 Data(H)'!$C$1:$CZ$432,147,FALSE)</f>
        <v>#N/A</v>
      </c>
      <c r="F29" s="307">
        <v>0</v>
      </c>
      <c r="G29" s="771">
        <f t="shared" si="0"/>
        <v>0</v>
      </c>
      <c r="H29" s="17"/>
      <c r="I29" s="79"/>
      <c r="J29" s="616"/>
      <c r="L29" s="745"/>
      <c r="Z29" s="108"/>
      <c r="AA29" s="108"/>
      <c r="AB29" s="108"/>
      <c r="AC29" s="108"/>
      <c r="AD29" s="108"/>
      <c r="AE29" s="108"/>
      <c r="AF29" s="108"/>
      <c r="AG29" s="108"/>
      <c r="AH29" s="108"/>
      <c r="AI29" s="108"/>
      <c r="AJ29" s="108"/>
      <c r="AK29" s="108"/>
      <c r="AL29" s="108"/>
      <c r="AM29" s="108"/>
      <c r="AN29" s="108"/>
      <c r="AO29" s="108"/>
      <c r="AP29" s="108"/>
      <c r="AQ29" s="108"/>
      <c r="AR29" s="108"/>
    </row>
    <row r="30" spans="1:44" ht="51.75" hidden="1" customHeight="1" thickBot="1" x14ac:dyDescent="0.35">
      <c r="A30" s="108">
        <v>339</v>
      </c>
      <c r="B30" s="634" t="s">
        <v>56</v>
      </c>
      <c r="C30" s="634" t="s">
        <v>144</v>
      </c>
      <c r="D30" s="107" t="s">
        <v>140</v>
      </c>
      <c r="E30" s="710" t="e">
        <f>HLOOKUP($D$2,'2020 Data(H)'!$C$1:$CZ$432,105,FALSE)</f>
        <v>#N/A</v>
      </c>
      <c r="F30" s="307">
        <v>0</v>
      </c>
      <c r="G30" s="771">
        <f t="shared" si="0"/>
        <v>0</v>
      </c>
      <c r="H30" s="17"/>
      <c r="I30" s="79"/>
      <c r="J30" s="616"/>
      <c r="L30" s="745"/>
      <c r="Z30" s="108"/>
      <c r="AA30" s="108"/>
      <c r="AB30" s="108"/>
      <c r="AC30" s="108"/>
      <c r="AD30" s="108"/>
      <c r="AE30" s="108"/>
      <c r="AF30" s="108"/>
      <c r="AG30" s="108"/>
      <c r="AH30" s="108"/>
      <c r="AI30" s="108"/>
      <c r="AJ30" s="108"/>
      <c r="AK30" s="108"/>
      <c r="AL30" s="108"/>
      <c r="AM30" s="108"/>
      <c r="AN30" s="108"/>
      <c r="AO30" s="108"/>
      <c r="AP30" s="108"/>
      <c r="AQ30" s="108"/>
      <c r="AR30" s="108"/>
    </row>
    <row r="31" spans="1:44" ht="50.25" hidden="1" customHeight="1" thickBot="1" x14ac:dyDescent="0.35">
      <c r="A31" s="108">
        <v>504</v>
      </c>
      <c r="B31" s="634" t="s">
        <v>56</v>
      </c>
      <c r="C31" s="634" t="s">
        <v>144</v>
      </c>
      <c r="D31" s="107" t="s">
        <v>141</v>
      </c>
      <c r="E31" s="710" t="e">
        <f>HLOOKUP($D$2,'2020 Data(H)'!$C$1:$CZ$432,154,FALSE)</f>
        <v>#N/A</v>
      </c>
      <c r="F31" s="307">
        <v>0</v>
      </c>
      <c r="G31" s="771">
        <f t="shared" si="0"/>
        <v>0</v>
      </c>
      <c r="H31" s="17"/>
      <c r="I31" s="79"/>
      <c r="J31" s="616"/>
      <c r="L31" s="745"/>
      <c r="Z31" s="108"/>
      <c r="AA31" s="108"/>
      <c r="AB31" s="108"/>
      <c r="AC31" s="108"/>
      <c r="AD31" s="108"/>
      <c r="AE31" s="108"/>
      <c r="AF31" s="108"/>
      <c r="AG31" s="108"/>
      <c r="AH31" s="108"/>
      <c r="AI31" s="108"/>
      <c r="AJ31" s="108"/>
      <c r="AK31" s="108"/>
      <c r="AL31" s="108"/>
      <c r="AM31" s="108"/>
      <c r="AN31" s="108"/>
      <c r="AO31" s="108"/>
      <c r="AP31" s="108"/>
      <c r="AQ31" s="108"/>
      <c r="AR31" s="108"/>
    </row>
    <row r="32" spans="1:44" ht="60" hidden="1" customHeight="1" thickBot="1" x14ac:dyDescent="0.35">
      <c r="A32" s="108">
        <v>505</v>
      </c>
      <c r="B32" s="634" t="s">
        <v>56</v>
      </c>
      <c r="C32" s="634" t="s">
        <v>144</v>
      </c>
      <c r="D32" s="729" t="s">
        <v>142</v>
      </c>
      <c r="E32" s="710" t="e">
        <f>HLOOKUP($D$2,'2020 Data(H)'!$C$1:$CZ$432,155,FALSE)</f>
        <v>#N/A</v>
      </c>
      <c r="F32" s="307">
        <v>0</v>
      </c>
      <c r="G32" s="771">
        <f t="shared" si="0"/>
        <v>0</v>
      </c>
      <c r="H32" s="17"/>
      <c r="I32" s="79"/>
      <c r="J32" s="616"/>
      <c r="L32" s="745"/>
      <c r="Z32" s="108"/>
      <c r="AA32" s="108"/>
      <c r="AB32" s="108"/>
      <c r="AC32" s="108"/>
      <c r="AD32" s="108"/>
      <c r="AE32" s="108"/>
      <c r="AF32" s="108"/>
      <c r="AG32" s="108"/>
      <c r="AH32" s="108"/>
      <c r="AI32" s="108"/>
      <c r="AJ32" s="108"/>
      <c r="AK32" s="108"/>
      <c r="AL32" s="108"/>
      <c r="AM32" s="108"/>
      <c r="AN32" s="108"/>
      <c r="AO32" s="108"/>
      <c r="AP32" s="108"/>
      <c r="AQ32" s="108"/>
      <c r="AR32" s="108"/>
    </row>
    <row r="33" spans="1:44" ht="67.95" hidden="1" customHeight="1" thickBot="1" x14ac:dyDescent="0.35">
      <c r="A33" s="108">
        <v>341</v>
      </c>
      <c r="B33" s="634" t="s">
        <v>56</v>
      </c>
      <c r="C33" s="634" t="s">
        <v>144</v>
      </c>
      <c r="D33" s="749" t="s">
        <v>1467</v>
      </c>
      <c r="E33" s="710" t="e">
        <f>HLOOKUP($D$2,'2020 Data(H)'!$C$1:$CZ$432,107,FALSE)</f>
        <v>#N/A</v>
      </c>
      <c r="F33" s="307">
        <v>0</v>
      </c>
      <c r="G33" s="771">
        <f t="shared" si="0"/>
        <v>0</v>
      </c>
      <c r="H33" s="17"/>
      <c r="I33" s="79"/>
      <c r="J33" s="616"/>
      <c r="L33" s="745"/>
      <c r="Z33" s="108"/>
      <c r="AA33" s="108"/>
      <c r="AB33" s="108"/>
      <c r="AC33" s="108"/>
      <c r="AD33" s="108"/>
      <c r="AE33" s="108"/>
      <c r="AF33" s="108"/>
      <c r="AG33" s="108"/>
      <c r="AH33" s="108"/>
      <c r="AI33" s="108"/>
      <c r="AJ33" s="108"/>
      <c r="AK33" s="108"/>
      <c r="AL33" s="108"/>
      <c r="AM33" s="108"/>
      <c r="AN33" s="108"/>
      <c r="AO33" s="108"/>
      <c r="AP33" s="108"/>
      <c r="AQ33" s="108"/>
      <c r="AR33" s="108"/>
    </row>
    <row r="34" spans="1:44" ht="44.25" hidden="1" customHeight="1" thickBot="1" x14ac:dyDescent="0.35">
      <c r="A34" s="108">
        <v>386</v>
      </c>
      <c r="B34" s="634" t="s">
        <v>56</v>
      </c>
      <c r="C34" s="634" t="s">
        <v>144</v>
      </c>
      <c r="D34" s="107" t="s">
        <v>1468</v>
      </c>
      <c r="E34" s="710" t="e">
        <f>HLOOKUP($D$2,'2020 Data(H)'!$C$1:$CZ$432,145,FALSE)</f>
        <v>#N/A</v>
      </c>
      <c r="F34" s="307">
        <v>0</v>
      </c>
      <c r="G34" s="771">
        <f t="shared" si="0"/>
        <v>0</v>
      </c>
      <c r="H34" s="17"/>
      <c r="I34" s="79"/>
      <c r="L34" s="745"/>
      <c r="Z34" s="108"/>
      <c r="AA34" s="108"/>
      <c r="AB34" s="108"/>
      <c r="AC34" s="108"/>
      <c r="AD34" s="108"/>
      <c r="AE34" s="108"/>
      <c r="AF34" s="108"/>
      <c r="AG34" s="108"/>
      <c r="AH34" s="108"/>
      <c r="AI34" s="108"/>
      <c r="AJ34" s="108"/>
      <c r="AK34" s="108"/>
      <c r="AL34" s="108"/>
      <c r="AM34" s="108"/>
      <c r="AN34" s="108"/>
      <c r="AO34" s="108"/>
      <c r="AP34" s="108"/>
      <c r="AQ34" s="108"/>
      <c r="AR34" s="108"/>
    </row>
    <row r="35" spans="1:44" ht="48.75" hidden="1" customHeight="1" thickBot="1" x14ac:dyDescent="0.35">
      <c r="A35" s="108">
        <v>387</v>
      </c>
      <c r="B35" s="634" t="s">
        <v>60</v>
      </c>
      <c r="C35" s="634" t="s">
        <v>144</v>
      </c>
      <c r="D35" s="107" t="s">
        <v>1469</v>
      </c>
      <c r="E35" s="710" t="e">
        <f>HLOOKUP($D$2,'2020 Data(H)'!$C$1:$CZ$432,146,FALSE)</f>
        <v>#N/A</v>
      </c>
      <c r="F35" s="307">
        <v>0</v>
      </c>
      <c r="G35" s="771">
        <f t="shared" si="0"/>
        <v>0</v>
      </c>
      <c r="H35" s="17"/>
      <c r="I35" s="79"/>
      <c r="L35" s="745"/>
      <c r="Z35" s="108"/>
      <c r="AA35" s="108"/>
      <c r="AB35" s="108"/>
      <c r="AC35" s="108"/>
      <c r="AD35" s="108"/>
      <c r="AE35" s="108"/>
      <c r="AF35" s="108"/>
      <c r="AG35" s="108"/>
      <c r="AH35" s="108"/>
      <c r="AI35" s="108"/>
      <c r="AJ35" s="108"/>
      <c r="AK35" s="108"/>
      <c r="AL35" s="108"/>
      <c r="AM35" s="108"/>
      <c r="AN35" s="108"/>
      <c r="AO35" s="108"/>
      <c r="AP35" s="108"/>
      <c r="AQ35" s="108"/>
      <c r="AR35" s="108"/>
    </row>
    <row r="36" spans="1:44" ht="92.25" hidden="1" customHeight="1" thickBot="1" x14ac:dyDescent="0.35">
      <c r="A36" s="108">
        <v>389</v>
      </c>
      <c r="B36" s="634" t="s">
        <v>60</v>
      </c>
      <c r="C36" s="634" t="s">
        <v>144</v>
      </c>
      <c r="D36" s="749" t="s">
        <v>1470</v>
      </c>
      <c r="E36" s="710" t="e">
        <f>HLOOKUP($D$2,'2020 Data(H)'!$C$1:$CZ$432,148,FALSE)</f>
        <v>#N/A</v>
      </c>
      <c r="F36" s="307">
        <v>0</v>
      </c>
      <c r="G36" s="771"/>
      <c r="H36" s="17"/>
      <c r="I36" s="79"/>
      <c r="J36" s="616"/>
      <c r="L36" s="745"/>
      <c r="Z36" s="108"/>
      <c r="AA36" s="108"/>
      <c r="AB36" s="108"/>
      <c r="AC36" s="108"/>
      <c r="AD36" s="108"/>
      <c r="AE36" s="108"/>
      <c r="AF36" s="108"/>
      <c r="AG36" s="108"/>
      <c r="AH36" s="108"/>
      <c r="AI36" s="108"/>
      <c r="AJ36" s="108"/>
      <c r="AK36" s="108"/>
      <c r="AL36" s="108"/>
      <c r="AM36" s="108"/>
      <c r="AN36" s="108"/>
      <c r="AO36" s="108"/>
      <c r="AP36" s="108"/>
      <c r="AQ36" s="108"/>
      <c r="AR36" s="108"/>
    </row>
    <row r="37" spans="1:44" ht="84.75" hidden="1" customHeight="1" thickBot="1" x14ac:dyDescent="0.35">
      <c r="A37" s="108">
        <v>255</v>
      </c>
      <c r="B37" s="634" t="s">
        <v>56</v>
      </c>
      <c r="C37" s="634" t="s">
        <v>144</v>
      </c>
      <c r="D37" s="749" t="s">
        <v>1471</v>
      </c>
      <c r="E37" s="710" t="e">
        <f>HLOOKUP($D$2,'2020 Data(H)'!$C$1:$CZ$432,81,FALSE)</f>
        <v>#N/A</v>
      </c>
      <c r="F37" s="307">
        <v>0</v>
      </c>
      <c r="G37" s="771">
        <f>IF(H37=0,,"Error: Total revenues less total expenses do not equal total change in net position. Account numbers 339+504+505+341+386-387+389-388-255 = 0  The amount the formula is off is located in the cell to the right")</f>
        <v>0</v>
      </c>
      <c r="H37" s="774">
        <f>F30+F31+F32+F33+F34-F35+F36-F29-F37</f>
        <v>0</v>
      </c>
      <c r="I37" s="79"/>
      <c r="J37" s="616"/>
      <c r="L37" s="745"/>
      <c r="Z37" s="108"/>
      <c r="AA37" s="108"/>
      <c r="AB37" s="108"/>
      <c r="AC37" s="108"/>
      <c r="AD37" s="108"/>
      <c r="AE37" s="108"/>
      <c r="AF37" s="108"/>
      <c r="AG37" s="108"/>
      <c r="AH37" s="108"/>
      <c r="AI37" s="108"/>
      <c r="AJ37" s="108"/>
      <c r="AK37" s="108"/>
      <c r="AL37" s="108"/>
      <c r="AM37" s="108"/>
      <c r="AN37" s="108"/>
      <c r="AO37" s="108"/>
      <c r="AP37" s="108"/>
      <c r="AQ37" s="108"/>
      <c r="AR37" s="108"/>
    </row>
    <row r="38" spans="1:44" ht="138" hidden="1" customHeight="1" thickBot="1" x14ac:dyDescent="0.35">
      <c r="A38" s="108">
        <v>376</v>
      </c>
      <c r="B38" s="634" t="s">
        <v>56</v>
      </c>
      <c r="C38" s="634" t="s">
        <v>144</v>
      </c>
      <c r="D38" s="749" t="s">
        <v>1472</v>
      </c>
      <c r="E38" s="710" t="e">
        <f>HLOOKUP($D$2,'2020 Data(H)'!$C$1:$CZ$432,135,FALSE)</f>
        <v>#N/A</v>
      </c>
      <c r="F38" s="305">
        <v>0</v>
      </c>
      <c r="G38" s="954" t="e">
        <f>IF(H38=0,,"Error: Beginning Balance does not agree with our records.  Account numbers  252+253+254-255-376-(Prior Year 252+253+254)=0  The amount the formula is off is located in the cell to the right")</f>
        <v>#N/A</v>
      </c>
      <c r="H38" s="778" t="e">
        <f>F21+F22+F23-F37-F38-(E21+E22+E23)</f>
        <v>#N/A</v>
      </c>
      <c r="I38" s="880"/>
      <c r="J38" s="616"/>
      <c r="L38" s="745"/>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08">
        <v>597</v>
      </c>
      <c r="B39" s="676" t="s">
        <v>606</v>
      </c>
      <c r="C39" s="676" t="s">
        <v>652</v>
      </c>
      <c r="D39" s="854" t="s">
        <v>1473</v>
      </c>
      <c r="E39" s="710" t="e">
        <f>HLOOKUP($D$2,'2020 Data(H)'!$C$1:$CZ$432,256,FALSE)</f>
        <v>#N/A</v>
      </c>
      <c r="F39" s="305">
        <v>0</v>
      </c>
      <c r="G39" s="771">
        <f>IF(F39&lt;0,"Note: Number is normally positive.",)</f>
        <v>0</v>
      </c>
      <c r="H39" s="772"/>
      <c r="I39" s="773"/>
      <c r="J39" s="616"/>
      <c r="L39" s="745"/>
      <c r="N39" s="308"/>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84" t="s">
        <v>605</v>
      </c>
      <c r="C40" s="885"/>
      <c r="D40" s="889"/>
      <c r="E40" s="890"/>
      <c r="F40" s="891"/>
      <c r="G40" s="892"/>
      <c r="H40" s="17"/>
      <c r="I40" s="79"/>
      <c r="L40" s="745"/>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76" t="s">
        <v>59</v>
      </c>
      <c r="C41" s="676" t="s">
        <v>607</v>
      </c>
      <c r="D41" s="749" t="s">
        <v>1474</v>
      </c>
      <c r="E41" s="710" t="e">
        <f>HLOOKUP($D$2,'2020 Data(H)'!$C$1:$CZ$432,253,FALSE)</f>
        <v>#N/A</v>
      </c>
      <c r="F41" s="779">
        <v>0</v>
      </c>
      <c r="G41" s="771"/>
      <c r="H41" s="772"/>
      <c r="J41" s="616"/>
      <c r="L41" s="745"/>
      <c r="N41" s="308"/>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76" t="s">
        <v>59</v>
      </c>
      <c r="C42" s="676" t="s">
        <v>607</v>
      </c>
      <c r="D42" s="107" t="s">
        <v>608</v>
      </c>
      <c r="E42" s="710" t="e">
        <f>HLOOKUP($D$2,'2020 Data(H)'!$C$1:$CZ$432,252,FALSE)</f>
        <v>#N/A</v>
      </c>
      <c r="F42" s="779">
        <v>0</v>
      </c>
      <c r="G42" s="771">
        <f>IF(F42&lt;0,"Error: Enter as positive.",)</f>
        <v>0</v>
      </c>
      <c r="H42" s="772"/>
      <c r="J42" s="616"/>
      <c r="L42" s="745"/>
      <c r="N42" s="308"/>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76" t="s">
        <v>59</v>
      </c>
      <c r="C43" s="855" t="s">
        <v>607</v>
      </c>
      <c r="D43" s="107" t="s">
        <v>1417</v>
      </c>
      <c r="E43" s="710" t="s">
        <v>1576</v>
      </c>
      <c r="F43" s="779">
        <v>0</v>
      </c>
      <c r="G43" s="771"/>
      <c r="H43" s="772"/>
      <c r="J43" s="616"/>
      <c r="L43" s="745"/>
      <c r="N43" s="308"/>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76" t="s">
        <v>59</v>
      </c>
      <c r="C44" s="855" t="s">
        <v>607</v>
      </c>
      <c r="D44" s="107" t="s">
        <v>1418</v>
      </c>
      <c r="E44" s="710" t="s">
        <v>1576</v>
      </c>
      <c r="F44" s="779">
        <v>0</v>
      </c>
      <c r="G44" s="771"/>
      <c r="H44" s="772"/>
      <c r="J44" s="616"/>
      <c r="L44" s="745"/>
      <c r="N44" s="308"/>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84" t="s">
        <v>1580</v>
      </c>
      <c r="C45" s="940"/>
      <c r="D45" s="941"/>
      <c r="E45" s="917"/>
      <c r="F45" s="891"/>
      <c r="G45" s="902"/>
      <c r="H45" s="772"/>
      <c r="J45" s="616"/>
      <c r="L45" s="745"/>
      <c r="N45" s="308"/>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76" t="s">
        <v>59</v>
      </c>
      <c r="C46" s="855" t="s">
        <v>1419</v>
      </c>
      <c r="D46" s="107" t="s">
        <v>1424</v>
      </c>
      <c r="E46" s="710" t="e">
        <f>HLOOKUP($D$2,'2020 Data(H)'!$C$1:$CZ$432,208,FALSE)</f>
        <v>#N/A</v>
      </c>
      <c r="F46" s="779">
        <v>0</v>
      </c>
      <c r="G46" s="771"/>
      <c r="H46" s="772"/>
      <c r="J46" s="616"/>
      <c r="L46" s="745"/>
      <c r="N46" s="308"/>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76" t="s">
        <v>59</v>
      </c>
      <c r="C47" s="855" t="s">
        <v>1419</v>
      </c>
      <c r="D47" s="107" t="s">
        <v>146</v>
      </c>
      <c r="E47" s="710" t="e">
        <f>HLOOKUP($D$2,'2020 Data(H)'!$C$1:$CZ$432,209,FALSE)</f>
        <v>#N/A</v>
      </c>
      <c r="F47" s="779">
        <v>0</v>
      </c>
      <c r="G47" s="771"/>
      <c r="H47" s="772"/>
      <c r="J47" s="616"/>
      <c r="L47" s="745"/>
      <c r="N47" s="308"/>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76" t="s">
        <v>59</v>
      </c>
      <c r="C48" s="855" t="s">
        <v>1419</v>
      </c>
      <c r="D48" s="749" t="s">
        <v>1421</v>
      </c>
      <c r="E48" s="710" t="e">
        <f>HLOOKUP($D$2,'2020 Data(H)'!$C$1:$CZ$432,210,FALSE)</f>
        <v>#N/A</v>
      </c>
      <c r="F48" s="779">
        <v>0</v>
      </c>
      <c r="G48" s="771"/>
      <c r="H48" s="772"/>
      <c r="J48" s="616"/>
      <c r="L48" s="745"/>
      <c r="N48" s="308"/>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76" t="s">
        <v>59</v>
      </c>
      <c r="C49" s="855" t="s">
        <v>1419</v>
      </c>
      <c r="D49" s="749" t="s">
        <v>1422</v>
      </c>
      <c r="E49" s="710" t="e">
        <f>HLOOKUP($D$2,'2020 Data(H)'!$C$1:$CZ$432,211,FALSE)</f>
        <v>#N/A</v>
      </c>
      <c r="F49" s="779">
        <v>0</v>
      </c>
      <c r="G49" s="771"/>
      <c r="H49" s="772"/>
      <c r="J49" s="616"/>
      <c r="L49" s="745"/>
      <c r="N49" s="308"/>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76" t="s">
        <v>59</v>
      </c>
      <c r="C50" s="855" t="s">
        <v>1419</v>
      </c>
      <c r="D50" s="749" t="s">
        <v>1420</v>
      </c>
      <c r="E50" s="710" t="e">
        <f>HLOOKUP($D$2,'2020 Data(H)'!$C$1:$CZ$432,213,FALSE)</f>
        <v>#N/A</v>
      </c>
      <c r="F50" s="779">
        <v>0</v>
      </c>
      <c r="G50" s="771"/>
      <c r="H50" s="772"/>
      <c r="J50" s="616"/>
      <c r="L50" s="745"/>
      <c r="N50" s="308"/>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76" t="s">
        <v>59</v>
      </c>
      <c r="C51" s="855" t="s">
        <v>1426</v>
      </c>
      <c r="D51" s="749" t="s">
        <v>1423</v>
      </c>
      <c r="E51" s="710" t="e">
        <f>HLOOKUP($D$2,'2020 Data(H)'!$C$1:$CZ$432,214,FALSE)</f>
        <v>#N/A</v>
      </c>
      <c r="F51" s="779">
        <v>0</v>
      </c>
      <c r="G51" s="771"/>
      <c r="H51" s="772"/>
      <c r="J51" s="616"/>
      <c r="L51" s="745"/>
      <c r="N51" s="308"/>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76" t="s">
        <v>59</v>
      </c>
      <c r="C52" s="855" t="s">
        <v>1426</v>
      </c>
      <c r="D52" s="749" t="s">
        <v>1425</v>
      </c>
      <c r="E52" s="710" t="e">
        <f>HLOOKUP($D$2,'2020 Data(H)'!$C$1:$CZ$432,218,FALSE)</f>
        <v>#N/A</v>
      </c>
      <c r="F52" s="779">
        <v>0</v>
      </c>
      <c r="G52" s="771"/>
      <c r="H52" s="772"/>
      <c r="J52" s="616"/>
      <c r="L52" s="745"/>
      <c r="N52" s="308"/>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76" t="s">
        <v>59</v>
      </c>
      <c r="C53" s="855" t="s">
        <v>1426</v>
      </c>
      <c r="D53" s="749" t="s">
        <v>533</v>
      </c>
      <c r="E53" s="710" t="e">
        <f>HLOOKUP($D$2,'2020 Data(H)'!$C$1:$CZ$432,215,FALSE)</f>
        <v>#N/A</v>
      </c>
      <c r="F53" s="779">
        <v>0</v>
      </c>
      <c r="G53" s="771"/>
      <c r="H53" s="772"/>
      <c r="J53" s="616"/>
      <c r="L53" s="745"/>
      <c r="N53" s="308"/>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76" t="s">
        <v>59</v>
      </c>
      <c r="C54" s="855" t="s">
        <v>1426</v>
      </c>
      <c r="D54" s="749" t="s">
        <v>535</v>
      </c>
      <c r="E54" s="710" t="e">
        <f>HLOOKUP($D$2,'2020 Data(H)'!$C$1:$CZ$432,216,FALSE)</f>
        <v>#N/A</v>
      </c>
      <c r="F54" s="779">
        <v>0</v>
      </c>
      <c r="G54" s="771"/>
      <c r="H54" s="772"/>
      <c r="J54" s="616"/>
      <c r="L54" s="745"/>
      <c r="N54" s="308"/>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76" t="s">
        <v>59</v>
      </c>
      <c r="C55" s="855" t="s">
        <v>1426</v>
      </c>
      <c r="D55" s="749" t="s">
        <v>1418</v>
      </c>
      <c r="E55" s="710" t="e">
        <f>HLOOKUP($D$2,'2020 Data(H)'!$C$1:$CZ$432,217,FALSE)</f>
        <v>#N/A</v>
      </c>
      <c r="F55" s="779">
        <v>0</v>
      </c>
      <c r="G55" s="771"/>
      <c r="H55" s="772"/>
      <c r="J55" s="616"/>
      <c r="L55" s="745"/>
      <c r="N55" s="308"/>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76" t="s">
        <v>59</v>
      </c>
      <c r="C56" s="855" t="s">
        <v>13</v>
      </c>
      <c r="D56" s="124" t="s">
        <v>1427</v>
      </c>
      <c r="E56" s="710" t="e">
        <f>HLOOKUP($D$2,'2020 Data(H)'!$C$1:$CZ$432,212,FALSE)</f>
        <v>#N/A</v>
      </c>
      <c r="F56" s="779">
        <v>0</v>
      </c>
      <c r="G56" s="771"/>
      <c r="H56" s="772"/>
      <c r="J56" s="616"/>
      <c r="L56" s="745"/>
      <c r="N56" s="308"/>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76" t="s">
        <v>59</v>
      </c>
      <c r="C57" s="855" t="s">
        <v>13</v>
      </c>
      <c r="D57" s="749" t="s">
        <v>1428</v>
      </c>
      <c r="E57" s="710" t="e">
        <f>HLOOKUP($D$2,'2020 Data(H)'!$C$1:$CZ$432,219,FALSE)</f>
        <v>#N/A</v>
      </c>
      <c r="F57" s="779">
        <v>0</v>
      </c>
      <c r="G57" s="771"/>
      <c r="H57" s="772"/>
      <c r="J57" s="616"/>
      <c r="L57" s="745"/>
      <c r="N57" s="308"/>
      <c r="Z57" s="108"/>
      <c r="AA57" s="108"/>
      <c r="AB57" s="108"/>
      <c r="AC57" s="108"/>
      <c r="AD57" s="108"/>
      <c r="AE57" s="108"/>
      <c r="AF57" s="108"/>
      <c r="AG57" s="108"/>
      <c r="AH57" s="108"/>
      <c r="AI57" s="108"/>
      <c r="AJ57" s="108"/>
      <c r="AK57" s="108"/>
      <c r="AL57" s="108"/>
      <c r="AM57" s="108"/>
      <c r="AN57" s="108"/>
      <c r="AO57" s="108"/>
      <c r="AP57" s="108"/>
      <c r="AQ57" s="108"/>
      <c r="AR57" s="108"/>
    </row>
    <row r="58" spans="1:44" ht="27" hidden="1" customHeight="1" thickBot="1" x14ac:dyDescent="0.35">
      <c r="A58" s="108"/>
      <c r="B58" s="884" t="s">
        <v>145</v>
      </c>
      <c r="C58" s="885"/>
      <c r="D58" s="893"/>
      <c r="E58" s="890"/>
      <c r="F58" s="894"/>
      <c r="G58" s="895"/>
      <c r="H58" s="17"/>
      <c r="I58" s="79"/>
      <c r="L58" s="745"/>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hidden="1" customHeight="1" thickBot="1" x14ac:dyDescent="0.35">
      <c r="A59" s="108">
        <v>506</v>
      </c>
      <c r="B59" s="856" t="s">
        <v>55</v>
      </c>
      <c r="C59" s="856" t="s">
        <v>149</v>
      </c>
      <c r="D59" s="107" t="s">
        <v>1475</v>
      </c>
      <c r="E59" s="970" t="e">
        <f>HLOOKUP($D$2,'2020 Data(H)'!$C$1:$CZ$432,156,FALSE)</f>
        <v>#N/A</v>
      </c>
      <c r="F59" s="307">
        <v>0</v>
      </c>
      <c r="G59" s="771">
        <f>IF(F59&lt;0,"Note: Number is normally positive.",)</f>
        <v>0</v>
      </c>
      <c r="H59" s="772"/>
      <c r="I59" s="79"/>
      <c r="J59" s="616"/>
      <c r="L59" s="745"/>
      <c r="N59" s="308"/>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hidden="1" customHeight="1" thickBot="1" x14ac:dyDescent="0.35">
      <c r="A60" s="108">
        <v>536</v>
      </c>
      <c r="B60" s="856" t="s">
        <v>55</v>
      </c>
      <c r="C60" s="856" t="s">
        <v>149</v>
      </c>
      <c r="D60" s="107" t="s">
        <v>146</v>
      </c>
      <c r="E60" s="710" t="e">
        <f>HLOOKUP($D$2,'2020 Data(H)'!$C$1:$CZ$432,186,FALSE)</f>
        <v>#N/A</v>
      </c>
      <c r="F60" s="307">
        <v>0</v>
      </c>
      <c r="G60" s="771">
        <f>IF(F60&lt;0,"Note: Number is normally positive.",)</f>
        <v>0</v>
      </c>
      <c r="H60" s="772"/>
      <c r="I60" s="773"/>
      <c r="J60" s="616"/>
      <c r="L60" s="745"/>
      <c r="N60" s="308"/>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hidden="1" customHeight="1" thickBot="1" x14ac:dyDescent="0.35">
      <c r="A61" s="108">
        <v>586</v>
      </c>
      <c r="B61" s="856" t="s">
        <v>59</v>
      </c>
      <c r="C61" s="856" t="s">
        <v>149</v>
      </c>
      <c r="D61" s="721" t="s">
        <v>561</v>
      </c>
      <c r="E61" s="710" t="e">
        <f>HLOOKUP($D$2,'2020 Data(H)'!$C$1:$CZ$432,236,FALSE)</f>
        <v>#N/A</v>
      </c>
      <c r="F61" s="307">
        <v>0</v>
      </c>
      <c r="G61" s="771">
        <f>IF(F61&lt;0,"Note: Number is normally positive.",)</f>
        <v>0</v>
      </c>
      <c r="H61" s="772"/>
      <c r="I61" s="773"/>
      <c r="L61" s="745"/>
      <c r="N61" s="308"/>
      <c r="Z61" s="108"/>
      <c r="AA61" s="108"/>
      <c r="AB61" s="108"/>
      <c r="AC61" s="108"/>
      <c r="AD61" s="108"/>
      <c r="AE61" s="108"/>
      <c r="AF61" s="108"/>
      <c r="AG61" s="108"/>
      <c r="AH61" s="108"/>
      <c r="AI61" s="108"/>
      <c r="AJ61" s="108"/>
      <c r="AK61" s="108"/>
      <c r="AL61" s="108"/>
      <c r="AM61" s="108"/>
      <c r="AN61" s="108"/>
      <c r="AO61" s="108"/>
      <c r="AP61" s="108"/>
      <c r="AQ61" s="108"/>
      <c r="AR61" s="108"/>
    </row>
    <row r="62" spans="1:44" ht="37.5" hidden="1" customHeight="1" thickBot="1" x14ac:dyDescent="0.35">
      <c r="A62" s="108">
        <v>379</v>
      </c>
      <c r="B62" s="856" t="s">
        <v>60</v>
      </c>
      <c r="C62" s="856" t="s">
        <v>149</v>
      </c>
      <c r="D62" s="107" t="s">
        <v>130</v>
      </c>
      <c r="E62" s="710" t="e">
        <f>HLOOKUP($D$2,'2020 Data(H)'!$C$1:$CZ$432,138,FALSE)</f>
        <v>#N/A</v>
      </c>
      <c r="F62" s="307">
        <v>0</v>
      </c>
      <c r="G62" s="771">
        <f>IF((F59+F60)&gt;F62,"Error: Please review account numbers (506+536)&gt;379",)</f>
        <v>0</v>
      </c>
      <c r="H62" s="17"/>
      <c r="I62" s="79"/>
      <c r="J62" s="616"/>
      <c r="L62" s="745"/>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08">
        <v>368</v>
      </c>
      <c r="B63" s="856" t="s">
        <v>69</v>
      </c>
      <c r="C63" s="856" t="s">
        <v>149</v>
      </c>
      <c r="D63" s="749" t="s">
        <v>1476</v>
      </c>
      <c r="E63" s="710" t="e">
        <f>HLOOKUP($D$2,'2020 Data(H)'!$C$1:$CZ$432,129,FALSE)</f>
        <v>#N/A</v>
      </c>
      <c r="F63" s="307">
        <v>0</v>
      </c>
      <c r="G63" s="771">
        <f t="shared" ref="G63:G69" si="1">IF(F63&lt;0,"Error: Enter as positive.",)</f>
        <v>0</v>
      </c>
      <c r="H63" s="17"/>
      <c r="I63" s="772"/>
      <c r="J63" s="616"/>
      <c r="L63" s="745"/>
      <c r="Z63" s="108"/>
      <c r="AA63" s="108"/>
      <c r="AB63" s="108"/>
      <c r="AC63" s="108"/>
      <c r="AD63" s="108"/>
      <c r="AE63" s="108"/>
      <c r="AF63" s="108"/>
      <c r="AG63" s="108"/>
      <c r="AH63" s="108"/>
      <c r="AI63" s="108"/>
      <c r="AJ63" s="108"/>
      <c r="AK63" s="108"/>
      <c r="AL63" s="108"/>
      <c r="AM63" s="108"/>
      <c r="AN63" s="108"/>
      <c r="AO63" s="108"/>
      <c r="AP63" s="108"/>
      <c r="AQ63" s="108"/>
      <c r="AR63" s="108"/>
    </row>
    <row r="64" spans="1:44" ht="99.75" hidden="1" customHeight="1" thickBot="1" x14ac:dyDescent="0.35">
      <c r="A64" s="108">
        <v>4</v>
      </c>
      <c r="B64" s="856" t="s">
        <v>55</v>
      </c>
      <c r="C64" s="856" t="s">
        <v>149</v>
      </c>
      <c r="D64" s="318" t="s">
        <v>1477</v>
      </c>
      <c r="E64" s="710" t="e">
        <f>HLOOKUP($D$2,'2020 Data(H)'!$C$1:$CZ$432,3,FALSE)</f>
        <v>#N/A</v>
      </c>
      <c r="F64" s="307">
        <v>0</v>
      </c>
      <c r="G64" s="771">
        <f t="shared" si="1"/>
        <v>0</v>
      </c>
      <c r="H64" s="17"/>
      <c r="I64" s="79"/>
      <c r="J64" s="616"/>
      <c r="L64" s="745"/>
      <c r="Z64" s="108"/>
      <c r="AA64" s="108"/>
      <c r="AB64" s="108"/>
      <c r="AC64" s="108"/>
      <c r="AD64" s="108"/>
      <c r="AE64" s="108"/>
      <c r="AF64" s="108"/>
      <c r="AG64" s="108"/>
      <c r="AH64" s="108"/>
      <c r="AI64" s="108"/>
      <c r="AJ64" s="108"/>
      <c r="AK64" s="108"/>
      <c r="AL64" s="108"/>
      <c r="AM64" s="108"/>
      <c r="AN64" s="108"/>
      <c r="AO64" s="108"/>
      <c r="AP64" s="108"/>
      <c r="AQ64" s="108"/>
      <c r="AR64" s="108"/>
    </row>
    <row r="65" spans="1:44" ht="132" hidden="1" customHeight="1" thickBot="1" x14ac:dyDescent="0.35">
      <c r="A65" s="108">
        <v>5</v>
      </c>
      <c r="B65" s="856" t="s">
        <v>55</v>
      </c>
      <c r="C65" s="856" t="s">
        <v>149</v>
      </c>
      <c r="D65" s="347" t="s">
        <v>1478</v>
      </c>
      <c r="E65" s="710" t="e">
        <f>HLOOKUP($D$2,'2020 Data(H)'!$C$1:$CZ$432,4,FALSE)</f>
        <v>#N/A</v>
      </c>
      <c r="F65" s="307">
        <v>0</v>
      </c>
      <c r="G65" s="771">
        <f t="shared" si="1"/>
        <v>0</v>
      </c>
      <c r="H65" s="17"/>
      <c r="I65" s="79"/>
      <c r="J65" s="616"/>
      <c r="L65" s="745"/>
      <c r="Z65" s="108"/>
      <c r="AA65" s="108"/>
      <c r="AB65" s="108"/>
      <c r="AC65" s="108"/>
      <c r="AD65" s="108"/>
      <c r="AE65" s="108"/>
      <c r="AF65" s="108"/>
      <c r="AG65" s="108"/>
      <c r="AH65" s="108"/>
      <c r="AI65" s="108"/>
      <c r="AJ65" s="108"/>
      <c r="AK65" s="108"/>
      <c r="AL65" s="108"/>
      <c r="AM65" s="108"/>
      <c r="AN65" s="108"/>
      <c r="AO65" s="108"/>
      <c r="AP65" s="108"/>
      <c r="AQ65" s="108"/>
      <c r="AR65" s="108"/>
    </row>
    <row r="66" spans="1:44" ht="93.75" hidden="1" customHeight="1" thickBot="1" x14ac:dyDescent="0.35">
      <c r="A66" s="108">
        <v>380</v>
      </c>
      <c r="B66" s="856" t="s">
        <v>60</v>
      </c>
      <c r="C66" s="856" t="s">
        <v>149</v>
      </c>
      <c r="D66" s="347" t="s">
        <v>1479</v>
      </c>
      <c r="E66" s="710" t="e">
        <f>HLOOKUP($D$2,'2020 Data(H)'!$C$1:$CZ$432,139,FALSE)</f>
        <v>#N/A</v>
      </c>
      <c r="F66" s="307">
        <v>0</v>
      </c>
      <c r="G66" s="771">
        <f t="shared" si="1"/>
        <v>0</v>
      </c>
      <c r="H66" s="17"/>
      <c r="I66" s="79"/>
      <c r="J66" s="616"/>
      <c r="L66" s="745"/>
      <c r="Z66" s="108"/>
      <c r="AA66" s="108"/>
      <c r="AB66" s="108"/>
      <c r="AC66" s="108"/>
      <c r="AD66" s="108"/>
      <c r="AE66" s="108"/>
      <c r="AF66" s="108"/>
      <c r="AG66" s="108"/>
      <c r="AH66" s="108"/>
      <c r="AI66" s="108"/>
      <c r="AJ66" s="108"/>
      <c r="AK66" s="108"/>
      <c r="AL66" s="108"/>
      <c r="AM66" s="108"/>
      <c r="AN66" s="108"/>
      <c r="AO66" s="108"/>
      <c r="AP66" s="108"/>
      <c r="AQ66" s="108"/>
      <c r="AR66" s="108"/>
    </row>
    <row r="67" spans="1:44" ht="48.75" hidden="1" customHeight="1" thickBot="1" x14ac:dyDescent="0.35">
      <c r="A67" s="108">
        <v>391</v>
      </c>
      <c r="B67" s="856" t="s">
        <v>69</v>
      </c>
      <c r="C67" s="856" t="s">
        <v>149</v>
      </c>
      <c r="D67" s="107" t="s">
        <v>147</v>
      </c>
      <c r="E67" s="710" t="e">
        <f>HLOOKUP($D$2,'2020 Data(H)'!$C$1:$CZ$432,149,FALSE)</f>
        <v>#N/A</v>
      </c>
      <c r="F67" s="307">
        <v>0</v>
      </c>
      <c r="G67" s="771">
        <f t="shared" si="1"/>
        <v>0</v>
      </c>
      <c r="H67" s="17"/>
      <c r="I67" s="79"/>
      <c r="J67" s="616"/>
      <c r="L67" s="745"/>
      <c r="Z67" s="108"/>
      <c r="AA67" s="108"/>
      <c r="AB67" s="108"/>
      <c r="AC67" s="108"/>
      <c r="AD67" s="108"/>
      <c r="AE67" s="108"/>
      <c r="AF67" s="108"/>
      <c r="AG67" s="108"/>
      <c r="AH67" s="108"/>
      <c r="AI67" s="108"/>
      <c r="AJ67" s="108"/>
      <c r="AK67" s="108"/>
      <c r="AL67" s="108"/>
      <c r="AM67" s="108"/>
      <c r="AN67" s="108"/>
      <c r="AO67" s="108"/>
      <c r="AP67" s="108"/>
      <c r="AQ67" s="108"/>
      <c r="AR67" s="108"/>
    </row>
    <row r="68" spans="1:44" ht="51.75" hidden="1" customHeight="1" thickBot="1" x14ac:dyDescent="0.35">
      <c r="A68" s="108">
        <v>7</v>
      </c>
      <c r="B68" s="856" t="s">
        <v>69</v>
      </c>
      <c r="C68" s="856" t="s">
        <v>149</v>
      </c>
      <c r="D68" s="107" t="s">
        <v>148</v>
      </c>
      <c r="E68" s="710" t="e">
        <f>HLOOKUP($D$2,'2020 Data(H)'!$C$1:$CZ$432,6,FALSE)</f>
        <v>#N/A</v>
      </c>
      <c r="F68" s="307">
        <v>0</v>
      </c>
      <c r="G68" s="771">
        <f t="shared" si="1"/>
        <v>0</v>
      </c>
      <c r="H68" s="17"/>
      <c r="I68" s="79"/>
      <c r="J68" s="616"/>
      <c r="L68" s="745"/>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56" t="s">
        <v>69</v>
      </c>
      <c r="C69" s="856" t="s">
        <v>149</v>
      </c>
      <c r="D69" s="749" t="s">
        <v>1480</v>
      </c>
      <c r="E69" s="710" t="e">
        <f>HLOOKUP($D$2,'2020 Data(H)'!$C$1:$CZ$432,8,FALSE)</f>
        <v>#N/A</v>
      </c>
      <c r="F69" s="307">
        <v>0</v>
      </c>
      <c r="G69" s="771">
        <f t="shared" si="1"/>
        <v>0</v>
      </c>
      <c r="H69" s="17"/>
      <c r="I69" s="79"/>
      <c r="J69" s="616"/>
      <c r="L69" s="745"/>
      <c r="Z69" s="108"/>
      <c r="AA69" s="108"/>
      <c r="AB69" s="108"/>
      <c r="AC69" s="108"/>
      <c r="AD69" s="108"/>
      <c r="AE69" s="108"/>
      <c r="AF69" s="108"/>
      <c r="AG69" s="108"/>
      <c r="AH69" s="108"/>
      <c r="AI69" s="108"/>
      <c r="AJ69" s="108"/>
      <c r="AK69" s="108"/>
      <c r="AL69" s="108"/>
      <c r="AM69" s="108"/>
      <c r="AN69" s="108"/>
      <c r="AO69" s="108"/>
      <c r="AP69" s="108"/>
      <c r="AQ69" s="108"/>
      <c r="AR69" s="108"/>
    </row>
    <row r="70" spans="1:44" ht="78.75" hidden="1" customHeight="1" thickBot="1" x14ac:dyDescent="0.35">
      <c r="A70" s="319">
        <v>645</v>
      </c>
      <c r="B70" s="853" t="s">
        <v>696</v>
      </c>
      <c r="C70" s="853" t="s">
        <v>149</v>
      </c>
      <c r="D70" s="744" t="s">
        <v>729</v>
      </c>
      <c r="E70" s="710" t="e">
        <f>HLOOKUP($D$2,'2020 Data(H)'!$C$1:$CZ$432,304,FALSE)</f>
        <v>#N/A</v>
      </c>
      <c r="F70" s="307">
        <v>0</v>
      </c>
      <c r="G70" s="771">
        <f>IF(F70&lt;0,"Note: Number is normally positive.",)</f>
        <v>0</v>
      </c>
      <c r="H70" s="772"/>
      <c r="I70" s="773"/>
      <c r="J70" s="616"/>
      <c r="L70" s="745"/>
      <c r="Z70" s="319"/>
      <c r="AA70" s="319"/>
      <c r="AB70" s="319"/>
      <c r="AC70" s="319"/>
      <c r="AD70" s="319"/>
      <c r="AE70" s="319"/>
      <c r="AF70" s="319"/>
      <c r="AG70" s="319"/>
      <c r="AH70" s="319"/>
      <c r="AI70" s="319"/>
      <c r="AJ70" s="319"/>
      <c r="AK70" s="319"/>
      <c r="AL70" s="319"/>
      <c r="AM70" s="319"/>
      <c r="AN70" s="319"/>
      <c r="AO70" s="319"/>
      <c r="AP70" s="319"/>
      <c r="AQ70" s="319"/>
      <c r="AR70" s="319"/>
    </row>
    <row r="71" spans="1:44" ht="78.75" hidden="1" customHeight="1" thickBot="1" x14ac:dyDescent="0.35">
      <c r="A71" s="319">
        <v>646</v>
      </c>
      <c r="B71" s="853" t="s">
        <v>696</v>
      </c>
      <c r="C71" s="853" t="s">
        <v>149</v>
      </c>
      <c r="D71" s="318" t="s">
        <v>697</v>
      </c>
      <c r="E71" s="710" t="e">
        <f>HLOOKUP($D$2,'2020 Data(H)'!$C$1:$CZ$432,305,FALSE)</f>
        <v>#N/A</v>
      </c>
      <c r="F71" s="307">
        <v>0</v>
      </c>
      <c r="G71" s="771">
        <f>IF(F71&lt;0,"Note: Number is normally positive.",)</f>
        <v>0</v>
      </c>
      <c r="H71" s="772"/>
      <c r="I71" s="773"/>
      <c r="J71" s="616"/>
      <c r="L71" s="745"/>
      <c r="Z71" s="319"/>
      <c r="AA71" s="319"/>
      <c r="AB71" s="319"/>
      <c r="AC71" s="319"/>
      <c r="AD71" s="319"/>
      <c r="AE71" s="319"/>
      <c r="AF71" s="319"/>
      <c r="AG71" s="319"/>
      <c r="AH71" s="319"/>
      <c r="AI71" s="319"/>
      <c r="AJ71" s="319"/>
      <c r="AK71" s="319"/>
      <c r="AL71" s="319"/>
      <c r="AM71" s="319"/>
      <c r="AN71" s="319"/>
      <c r="AO71" s="319"/>
      <c r="AP71" s="319"/>
      <c r="AQ71" s="319"/>
      <c r="AR71" s="319"/>
    </row>
    <row r="72" spans="1:44" ht="57.75" hidden="1" customHeight="1" thickBot="1" x14ac:dyDescent="0.35">
      <c r="A72" s="108">
        <v>9</v>
      </c>
      <c r="B72" s="856" t="s">
        <v>60</v>
      </c>
      <c r="C72" s="856" t="s">
        <v>149</v>
      </c>
      <c r="D72" s="749" t="s">
        <v>1481</v>
      </c>
      <c r="E72" s="710" t="e">
        <f>HLOOKUP($D$2,'2020 Data(H)'!$C$1:$CZ$432,7,FALSE)</f>
        <v>#N/A</v>
      </c>
      <c r="F72" s="307">
        <v>0</v>
      </c>
      <c r="G72" s="771">
        <f>IF(F62-F64-F65-F66-F72=0,,"Error: Total assets less total liabilities do not equal total fund balance. Account numbers 379-4-5-380-9= 0  The amount of the formula is in the cell to the right")</f>
        <v>0</v>
      </c>
      <c r="H72" s="774">
        <f>F62-F64-F65-F66-F72</f>
        <v>0</v>
      </c>
      <c r="I72" s="79"/>
      <c r="J72" s="616"/>
      <c r="L72" s="745"/>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08">
        <v>540</v>
      </c>
      <c r="B73" s="676" t="s">
        <v>59</v>
      </c>
      <c r="C73" s="676" t="s">
        <v>1482</v>
      </c>
      <c r="D73" s="107" t="s">
        <v>730</v>
      </c>
      <c r="E73" s="710" t="e">
        <f>HLOOKUP($D$2,'2020 Data(H)'!$C$1:$CZ$432,190,FALSE)</f>
        <v>#N/A</v>
      </c>
      <c r="F73" s="307">
        <v>0</v>
      </c>
      <c r="G73" s="771"/>
      <c r="H73" s="772"/>
      <c r="I73" s="773"/>
      <c r="J73" s="616"/>
      <c r="L73" s="745"/>
      <c r="N73" s="308"/>
      <c r="Z73" s="108"/>
      <c r="AA73" s="108"/>
      <c r="AB73" s="108"/>
      <c r="AC73" s="108"/>
      <c r="AD73" s="108"/>
      <c r="AE73" s="108"/>
      <c r="AF73" s="108"/>
      <c r="AG73" s="108"/>
      <c r="AH73" s="108"/>
      <c r="AI73" s="108"/>
      <c r="AJ73" s="108"/>
      <c r="AK73" s="108"/>
      <c r="AL73" s="108"/>
      <c r="AM73" s="108"/>
      <c r="AN73" s="108"/>
      <c r="AO73" s="108"/>
      <c r="AP73" s="108"/>
      <c r="AQ73" s="108"/>
      <c r="AR73" s="108"/>
    </row>
    <row r="74" spans="1:44" ht="30" hidden="1" customHeight="1" thickBot="1" x14ac:dyDescent="0.35">
      <c r="A74" s="108"/>
      <c r="B74" s="884" t="s">
        <v>151</v>
      </c>
      <c r="C74" s="885"/>
      <c r="D74" s="889"/>
      <c r="E74" s="890"/>
      <c r="F74" s="891"/>
      <c r="G74" s="892"/>
      <c r="H74" s="17"/>
      <c r="I74" s="79"/>
      <c r="L74" s="745"/>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55" t="s">
        <v>1055</v>
      </c>
      <c r="C75" s="755" t="s">
        <v>1482</v>
      </c>
      <c r="D75" s="780" t="s">
        <v>1577</v>
      </c>
      <c r="E75" s="710" t="s">
        <v>1056</v>
      </c>
      <c r="F75" s="307">
        <v>0</v>
      </c>
      <c r="G75" s="771"/>
      <c r="H75" s="17"/>
      <c r="I75" s="79"/>
      <c r="J75" s="616"/>
      <c r="L75" s="745"/>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55" t="s">
        <v>1055</v>
      </c>
      <c r="C76" s="755" t="s">
        <v>1482</v>
      </c>
      <c r="D76" s="780" t="s">
        <v>1578</v>
      </c>
      <c r="E76" s="710" t="s">
        <v>1056</v>
      </c>
      <c r="F76" s="307">
        <v>0</v>
      </c>
      <c r="G76" s="771"/>
      <c r="H76" s="17"/>
      <c r="I76" s="79"/>
      <c r="J76" s="616"/>
      <c r="L76" s="745"/>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08">
        <v>369</v>
      </c>
      <c r="B77" s="634" t="s">
        <v>56</v>
      </c>
      <c r="C77" s="634" t="s">
        <v>152</v>
      </c>
      <c r="D77" s="749" t="s">
        <v>1483</v>
      </c>
      <c r="E77" s="710" t="e">
        <f>HLOOKUP($D$2,'2020 Data(H)'!$C$1:$CZ$432,130,FALSE)</f>
        <v>#N/A</v>
      </c>
      <c r="F77" s="307">
        <v>0</v>
      </c>
      <c r="G77" s="771"/>
      <c r="H77" s="17"/>
      <c r="I77" s="79"/>
      <c r="J77" s="616"/>
      <c r="L77" s="745"/>
      <c r="Z77" s="108"/>
      <c r="AA77" s="108"/>
      <c r="AB77" s="108"/>
      <c r="AC77" s="108"/>
      <c r="AD77" s="108"/>
      <c r="AE77" s="108"/>
      <c r="AF77" s="108"/>
      <c r="AG77" s="108"/>
      <c r="AH77" s="108"/>
      <c r="AI77" s="108"/>
      <c r="AJ77" s="108"/>
      <c r="AK77" s="108"/>
      <c r="AL77" s="108"/>
      <c r="AM77" s="108"/>
      <c r="AN77" s="108"/>
      <c r="AO77" s="108"/>
      <c r="AP77" s="108"/>
      <c r="AQ77" s="108"/>
      <c r="AR77" s="108"/>
    </row>
    <row r="78" spans="1:44" ht="57.75" hidden="1" customHeight="1" thickBot="1" x14ac:dyDescent="0.35">
      <c r="A78" s="108">
        <v>16</v>
      </c>
      <c r="B78" s="634" t="s">
        <v>66</v>
      </c>
      <c r="C78" s="634" t="s">
        <v>152</v>
      </c>
      <c r="D78" s="107" t="s">
        <v>150</v>
      </c>
      <c r="E78" s="710" t="e">
        <f>HLOOKUP($D$2,'2020 Data(H)'!$C$1:$CZ$432,12,FALSE)</f>
        <v>#N/A</v>
      </c>
      <c r="F78" s="307">
        <v>0</v>
      </c>
      <c r="G78" s="771"/>
      <c r="H78" s="17"/>
      <c r="I78" s="79"/>
      <c r="J78" s="616"/>
      <c r="L78" s="745"/>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08">
        <v>370</v>
      </c>
      <c r="B79" s="634" t="s">
        <v>56</v>
      </c>
      <c r="C79" s="634" t="s">
        <v>152</v>
      </c>
      <c r="D79" s="749" t="s">
        <v>1484</v>
      </c>
      <c r="E79" s="710" t="e">
        <f>HLOOKUP($D$2,'2020 Data(H)'!$C$1:$CZ$432,131,FALSE)</f>
        <v>#N/A</v>
      </c>
      <c r="F79" s="307">
        <v>0</v>
      </c>
      <c r="G79" s="771">
        <f>IF(F79&lt;0,"Error: Enter as positive.",)</f>
        <v>0</v>
      </c>
      <c r="H79" s="17"/>
      <c r="I79" s="79"/>
      <c r="J79" s="616"/>
      <c r="L79" s="745"/>
      <c r="Z79" s="108"/>
      <c r="AA79" s="108"/>
      <c r="AB79" s="108"/>
      <c r="AC79" s="108"/>
      <c r="AD79" s="108"/>
      <c r="AE79" s="108"/>
      <c r="AF79" s="108"/>
      <c r="AG79" s="108"/>
      <c r="AH79" s="108"/>
      <c r="AI79" s="108"/>
      <c r="AJ79" s="108"/>
      <c r="AK79" s="108"/>
      <c r="AL79" s="108"/>
      <c r="AM79" s="108"/>
      <c r="AN79" s="108"/>
      <c r="AO79" s="108"/>
      <c r="AP79" s="108"/>
      <c r="AQ79" s="108"/>
      <c r="AR79" s="108"/>
    </row>
    <row r="80" spans="1:44" ht="69.75" hidden="1" customHeight="1" thickBot="1" x14ac:dyDescent="0.35">
      <c r="A80" s="108">
        <v>532</v>
      </c>
      <c r="B80" s="634" t="s">
        <v>55</v>
      </c>
      <c r="C80" s="634" t="s">
        <v>152</v>
      </c>
      <c r="D80" s="734" t="s">
        <v>1485</v>
      </c>
      <c r="E80" s="710" t="e">
        <f>HLOOKUP($D$2,'2020 Data(H)'!$C$1:$CZ$432,182,FALSE)</f>
        <v>#N/A</v>
      </c>
      <c r="F80" s="307">
        <v>0</v>
      </c>
      <c r="G80" s="771">
        <f>IF(F80&lt;0,"Error: Enter as positive.",)</f>
        <v>0</v>
      </c>
      <c r="H80" s="17"/>
      <c r="I80" s="79"/>
      <c r="J80" s="616"/>
      <c r="L80" s="745"/>
      <c r="Z80" s="108"/>
      <c r="AA80" s="108"/>
      <c r="AB80" s="108"/>
      <c r="AC80" s="108"/>
      <c r="AD80" s="108"/>
      <c r="AE80" s="108"/>
      <c r="AF80" s="108"/>
      <c r="AG80" s="108"/>
      <c r="AH80" s="108"/>
      <c r="AI80" s="108"/>
      <c r="AJ80" s="108"/>
      <c r="AK80" s="108"/>
      <c r="AL80" s="108"/>
      <c r="AM80" s="108"/>
      <c r="AN80" s="108"/>
      <c r="AO80" s="108"/>
      <c r="AP80" s="108"/>
      <c r="AQ80" s="108"/>
      <c r="AR80" s="108"/>
    </row>
    <row r="81" spans="1:44" ht="54" hidden="1" customHeight="1" thickBot="1" x14ac:dyDescent="0.35">
      <c r="A81" s="108">
        <v>17</v>
      </c>
      <c r="B81" s="634" t="s">
        <v>60</v>
      </c>
      <c r="C81" s="634" t="s">
        <v>152</v>
      </c>
      <c r="D81" s="107" t="s">
        <v>1486</v>
      </c>
      <c r="E81" s="710" t="e">
        <f>HLOOKUP($D$2,'2020 Data(H)'!$C$1:$CZ$432,13,FALSE)</f>
        <v>#N/A</v>
      </c>
      <c r="F81" s="307">
        <v>0</v>
      </c>
      <c r="G81" s="771"/>
      <c r="H81" s="17"/>
      <c r="I81" s="79"/>
      <c r="L81" s="745"/>
      <c r="Z81" s="108"/>
      <c r="AA81" s="108"/>
      <c r="AB81" s="108"/>
      <c r="AC81" s="108"/>
      <c r="AD81" s="108"/>
      <c r="AE81" s="108"/>
      <c r="AF81" s="108"/>
      <c r="AG81" s="108"/>
      <c r="AH81" s="108"/>
      <c r="AI81" s="108"/>
      <c r="AJ81" s="108"/>
      <c r="AK81" s="108"/>
      <c r="AL81" s="108"/>
      <c r="AM81" s="108"/>
      <c r="AN81" s="108"/>
      <c r="AO81" s="108"/>
      <c r="AP81" s="108"/>
      <c r="AQ81" s="108"/>
      <c r="AR81" s="108"/>
    </row>
    <row r="82" spans="1:44" ht="58.5" hidden="1" customHeight="1" thickBot="1" x14ac:dyDescent="0.35">
      <c r="A82" s="108">
        <v>20</v>
      </c>
      <c r="B82" s="634" t="s">
        <v>55</v>
      </c>
      <c r="C82" s="634" t="s">
        <v>152</v>
      </c>
      <c r="D82" s="107" t="s">
        <v>1487</v>
      </c>
      <c r="E82" s="710" t="e">
        <f>HLOOKUP($D$2,'2020 Data(H)'!$C$1:$CZ$432,15,FALSE)</f>
        <v>#N/A</v>
      </c>
      <c r="F82" s="307">
        <v>0</v>
      </c>
      <c r="G82" s="771">
        <f>IF(F82&lt;0,"Error: Enter as positive.",)</f>
        <v>0</v>
      </c>
      <c r="H82" s="17"/>
      <c r="I82" s="79"/>
      <c r="L82" s="745"/>
      <c r="Z82" s="108"/>
      <c r="AA82" s="108"/>
      <c r="AB82" s="108"/>
      <c r="AC82" s="108"/>
      <c r="AD82" s="108"/>
      <c r="AE82" s="108"/>
      <c r="AF82" s="108"/>
      <c r="AG82" s="108"/>
      <c r="AH82" s="108"/>
      <c r="AI82" s="108"/>
      <c r="AJ82" s="108"/>
      <c r="AK82" s="108"/>
      <c r="AL82" s="108"/>
      <c r="AM82" s="108"/>
      <c r="AN82" s="108"/>
      <c r="AO82" s="108"/>
      <c r="AP82" s="108"/>
      <c r="AQ82" s="108"/>
      <c r="AR82" s="108"/>
    </row>
    <row r="83" spans="1:44" ht="54" hidden="1" customHeight="1" thickBot="1" x14ac:dyDescent="0.35">
      <c r="A83" s="108">
        <v>533</v>
      </c>
      <c r="B83" s="634" t="s">
        <v>55</v>
      </c>
      <c r="C83" s="634" t="s">
        <v>152</v>
      </c>
      <c r="D83" s="734" t="s">
        <v>1488</v>
      </c>
      <c r="E83" s="710" t="e">
        <f>HLOOKUP($D$2,'2020 Data(H)'!$C$1:$CZ$432,183,FALSE)</f>
        <v>#N/A</v>
      </c>
      <c r="F83" s="307">
        <v>0</v>
      </c>
      <c r="G83" s="781"/>
      <c r="H83" s="17"/>
      <c r="I83" s="79"/>
      <c r="L83" s="745"/>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hidden="1" customHeight="1" thickBot="1" x14ac:dyDescent="0.35">
      <c r="A84" s="108">
        <v>508</v>
      </c>
      <c r="B84" s="634" t="s">
        <v>55</v>
      </c>
      <c r="C84" s="634" t="s">
        <v>152</v>
      </c>
      <c r="D84" s="107" t="s">
        <v>535</v>
      </c>
      <c r="E84" s="710" t="e">
        <f>HLOOKUP($D$2,'2020 Data(H)'!$C$1:$CZ$432,158,FALSE)</f>
        <v>#N/A</v>
      </c>
      <c r="F84" s="307">
        <v>0</v>
      </c>
      <c r="G84" s="771"/>
      <c r="H84" s="772"/>
      <c r="I84" s="773"/>
      <c r="L84" s="745"/>
      <c r="N84" s="308"/>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hidden="1" customHeight="1" thickBot="1" x14ac:dyDescent="0.35">
      <c r="A85" s="108">
        <v>509</v>
      </c>
      <c r="B85" s="634" t="s">
        <v>55</v>
      </c>
      <c r="C85" s="634" t="s">
        <v>152</v>
      </c>
      <c r="D85" s="107" t="s">
        <v>533</v>
      </c>
      <c r="E85" s="710" t="e">
        <f>HLOOKUP($D$2,'2020 Data(H)'!$C$1:$CZ$432,159,FALSE)</f>
        <v>#N/A</v>
      </c>
      <c r="F85" s="307">
        <v>0</v>
      </c>
      <c r="G85" s="771">
        <f>IF(F85&lt;0,"Error: Enter as positive.",)</f>
        <v>0</v>
      </c>
      <c r="H85" s="772"/>
      <c r="I85" s="773"/>
      <c r="L85" s="745"/>
      <c r="N85" s="308"/>
      <c r="Z85" s="108"/>
      <c r="AA85" s="108"/>
      <c r="AB85" s="108"/>
      <c r="AC85" s="108"/>
      <c r="AD85" s="108"/>
      <c r="AE85" s="108"/>
      <c r="AF85" s="108"/>
      <c r="AG85" s="108"/>
      <c r="AH85" s="108"/>
      <c r="AI85" s="108"/>
      <c r="AJ85" s="108"/>
      <c r="AK85" s="108"/>
      <c r="AL85" s="108"/>
      <c r="AM85" s="108"/>
      <c r="AN85" s="108"/>
      <c r="AO85" s="108"/>
      <c r="AP85" s="108"/>
      <c r="AQ85" s="108"/>
      <c r="AR85" s="108"/>
    </row>
    <row r="86" spans="1:44" ht="69" hidden="1" customHeight="1" thickBot="1" x14ac:dyDescent="0.35">
      <c r="A86" s="108">
        <v>22</v>
      </c>
      <c r="B86" s="634" t="s">
        <v>60</v>
      </c>
      <c r="C86" s="634" t="s">
        <v>152</v>
      </c>
      <c r="D86" s="107" t="s">
        <v>534</v>
      </c>
      <c r="E86" s="710" t="e">
        <f>HLOOKUP($D$2,'2020 Data(H)'!$C$1:$CZ$432,17,FALSE)</f>
        <v>#N/A</v>
      </c>
      <c r="F86" s="307">
        <v>0</v>
      </c>
      <c r="G86" s="781"/>
      <c r="H86" s="17"/>
      <c r="I86" s="79"/>
      <c r="J86" s="616"/>
      <c r="L86" s="745"/>
      <c r="Z86" s="108"/>
      <c r="AA86" s="108"/>
      <c r="AB86" s="108"/>
      <c r="AC86" s="108"/>
      <c r="AD86" s="108"/>
      <c r="AE86" s="108"/>
      <c r="AF86" s="108"/>
      <c r="AG86" s="108"/>
      <c r="AH86" s="108"/>
      <c r="AI86" s="108"/>
      <c r="AJ86" s="108"/>
      <c r="AK86" s="108"/>
      <c r="AL86" s="108"/>
      <c r="AM86" s="108"/>
      <c r="AN86" s="108"/>
      <c r="AO86" s="108"/>
      <c r="AP86" s="108"/>
      <c r="AQ86" s="108"/>
      <c r="AR86" s="108"/>
    </row>
    <row r="87" spans="1:44" ht="72" hidden="1" customHeight="1" thickBot="1" x14ac:dyDescent="0.35">
      <c r="A87" s="108">
        <v>23</v>
      </c>
      <c r="B87" s="634" t="s">
        <v>60</v>
      </c>
      <c r="C87" s="634" t="s">
        <v>152</v>
      </c>
      <c r="D87" s="749" t="s">
        <v>1489</v>
      </c>
      <c r="E87" s="710" t="e">
        <f>HLOOKUP($D$2,'2020 Data(H)'!$C$1:$CZ$432,18,FALSE)</f>
        <v>#N/A</v>
      </c>
      <c r="F87" s="307">
        <v>0</v>
      </c>
      <c r="G87" s="771">
        <f>IF(H87=0,,"Error: Total revenues less total expenditures do not equal total change in fund balance.  Account numbers 16-532+17-20+533+22+508-509-23=0  The amount of the formula is located in the cell to the right")</f>
        <v>0</v>
      </c>
      <c r="H87" s="774">
        <f>+F78-F80+F81-F82+F83+F86+F84-F85-F87</f>
        <v>0</v>
      </c>
      <c r="I87" s="79"/>
      <c r="J87" s="616"/>
      <c r="L87" s="745"/>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08">
        <v>590</v>
      </c>
      <c r="B88" s="634" t="s">
        <v>603</v>
      </c>
      <c r="C88" s="634"/>
      <c r="D88" s="749" t="s">
        <v>1599</v>
      </c>
      <c r="E88" s="950"/>
      <c r="F88" s="307"/>
      <c r="G88" s="782"/>
      <c r="H88" s="774"/>
      <c r="I88" s="79"/>
      <c r="K88" s="783"/>
      <c r="L88" s="745"/>
      <c r="Z88" s="108"/>
      <c r="AA88" s="108"/>
      <c r="AB88" s="108"/>
      <c r="AC88" s="108"/>
      <c r="AD88" s="108"/>
      <c r="AE88" s="108"/>
      <c r="AF88" s="108"/>
      <c r="AG88" s="108"/>
      <c r="AH88" s="108"/>
      <c r="AI88" s="108"/>
      <c r="AJ88" s="108"/>
      <c r="AK88" s="108"/>
      <c r="AL88" s="108"/>
      <c r="AM88" s="108"/>
      <c r="AN88" s="108"/>
      <c r="AO88" s="108"/>
      <c r="AP88" s="108"/>
      <c r="AQ88" s="108"/>
      <c r="AR88" s="108"/>
    </row>
    <row r="89" spans="1:44" ht="115.5" hidden="1" customHeight="1" thickBot="1" x14ac:dyDescent="0.35">
      <c r="A89" s="108">
        <v>507</v>
      </c>
      <c r="B89" s="634" t="s">
        <v>60</v>
      </c>
      <c r="C89" s="634" t="s">
        <v>152</v>
      </c>
      <c r="D89" s="749" t="s">
        <v>1490</v>
      </c>
      <c r="E89" s="710" t="e">
        <f>HLOOKUP($D$2,'2020 Data(H)'!$C$1:$CZ$432,157,FALSE)</f>
        <v>#N/A</v>
      </c>
      <c r="F89" s="307">
        <v>0</v>
      </c>
      <c r="G89" s="771" t="e">
        <f>IF(F72-F87-F89=E72,,"Error: Beginning Balance does not agree with our records.  (Acct# 9-23-507)= Prior Years Acct # 9 The amount of the formula is in the cell to the right")</f>
        <v>#N/A</v>
      </c>
      <c r="H89" s="774" t="e">
        <f>+F72-F87-F89-E72</f>
        <v>#N/A</v>
      </c>
      <c r="I89" s="79"/>
      <c r="L89" s="745"/>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57" t="s">
        <v>1288</v>
      </c>
      <c r="C90" s="857" t="s">
        <v>1289</v>
      </c>
      <c r="D90" s="749" t="s">
        <v>1290</v>
      </c>
      <c r="E90" s="710" t="e">
        <f>HLOOKUP($D$2,'2020 Data(H)'!$C$1:$CZ$432,67,FALSE)</f>
        <v>#N/A</v>
      </c>
      <c r="F90" s="307">
        <v>0</v>
      </c>
      <c r="G90" s="771"/>
      <c r="H90" s="774"/>
      <c r="I90" s="79"/>
      <c r="L90" s="745"/>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57" t="s">
        <v>1288</v>
      </c>
      <c r="C91" s="857" t="s">
        <v>1289</v>
      </c>
      <c r="D91" s="749" t="s">
        <v>1291</v>
      </c>
      <c r="E91" s="710" t="e">
        <f>HLOOKUP($D$2,'2020 Data(H)'!$C$1:$CZ$432,235,FALSE)</f>
        <v>#N/A</v>
      </c>
      <c r="F91" s="307">
        <v>0</v>
      </c>
      <c r="G91" s="771"/>
      <c r="H91" s="774"/>
      <c r="I91" s="79"/>
      <c r="L91" s="745"/>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57" t="s">
        <v>1288</v>
      </c>
      <c r="C92" s="857" t="s">
        <v>1289</v>
      </c>
      <c r="D92" s="749" t="s">
        <v>1292</v>
      </c>
      <c r="E92" s="710" t="e">
        <f>HLOOKUP($D$2,'2020 Data(H)'!$C$1:$CZ$432,196,FALSE)</f>
        <v>#N/A</v>
      </c>
      <c r="F92" s="307">
        <v>0</v>
      </c>
      <c r="G92" s="771"/>
      <c r="H92" s="774"/>
      <c r="I92" s="79"/>
      <c r="L92" s="745"/>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57" t="s">
        <v>1288</v>
      </c>
      <c r="C93" s="857" t="s">
        <v>1289</v>
      </c>
      <c r="D93" s="749" t="s">
        <v>1293</v>
      </c>
      <c r="E93" s="710" t="e">
        <f>HLOOKUP($D$2,'2020 Data(H)'!$C$1:$CZ$432,239,FALSE)</f>
        <v>#N/A</v>
      </c>
      <c r="F93" s="307">
        <v>0</v>
      </c>
      <c r="G93" s="771"/>
      <c r="H93" s="774"/>
      <c r="I93" s="79"/>
      <c r="L93" s="745"/>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600">
        <v>149</v>
      </c>
      <c r="B94" s="634" t="s">
        <v>1288</v>
      </c>
      <c r="C94" s="634" t="s">
        <v>1289</v>
      </c>
      <c r="D94" s="749" t="s">
        <v>1383</v>
      </c>
      <c r="E94" s="710" t="e">
        <f>HLOOKUP($D$2,'2020 Data(H)'!$C$1:$CZ$432,69,FALSE)</f>
        <v>#N/A</v>
      </c>
      <c r="F94" s="307">
        <v>0</v>
      </c>
      <c r="G94" s="771"/>
      <c r="H94" s="774"/>
      <c r="I94" s="79"/>
      <c r="L94" s="745"/>
      <c r="Z94" s="600"/>
      <c r="AA94" s="600"/>
      <c r="AB94" s="600"/>
      <c r="AC94" s="600"/>
      <c r="AD94" s="600"/>
      <c r="AE94" s="600"/>
      <c r="AF94" s="600"/>
      <c r="AG94" s="600"/>
      <c r="AH94" s="600"/>
      <c r="AI94" s="600"/>
      <c r="AJ94" s="600"/>
      <c r="AK94" s="600"/>
      <c r="AL94" s="600"/>
      <c r="AM94" s="600"/>
      <c r="AN94" s="600"/>
      <c r="AO94" s="600"/>
      <c r="AP94" s="600"/>
      <c r="AQ94" s="600"/>
      <c r="AR94" s="600"/>
    </row>
    <row r="95" spans="1:44" ht="115.5" hidden="1" customHeight="1" thickBot="1" x14ac:dyDescent="0.35">
      <c r="A95" s="108">
        <v>150</v>
      </c>
      <c r="B95" s="634" t="s">
        <v>1288</v>
      </c>
      <c r="C95" s="634" t="s">
        <v>1289</v>
      </c>
      <c r="D95" s="749" t="s">
        <v>1384</v>
      </c>
      <c r="E95" s="710" t="e">
        <f>HLOOKUP($D$2,'2020 Data(H)'!$C$1:$CZ$432,70,FALSE)</f>
        <v>#N/A</v>
      </c>
      <c r="F95" s="307">
        <v>0</v>
      </c>
      <c r="G95" s="771"/>
      <c r="H95" s="774"/>
      <c r="I95" s="79"/>
      <c r="L95" s="745"/>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76" t="s">
        <v>1385</v>
      </c>
      <c r="C96" s="676" t="s">
        <v>1386</v>
      </c>
      <c r="D96" s="749" t="s">
        <v>1491</v>
      </c>
      <c r="E96" s="710" t="e">
        <f>HLOOKUP($D$2,'2020 Data(H)'!$C$1:$CZ$432,237,FALSE)</f>
        <v>#N/A</v>
      </c>
      <c r="F96" s="307">
        <v>0</v>
      </c>
      <c r="G96" s="771"/>
      <c r="H96" s="774"/>
      <c r="I96" s="79"/>
      <c r="L96" s="745"/>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76" t="s">
        <v>1385</v>
      </c>
      <c r="C97" s="676" t="s">
        <v>1386</v>
      </c>
      <c r="D97" s="749" t="s">
        <v>1492</v>
      </c>
      <c r="E97" s="710" t="e">
        <f>HLOOKUP($D$2,'2020 Data(H)'!$C$1:$CZ$432,238,FALSE)</f>
        <v>#N/A</v>
      </c>
      <c r="F97" s="307">
        <v>0</v>
      </c>
      <c r="G97" s="771"/>
      <c r="H97" s="774"/>
      <c r="I97" s="79"/>
      <c r="L97" s="745"/>
      <c r="Z97" s="108"/>
      <c r="AA97" s="108"/>
      <c r="AB97" s="108"/>
      <c r="AC97" s="108"/>
      <c r="AD97" s="108"/>
      <c r="AE97" s="108"/>
      <c r="AF97" s="108"/>
      <c r="AG97" s="108"/>
      <c r="AH97" s="108"/>
      <c r="AI97" s="108"/>
      <c r="AJ97" s="108"/>
      <c r="AK97" s="108"/>
      <c r="AL97" s="108"/>
      <c r="AM97" s="108"/>
      <c r="AN97" s="108"/>
      <c r="AO97" s="108"/>
      <c r="AP97" s="108"/>
      <c r="AQ97" s="108"/>
      <c r="AR97" s="108"/>
    </row>
    <row r="98" spans="1:44" ht="82.5" hidden="1" customHeight="1" thickBot="1" x14ac:dyDescent="0.35">
      <c r="A98" s="319">
        <v>647</v>
      </c>
      <c r="B98" s="853" t="s">
        <v>696</v>
      </c>
      <c r="C98" s="852" t="s">
        <v>698</v>
      </c>
      <c r="D98" s="318" t="s">
        <v>699</v>
      </c>
      <c r="E98" s="710" t="e">
        <f>HLOOKUP($D$2,'2020 Data(H)'!$C$1:$CZ$432,306,FALSE)</f>
        <v>#N/A</v>
      </c>
      <c r="F98" s="307">
        <v>0</v>
      </c>
      <c r="G98" s="771">
        <f>IF(F98&lt;0,"Error: Enter as positive.",)</f>
        <v>0</v>
      </c>
      <c r="H98" s="784"/>
      <c r="I98" s="79"/>
      <c r="L98" s="745"/>
      <c r="Z98" s="319"/>
      <c r="AA98" s="319"/>
      <c r="AB98" s="319"/>
      <c r="AC98" s="319"/>
      <c r="AD98" s="319"/>
      <c r="AE98" s="319"/>
      <c r="AF98" s="319"/>
      <c r="AG98" s="319"/>
      <c r="AH98" s="319"/>
      <c r="AI98" s="319"/>
      <c r="AJ98" s="319"/>
      <c r="AK98" s="319"/>
      <c r="AL98" s="319"/>
      <c r="AM98" s="319"/>
      <c r="AN98" s="319"/>
      <c r="AO98" s="319"/>
      <c r="AP98" s="319"/>
      <c r="AQ98" s="319"/>
      <c r="AR98" s="319"/>
    </row>
    <row r="99" spans="1:44" ht="25.5" hidden="1" customHeight="1" thickBot="1" x14ac:dyDescent="0.35">
      <c r="A99" s="108"/>
      <c r="B99" s="884" t="s">
        <v>11</v>
      </c>
      <c r="C99" s="885"/>
      <c r="D99" s="886"/>
      <c r="E99" s="882"/>
      <c r="F99" s="887"/>
      <c r="G99" s="888"/>
      <c r="H99" s="17"/>
      <c r="I99" s="79"/>
      <c r="L99" s="745"/>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634" t="s">
        <v>1296</v>
      </c>
      <c r="C100" s="676" t="s">
        <v>1294</v>
      </c>
      <c r="D100" s="676" t="s">
        <v>1295</v>
      </c>
      <c r="E100" s="710" t="e">
        <f>HLOOKUP($D$2,'2020 Data(H)'!$C$1:$CZ$432,68,FALSE)</f>
        <v>#N/A</v>
      </c>
      <c r="F100" s="307">
        <v>0</v>
      </c>
      <c r="G100" s="785"/>
      <c r="H100" s="17"/>
      <c r="I100" s="79"/>
      <c r="L100" s="745"/>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08">
        <v>171</v>
      </c>
      <c r="B101" s="634" t="s">
        <v>538</v>
      </c>
      <c r="C101" s="634" t="s">
        <v>537</v>
      </c>
      <c r="D101" s="711" t="s">
        <v>1493</v>
      </c>
      <c r="E101" s="710" t="e">
        <f>HLOOKUP($D$2,'2020 Data(H)'!$C$1:$CZ$432,71,FALSE)</f>
        <v>#N/A</v>
      </c>
      <c r="F101" s="278">
        <v>0</v>
      </c>
      <c r="G101" s="771">
        <f>IF(F101&lt;0,"Error: Enter as positive.",)</f>
        <v>0</v>
      </c>
      <c r="H101" s="17"/>
      <c r="I101" s="79"/>
      <c r="J101" s="616"/>
      <c r="L101" s="745"/>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customHeight="1" thickBot="1" x14ac:dyDescent="0.35">
      <c r="A102" s="108"/>
      <c r="B102" s="883" t="s">
        <v>1374</v>
      </c>
      <c r="C102" s="882"/>
      <c r="D102" s="882"/>
      <c r="E102" s="882"/>
      <c r="F102" s="882"/>
      <c r="G102" s="882"/>
      <c r="H102" s="17"/>
      <c r="I102" s="79"/>
      <c r="J102" s="616"/>
      <c r="L102" s="745"/>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customHeight="1" thickBot="1" x14ac:dyDescent="0.35">
      <c r="A103" s="108">
        <v>36</v>
      </c>
      <c r="B103" s="858" t="s">
        <v>696</v>
      </c>
      <c r="C103" s="347" t="s">
        <v>1389</v>
      </c>
      <c r="D103" s="709" t="s">
        <v>1412</v>
      </c>
      <c r="E103" s="710" t="e">
        <f>HLOOKUP($D$2,'2020 Data(H)'!$C$1:$CZ$432,24,FALSE)</f>
        <v>#N/A</v>
      </c>
      <c r="F103" s="307">
        <v>0</v>
      </c>
      <c r="G103" s="859"/>
      <c r="H103" s="17"/>
      <c r="I103" s="79"/>
      <c r="J103" s="616"/>
      <c r="L103" s="745"/>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customHeight="1" thickBot="1" x14ac:dyDescent="0.35">
      <c r="A104" s="108">
        <v>534</v>
      </c>
      <c r="B104" s="858" t="s">
        <v>696</v>
      </c>
      <c r="C104" s="347" t="s">
        <v>1389</v>
      </c>
      <c r="D104" s="749" t="s">
        <v>1413</v>
      </c>
      <c r="E104" s="710" t="e">
        <f>HLOOKUP($D$2,'2020 Data(H)'!$C$1:$CZ$432,184,FALSE)</f>
        <v>#N/A</v>
      </c>
      <c r="F104" s="307">
        <v>0</v>
      </c>
      <c r="G104" s="859"/>
      <c r="H104" s="17"/>
      <c r="I104" s="79"/>
      <c r="J104" s="616"/>
      <c r="L104" s="745"/>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customHeight="1" thickBot="1" x14ac:dyDescent="0.35">
      <c r="A105" s="641">
        <v>13</v>
      </c>
      <c r="B105" s="858" t="s">
        <v>603</v>
      </c>
      <c r="C105" s="861" t="s">
        <v>1375</v>
      </c>
      <c r="D105" s="861" t="s">
        <v>1579</v>
      </c>
      <c r="E105" s="710" t="e">
        <f>HLOOKUP($D$2,'2020 Data(H)'!$C$1:$CZ$432,10,FALSE)</f>
        <v>#N/A</v>
      </c>
      <c r="F105" s="307">
        <v>0</v>
      </c>
      <c r="G105" s="771"/>
      <c r="H105" s="17"/>
      <c r="I105" s="79"/>
      <c r="J105" s="616"/>
      <c r="L105" s="745"/>
      <c r="Z105" s="860"/>
      <c r="AA105" s="860"/>
      <c r="AB105" s="860"/>
      <c r="AC105" s="860"/>
      <c r="AD105" s="860"/>
      <c r="AE105" s="860"/>
      <c r="AF105" s="860"/>
      <c r="AG105" s="860"/>
      <c r="AH105" s="860"/>
      <c r="AI105" s="860"/>
      <c r="AJ105" s="860"/>
      <c r="AK105" s="860"/>
      <c r="AL105" s="860"/>
      <c r="AM105" s="860"/>
      <c r="AN105" s="860"/>
      <c r="AO105" s="860"/>
      <c r="AP105" s="860"/>
      <c r="AQ105" s="860"/>
      <c r="AR105" s="860"/>
    </row>
    <row r="106" spans="1:44" ht="191.25" customHeight="1" thickBot="1" x14ac:dyDescent="0.35">
      <c r="A106" s="641">
        <v>14</v>
      </c>
      <c r="B106" s="858" t="s">
        <v>603</v>
      </c>
      <c r="C106" s="861" t="s">
        <v>1375</v>
      </c>
      <c r="D106" s="861" t="s">
        <v>1377</v>
      </c>
      <c r="E106" s="710" t="e">
        <f>HLOOKUP($D$2,'2020 Data(H)'!$C$1:$CZ$432,11,FALSE)</f>
        <v>#N/A</v>
      </c>
      <c r="F106" s="307">
        <v>0</v>
      </c>
      <c r="G106" s="771"/>
      <c r="H106" s="17"/>
      <c r="I106" s="79"/>
      <c r="J106" s="616"/>
      <c r="L106" s="745"/>
      <c r="Z106" s="860"/>
      <c r="AA106" s="860"/>
      <c r="AB106" s="860"/>
      <c r="AC106" s="860"/>
      <c r="AD106" s="860"/>
      <c r="AE106" s="860"/>
      <c r="AF106" s="860"/>
      <c r="AG106" s="860"/>
      <c r="AH106" s="860"/>
      <c r="AI106" s="860"/>
      <c r="AJ106" s="860"/>
      <c r="AK106" s="860"/>
      <c r="AL106" s="860"/>
      <c r="AM106" s="860"/>
      <c r="AN106" s="860"/>
      <c r="AO106" s="860"/>
      <c r="AP106" s="860"/>
      <c r="AQ106" s="860"/>
      <c r="AR106" s="860"/>
    </row>
    <row r="107" spans="1:44" ht="129.75" hidden="1" customHeight="1" thickBot="1" x14ac:dyDescent="0.35">
      <c r="A107" s="641">
        <v>571</v>
      </c>
      <c r="B107" s="858" t="s">
        <v>603</v>
      </c>
      <c r="C107" s="862" t="s">
        <v>1414</v>
      </c>
      <c r="D107" s="862" t="s">
        <v>1415</v>
      </c>
      <c r="E107" s="710" t="e">
        <f>HLOOKUP($D$2,'2020 Data(H)'!$C$1:$CZ$432,221,FALSE)</f>
        <v>#N/A</v>
      </c>
      <c r="F107" s="307">
        <v>0</v>
      </c>
      <c r="G107" s="771"/>
      <c r="H107" s="17"/>
      <c r="I107" s="79"/>
      <c r="J107" s="616"/>
      <c r="L107" s="745"/>
      <c r="Z107" s="860"/>
      <c r="AA107" s="860"/>
      <c r="AB107" s="860"/>
      <c r="AC107" s="860"/>
      <c r="AD107" s="860"/>
      <c r="AE107" s="860"/>
      <c r="AF107" s="860"/>
      <c r="AG107" s="860"/>
      <c r="AH107" s="860"/>
      <c r="AI107" s="860"/>
      <c r="AJ107" s="860"/>
      <c r="AK107" s="860"/>
      <c r="AL107" s="860"/>
      <c r="AM107" s="860"/>
      <c r="AN107" s="860"/>
      <c r="AO107" s="860"/>
      <c r="AP107" s="860"/>
      <c r="AQ107" s="860"/>
      <c r="AR107" s="860"/>
    </row>
    <row r="108" spans="1:44" ht="128.25" hidden="1" customHeight="1" thickBot="1" x14ac:dyDescent="0.35">
      <c r="A108" s="641">
        <v>572</v>
      </c>
      <c r="B108" s="858" t="s">
        <v>59</v>
      </c>
      <c r="C108" s="862" t="s">
        <v>1414</v>
      </c>
      <c r="D108" s="862" t="s">
        <v>1416</v>
      </c>
      <c r="E108" s="710" t="e">
        <f>HLOOKUP($D$2,'2020 Data(H)'!$C$1:$CZ$432,222,FALSE)</f>
        <v>#N/A</v>
      </c>
      <c r="F108" s="307">
        <v>0</v>
      </c>
      <c r="G108" s="771"/>
      <c r="H108" s="17"/>
      <c r="I108" s="79"/>
      <c r="J108" s="616"/>
      <c r="L108" s="745"/>
      <c r="Z108" s="860"/>
      <c r="AA108" s="860"/>
      <c r="AB108" s="860"/>
      <c r="AC108" s="860"/>
      <c r="AD108" s="860"/>
      <c r="AE108" s="860"/>
      <c r="AF108" s="860"/>
      <c r="AG108" s="860"/>
      <c r="AH108" s="860"/>
      <c r="AI108" s="860"/>
      <c r="AJ108" s="860"/>
      <c r="AK108" s="860"/>
      <c r="AL108" s="860"/>
      <c r="AM108" s="860"/>
      <c r="AN108" s="860"/>
      <c r="AO108" s="860"/>
      <c r="AP108" s="860"/>
      <c r="AQ108" s="860"/>
      <c r="AR108" s="860"/>
    </row>
    <row r="109" spans="1:44" ht="120.75" hidden="1" customHeight="1" thickBot="1" x14ac:dyDescent="0.35">
      <c r="A109" s="641">
        <v>573</v>
      </c>
      <c r="B109" s="858" t="s">
        <v>603</v>
      </c>
      <c r="C109" s="862" t="s">
        <v>1414</v>
      </c>
      <c r="D109" s="862" t="s">
        <v>1574</v>
      </c>
      <c r="E109" s="710" t="e">
        <f>HLOOKUP($D$2,'2020 Data(H)'!$C$1:$CZ$432,223,FALSE)</f>
        <v>#N/A</v>
      </c>
      <c r="F109" s="307">
        <v>0</v>
      </c>
      <c r="G109" s="771"/>
      <c r="H109" s="17"/>
      <c r="I109" s="79"/>
      <c r="J109" s="616"/>
      <c r="L109" s="745"/>
      <c r="Z109" s="860"/>
      <c r="AA109" s="860"/>
      <c r="AB109" s="860"/>
      <c r="AC109" s="860"/>
      <c r="AD109" s="860"/>
      <c r="AE109" s="860"/>
      <c r="AF109" s="860"/>
      <c r="AG109" s="860"/>
      <c r="AH109" s="860"/>
      <c r="AI109" s="860"/>
      <c r="AJ109" s="860"/>
      <c r="AK109" s="860"/>
      <c r="AL109" s="860"/>
      <c r="AM109" s="860"/>
      <c r="AN109" s="860"/>
      <c r="AO109" s="860"/>
      <c r="AP109" s="860"/>
      <c r="AQ109" s="860"/>
      <c r="AR109" s="860"/>
    </row>
    <row r="110" spans="1:44" ht="99.75" customHeight="1" thickBot="1" x14ac:dyDescent="0.35">
      <c r="A110" s="641">
        <v>34</v>
      </c>
      <c r="B110" s="858" t="s">
        <v>603</v>
      </c>
      <c r="C110" s="4" t="s">
        <v>1389</v>
      </c>
      <c r="D110" s="700" t="s">
        <v>1569</v>
      </c>
      <c r="E110" s="710" t="e">
        <f>HLOOKUP($D$2,'2020 Data(H)'!$C$1:$CZ$432,22,FALSE)</f>
        <v>#N/A</v>
      </c>
      <c r="F110" s="307">
        <v>0</v>
      </c>
      <c r="G110" s="771"/>
      <c r="H110" s="17"/>
      <c r="I110" s="79"/>
      <c r="J110" s="616"/>
      <c r="L110" s="745"/>
      <c r="Z110" s="860"/>
      <c r="AA110" s="860"/>
      <c r="AB110" s="860"/>
      <c r="AC110" s="860"/>
      <c r="AD110" s="860"/>
      <c r="AE110" s="860"/>
      <c r="AF110" s="860"/>
      <c r="AG110" s="860"/>
      <c r="AH110" s="860"/>
      <c r="AI110" s="860"/>
      <c r="AJ110" s="860"/>
      <c r="AK110" s="860"/>
      <c r="AL110" s="860"/>
      <c r="AM110" s="860"/>
      <c r="AN110" s="860"/>
      <c r="AO110" s="860"/>
      <c r="AP110" s="860"/>
      <c r="AQ110" s="860"/>
      <c r="AR110" s="860"/>
    </row>
    <row r="111" spans="1:44" ht="117" customHeight="1" thickBot="1" x14ac:dyDescent="0.35">
      <c r="A111" s="641">
        <v>35</v>
      </c>
      <c r="B111" s="858" t="s">
        <v>603</v>
      </c>
      <c r="C111" s="4" t="s">
        <v>1389</v>
      </c>
      <c r="D111" s="700" t="s">
        <v>1581</v>
      </c>
      <c r="E111" s="710" t="e">
        <f>HLOOKUP($D$2,'2020 Data(H)'!$C$1:$CZ$432,23,FALSE)</f>
        <v>#N/A</v>
      </c>
      <c r="F111" s="307">
        <v>0</v>
      </c>
      <c r="G111" s="771"/>
      <c r="H111" s="17"/>
      <c r="I111" s="79"/>
      <c r="J111" s="616"/>
      <c r="L111" s="745"/>
      <c r="Z111" s="860"/>
      <c r="AA111" s="860"/>
      <c r="AB111" s="860"/>
      <c r="AC111" s="860"/>
      <c r="AD111" s="860"/>
      <c r="AE111" s="860"/>
      <c r="AF111" s="860"/>
      <c r="AG111" s="860"/>
      <c r="AH111" s="860"/>
      <c r="AI111" s="860"/>
      <c r="AJ111" s="860"/>
      <c r="AK111" s="860"/>
      <c r="AL111" s="860"/>
      <c r="AM111" s="860"/>
      <c r="AN111" s="860"/>
      <c r="AO111" s="860"/>
      <c r="AP111" s="860"/>
      <c r="AQ111" s="860"/>
      <c r="AR111" s="860"/>
    </row>
    <row r="112" spans="1:44" ht="108.75" customHeight="1" thickBot="1" x14ac:dyDescent="0.35">
      <c r="A112" s="641">
        <v>37</v>
      </c>
      <c r="B112" s="858" t="s">
        <v>603</v>
      </c>
      <c r="C112" s="4" t="s">
        <v>1389</v>
      </c>
      <c r="D112" s="700" t="s">
        <v>1494</v>
      </c>
      <c r="E112" s="710" t="e">
        <f>HLOOKUP($D$2,'2020 Data(H)'!$C$1:$CZ$432,25,FALSE)</f>
        <v>#N/A</v>
      </c>
      <c r="F112" s="307">
        <v>0</v>
      </c>
      <c r="G112" s="771"/>
      <c r="H112" s="17"/>
      <c r="I112" s="79"/>
      <c r="J112" s="616"/>
      <c r="L112" s="745"/>
      <c r="Z112" s="860"/>
      <c r="AA112" s="860"/>
      <c r="AB112" s="860"/>
      <c r="AC112" s="860"/>
      <c r="AD112" s="860"/>
      <c r="AE112" s="860"/>
      <c r="AF112" s="860"/>
      <c r="AG112" s="860"/>
      <c r="AH112" s="860"/>
      <c r="AI112" s="860"/>
      <c r="AJ112" s="860"/>
      <c r="AK112" s="860"/>
      <c r="AL112" s="860"/>
      <c r="AM112" s="860"/>
      <c r="AN112" s="860"/>
      <c r="AO112" s="860"/>
      <c r="AP112" s="860"/>
      <c r="AQ112" s="860"/>
      <c r="AR112" s="860"/>
    </row>
    <row r="113" spans="1:44" ht="102.75" customHeight="1" thickBot="1" x14ac:dyDescent="0.35">
      <c r="A113" s="641">
        <v>38</v>
      </c>
      <c r="B113" s="858" t="s">
        <v>603</v>
      </c>
      <c r="C113" s="4" t="s">
        <v>1389</v>
      </c>
      <c r="D113" s="700" t="s">
        <v>1392</v>
      </c>
      <c r="E113" s="710" t="e">
        <f>HLOOKUP($D$2,'2020 Data(H)'!$C$1:$CZ$432,26,FALSE)</f>
        <v>#N/A</v>
      </c>
      <c r="F113" s="307">
        <v>0</v>
      </c>
      <c r="G113" s="771"/>
      <c r="H113" s="17"/>
      <c r="I113" s="79"/>
      <c r="J113" s="616"/>
      <c r="L113" s="745"/>
      <c r="Z113" s="860"/>
      <c r="AA113" s="860"/>
      <c r="AB113" s="860"/>
      <c r="AC113" s="860"/>
      <c r="AD113" s="860"/>
      <c r="AE113" s="860"/>
      <c r="AF113" s="860"/>
      <c r="AG113" s="860"/>
      <c r="AH113" s="860"/>
      <c r="AI113" s="860"/>
      <c r="AJ113" s="860"/>
      <c r="AK113" s="860"/>
      <c r="AL113" s="860"/>
      <c r="AM113" s="860"/>
      <c r="AN113" s="860"/>
      <c r="AO113" s="860"/>
      <c r="AP113" s="860"/>
      <c r="AQ113" s="860"/>
      <c r="AR113" s="860"/>
    </row>
    <row r="114" spans="1:44" ht="117.75" customHeight="1" thickBot="1" x14ac:dyDescent="0.35">
      <c r="A114" s="641">
        <v>32</v>
      </c>
      <c r="B114" s="858" t="s">
        <v>696</v>
      </c>
      <c r="C114" s="861" t="s">
        <v>1378</v>
      </c>
      <c r="D114" s="861" t="s">
        <v>1379</v>
      </c>
      <c r="E114" s="710" t="e">
        <f>HLOOKUP($D$2,'2020 Data(H)'!$C$1:$CZ$432,20,FALSE)</f>
        <v>#N/A</v>
      </c>
      <c r="F114" s="307">
        <v>0</v>
      </c>
      <c r="G114" s="771"/>
      <c r="H114" s="17"/>
      <c r="I114" s="79"/>
      <c r="J114" s="616"/>
      <c r="L114" s="745"/>
      <c r="Z114" s="860"/>
      <c r="AA114" s="860"/>
      <c r="AB114" s="860"/>
      <c r="AC114" s="860"/>
      <c r="AD114" s="860"/>
      <c r="AE114" s="860"/>
      <c r="AF114" s="860"/>
      <c r="AG114" s="860"/>
      <c r="AH114" s="860"/>
      <c r="AI114" s="860"/>
      <c r="AJ114" s="860"/>
      <c r="AK114" s="860"/>
      <c r="AL114" s="860"/>
      <c r="AM114" s="860"/>
      <c r="AN114" s="860"/>
      <c r="AO114" s="860"/>
      <c r="AP114" s="860"/>
      <c r="AQ114" s="860"/>
      <c r="AR114" s="860"/>
    </row>
    <row r="115" spans="1:44" ht="116.25" customHeight="1" thickBot="1" x14ac:dyDescent="0.35">
      <c r="A115" s="641">
        <v>40</v>
      </c>
      <c r="B115" s="858" t="s">
        <v>603</v>
      </c>
      <c r="C115" s="861" t="s">
        <v>1393</v>
      </c>
      <c r="D115" s="700" t="s">
        <v>1394</v>
      </c>
      <c r="E115" s="710" t="e">
        <f>HLOOKUP($D$2,'2020 Data(H)'!$C$1:$CZ$432,28,FALSE)</f>
        <v>#N/A</v>
      </c>
      <c r="F115" s="307">
        <v>0</v>
      </c>
      <c r="G115" s="771"/>
      <c r="H115" s="17"/>
      <c r="I115" s="79"/>
      <c r="J115" s="616"/>
      <c r="L115" s="745"/>
      <c r="Z115" s="860"/>
      <c r="AA115" s="860"/>
      <c r="AB115" s="860"/>
      <c r="AC115" s="860"/>
      <c r="AD115" s="860"/>
      <c r="AE115" s="860"/>
      <c r="AF115" s="860"/>
      <c r="AG115" s="860"/>
      <c r="AH115" s="860"/>
      <c r="AI115" s="860"/>
      <c r="AJ115" s="860"/>
      <c r="AK115" s="860"/>
      <c r="AL115" s="860"/>
      <c r="AM115" s="860"/>
      <c r="AN115" s="860"/>
      <c r="AO115" s="860"/>
      <c r="AP115" s="860"/>
      <c r="AQ115" s="860"/>
      <c r="AR115" s="860"/>
    </row>
    <row r="116" spans="1:44" ht="104.25" customHeight="1" thickBot="1" x14ac:dyDescent="0.35">
      <c r="A116" s="641">
        <v>107</v>
      </c>
      <c r="B116" s="858" t="s">
        <v>603</v>
      </c>
      <c r="C116" s="861" t="s">
        <v>1393</v>
      </c>
      <c r="D116" s="700" t="s">
        <v>1395</v>
      </c>
      <c r="E116" s="710" t="e">
        <f>HLOOKUP($D$2,'2020 Data(H)'!$C$1:$CZ$432,65,FALSE)</f>
        <v>#N/A</v>
      </c>
      <c r="F116" s="307">
        <v>0</v>
      </c>
      <c r="G116" s="771"/>
      <c r="H116" s="17"/>
      <c r="I116" s="79"/>
      <c r="J116" s="616"/>
      <c r="L116" s="745"/>
      <c r="Z116" s="860"/>
      <c r="AA116" s="860"/>
      <c r="AB116" s="860"/>
      <c r="AC116" s="860"/>
      <c r="AD116" s="860"/>
      <c r="AE116" s="860"/>
      <c r="AF116" s="860"/>
      <c r="AG116" s="860"/>
      <c r="AH116" s="860"/>
      <c r="AI116" s="860"/>
      <c r="AJ116" s="860"/>
      <c r="AK116" s="860"/>
      <c r="AL116" s="860"/>
      <c r="AM116" s="860"/>
      <c r="AN116" s="860"/>
      <c r="AO116" s="860"/>
      <c r="AP116" s="860"/>
      <c r="AQ116" s="860"/>
      <c r="AR116" s="860"/>
    </row>
    <row r="117" spans="1:44" ht="107.25" customHeight="1" thickBot="1" x14ac:dyDescent="0.35">
      <c r="A117" s="641">
        <v>108</v>
      </c>
      <c r="B117" s="858" t="s">
        <v>603</v>
      </c>
      <c r="C117" s="861" t="s">
        <v>1393</v>
      </c>
      <c r="D117" s="700" t="s">
        <v>1495</v>
      </c>
      <c r="E117" s="710" t="e">
        <f>HLOOKUP($D$2,'2020 Data(H)'!$C$1:$CZ$432,66,FALSE)</f>
        <v>#N/A</v>
      </c>
      <c r="F117" s="307">
        <v>0</v>
      </c>
      <c r="G117" s="771"/>
      <c r="H117" s="17"/>
      <c r="I117" s="79"/>
      <c r="J117" s="616"/>
      <c r="L117" s="745"/>
      <c r="Z117" s="860"/>
      <c r="AA117" s="860"/>
      <c r="AB117" s="860"/>
      <c r="AC117" s="860"/>
      <c r="AD117" s="860"/>
      <c r="AE117" s="860"/>
      <c r="AF117" s="860"/>
      <c r="AG117" s="860"/>
      <c r="AH117" s="860"/>
      <c r="AI117" s="860"/>
      <c r="AJ117" s="860"/>
      <c r="AK117" s="860"/>
      <c r="AL117" s="860"/>
      <c r="AM117" s="860"/>
      <c r="AN117" s="860"/>
      <c r="AO117" s="860"/>
      <c r="AP117" s="860"/>
      <c r="AQ117" s="860"/>
      <c r="AR117" s="860"/>
    </row>
    <row r="118" spans="1:44" ht="93" customHeight="1" thickBot="1" x14ac:dyDescent="0.35">
      <c r="A118" s="641">
        <v>41</v>
      </c>
      <c r="B118" s="858" t="s">
        <v>603</v>
      </c>
      <c r="C118" s="861" t="s">
        <v>1393</v>
      </c>
      <c r="D118" s="700" t="s">
        <v>1496</v>
      </c>
      <c r="E118" s="710" t="e">
        <f>HLOOKUP($D$2,'2020 Data(H)'!$C$1:$CZ$432,29,FALSE)</f>
        <v>#N/A</v>
      </c>
      <c r="F118" s="307">
        <v>0</v>
      </c>
      <c r="G118" s="771"/>
      <c r="H118" s="17"/>
      <c r="I118" s="79"/>
      <c r="J118" s="616"/>
      <c r="L118" s="745"/>
      <c r="Z118" s="860"/>
      <c r="AA118" s="860"/>
      <c r="AB118" s="860"/>
      <c r="AC118" s="860"/>
      <c r="AD118" s="860"/>
      <c r="AE118" s="860"/>
      <c r="AF118" s="860"/>
      <c r="AG118" s="860"/>
      <c r="AH118" s="860"/>
      <c r="AI118" s="860"/>
      <c r="AJ118" s="860"/>
      <c r="AK118" s="860"/>
      <c r="AL118" s="860"/>
      <c r="AM118" s="860"/>
      <c r="AN118" s="860"/>
      <c r="AO118" s="860"/>
      <c r="AP118" s="860"/>
      <c r="AQ118" s="860"/>
      <c r="AR118" s="860"/>
    </row>
    <row r="119" spans="1:44" ht="120.75" customHeight="1" thickBot="1" x14ac:dyDescent="0.35">
      <c r="A119" s="641">
        <v>194</v>
      </c>
      <c r="B119" s="858" t="s">
        <v>603</v>
      </c>
      <c r="C119" s="861" t="s">
        <v>1393</v>
      </c>
      <c r="D119" s="700" t="s">
        <v>1396</v>
      </c>
      <c r="E119" s="710" t="e">
        <f>HLOOKUP($D$2,'2020 Data(H)'!$C$1:$CZ$432,75,FALSE)</f>
        <v>#N/A</v>
      </c>
      <c r="F119" s="307">
        <v>0</v>
      </c>
      <c r="G119" s="771"/>
      <c r="H119" s="17"/>
      <c r="I119" s="79"/>
      <c r="J119" s="616"/>
      <c r="L119" s="745"/>
      <c r="Z119" s="860"/>
      <c r="AA119" s="860"/>
      <c r="AB119" s="860"/>
      <c r="AC119" s="860"/>
      <c r="AD119" s="860"/>
      <c r="AE119" s="860"/>
      <c r="AF119" s="860"/>
      <c r="AG119" s="860"/>
      <c r="AH119" s="860"/>
      <c r="AI119" s="860"/>
      <c r="AJ119" s="860"/>
      <c r="AK119" s="860"/>
      <c r="AL119" s="860"/>
      <c r="AM119" s="860"/>
      <c r="AN119" s="860"/>
      <c r="AO119" s="860"/>
      <c r="AP119" s="860"/>
      <c r="AQ119" s="860"/>
      <c r="AR119" s="860"/>
    </row>
    <row r="120" spans="1:44" ht="123.75" customHeight="1" thickBot="1" x14ac:dyDescent="0.35">
      <c r="A120" s="641">
        <v>294</v>
      </c>
      <c r="B120" s="858" t="s">
        <v>603</v>
      </c>
      <c r="C120" s="861" t="s">
        <v>1393</v>
      </c>
      <c r="D120" s="700" t="s">
        <v>1397</v>
      </c>
      <c r="E120" s="710" t="e">
        <f>HLOOKUP($D$2,'2020 Data(H)'!$C$1:$CZ$432,83,FALSE)</f>
        <v>#N/A</v>
      </c>
      <c r="F120" s="307">
        <v>0</v>
      </c>
      <c r="G120" s="771"/>
      <c r="H120" s="17"/>
      <c r="I120" s="79"/>
      <c r="J120" s="616"/>
      <c r="L120" s="745"/>
      <c r="Z120" s="860"/>
      <c r="AA120" s="860"/>
      <c r="AB120" s="860"/>
      <c r="AC120" s="860"/>
      <c r="AD120" s="860"/>
      <c r="AE120" s="860"/>
      <c r="AF120" s="860"/>
      <c r="AG120" s="860"/>
      <c r="AH120" s="860"/>
      <c r="AI120" s="860"/>
      <c r="AJ120" s="860"/>
      <c r="AK120" s="860"/>
      <c r="AL120" s="860"/>
      <c r="AM120" s="860"/>
      <c r="AN120" s="860"/>
      <c r="AO120" s="860"/>
      <c r="AP120" s="860"/>
      <c r="AQ120" s="860"/>
      <c r="AR120" s="860"/>
    </row>
    <row r="121" spans="1:44" hidden="1" x14ac:dyDescent="0.3">
      <c r="A121" s="841"/>
      <c r="E121" s="710"/>
      <c r="Z121" s="18"/>
    </row>
    <row r="122" spans="1:44" hidden="1" x14ac:dyDescent="0.3">
      <c r="A122" s="841"/>
      <c r="E122" s="710"/>
      <c r="Z122" s="18"/>
    </row>
    <row r="123" spans="1:44" ht="129.75" hidden="1" customHeight="1" thickBot="1" x14ac:dyDescent="0.35">
      <c r="A123" s="641">
        <v>31</v>
      </c>
      <c r="B123" s="858" t="s">
        <v>696</v>
      </c>
      <c r="C123" s="861" t="s">
        <v>1378</v>
      </c>
      <c r="D123" s="861" t="s">
        <v>1380</v>
      </c>
      <c r="E123" s="710" t="e">
        <f>HLOOKUP($D$2,'2020 Data(H)'!$C$1:$CZ$432,19,FALSE)</f>
        <v>#N/A</v>
      </c>
      <c r="F123" s="307">
        <v>0</v>
      </c>
      <c r="G123" s="771"/>
      <c r="H123" s="17"/>
      <c r="I123" s="79"/>
      <c r="J123" s="616"/>
      <c r="L123" s="745"/>
      <c r="Z123" s="860"/>
      <c r="AA123" s="860"/>
      <c r="AB123" s="860"/>
      <c r="AC123" s="860"/>
      <c r="AD123" s="860"/>
      <c r="AE123" s="860"/>
      <c r="AF123" s="860"/>
      <c r="AG123" s="860"/>
      <c r="AH123" s="860"/>
      <c r="AI123" s="860"/>
      <c r="AJ123" s="860"/>
      <c r="AK123" s="860"/>
      <c r="AL123" s="860"/>
      <c r="AM123" s="860"/>
      <c r="AN123" s="860"/>
      <c r="AO123" s="860"/>
      <c r="AP123" s="860"/>
      <c r="AQ123" s="860"/>
      <c r="AR123" s="860"/>
    </row>
    <row r="124" spans="1:44" ht="94.5" hidden="1" customHeight="1" thickBot="1" x14ac:dyDescent="0.35">
      <c r="A124" s="641" t="s">
        <v>1381</v>
      </c>
      <c r="B124" s="858" t="s">
        <v>696</v>
      </c>
      <c r="C124" s="861" t="s">
        <v>1382</v>
      </c>
      <c r="D124" s="861" t="s">
        <v>383</v>
      </c>
      <c r="E124" s="710" t="e">
        <f>HLOOKUP($D$2,'2020 Data(H)'!$C$1:$CZ$432,74,FALSE)</f>
        <v>#N/A</v>
      </c>
      <c r="F124" s="307">
        <v>0</v>
      </c>
      <c r="G124" s="771"/>
      <c r="H124" s="17"/>
      <c r="I124" s="79"/>
      <c r="J124" s="616"/>
      <c r="L124" s="745"/>
      <c r="Z124" s="860"/>
      <c r="AA124" s="860"/>
      <c r="AB124" s="860"/>
      <c r="AC124" s="860"/>
      <c r="AD124" s="860"/>
      <c r="AE124" s="860"/>
      <c r="AF124" s="860"/>
      <c r="AG124" s="860"/>
      <c r="AH124" s="860"/>
      <c r="AI124" s="860"/>
      <c r="AJ124" s="860"/>
      <c r="AK124" s="860"/>
      <c r="AL124" s="860"/>
      <c r="AM124" s="860"/>
      <c r="AN124" s="860"/>
      <c r="AO124" s="860"/>
      <c r="AP124" s="860"/>
      <c r="AQ124" s="860"/>
      <c r="AR124" s="860"/>
    </row>
    <row r="125" spans="1:44" ht="78" customHeight="1" thickBot="1" x14ac:dyDescent="0.35">
      <c r="A125" s="1115">
        <v>33</v>
      </c>
      <c r="B125" s="858" t="s">
        <v>696</v>
      </c>
      <c r="C125" s="861" t="s">
        <v>1382</v>
      </c>
      <c r="D125" s="861" t="s">
        <v>318</v>
      </c>
      <c r="E125" s="710" t="e">
        <f>HLOOKUP($D$2,'2020 Data(H)'!$C$1:$CZ$432,21,FALSE)</f>
        <v>#N/A</v>
      </c>
      <c r="F125" s="307">
        <v>0</v>
      </c>
      <c r="G125" s="771"/>
      <c r="H125" s="17"/>
      <c r="I125" s="79"/>
      <c r="J125" s="616"/>
      <c r="L125" s="745"/>
      <c r="Z125" s="860"/>
      <c r="AA125" s="860"/>
      <c r="AB125" s="860"/>
      <c r="AC125" s="860"/>
      <c r="AD125" s="860"/>
      <c r="AE125" s="860"/>
      <c r="AF125" s="860"/>
      <c r="AG125" s="860"/>
      <c r="AH125" s="860"/>
      <c r="AI125" s="860"/>
      <c r="AJ125" s="860"/>
      <c r="AK125" s="860"/>
      <c r="AL125" s="860"/>
      <c r="AM125" s="860"/>
      <c r="AN125" s="860"/>
      <c r="AO125" s="860"/>
      <c r="AP125" s="860"/>
      <c r="AQ125" s="860"/>
      <c r="AR125" s="860"/>
    </row>
    <row r="126" spans="1:44" ht="55.5" customHeight="1" thickBot="1" x14ac:dyDescent="0.35">
      <c r="A126" s="641">
        <v>104</v>
      </c>
      <c r="B126" s="858" t="s">
        <v>696</v>
      </c>
      <c r="C126" s="4" t="s">
        <v>1398</v>
      </c>
      <c r="D126" s="700" t="s">
        <v>1399</v>
      </c>
      <c r="E126" s="710" t="e">
        <f>HLOOKUP($D$2,'2020 Data(H)'!$C$1:$CZ$432,64,FALSE)</f>
        <v>#N/A</v>
      </c>
      <c r="F126" s="307">
        <v>0</v>
      </c>
      <c r="G126" s="771"/>
      <c r="H126" s="17"/>
      <c r="I126" s="79"/>
      <c r="J126" s="616"/>
      <c r="L126" s="745"/>
      <c r="Z126" s="860"/>
      <c r="AA126" s="860"/>
      <c r="AB126" s="860"/>
      <c r="AC126" s="860"/>
      <c r="AD126" s="860"/>
      <c r="AE126" s="860"/>
      <c r="AF126" s="860"/>
      <c r="AG126" s="860"/>
      <c r="AH126" s="860"/>
      <c r="AI126" s="860"/>
      <c r="AJ126" s="860"/>
      <c r="AK126" s="860"/>
      <c r="AL126" s="860"/>
      <c r="AM126" s="860"/>
      <c r="AN126" s="860"/>
      <c r="AO126" s="860"/>
      <c r="AP126" s="860"/>
      <c r="AQ126" s="860"/>
      <c r="AR126" s="860"/>
    </row>
    <row r="127" spans="1:44" ht="70.5" customHeight="1" thickBot="1" x14ac:dyDescent="0.35">
      <c r="A127" s="641">
        <v>39</v>
      </c>
      <c r="B127" s="858" t="s">
        <v>696</v>
      </c>
      <c r="C127" s="4" t="s">
        <v>1398</v>
      </c>
      <c r="D127" s="24" t="s">
        <v>1400</v>
      </c>
      <c r="E127" s="710" t="e">
        <f>HLOOKUP($D$2,'2020 Data(H)'!$C$1:$CZ$432,27,FALSE)</f>
        <v>#N/A</v>
      </c>
      <c r="F127" s="307">
        <v>0</v>
      </c>
      <c r="G127" s="771"/>
      <c r="H127" s="17"/>
      <c r="I127" s="79"/>
      <c r="J127" s="616"/>
      <c r="L127" s="745"/>
      <c r="Z127" s="860"/>
      <c r="AA127" s="860"/>
      <c r="AB127" s="860"/>
      <c r="AC127" s="860"/>
      <c r="AD127" s="860"/>
      <c r="AE127" s="860"/>
      <c r="AF127" s="860"/>
      <c r="AG127" s="860"/>
      <c r="AH127" s="860"/>
      <c r="AI127" s="860"/>
      <c r="AJ127" s="860"/>
      <c r="AK127" s="860"/>
      <c r="AL127" s="860"/>
      <c r="AM127" s="860"/>
      <c r="AN127" s="860"/>
      <c r="AO127" s="860"/>
      <c r="AP127" s="860"/>
      <c r="AQ127" s="860"/>
      <c r="AR127" s="860"/>
    </row>
    <row r="128" spans="1:44" ht="15" hidden="1" thickBot="1" x14ac:dyDescent="0.35">
      <c r="A128" s="108"/>
      <c r="B128" s="899" t="s">
        <v>1497</v>
      </c>
      <c r="C128" s="899"/>
      <c r="D128" s="883"/>
      <c r="E128" s="883"/>
      <c r="F128" s="903"/>
      <c r="G128" s="904"/>
      <c r="H128" s="17"/>
      <c r="I128" s="79"/>
      <c r="L128" s="745"/>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08"/>
      <c r="B129" s="899" t="s">
        <v>24</v>
      </c>
      <c r="C129" s="899"/>
      <c r="D129" s="899"/>
      <c r="E129" s="881"/>
      <c r="F129" s="905"/>
      <c r="G129" s="906"/>
      <c r="H129" s="17"/>
      <c r="I129" s="79"/>
      <c r="L129" s="745"/>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08"/>
      <c r="B130" s="899" t="s">
        <v>22</v>
      </c>
      <c r="C130" s="899"/>
      <c r="D130" s="899"/>
      <c r="E130" s="881"/>
      <c r="F130" s="905"/>
      <c r="G130" s="906"/>
      <c r="H130" s="786"/>
      <c r="I130" s="79"/>
      <c r="L130" s="745"/>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08">
        <v>596</v>
      </c>
      <c r="B131" s="712" t="s">
        <v>57</v>
      </c>
      <c r="C131" s="863"/>
      <c r="D131" s="709" t="s">
        <v>612</v>
      </c>
      <c r="E131" s="710" t="e">
        <f>HLOOKUP($D$2,'2020 Data(H)'!$C$1:$CZ$432,255,FALSE)</f>
        <v>#N/A</v>
      </c>
      <c r="F131" s="307"/>
      <c r="G131" s="787"/>
      <c r="H131" s="786"/>
      <c r="I131" s="79"/>
      <c r="L131" s="745"/>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08">
        <v>80</v>
      </c>
      <c r="B132" s="4" t="s">
        <v>62</v>
      </c>
      <c r="C132" s="4" t="s">
        <v>1498</v>
      </c>
      <c r="D132" s="24" t="s">
        <v>1499</v>
      </c>
      <c r="E132" s="710" t="e">
        <f>HLOOKUP($D$2,'2020 Data(H)'!$C$1:$CZ$432,44,FALSE)</f>
        <v>#N/A</v>
      </c>
      <c r="F132" s="278">
        <v>0</v>
      </c>
      <c r="G132" s="710" t="e">
        <f>HLOOKUP($D$2,'2020 Data(H)'!C1:BS295,249,FALSE)</f>
        <v>#N/A</v>
      </c>
      <c r="H132" s="788"/>
      <c r="I132" s="79"/>
      <c r="L132" s="745"/>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08">
        <v>81</v>
      </c>
      <c r="B133" s="4" t="s">
        <v>62</v>
      </c>
      <c r="C133" s="4" t="s">
        <v>1498</v>
      </c>
      <c r="D133" s="24" t="s">
        <v>1500</v>
      </c>
      <c r="E133" s="710" t="e">
        <f>HLOOKUP($D$2,'2020 Data(H)'!$C$1:$CZ$432,45,FALSE)</f>
        <v>#N/A</v>
      </c>
      <c r="F133" s="307">
        <v>0</v>
      </c>
      <c r="G133" s="781"/>
      <c r="H133" s="17"/>
      <c r="I133" s="79"/>
      <c r="L133" s="745"/>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08">
        <v>579</v>
      </c>
      <c r="B134" s="864" t="s">
        <v>559</v>
      </c>
      <c r="C134" s="712" t="s">
        <v>1498</v>
      </c>
      <c r="D134" s="865" t="s">
        <v>1501</v>
      </c>
      <c r="E134" s="710" t="e">
        <f>HLOOKUP($D$2,'2020 Data(H)'!$C$1:$CZ$432,229,FALSE)</f>
        <v>#N/A</v>
      </c>
      <c r="F134" s="307">
        <v>0</v>
      </c>
      <c r="G134" s="771"/>
      <c r="H134" s="17"/>
      <c r="I134" s="772"/>
      <c r="L134" s="745"/>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08">
        <v>510</v>
      </c>
      <c r="B135" s="4" t="s">
        <v>37</v>
      </c>
      <c r="C135" s="4" t="s">
        <v>1498</v>
      </c>
      <c r="D135" s="29" t="s">
        <v>531</v>
      </c>
      <c r="E135" s="710" t="e">
        <f>HLOOKUP($D$2,'2020 Data(H)'!$C$1:$CZ$432,160,FALSE)</f>
        <v>#N/A</v>
      </c>
      <c r="F135" s="307">
        <v>0</v>
      </c>
      <c r="G135" s="781"/>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319">
        <v>654</v>
      </c>
      <c r="B136" s="866" t="s">
        <v>37</v>
      </c>
      <c r="C136" s="866" t="s">
        <v>1498</v>
      </c>
      <c r="D136" s="350" t="s">
        <v>1502</v>
      </c>
      <c r="E136" s="710" t="e">
        <f>HLOOKUP($D$2,'2020 Data(H)'!$C$1:$CZ$432,307,FALSE)</f>
        <v>#N/A</v>
      </c>
      <c r="F136" s="307">
        <v>0</v>
      </c>
      <c r="G136" s="771">
        <f>IF((F132+F133+F135)&gt;F136,"Error: Please review components of current assets above.  Account numbers (80+81+510)&gt;654",)</f>
        <v>0</v>
      </c>
      <c r="H136" s="17"/>
      <c r="I136" s="79"/>
      <c r="Z136" s="319"/>
      <c r="AA136" s="319"/>
      <c r="AB136" s="319"/>
      <c r="AC136" s="319"/>
      <c r="AD136" s="319"/>
      <c r="AE136" s="319"/>
      <c r="AF136" s="319"/>
      <c r="AG136" s="319"/>
      <c r="AH136" s="319"/>
      <c r="AI136" s="319"/>
      <c r="AJ136" s="319"/>
      <c r="AK136" s="319"/>
      <c r="AL136" s="319"/>
      <c r="AM136" s="319"/>
      <c r="AN136" s="319"/>
      <c r="AO136" s="319"/>
      <c r="AP136" s="319"/>
      <c r="AQ136" s="319"/>
      <c r="AR136" s="319"/>
    </row>
    <row r="137" spans="1:44" ht="75.75" hidden="1" customHeight="1" x14ac:dyDescent="0.3">
      <c r="A137" s="319">
        <v>655</v>
      </c>
      <c r="B137" s="866" t="s">
        <v>37</v>
      </c>
      <c r="C137" s="866" t="s">
        <v>1498</v>
      </c>
      <c r="D137" s="321" t="s">
        <v>852</v>
      </c>
      <c r="E137" s="710" t="e">
        <f>HLOOKUP($D$2,'2020 Data(H)'!$C$1:$CZ$432,308,FALSE)</f>
        <v>#N/A</v>
      </c>
      <c r="F137" s="307">
        <v>0</v>
      </c>
      <c r="G137" s="771"/>
      <c r="H137" s="17"/>
      <c r="I137" s="79"/>
      <c r="Z137" s="319"/>
      <c r="AA137" s="319"/>
      <c r="AB137" s="319"/>
      <c r="AC137" s="319"/>
      <c r="AD137" s="319"/>
      <c r="AE137" s="319"/>
      <c r="AF137" s="319"/>
      <c r="AG137" s="319"/>
      <c r="AH137" s="319"/>
      <c r="AI137" s="319"/>
      <c r="AJ137" s="319"/>
      <c r="AK137" s="319"/>
      <c r="AL137" s="319"/>
      <c r="AM137" s="319"/>
      <c r="AN137" s="319"/>
      <c r="AO137" s="319"/>
      <c r="AP137" s="319"/>
      <c r="AQ137" s="319"/>
      <c r="AR137" s="319"/>
    </row>
    <row r="138" spans="1:44" ht="48" hidden="1" customHeight="1" x14ac:dyDescent="0.3">
      <c r="A138" s="108">
        <v>381</v>
      </c>
      <c r="B138" s="4" t="s">
        <v>37</v>
      </c>
      <c r="C138" s="4" t="s">
        <v>1498</v>
      </c>
      <c r="D138" s="106" t="s">
        <v>130</v>
      </c>
      <c r="E138" s="710" t="e">
        <f>HLOOKUP($D$2,'2020 Data(H)'!$C$1:$CZ$432,140,FALSE)</f>
        <v>#N/A</v>
      </c>
      <c r="F138" s="307">
        <v>0</v>
      </c>
      <c r="G138" s="771">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08">
        <v>578</v>
      </c>
      <c r="B139" s="712" t="s">
        <v>59</v>
      </c>
      <c r="C139" s="712" t="s">
        <v>1498</v>
      </c>
      <c r="D139" s="865" t="s">
        <v>1503</v>
      </c>
      <c r="E139" s="710" t="e">
        <f>HLOOKUP($D$2,'2020 Data(H)'!$C$1:$CZ$432,228,FALSE)</f>
        <v>#N/A</v>
      </c>
      <c r="F139" s="307">
        <v>0</v>
      </c>
      <c r="G139" s="771"/>
      <c r="H139" s="772"/>
      <c r="I139" s="773"/>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320">
        <v>633</v>
      </c>
      <c r="B140" s="866" t="s">
        <v>851</v>
      </c>
      <c r="C140" s="866" t="s">
        <v>700</v>
      </c>
      <c r="D140" s="350" t="s">
        <v>1582</v>
      </c>
      <c r="E140" s="710" t="e">
        <f>HLOOKUP($D$2,'2020 Data(H)'!$C$1:$CZ$432,292,FALSE)</f>
        <v>#N/A</v>
      </c>
      <c r="F140" s="307">
        <v>0</v>
      </c>
      <c r="G140" s="789" t="str">
        <f>IF(F140&gt;=(F141+F142+F143+F144+F145+F146),"","Account 633 is less than the total sum of accounts 634 through 638 + 383")</f>
        <v/>
      </c>
      <c r="H140" s="795">
        <f>F140-(F141+F142+F143+F144+F145+F146)</f>
        <v>0</v>
      </c>
      <c r="I140" s="776" t="str">
        <f>IF(F140&gt;=(F141+F142+F143+F144+F145+F146),"","Account 633 is less than the total sum of accounts 634 through 638 + 383")</f>
        <v/>
      </c>
      <c r="Z140" s="320"/>
      <c r="AA140" s="320"/>
      <c r="AB140" s="320"/>
      <c r="AC140" s="320"/>
      <c r="AD140" s="320"/>
      <c r="AE140" s="320"/>
      <c r="AF140" s="320"/>
      <c r="AG140" s="320"/>
      <c r="AH140" s="320"/>
      <c r="AI140" s="320"/>
      <c r="AJ140" s="320"/>
      <c r="AK140" s="320"/>
      <c r="AL140" s="320"/>
      <c r="AM140" s="320"/>
      <c r="AN140" s="320"/>
      <c r="AO140" s="320"/>
      <c r="AP140" s="320"/>
      <c r="AQ140" s="320"/>
      <c r="AR140" s="320"/>
    </row>
    <row r="141" spans="1:44" ht="109.5" hidden="1" customHeight="1" x14ac:dyDescent="0.3">
      <c r="A141" s="319">
        <v>634</v>
      </c>
      <c r="B141" s="867" t="s">
        <v>696</v>
      </c>
      <c r="C141" s="866" t="s">
        <v>700</v>
      </c>
      <c r="D141" s="350" t="s">
        <v>1584</v>
      </c>
      <c r="E141" s="710" t="e">
        <f>HLOOKUP($D$2,'2020 Data(H)'!$C$1:$CZ$432,293,FALSE)</f>
        <v>#N/A</v>
      </c>
      <c r="F141" s="307">
        <v>0</v>
      </c>
      <c r="G141" s="790">
        <f>IF(F141&gt;F140,"Please review account numbers 634&gt;633",)</f>
        <v>0</v>
      </c>
      <c r="H141" s="776"/>
      <c r="I141" s="776"/>
      <c r="Z141" s="319"/>
      <c r="AA141" s="319"/>
      <c r="AB141" s="319"/>
      <c r="AC141" s="319"/>
      <c r="AD141" s="319"/>
      <c r="AE141" s="319"/>
      <c r="AF141" s="319"/>
      <c r="AG141" s="319"/>
      <c r="AH141" s="319"/>
      <c r="AI141" s="319"/>
      <c r="AJ141" s="319"/>
      <c r="AK141" s="319"/>
      <c r="AL141" s="319"/>
      <c r="AM141" s="319"/>
      <c r="AN141" s="319"/>
      <c r="AO141" s="319"/>
      <c r="AP141" s="319"/>
      <c r="AQ141" s="319"/>
      <c r="AR141" s="319"/>
    </row>
    <row r="142" spans="1:44" ht="130.5" hidden="1" customHeight="1" x14ac:dyDescent="0.3">
      <c r="A142" s="319">
        <v>635</v>
      </c>
      <c r="B142" s="867" t="s">
        <v>696</v>
      </c>
      <c r="C142" s="866" t="s">
        <v>700</v>
      </c>
      <c r="D142" s="350" t="s">
        <v>1583</v>
      </c>
      <c r="E142" s="710" t="e">
        <f>HLOOKUP($D$2,'2020 Data(H)'!$C$1:$CZ$432,294,FALSE)</f>
        <v>#N/A</v>
      </c>
      <c r="F142" s="307">
        <v>0</v>
      </c>
      <c r="G142" s="790">
        <f>IF(F142&gt;F140,"Please review account numbers 635&gt;633",)</f>
        <v>0</v>
      </c>
      <c r="H142" s="776"/>
      <c r="I142" s="776"/>
      <c r="Z142" s="319"/>
      <c r="AA142" s="319"/>
      <c r="AB142" s="319"/>
      <c r="AC142" s="319"/>
      <c r="AD142" s="319"/>
      <c r="AE142" s="319"/>
      <c r="AF142" s="319"/>
      <c r="AG142" s="319"/>
      <c r="AH142" s="319"/>
      <c r="AI142" s="319"/>
      <c r="AJ142" s="319"/>
      <c r="AK142" s="319"/>
      <c r="AL142" s="319"/>
      <c r="AM142" s="319"/>
      <c r="AN142" s="319"/>
      <c r="AO142" s="319"/>
      <c r="AP142" s="319"/>
      <c r="AQ142" s="319"/>
      <c r="AR142" s="319"/>
    </row>
    <row r="143" spans="1:44" ht="106.5" hidden="1" customHeight="1" x14ac:dyDescent="0.3">
      <c r="A143" s="319">
        <v>636</v>
      </c>
      <c r="B143" s="867" t="s">
        <v>696</v>
      </c>
      <c r="C143" s="866" t="s">
        <v>700</v>
      </c>
      <c r="D143" s="350" t="s">
        <v>1588</v>
      </c>
      <c r="E143" s="710" t="e">
        <f>HLOOKUP($D$2,'2020 Data(H)'!$C$1:$CZ$432,295,FALSE)</f>
        <v>#N/A</v>
      </c>
      <c r="F143" s="307">
        <v>0</v>
      </c>
      <c r="G143" s="790">
        <f>IF(F143&gt;F140,"Please review account numbers 636&gt;633",)</f>
        <v>0</v>
      </c>
      <c r="H143" s="776"/>
      <c r="I143" s="776"/>
      <c r="Z143" s="319"/>
      <c r="AA143" s="319"/>
      <c r="AB143" s="319"/>
      <c r="AC143" s="319"/>
      <c r="AD143" s="319"/>
      <c r="AE143" s="319"/>
      <c r="AF143" s="319"/>
      <c r="AG143" s="319"/>
      <c r="AH143" s="319"/>
      <c r="AI143" s="319"/>
      <c r="AJ143" s="319"/>
      <c r="AK143" s="319"/>
      <c r="AL143" s="319"/>
      <c r="AM143" s="319"/>
      <c r="AN143" s="319"/>
      <c r="AO143" s="319"/>
      <c r="AP143" s="319"/>
      <c r="AQ143" s="319"/>
      <c r="AR143" s="319"/>
    </row>
    <row r="144" spans="1:44" ht="80.25" hidden="1" customHeight="1" x14ac:dyDescent="0.3">
      <c r="A144" s="319">
        <v>637</v>
      </c>
      <c r="B144" s="867" t="s">
        <v>696</v>
      </c>
      <c r="C144" s="866" t="s">
        <v>700</v>
      </c>
      <c r="D144" s="350" t="s">
        <v>1587</v>
      </c>
      <c r="E144" s="710" t="e">
        <f>HLOOKUP($D$2,'2020 Data(H)'!$C$1:$CZ$432,296,FALSE)</f>
        <v>#N/A</v>
      </c>
      <c r="F144" s="307">
        <v>0</v>
      </c>
      <c r="G144" s="790">
        <f>IF(F144&gt;F140,"Please review account numbers 637&gt;633",)</f>
        <v>0</v>
      </c>
      <c r="H144" s="776"/>
      <c r="I144" s="776"/>
      <c r="Z144" s="319"/>
      <c r="AA144" s="319"/>
      <c r="AB144" s="319"/>
      <c r="AC144" s="319"/>
      <c r="AD144" s="319"/>
      <c r="AE144" s="319"/>
      <c r="AF144" s="319"/>
      <c r="AG144" s="319"/>
      <c r="AH144" s="319"/>
      <c r="AI144" s="319"/>
      <c r="AJ144" s="319"/>
      <c r="AK144" s="319"/>
      <c r="AL144" s="319"/>
      <c r="AM144" s="319"/>
      <c r="AN144" s="319"/>
      <c r="AO144" s="319"/>
      <c r="AP144" s="319"/>
      <c r="AQ144" s="319"/>
      <c r="AR144" s="319"/>
    </row>
    <row r="145" spans="1:44" ht="110.25" hidden="1" customHeight="1" x14ac:dyDescent="0.3">
      <c r="A145" s="319">
        <v>638</v>
      </c>
      <c r="B145" s="867" t="s">
        <v>696</v>
      </c>
      <c r="C145" s="866" t="s">
        <v>700</v>
      </c>
      <c r="D145" s="350" t="s">
        <v>1586</v>
      </c>
      <c r="E145" s="710" t="e">
        <f>HLOOKUP($D$2,'2020 Data(H)'!$C$1:$CZ$432,297,FALSE)</f>
        <v>#N/A</v>
      </c>
      <c r="F145" s="307">
        <v>0</v>
      </c>
      <c r="G145" s="790">
        <f>IF(F145&gt;F140,"Please review account numbers 638&gt;633",)</f>
        <v>0</v>
      </c>
      <c r="H145" s="776"/>
      <c r="I145" s="776"/>
      <c r="Z145" s="319"/>
      <c r="AA145" s="319"/>
      <c r="AB145" s="319"/>
      <c r="AC145" s="319"/>
      <c r="AD145" s="319"/>
      <c r="AE145" s="319"/>
      <c r="AF145" s="319"/>
      <c r="AG145" s="319"/>
      <c r="AH145" s="319"/>
      <c r="AI145" s="319"/>
      <c r="AJ145" s="319"/>
      <c r="AK145" s="319"/>
      <c r="AL145" s="319"/>
      <c r="AM145" s="319"/>
      <c r="AN145" s="319"/>
      <c r="AO145" s="319"/>
      <c r="AP145" s="319"/>
      <c r="AQ145" s="319"/>
      <c r="AR145" s="319"/>
    </row>
    <row r="146" spans="1:44" ht="93.75" hidden="1" customHeight="1" x14ac:dyDescent="0.3">
      <c r="A146" s="108">
        <v>383</v>
      </c>
      <c r="B146" s="4" t="s">
        <v>62</v>
      </c>
      <c r="C146" s="4" t="s">
        <v>1498</v>
      </c>
      <c r="D146" s="29" t="s">
        <v>1585</v>
      </c>
      <c r="E146" s="710" t="e">
        <f>HLOOKUP($D$2,'2020 Data(H)'!$C$1:$CZ$432,142,FALSE)</f>
        <v>#N/A</v>
      </c>
      <c r="F146" s="307">
        <v>0</v>
      </c>
      <c r="G146" s="791">
        <f>IF(F146&gt;F140,"Error: Please review components of current liabilities above. Account number 383&gt;633",)</f>
        <v>0</v>
      </c>
      <c r="H146" s="792"/>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08">
        <v>349</v>
      </c>
      <c r="B147" s="4" t="s">
        <v>62</v>
      </c>
      <c r="C147" s="4" t="s">
        <v>1498</v>
      </c>
      <c r="D147" s="107" t="s">
        <v>153</v>
      </c>
      <c r="E147" s="710" t="e">
        <f>HLOOKUP($D$2,'2020 Data(H)'!$C$1:$CZ$432,113,FALSE)</f>
        <v>#N/A</v>
      </c>
      <c r="F147" s="307">
        <v>0</v>
      </c>
      <c r="G147" s="771"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08">
        <v>375</v>
      </c>
      <c r="B148" s="4" t="s">
        <v>62</v>
      </c>
      <c r="C148" s="4" t="s">
        <v>1498</v>
      </c>
      <c r="D148" s="749" t="s">
        <v>1504</v>
      </c>
      <c r="E148" s="710" t="e">
        <f>HLOOKUP($D$2,'2020 Data(H)'!$C$1:$CZ$432,134,FALSE)</f>
        <v>#N/A</v>
      </c>
      <c r="F148" s="307">
        <v>0</v>
      </c>
      <c r="G148" s="781"/>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08">
        <v>83</v>
      </c>
      <c r="B149" s="4" t="s">
        <v>61</v>
      </c>
      <c r="C149" s="4" t="s">
        <v>1498</v>
      </c>
      <c r="D149" s="107" t="s">
        <v>154</v>
      </c>
      <c r="E149" s="710" t="e">
        <f>HLOOKUP($D$2,'2020 Data(H)'!$C$1:$CZ$432,47,FALSE)</f>
        <v>#N/A</v>
      </c>
      <c r="F149" s="307">
        <v>0</v>
      </c>
      <c r="G149" s="771">
        <f>IF(F138-F147-F149=0,,"Error: Total assets less total liabilities do not equal total net assets.  Account numbers 381-349-83=0  The amount of the formula is in the cell to the right")</f>
        <v>0</v>
      </c>
      <c r="H149" s="774">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08"/>
      <c r="B150" s="907" t="s">
        <v>155</v>
      </c>
      <c r="C150" s="908"/>
      <c r="D150" s="883"/>
      <c r="E150" s="883"/>
      <c r="F150" s="903"/>
      <c r="G150" s="904"/>
      <c r="H150" s="786"/>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08">
        <v>90</v>
      </c>
      <c r="B151" s="4" t="s">
        <v>63</v>
      </c>
      <c r="C151" s="4" t="s">
        <v>1505</v>
      </c>
      <c r="D151" s="24" t="s">
        <v>1506</v>
      </c>
      <c r="E151" s="710" t="e">
        <f>HLOOKUP($D$2,'2020 Data(H)'!$C$1:$CZ$432,52,FALSE)</f>
        <v>#N/A</v>
      </c>
      <c r="F151" s="307">
        <v>0</v>
      </c>
      <c r="G151" s="771">
        <f>IF(F151&lt;0,"Note: Number is normally positive.",)</f>
        <v>0</v>
      </c>
      <c r="H151" s="793"/>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08">
        <v>91</v>
      </c>
      <c r="B152" s="4" t="s">
        <v>58</v>
      </c>
      <c r="C152" s="4" t="s">
        <v>1505</v>
      </c>
      <c r="D152" s="24" t="s">
        <v>1507</v>
      </c>
      <c r="E152" s="710" t="e">
        <f>HLOOKUP($D$2,'2020 Data(H)'!$C$1:$CZ$432,53,FALSE)</f>
        <v>#N/A</v>
      </c>
      <c r="F152" s="307">
        <v>0</v>
      </c>
      <c r="G152" s="771">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08">
        <v>581</v>
      </c>
      <c r="B153" s="712" t="s">
        <v>560</v>
      </c>
      <c r="C153" s="712" t="s">
        <v>1505</v>
      </c>
      <c r="D153" s="865" t="s">
        <v>1508</v>
      </c>
      <c r="E153" s="710" t="e">
        <f>HLOOKUP($D$2,'2020 Data(H)'!$C$1:$CZ$432,231,FALSE)</f>
        <v>#N/A</v>
      </c>
      <c r="F153" s="307">
        <v>0</v>
      </c>
      <c r="G153" s="771"/>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08">
        <v>511</v>
      </c>
      <c r="B154" s="4" t="s">
        <v>58</v>
      </c>
      <c r="C154" s="4" t="s">
        <v>1505</v>
      </c>
      <c r="D154" s="25" t="s">
        <v>156</v>
      </c>
      <c r="E154" s="710" t="e">
        <f>HLOOKUP($D$2,'2020 Data(H)'!$C$1:$CZ$432,161,FALSE)</f>
        <v>#N/A</v>
      </c>
      <c r="F154" s="307">
        <v>0</v>
      </c>
      <c r="G154" s="771">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319">
        <v>657</v>
      </c>
      <c r="B155" s="866" t="s">
        <v>58</v>
      </c>
      <c r="C155" s="866" t="s">
        <v>1505</v>
      </c>
      <c r="D155" s="350" t="s">
        <v>1509</v>
      </c>
      <c r="E155" s="710" t="e">
        <f>HLOOKUP($D$2,'2020 Data(H)'!$C$1:$CZ$432,310,FALSE)</f>
        <v>#N/A</v>
      </c>
      <c r="F155" s="307">
        <v>0</v>
      </c>
      <c r="G155" s="794">
        <f>IF((F151+F152+F154)&gt;F155,"Error: Please review components of current assets above.  Account numbers (90+91+511)&gt;657",)</f>
        <v>0</v>
      </c>
      <c r="H155" s="17"/>
      <c r="I155" s="79"/>
      <c r="Z155" s="319"/>
      <c r="AA155" s="319"/>
      <c r="AB155" s="319"/>
      <c r="AC155" s="319"/>
      <c r="AD155" s="319"/>
      <c r="AE155" s="319"/>
      <c r="AF155" s="319"/>
      <c r="AG155" s="319"/>
      <c r="AH155" s="319"/>
      <c r="AI155" s="319"/>
      <c r="AJ155" s="319"/>
      <c r="AK155" s="319"/>
      <c r="AL155" s="319"/>
      <c r="AM155" s="319"/>
      <c r="AN155" s="319"/>
      <c r="AO155" s="319"/>
      <c r="AP155" s="319"/>
      <c r="AQ155" s="319"/>
      <c r="AR155" s="319"/>
    </row>
    <row r="156" spans="1:44" ht="70.5" hidden="1" customHeight="1" x14ac:dyDescent="0.3">
      <c r="A156" s="319">
        <v>658</v>
      </c>
      <c r="B156" s="866" t="s">
        <v>58</v>
      </c>
      <c r="C156" s="866" t="s">
        <v>1505</v>
      </c>
      <c r="D156" s="321" t="s">
        <v>853</v>
      </c>
      <c r="E156" s="710" t="e">
        <f>HLOOKUP($D$2,'2020 Data(H)'!$C$1:$CZ$432,311,FALSE)</f>
        <v>#N/A</v>
      </c>
      <c r="F156" s="307">
        <v>0</v>
      </c>
      <c r="G156" s="771"/>
      <c r="H156" s="17"/>
      <c r="I156" s="79"/>
      <c r="Z156" s="319"/>
      <c r="AA156" s="319"/>
      <c r="AB156" s="319"/>
      <c r="AC156" s="319"/>
      <c r="AD156" s="319"/>
      <c r="AE156" s="319"/>
      <c r="AF156" s="319"/>
      <c r="AG156" s="319"/>
      <c r="AH156" s="319"/>
      <c r="AI156" s="319"/>
      <c r="AJ156" s="319"/>
      <c r="AK156" s="319"/>
      <c r="AL156" s="319"/>
      <c r="AM156" s="319"/>
      <c r="AN156" s="319"/>
      <c r="AO156" s="319"/>
      <c r="AP156" s="319"/>
      <c r="AQ156" s="319"/>
      <c r="AR156" s="319"/>
    </row>
    <row r="157" spans="1:44" ht="50.25" hidden="1" customHeight="1" x14ac:dyDescent="0.3">
      <c r="A157" s="108">
        <v>382</v>
      </c>
      <c r="B157" s="4" t="s">
        <v>60</v>
      </c>
      <c r="C157" s="4" t="s">
        <v>1505</v>
      </c>
      <c r="D157" s="106" t="s">
        <v>130</v>
      </c>
      <c r="E157" s="710" t="e">
        <f>HLOOKUP($D$2,'2020 Data(H)'!$C$1:$CZ$432,141,FALSE)</f>
        <v>#N/A</v>
      </c>
      <c r="F157" s="307">
        <v>0</v>
      </c>
      <c r="G157" s="794">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08">
        <v>360</v>
      </c>
      <c r="B158" s="4" t="s">
        <v>56</v>
      </c>
      <c r="C158" s="4" t="s">
        <v>1505</v>
      </c>
      <c r="D158" s="107" t="s">
        <v>157</v>
      </c>
      <c r="E158" s="710" t="e">
        <f>HLOOKUP($D$2,'2020 Data(H)'!$C$1:$CZ$432,121,FALSE)</f>
        <v>#N/A</v>
      </c>
      <c r="F158" s="307">
        <v>0</v>
      </c>
      <c r="G158" s="771"/>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08">
        <v>580</v>
      </c>
      <c r="B159" s="712" t="s">
        <v>560</v>
      </c>
      <c r="C159" s="712" t="s">
        <v>1505</v>
      </c>
      <c r="D159" s="865" t="s">
        <v>1510</v>
      </c>
      <c r="E159" s="710" t="e">
        <f>HLOOKUP($D$2,'2020 Data(H)'!$C$1:$CZ$432,230,FALSE)</f>
        <v>#N/A</v>
      </c>
      <c r="F159" s="307">
        <v>0</v>
      </c>
      <c r="G159" s="771"/>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320">
        <v>639</v>
      </c>
      <c r="B160" s="866" t="s">
        <v>851</v>
      </c>
      <c r="C160" s="866" t="s">
        <v>1505</v>
      </c>
      <c r="D160" s="350" t="s">
        <v>1589</v>
      </c>
      <c r="E160" s="710" t="e">
        <f>HLOOKUP($D$2,'2020 Data(H)'!$C$1:$CZ$432,298,FALSE)</f>
        <v>#N/A</v>
      </c>
      <c r="F160" s="307">
        <v>0</v>
      </c>
      <c r="G160" s="789" t="str">
        <f>IF(F160&gt;=(F161+F162+F163+F164+F165+F166),"","Account 639 is less than the total sum of accounts 640 through 644 + 384")</f>
        <v/>
      </c>
      <c r="H160" s="795">
        <f>F160-(F161+F162+F163+F164+F165+F166)</f>
        <v>0</v>
      </c>
      <c r="I160" s="776"/>
      <c r="Z160" s="320"/>
      <c r="AA160" s="320"/>
      <c r="AB160" s="320"/>
      <c r="AC160" s="320"/>
      <c r="AD160" s="320"/>
      <c r="AE160" s="320"/>
      <c r="AF160" s="320"/>
      <c r="AG160" s="320"/>
      <c r="AH160" s="320"/>
      <c r="AI160" s="320"/>
      <c r="AJ160" s="320"/>
      <c r="AK160" s="320"/>
      <c r="AL160" s="320"/>
      <c r="AM160" s="320"/>
      <c r="AN160" s="320"/>
      <c r="AO160" s="320"/>
      <c r="AP160" s="320"/>
      <c r="AQ160" s="320"/>
      <c r="AR160" s="320"/>
    </row>
    <row r="161" spans="1:44" ht="124.5" hidden="1" customHeight="1" x14ac:dyDescent="0.3">
      <c r="A161" s="319">
        <v>640</v>
      </c>
      <c r="B161" s="867" t="s">
        <v>696</v>
      </c>
      <c r="C161" s="866" t="s">
        <v>1505</v>
      </c>
      <c r="D161" s="350" t="s">
        <v>1590</v>
      </c>
      <c r="E161" s="710" t="e">
        <f>HLOOKUP($D$2,'2020 Data(H)'!$C$1:$CZ$432,299,FALSE)</f>
        <v>#N/A</v>
      </c>
      <c r="F161" s="307">
        <v>0</v>
      </c>
      <c r="G161" s="794">
        <f>IF(F161&gt;F160,"Error: Please review components of current liabilities above. Account numbers 640&gt;639",)</f>
        <v>0</v>
      </c>
      <c r="H161" s="776"/>
      <c r="I161" s="795"/>
      <c r="Z161" s="319"/>
      <c r="AA161" s="319"/>
      <c r="AB161" s="319"/>
      <c r="AC161" s="319"/>
      <c r="AD161" s="319"/>
      <c r="AE161" s="319"/>
      <c r="AF161" s="319"/>
      <c r="AG161" s="319"/>
      <c r="AH161" s="319"/>
      <c r="AI161" s="319"/>
      <c r="AJ161" s="319"/>
      <c r="AK161" s="319"/>
      <c r="AL161" s="319"/>
      <c r="AM161" s="319"/>
      <c r="AN161" s="319"/>
      <c r="AO161" s="319"/>
      <c r="AP161" s="319"/>
      <c r="AQ161" s="319"/>
      <c r="AR161" s="319"/>
    </row>
    <row r="162" spans="1:44" ht="133.5" hidden="1" customHeight="1" x14ac:dyDescent="0.3">
      <c r="A162" s="319">
        <v>641</v>
      </c>
      <c r="B162" s="867" t="s">
        <v>696</v>
      </c>
      <c r="C162" s="866" t="s">
        <v>1505</v>
      </c>
      <c r="D162" s="350" t="s">
        <v>1591</v>
      </c>
      <c r="E162" s="710" t="e">
        <f>HLOOKUP($D$2,'2020 Data(H)'!$C$1:$CZ$432,300,FALSE)</f>
        <v>#N/A</v>
      </c>
      <c r="F162" s="307">
        <v>0</v>
      </c>
      <c r="G162" s="794">
        <f>IF(F162&gt;F160,"Error: Please review components of current liabilities above. Account numbers 641&gt;639",)</f>
        <v>0</v>
      </c>
      <c r="H162" s="776"/>
      <c r="I162" s="776"/>
      <c r="Z162" s="319"/>
      <c r="AA162" s="319"/>
      <c r="AB162" s="319"/>
      <c r="AC162" s="319"/>
      <c r="AD162" s="319"/>
      <c r="AE162" s="319"/>
      <c r="AF162" s="319"/>
      <c r="AG162" s="319"/>
      <c r="AH162" s="319"/>
      <c r="AI162" s="319"/>
      <c r="AJ162" s="319"/>
      <c r="AK162" s="319"/>
      <c r="AL162" s="319"/>
      <c r="AM162" s="319"/>
      <c r="AN162" s="319"/>
      <c r="AO162" s="319"/>
      <c r="AP162" s="319"/>
      <c r="AQ162" s="319"/>
      <c r="AR162" s="319"/>
    </row>
    <row r="163" spans="1:44" ht="118.5" hidden="1" customHeight="1" x14ac:dyDescent="0.3">
      <c r="A163" s="319">
        <v>642</v>
      </c>
      <c r="B163" s="867" t="s">
        <v>696</v>
      </c>
      <c r="C163" s="866" t="s">
        <v>1505</v>
      </c>
      <c r="D163" s="350" t="s">
        <v>1592</v>
      </c>
      <c r="E163" s="710" t="e">
        <f>HLOOKUP($D$2,'2020 Data(H)'!$C$1:$CZ$432,301,FALSE)</f>
        <v>#N/A</v>
      </c>
      <c r="F163" s="307">
        <v>0</v>
      </c>
      <c r="G163" s="794">
        <f>IF(F163&gt;F160,"Error: Please review components of current liabilities above. Account numbers  642&gt;639",)</f>
        <v>0</v>
      </c>
      <c r="H163" s="776"/>
      <c r="I163" s="776"/>
      <c r="Z163" s="319"/>
      <c r="AA163" s="319"/>
      <c r="AB163" s="319"/>
      <c r="AC163" s="319"/>
      <c r="AD163" s="319"/>
      <c r="AE163" s="319"/>
      <c r="AF163" s="319"/>
      <c r="AG163" s="319"/>
      <c r="AH163" s="319"/>
      <c r="AI163" s="319"/>
      <c r="AJ163" s="319"/>
      <c r="AK163" s="319"/>
      <c r="AL163" s="319"/>
      <c r="AM163" s="319"/>
      <c r="AN163" s="319"/>
      <c r="AO163" s="319"/>
      <c r="AP163" s="319"/>
      <c r="AQ163" s="319"/>
      <c r="AR163" s="319"/>
    </row>
    <row r="164" spans="1:44" ht="81.75" hidden="1" customHeight="1" x14ac:dyDescent="0.3">
      <c r="A164" s="319">
        <v>643</v>
      </c>
      <c r="B164" s="867" t="s">
        <v>696</v>
      </c>
      <c r="C164" s="866" t="s">
        <v>1505</v>
      </c>
      <c r="D164" s="350" t="s">
        <v>1593</v>
      </c>
      <c r="E164" s="710" t="e">
        <f>HLOOKUP($D$2,'2020 Data(H)'!$C$1:$CZ$432,302,FALSE)</f>
        <v>#N/A</v>
      </c>
      <c r="F164" s="307">
        <v>0</v>
      </c>
      <c r="G164" s="794">
        <f>IF(F164&gt;F160,"Error: Please review components of current liabilities above. Account numbers 643&gt;639",)</f>
        <v>0</v>
      </c>
      <c r="H164" s="776"/>
      <c r="I164" s="776"/>
      <c r="Z164" s="319"/>
      <c r="AA164" s="319"/>
      <c r="AB164" s="319"/>
      <c r="AC164" s="319"/>
      <c r="AD164" s="319"/>
      <c r="AE164" s="319"/>
      <c r="AF164" s="319"/>
      <c r="AG164" s="319"/>
      <c r="AH164" s="319"/>
      <c r="AI164" s="319"/>
      <c r="AJ164" s="319"/>
      <c r="AK164" s="319"/>
      <c r="AL164" s="319"/>
      <c r="AM164" s="319"/>
      <c r="AN164" s="319"/>
      <c r="AO164" s="319"/>
      <c r="AP164" s="319"/>
      <c r="AQ164" s="319"/>
      <c r="AR164" s="319"/>
    </row>
    <row r="165" spans="1:44" ht="108" hidden="1" customHeight="1" x14ac:dyDescent="0.3">
      <c r="A165" s="319">
        <v>644</v>
      </c>
      <c r="B165" s="867" t="s">
        <v>696</v>
      </c>
      <c r="C165" s="866" t="s">
        <v>1505</v>
      </c>
      <c r="D165" s="350" t="s">
        <v>1594</v>
      </c>
      <c r="E165" s="710" t="e">
        <f>HLOOKUP($D$2,'2020 Data(H)'!$C$1:$CZ$432,303,FALSE)</f>
        <v>#N/A</v>
      </c>
      <c r="F165" s="307">
        <v>0</v>
      </c>
      <c r="G165" s="794">
        <f>IF(F165&gt;F160,"Error: Please review components of current liabilities above. Account number 644&gt;639",)</f>
        <v>0</v>
      </c>
      <c r="H165" s="776"/>
      <c r="I165" s="776"/>
      <c r="Z165" s="319"/>
      <c r="AA165" s="319"/>
      <c r="AB165" s="319"/>
      <c r="AC165" s="319"/>
      <c r="AD165" s="319"/>
      <c r="AE165" s="319"/>
      <c r="AF165" s="319"/>
      <c r="AG165" s="319"/>
      <c r="AH165" s="319"/>
      <c r="AI165" s="319"/>
      <c r="AJ165" s="319"/>
      <c r="AK165" s="319"/>
      <c r="AL165" s="319"/>
      <c r="AM165" s="319"/>
      <c r="AN165" s="319"/>
      <c r="AO165" s="319"/>
      <c r="AP165" s="319"/>
      <c r="AQ165" s="319"/>
      <c r="AR165" s="319"/>
    </row>
    <row r="166" spans="1:44" ht="99.75" hidden="1" customHeight="1" x14ac:dyDescent="0.3">
      <c r="A166" s="108">
        <v>384</v>
      </c>
      <c r="B166" s="4" t="s">
        <v>63</v>
      </c>
      <c r="C166" s="4" t="s">
        <v>1505</v>
      </c>
      <c r="D166" s="29" t="s">
        <v>1595</v>
      </c>
      <c r="E166" s="710" t="e">
        <f>HLOOKUP($D$2,'2020 Data(H)'!$C$1:$CZ$432,143,FALSE)</f>
        <v>#N/A</v>
      </c>
      <c r="F166" s="779">
        <v>0</v>
      </c>
      <c r="G166" s="791">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08">
        <v>361</v>
      </c>
      <c r="B167" s="4" t="s">
        <v>56</v>
      </c>
      <c r="C167" s="4" t="s">
        <v>1505</v>
      </c>
      <c r="D167" s="749" t="s">
        <v>1511</v>
      </c>
      <c r="E167" s="710" t="e">
        <f>HLOOKUP($D$2,'2020 Data(H)'!$C$1:$CZ$432,122,FALSE)</f>
        <v>#N/A</v>
      </c>
      <c r="F167" s="307">
        <v>0</v>
      </c>
      <c r="G167" s="781"/>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08">
        <v>362</v>
      </c>
      <c r="B168" s="4" t="s">
        <v>56</v>
      </c>
      <c r="C168" s="4" t="s">
        <v>1505</v>
      </c>
      <c r="D168" s="107" t="s">
        <v>158</v>
      </c>
      <c r="E168" s="710" t="e">
        <f>HLOOKUP($D$2,'2020 Data(H)'!$C$1:$CZ$432,123,FALSE)</f>
        <v>#N/A</v>
      </c>
      <c r="F168" s="307">
        <v>0</v>
      </c>
      <c r="G168" s="771">
        <f>IF(H168=0,,"Error: Total assets less total liabilities do not equal total net position. Account numbers 382-360-362=0  The amount of the formula is in the cell to the right")</f>
        <v>0</v>
      </c>
      <c r="H168" s="774">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08"/>
      <c r="B169" s="896" t="s">
        <v>182</v>
      </c>
      <c r="C169" s="897"/>
      <c r="D169" s="909"/>
      <c r="E169" s="890"/>
      <c r="F169" s="895"/>
      <c r="G169" s="895"/>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08"/>
      <c r="B170" s="1168" t="s">
        <v>1616</v>
      </c>
      <c r="C170" s="1168"/>
      <c r="D170" s="1168"/>
      <c r="E170" s="883"/>
      <c r="F170" s="904"/>
      <c r="G170" s="904"/>
      <c r="H170" s="17"/>
      <c r="I170" s="79"/>
      <c r="N170" s="308"/>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08">
        <v>88</v>
      </c>
      <c r="B171" s="4" t="s">
        <v>61</v>
      </c>
      <c r="C171" s="4" t="s">
        <v>1512</v>
      </c>
      <c r="D171" s="24" t="s">
        <v>1513</v>
      </c>
      <c r="E171" s="710" t="e">
        <f>HLOOKUP($D$2,'2020 Data(H)'!$C$1:$CZ$432,50,FALSE)</f>
        <v>#N/A</v>
      </c>
      <c r="F171" s="307">
        <v>0</v>
      </c>
      <c r="G171" s="781"/>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08">
        <v>84</v>
      </c>
      <c r="B172" s="4" t="s">
        <v>61</v>
      </c>
      <c r="C172" s="4" t="s">
        <v>1512</v>
      </c>
      <c r="D172" s="29" t="s">
        <v>159</v>
      </c>
      <c r="E172" s="710" t="e">
        <f>HLOOKUP($D$2,'2020 Data(H)'!$C$1:$CZ$432,48,FALSE)</f>
        <v>#N/A</v>
      </c>
      <c r="F172" s="307">
        <v>0</v>
      </c>
      <c r="G172" s="771">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08">
        <v>49</v>
      </c>
      <c r="B173" s="4" t="s">
        <v>57</v>
      </c>
      <c r="C173" s="4" t="s">
        <v>1512</v>
      </c>
      <c r="D173" s="29" t="s">
        <v>160</v>
      </c>
      <c r="E173" s="710" t="e">
        <f>HLOOKUP($D$2,'2020 Data(H)'!$C$1:$CZ$432,36,FALSE)</f>
        <v>#N/A</v>
      </c>
      <c r="F173" s="307">
        <v>0</v>
      </c>
      <c r="G173" s="771">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08">
        <v>85</v>
      </c>
      <c r="B174" s="4" t="s">
        <v>68</v>
      </c>
      <c r="C174" s="4" t="s">
        <v>1512</v>
      </c>
      <c r="D174" s="29" t="s">
        <v>161</v>
      </c>
      <c r="E174" s="710" t="e">
        <f>HLOOKUP($D$2,'2020 Data(H)'!$C$1:$CZ$432,49,FALSE)</f>
        <v>#N/A</v>
      </c>
      <c r="F174" s="307">
        <v>0</v>
      </c>
      <c r="G174" s="771">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08">
        <v>89</v>
      </c>
      <c r="B175" s="4" t="s">
        <v>56</v>
      </c>
      <c r="C175" s="4" t="s">
        <v>1512</v>
      </c>
      <c r="D175" s="29" t="s">
        <v>162</v>
      </c>
      <c r="E175" s="710" t="e">
        <f>HLOOKUP($D$2,'2020 Data(H)'!$C$1:$CZ$432,51,FALSE)</f>
        <v>#N/A</v>
      </c>
      <c r="F175" s="307">
        <v>0</v>
      </c>
      <c r="G175" s="771">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08">
        <v>350</v>
      </c>
      <c r="B176" s="4" t="s">
        <v>56</v>
      </c>
      <c r="C176" s="4" t="s">
        <v>1512</v>
      </c>
      <c r="D176" s="24" t="s">
        <v>1514</v>
      </c>
      <c r="E176" s="710" t="e">
        <f>HLOOKUP($D$2,'2020 Data(H)'!$C$1:$CZ$432,114,FALSE)</f>
        <v>#N/A</v>
      </c>
      <c r="F176" s="307">
        <v>0</v>
      </c>
      <c r="G176" s="781"/>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08">
        <v>351</v>
      </c>
      <c r="B177" s="4" t="s">
        <v>56</v>
      </c>
      <c r="C177" s="4" t="s">
        <v>1512</v>
      </c>
      <c r="D177" s="24" t="s">
        <v>1515</v>
      </c>
      <c r="E177" s="710" t="e">
        <f>HLOOKUP($D$2,'2020 Data(H)'!$C$1:$CZ$432,115,FALSE)</f>
        <v>#N/A</v>
      </c>
      <c r="F177" s="307">
        <v>0</v>
      </c>
      <c r="G177" s="771">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08">
        <v>191</v>
      </c>
      <c r="B178" s="4" t="s">
        <v>57</v>
      </c>
      <c r="C178" s="4" t="s">
        <v>1512</v>
      </c>
      <c r="D178" s="24" t="s">
        <v>1516</v>
      </c>
      <c r="E178" s="710" t="e">
        <f>HLOOKUP($D$2,'2020 Data(H)'!$C$1:$CZ$432,72,FALSE)</f>
        <v>#N/A</v>
      </c>
      <c r="F178" s="307">
        <v>0</v>
      </c>
      <c r="G178" s="771">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08">
        <v>352</v>
      </c>
      <c r="B179" s="4" t="s">
        <v>68</v>
      </c>
      <c r="C179" s="4" t="s">
        <v>1512</v>
      </c>
      <c r="D179" s="29" t="s">
        <v>1347</v>
      </c>
      <c r="E179" s="710" t="e">
        <f>HLOOKUP($D$2,'2020 Data(H)'!$C$1:$CZ$432,116,FALSE)</f>
        <v>#N/A</v>
      </c>
      <c r="F179" s="307">
        <v>0</v>
      </c>
      <c r="G179" s="771">
        <f>IF(F179&lt;0,"Error: Enter as positive.",)</f>
        <v>0</v>
      </c>
      <c r="H179" s="750"/>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08">
        <v>986</v>
      </c>
      <c r="B180" s="870" t="s">
        <v>1055</v>
      </c>
      <c r="C180" s="870" t="s">
        <v>1512</v>
      </c>
      <c r="D180" s="324" t="s">
        <v>1088</v>
      </c>
      <c r="E180" s="710" t="s">
        <v>1056</v>
      </c>
      <c r="F180" s="307">
        <v>0</v>
      </c>
      <c r="G180" s="771">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08">
        <v>353</v>
      </c>
      <c r="B181" s="4" t="s">
        <v>68</v>
      </c>
      <c r="C181" s="4" t="s">
        <v>1512</v>
      </c>
      <c r="D181" s="29" t="s">
        <v>143</v>
      </c>
      <c r="E181" s="710" t="e">
        <f>HLOOKUP($D$2,'2020 Data(H)'!$C$1:$CZ$432,117,FALSE)</f>
        <v>#N/A</v>
      </c>
      <c r="F181" s="307">
        <v>0</v>
      </c>
      <c r="G181" s="771">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08">
        <v>50</v>
      </c>
      <c r="B182" s="4" t="s">
        <v>64</v>
      </c>
      <c r="C182" s="4" t="s">
        <v>1512</v>
      </c>
      <c r="D182" s="749" t="s">
        <v>1517</v>
      </c>
      <c r="E182" s="710" t="e">
        <f>HLOOKUP($D$2,'2020 Data(H)'!$C$1:$CZ$432,37,FALSE)</f>
        <v>#N/A</v>
      </c>
      <c r="F182" s="305">
        <v>0</v>
      </c>
      <c r="G182" s="771">
        <f>IF(H182=0,,"Error: Total revenues less total expenses do not equal total change in net position. Account number 84-85+350-351+191+352-353-50=0  The amount of the formula is in the cell to the right")</f>
        <v>0</v>
      </c>
      <c r="H182" s="774">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08">
        <v>377</v>
      </c>
      <c r="B183" s="4" t="s">
        <v>68</v>
      </c>
      <c r="C183" s="4" t="s">
        <v>1512</v>
      </c>
      <c r="D183" s="749" t="s">
        <v>1518</v>
      </c>
      <c r="E183" s="710" t="e">
        <f>HLOOKUP($D$2,'2020 Data(H)'!$C$1:$CZ$432,136,FALSE)</f>
        <v>#N/A</v>
      </c>
      <c r="F183" s="305">
        <v>0</v>
      </c>
      <c r="G183" s="771" t="e">
        <f>IF(F149-F182-F183=E149,,"Error: Beginning Balance does not agree with our records.  Acct #s (83-50-377)=prior year 83 The amount of the formula is in the cell to the right")</f>
        <v>#N/A</v>
      </c>
      <c r="H183" s="774"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08">
        <v>537</v>
      </c>
      <c r="B184" s="712" t="s">
        <v>59</v>
      </c>
      <c r="C184" s="712" t="s">
        <v>1512</v>
      </c>
      <c r="D184" s="709" t="s">
        <v>1519</v>
      </c>
      <c r="E184" s="59" t="e">
        <f>HLOOKUP($D$2,'2020 Data(H)'!$C$1:$CZ$432,250,FALSE)</f>
        <v>#N/A</v>
      </c>
      <c r="F184" s="307"/>
      <c r="G184" s="771"/>
      <c r="H184" s="772"/>
      <c r="I184" s="773"/>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08">
        <v>538</v>
      </c>
      <c r="B185" s="712" t="s">
        <v>59</v>
      </c>
      <c r="C185" s="712" t="s">
        <v>1512</v>
      </c>
      <c r="D185" s="709" t="s">
        <v>1520</v>
      </c>
      <c r="E185" s="710" t="e">
        <f>HLOOKUP($D$2,'2020 Data(H)'!$C$1:$CZ$432,251,FALSE)</f>
        <v>#N/A</v>
      </c>
      <c r="F185" s="307"/>
      <c r="G185" s="771"/>
      <c r="H185" s="772"/>
      <c r="I185" s="773"/>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08"/>
      <c r="B186" s="907" t="s">
        <v>6</v>
      </c>
      <c r="C186" s="908"/>
      <c r="D186" s="883"/>
      <c r="E186" s="883"/>
      <c r="F186" s="903"/>
      <c r="G186" s="904"/>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08">
        <v>97</v>
      </c>
      <c r="B187" s="4" t="s">
        <v>68</v>
      </c>
      <c r="C187" s="4" t="s">
        <v>1521</v>
      </c>
      <c r="D187" s="29" t="s">
        <v>163</v>
      </c>
      <c r="E187" s="710" t="e">
        <f>HLOOKUP($D$2,'2020 Data(H)'!$C$1:$CZ$432,57,FALSE)</f>
        <v>#N/A</v>
      </c>
      <c r="F187" s="305">
        <v>0</v>
      </c>
      <c r="G187" s="781"/>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08">
        <v>93</v>
      </c>
      <c r="B188" s="4" t="s">
        <v>66</v>
      </c>
      <c r="C188" s="4" t="s">
        <v>1521</v>
      </c>
      <c r="D188" s="29" t="s">
        <v>159</v>
      </c>
      <c r="E188" s="710" t="e">
        <f>HLOOKUP($D$2,'2020 Data(H)'!$C$1:$CZ$432,55,FALSE)</f>
        <v>#N/A</v>
      </c>
      <c r="F188" s="306">
        <v>0</v>
      </c>
      <c r="G188" s="771">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08">
        <v>99</v>
      </c>
      <c r="B189" s="4" t="s">
        <v>58</v>
      </c>
      <c r="C189" s="4" t="s">
        <v>1521</v>
      </c>
      <c r="D189" s="29" t="s">
        <v>164</v>
      </c>
      <c r="E189" s="710" t="e">
        <f>HLOOKUP($D$2,'2020 Data(H)'!$C$1:$CZ$432,59,FALSE)</f>
        <v>#N/A</v>
      </c>
      <c r="F189" s="306">
        <v>0</v>
      </c>
      <c r="G189" s="771">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08">
        <v>52</v>
      </c>
      <c r="B190" s="4" t="s">
        <v>58</v>
      </c>
      <c r="C190" s="4" t="s">
        <v>1521</v>
      </c>
      <c r="D190" s="29" t="s">
        <v>160</v>
      </c>
      <c r="E190" s="710" t="e">
        <f>HLOOKUP($D$2,'2020 Data(H)'!$C$1:$CZ$432,39,FALSE)</f>
        <v>#N/A</v>
      </c>
      <c r="F190" s="306">
        <v>0</v>
      </c>
      <c r="G190" s="771">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08">
        <v>94</v>
      </c>
      <c r="B191" s="4" t="s">
        <v>66</v>
      </c>
      <c r="C191" s="4" t="s">
        <v>1521</v>
      </c>
      <c r="D191" s="29" t="s">
        <v>161</v>
      </c>
      <c r="E191" s="710" t="e">
        <f>HLOOKUP($D$2,'2020 Data(H)'!$C$1:$CZ$432,56,FALSE)</f>
        <v>#N/A</v>
      </c>
      <c r="F191" s="306">
        <v>0</v>
      </c>
      <c r="G191" s="771">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08">
        <v>98</v>
      </c>
      <c r="B192" s="4" t="s">
        <v>66</v>
      </c>
      <c r="C192" s="4" t="s">
        <v>1521</v>
      </c>
      <c r="D192" s="29" t="s">
        <v>162</v>
      </c>
      <c r="E192" s="710" t="e">
        <f>HLOOKUP($D$2,'2020 Data(H)'!$C$1:$CZ$432,58,FALSE)</f>
        <v>#N/A</v>
      </c>
      <c r="F192" s="306">
        <v>0</v>
      </c>
      <c r="G192" s="771">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08">
        <v>363</v>
      </c>
      <c r="B193" s="4" t="s">
        <v>56</v>
      </c>
      <c r="C193" s="4" t="s">
        <v>1521</v>
      </c>
      <c r="D193" s="24" t="s">
        <v>1522</v>
      </c>
      <c r="E193" s="710" t="e">
        <f>HLOOKUP($D$2,'2020 Data(H)'!$C$1:$CZ$432,124,FALSE)</f>
        <v>#N/A</v>
      </c>
      <c r="F193" s="306">
        <v>0</v>
      </c>
      <c r="G193" s="771">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08">
        <v>364</v>
      </c>
      <c r="B194" s="4" t="s">
        <v>56</v>
      </c>
      <c r="C194" s="4" t="s">
        <v>1521</v>
      </c>
      <c r="D194" s="24" t="s">
        <v>1523</v>
      </c>
      <c r="E194" s="710" t="e">
        <f>HLOOKUP($D$2,'2020 Data(H)'!$C$1:$CZ$432,125,FALSE)</f>
        <v>#N/A</v>
      </c>
      <c r="F194" s="306">
        <v>0</v>
      </c>
      <c r="G194" s="771">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08">
        <v>192</v>
      </c>
      <c r="B195" s="4" t="s">
        <v>58</v>
      </c>
      <c r="C195" s="4" t="s">
        <v>1521</v>
      </c>
      <c r="D195" s="24" t="s">
        <v>1524</v>
      </c>
      <c r="E195" s="710" t="e">
        <f>HLOOKUP($D$2,'2020 Data(H)'!$C$1:$CZ$432,73,FALSE)</f>
        <v>#N/A</v>
      </c>
      <c r="F195" s="306">
        <v>0</v>
      </c>
      <c r="G195" s="771">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08">
        <v>365</v>
      </c>
      <c r="B196" s="4" t="s">
        <v>66</v>
      </c>
      <c r="C196" s="4" t="s">
        <v>1521</v>
      </c>
      <c r="D196" s="24" t="s">
        <v>1525</v>
      </c>
      <c r="E196" s="710" t="e">
        <f>HLOOKUP($D$2,'2020 Data(H)'!$C$1:$CZ$432,126,FALSE)</f>
        <v>#N/A</v>
      </c>
      <c r="F196" s="306">
        <v>0</v>
      </c>
      <c r="G196" s="771">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08">
        <v>366</v>
      </c>
      <c r="B197" s="4" t="s">
        <v>66</v>
      </c>
      <c r="C197" s="4" t="s">
        <v>1521</v>
      </c>
      <c r="D197" s="24" t="s">
        <v>1526</v>
      </c>
      <c r="E197" s="710" t="e">
        <f>HLOOKUP($D$2,'2020 Data(H)'!$C$1:$CZ$432,127,FALSE)</f>
        <v>#N/A</v>
      </c>
      <c r="F197" s="306">
        <v>0</v>
      </c>
      <c r="G197" s="771">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08">
        <v>53</v>
      </c>
      <c r="B198" s="712" t="s">
        <v>66</v>
      </c>
      <c r="C198" s="712" t="s">
        <v>1521</v>
      </c>
      <c r="D198" s="749" t="s">
        <v>1527</v>
      </c>
      <c r="E198" s="710" t="e">
        <f>HLOOKUP($D$2,'2020 Data(H)'!$C$1:$CZ$432,40,FALSE)</f>
        <v>#N/A</v>
      </c>
      <c r="F198" s="306">
        <v>0</v>
      </c>
      <c r="G198" s="771">
        <f>IF(H198=0,,"Error: Total revenues less total expenses do not equal total change in net position. Account number 93-94+363-364+192+365-366-53=0  The amount of the formula is in the cell to the right")</f>
        <v>0</v>
      </c>
      <c r="H198" s="774">
        <f>+F188-F191+F193-F194+F195+F196-F197-F198</f>
        <v>0</v>
      </c>
      <c r="I198" s="79"/>
      <c r="N198" s="308"/>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08">
        <v>378</v>
      </c>
      <c r="B199" s="5" t="s">
        <v>56</v>
      </c>
      <c r="C199" s="4" t="s">
        <v>1521</v>
      </c>
      <c r="D199" s="749" t="s">
        <v>1528</v>
      </c>
      <c r="E199" s="710" t="e">
        <f>HLOOKUP($D$2,'2020 Data(H)'!$C$1:$CZ$432,137,FALSE)</f>
        <v>#N/A</v>
      </c>
      <c r="F199" s="305">
        <v>0</v>
      </c>
      <c r="G199" s="771" t="e">
        <f>IF(F168-F198-F199=E168,,"Error: Beginning Balance does not agree with our records.  Acct #s (362-53-378)=prior year 362  The amount of the formula is in the cell to the right")</f>
        <v>#N/A</v>
      </c>
      <c r="H199" s="774" t="e">
        <f>+F168-F198-F199-E168</f>
        <v>#N/A</v>
      </c>
      <c r="I199" s="79"/>
      <c r="N199" s="308"/>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08"/>
      <c r="B200" s="907" t="s">
        <v>796</v>
      </c>
      <c r="C200" s="907"/>
      <c r="D200" s="910"/>
      <c r="E200" s="890"/>
      <c r="F200" s="911"/>
      <c r="G200" s="892"/>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08"/>
      <c r="B201" s="912" t="s">
        <v>1529</v>
      </c>
      <c r="C201" s="908"/>
      <c r="D201" s="883"/>
      <c r="E201" s="883"/>
      <c r="F201" s="913"/>
      <c r="G201" s="904"/>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08"/>
      <c r="B202" s="908" t="s">
        <v>1530</v>
      </c>
      <c r="C202" s="908"/>
      <c r="D202" s="899"/>
      <c r="E202" s="881"/>
      <c r="F202" s="914"/>
      <c r="G202" s="906"/>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08"/>
      <c r="B203" s="908" t="s">
        <v>23</v>
      </c>
      <c r="C203" s="908"/>
      <c r="D203" s="899"/>
      <c r="E203" s="881"/>
      <c r="F203" s="914"/>
      <c r="G203" s="906"/>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08">
        <v>51</v>
      </c>
      <c r="B204" s="4" t="s">
        <v>527</v>
      </c>
      <c r="C204" s="871" t="s">
        <v>1531</v>
      </c>
      <c r="D204" s="24" t="s">
        <v>1532</v>
      </c>
      <c r="E204" s="710" t="e">
        <f>HLOOKUP($D$2,'2020 Data(H)'!$C$1:$CZ$432,38,FALSE)</f>
        <v>#N/A</v>
      </c>
      <c r="F204" s="306">
        <v>0</v>
      </c>
      <c r="G204" s="781"/>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08">
        <v>332</v>
      </c>
      <c r="B205" s="4" t="s">
        <v>37</v>
      </c>
      <c r="C205" s="871" t="s">
        <v>1531</v>
      </c>
      <c r="D205" s="24" t="s">
        <v>1533</v>
      </c>
      <c r="E205" s="710" t="e">
        <f>HLOOKUP($D$2,'2020 Data(H)'!$C$1:$CZ$432,98,FALSE)</f>
        <v>#N/A</v>
      </c>
      <c r="F205" s="306">
        <v>0</v>
      </c>
      <c r="G205" s="771">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08">
        <v>331</v>
      </c>
      <c r="B206" s="4" t="s">
        <v>527</v>
      </c>
      <c r="C206" s="871" t="s">
        <v>1531</v>
      </c>
      <c r="D206" s="24" t="s">
        <v>1534</v>
      </c>
      <c r="E206" s="710" t="e">
        <f>HLOOKUP($D$2,'2020 Data(H)'!$C$1:$CZ$432,97,FALSE)</f>
        <v>#N/A</v>
      </c>
      <c r="F206" s="306">
        <v>0</v>
      </c>
      <c r="G206" s="771">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08"/>
      <c r="B207" s="907" t="s">
        <v>6</v>
      </c>
      <c r="C207" s="908"/>
      <c r="D207" s="908"/>
      <c r="E207" s="883"/>
      <c r="F207" s="913"/>
      <c r="G207" s="915"/>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08">
        <v>55</v>
      </c>
      <c r="B208" s="4" t="s">
        <v>59</v>
      </c>
      <c r="C208" s="871" t="s">
        <v>1535</v>
      </c>
      <c r="D208" s="24" t="s">
        <v>1536</v>
      </c>
      <c r="E208" s="710" t="e">
        <f>HLOOKUP($D$2,'2020 Data(H)'!$C$1:$CZ$432,42,FALSE)</f>
        <v>#N/A</v>
      </c>
      <c r="F208" s="306">
        <v>0</v>
      </c>
      <c r="G208" s="781"/>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08">
        <v>101</v>
      </c>
      <c r="B209" s="4" t="s">
        <v>65</v>
      </c>
      <c r="C209" s="871" t="s">
        <v>1535</v>
      </c>
      <c r="D209" s="24" t="s">
        <v>1537</v>
      </c>
      <c r="E209" s="710" t="e">
        <f>HLOOKUP($D$2,'2020 Data(H)'!$C$1:$CZ$432,61,FALSE)</f>
        <v>#N/A</v>
      </c>
      <c r="F209" s="306">
        <v>0</v>
      </c>
      <c r="G209" s="771">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08">
        <v>100</v>
      </c>
      <c r="B210" s="4" t="s">
        <v>66</v>
      </c>
      <c r="C210" s="871" t="s">
        <v>1535</v>
      </c>
      <c r="D210" s="24" t="s">
        <v>1534</v>
      </c>
      <c r="E210" s="710" t="e">
        <f>HLOOKUP($D$2,'2020 Data(H)'!$C$1:$CZ$432,60,FALSE)</f>
        <v>#N/A</v>
      </c>
      <c r="F210" s="306">
        <v>0</v>
      </c>
      <c r="G210" s="771">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hidden="1" x14ac:dyDescent="0.3">
      <c r="A211" s="108"/>
      <c r="B211" s="883" t="s">
        <v>71</v>
      </c>
      <c r="C211" s="899"/>
      <c r="D211" s="883"/>
      <c r="E211" s="883"/>
      <c r="F211" s="916"/>
      <c r="G211" s="902"/>
      <c r="H211" s="17"/>
      <c r="I211" s="79"/>
      <c r="J211" s="616"/>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hidden="1" customHeight="1" x14ac:dyDescent="0.3">
      <c r="A212" s="108">
        <v>512</v>
      </c>
      <c r="B212" s="600"/>
      <c r="C212" s="871" t="s">
        <v>165</v>
      </c>
      <c r="D212" s="24" t="s">
        <v>1538</v>
      </c>
      <c r="E212" s="710" t="e">
        <f>HLOOKUP($D$2,'2020 Data(H)'!$C$1:$CZ$432,162,FALSE)</f>
        <v>#N/A</v>
      </c>
      <c r="F212" s="306">
        <v>0</v>
      </c>
      <c r="G212" s="771">
        <f>IF(F212&lt;0,"Error: Enter as positive.",)</f>
        <v>0</v>
      </c>
      <c r="H212" s="17"/>
      <c r="I212" s="79"/>
      <c r="J212" s="616"/>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907" t="s">
        <v>782</v>
      </c>
      <c r="C213" s="908"/>
      <c r="D213" s="910"/>
      <c r="E213" s="917"/>
      <c r="F213" s="916"/>
      <c r="G213" s="902"/>
      <c r="H213" s="772"/>
      <c r="I213" s="773"/>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19">
        <v>656</v>
      </c>
      <c r="B214" s="319"/>
      <c r="C214" s="319"/>
      <c r="D214" s="797" t="s">
        <v>783</v>
      </c>
      <c r="E214" s="710" t="e">
        <f>HLOOKUP($D$2,'2020 Data(H)'!$C$1:$CZ$432,309,FALSE)</f>
        <v>#N/A</v>
      </c>
      <c r="F214" s="306">
        <v>0</v>
      </c>
      <c r="G214" s="771"/>
      <c r="H214" s="17"/>
      <c r="I214" s="79"/>
      <c r="J214" s="616"/>
      <c r="Z214" s="319"/>
      <c r="AA214" s="319"/>
      <c r="AB214" s="319"/>
      <c r="AC214" s="319"/>
      <c r="AD214" s="319"/>
      <c r="AE214" s="319"/>
      <c r="AF214" s="319"/>
      <c r="AG214" s="319"/>
      <c r="AH214" s="319"/>
      <c r="AI214" s="319"/>
      <c r="AJ214" s="319"/>
      <c r="AK214" s="319"/>
      <c r="AL214" s="319"/>
      <c r="AM214" s="319"/>
      <c r="AN214" s="319"/>
      <c r="AO214" s="319"/>
      <c r="AP214" s="319"/>
      <c r="AQ214" s="319"/>
      <c r="AR214" s="319"/>
    </row>
    <row r="215" spans="1:44" hidden="1" x14ac:dyDescent="0.3">
      <c r="A215" s="108"/>
      <c r="B215" s="907" t="s">
        <v>530</v>
      </c>
      <c r="C215" s="908"/>
      <c r="D215" s="910"/>
      <c r="E215" s="917"/>
      <c r="F215" s="916"/>
      <c r="G215" s="902"/>
      <c r="H215" s="772"/>
      <c r="I215" s="773"/>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08">
        <v>535</v>
      </c>
      <c r="B216" s="712" t="s">
        <v>55</v>
      </c>
      <c r="C216" s="712" t="s">
        <v>166</v>
      </c>
      <c r="D216" s="24" t="s">
        <v>1539</v>
      </c>
      <c r="E216" s="710" t="e">
        <f>HLOOKUP($D$2,'2020 Data(H)'!$C$1:$CZ$432,185,FALSE)</f>
        <v>#N/A</v>
      </c>
      <c r="F216" s="306">
        <v>0</v>
      </c>
      <c r="G216" s="771" t="str">
        <f>IF(F216&lt;1,"Reminder: Please make sure you have entered all cash and investments from bond/Debt proceeds, if applicable.",)</f>
        <v>Reminder: Please make sure you have entered all cash and investments from bond/Debt proceeds, if applicable.</v>
      </c>
      <c r="H216" s="772"/>
      <c r="I216" s="773"/>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08"/>
      <c r="B217" s="907" t="s">
        <v>29</v>
      </c>
      <c r="C217" s="908"/>
      <c r="D217" s="884"/>
      <c r="E217" s="884"/>
      <c r="F217" s="913"/>
      <c r="G217" s="904"/>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08"/>
      <c r="B218" s="600"/>
      <c r="C218" s="600"/>
      <c r="D218" s="798" t="s">
        <v>2</v>
      </c>
      <c r="E218" s="1"/>
      <c r="F218" s="164"/>
      <c r="G218" s="781"/>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08"/>
      <c r="B219" s="600"/>
      <c r="C219" s="600"/>
      <c r="D219" s="711" t="s">
        <v>1540</v>
      </c>
      <c r="E219" s="1"/>
      <c r="F219" s="164"/>
      <c r="G219" s="781"/>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08">
        <v>334</v>
      </c>
      <c r="B220" s="4" t="s">
        <v>56</v>
      </c>
      <c r="C220" s="4" t="s">
        <v>173</v>
      </c>
      <c r="D220" s="24" t="s">
        <v>1541</v>
      </c>
      <c r="E220" s="710" t="e">
        <f>HLOOKUP($D$2,'2020 Data(H)'!$C$1:$CZ$432,100,FALSE)</f>
        <v>#N/A</v>
      </c>
      <c r="F220" s="306">
        <v>0</v>
      </c>
      <c r="G220" s="781"/>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08">
        <v>373</v>
      </c>
      <c r="B221" s="4" t="s">
        <v>56</v>
      </c>
      <c r="C221" s="4" t="s">
        <v>173</v>
      </c>
      <c r="D221" s="29" t="s">
        <v>172</v>
      </c>
      <c r="E221" s="710" t="e">
        <f>HLOOKUP($D$2,'2020 Data(H)'!$C$1:$CZ$432,133,FALSE)</f>
        <v>#N/A</v>
      </c>
      <c r="F221" s="306">
        <v>0</v>
      </c>
      <c r="G221" s="771">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08">
        <v>987</v>
      </c>
      <c r="B222" s="870" t="s">
        <v>1055</v>
      </c>
      <c r="C222" s="870"/>
      <c r="D222" s="799" t="s">
        <v>1332</v>
      </c>
      <c r="E222" s="710" t="s">
        <v>1056</v>
      </c>
      <c r="F222" s="306">
        <v>0</v>
      </c>
      <c r="G222" s="800" t="str">
        <f>IF(F222="","If this question is not applicable please place a zero in the cell to the left","")</f>
        <v/>
      </c>
      <c r="H222" s="750"/>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70" t="s">
        <v>1055</v>
      </c>
      <c r="C223" s="870"/>
      <c r="D223" s="799" t="s">
        <v>1329</v>
      </c>
      <c r="E223" s="710" t="s">
        <v>1056</v>
      </c>
      <c r="F223" s="306"/>
      <c r="G223" s="771"/>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70" t="s">
        <v>1055</v>
      </c>
      <c r="C224" s="870"/>
      <c r="D224" s="799" t="s">
        <v>1596</v>
      </c>
      <c r="E224" s="710" t="s">
        <v>1089</v>
      </c>
      <c r="F224" s="306"/>
      <c r="G224" s="771"/>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08"/>
      <c r="B225" s="918"/>
      <c r="C225" s="918"/>
      <c r="D225" s="919"/>
      <c r="E225" s="920"/>
      <c r="F225" s="921"/>
      <c r="G225" s="922"/>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08"/>
      <c r="B226" s="600"/>
      <c r="C226" s="600"/>
      <c r="D226" s="801" t="s">
        <v>1542</v>
      </c>
      <c r="E226" s="1"/>
      <c r="F226" s="387"/>
      <c r="G226" s="781"/>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08"/>
      <c r="B227" s="600"/>
      <c r="C227" s="600"/>
      <c r="D227" s="24" t="s">
        <v>1543</v>
      </c>
      <c r="E227" s="1"/>
      <c r="F227" s="387"/>
      <c r="G227" s="781"/>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08">
        <v>327</v>
      </c>
      <c r="B228" s="712" t="s">
        <v>37</v>
      </c>
      <c r="C228" s="712" t="s">
        <v>174</v>
      </c>
      <c r="D228" s="802" t="s">
        <v>1544</v>
      </c>
      <c r="E228" s="710" t="e">
        <f>HLOOKUP($D$2,'2020 Data(H)'!$C$1:$CZ$432,94,FALSE)</f>
        <v>#N/A</v>
      </c>
      <c r="F228" s="278">
        <v>0</v>
      </c>
      <c r="G228" s="781"/>
      <c r="H228" s="17"/>
      <c r="I228" s="773"/>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08">
        <v>328</v>
      </c>
      <c r="B229" s="712" t="s">
        <v>37</v>
      </c>
      <c r="C229" s="712" t="s">
        <v>174</v>
      </c>
      <c r="D229" s="30" t="s">
        <v>7</v>
      </c>
      <c r="E229" s="710" t="e">
        <f>HLOOKUP($D$2,'2020 Data(H)'!$C$1:$CZ$432,95,FALSE)</f>
        <v>#N/A</v>
      </c>
      <c r="F229" s="278">
        <v>0</v>
      </c>
      <c r="G229" s="781"/>
      <c r="H229" s="17"/>
      <c r="I229" s="773"/>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08"/>
      <c r="B230" s="600"/>
      <c r="C230" s="600"/>
      <c r="D230" s="31" t="s">
        <v>1545</v>
      </c>
      <c r="E230" s="101" t="e">
        <f>SUM(E228:E229)</f>
        <v>#N/A</v>
      </c>
      <c r="F230" s="101">
        <f>SUM(F228:F229)</f>
        <v>0</v>
      </c>
      <c r="G230" s="781"/>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08"/>
      <c r="B231" s="600"/>
      <c r="C231" s="600"/>
      <c r="D231" s="24" t="s">
        <v>1546</v>
      </c>
      <c r="E231" s="1"/>
      <c r="F231" s="387"/>
      <c r="G231" s="781"/>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08"/>
      <c r="B232" s="600"/>
      <c r="C232" s="600"/>
      <c r="D232" s="28" t="s">
        <v>9</v>
      </c>
      <c r="F232" s="803"/>
      <c r="G232" s="781"/>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08">
        <v>515</v>
      </c>
      <c r="B233" s="712" t="s">
        <v>526</v>
      </c>
      <c r="C233" s="712" t="s">
        <v>175</v>
      </c>
      <c r="D233" s="32" t="s">
        <v>3</v>
      </c>
      <c r="E233" s="710" t="e">
        <f>HLOOKUP($D$2,'2020 Data(H)'!$C$1:$CZ$432,165,FALSE)</f>
        <v>#N/A</v>
      </c>
      <c r="F233" s="306">
        <v>0</v>
      </c>
      <c r="G233" s="771"/>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08">
        <v>516</v>
      </c>
      <c r="B234" s="712" t="s">
        <v>526</v>
      </c>
      <c r="C234" s="712" t="s">
        <v>175</v>
      </c>
      <c r="D234" s="32" t="s">
        <v>4</v>
      </c>
      <c r="E234" s="710" t="e">
        <f>HLOOKUP($D$2,'2020 Data(H)'!$C$1:$CZ$432,166,FALSE)</f>
        <v>#N/A</v>
      </c>
      <c r="F234" s="306">
        <v>0</v>
      </c>
      <c r="G234" s="771"/>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08">
        <v>517</v>
      </c>
      <c r="B235" s="712" t="s">
        <v>526</v>
      </c>
      <c r="C235" s="712" t="s">
        <v>175</v>
      </c>
      <c r="D235" s="32" t="s">
        <v>5</v>
      </c>
      <c r="E235" s="710" t="e">
        <f>HLOOKUP($D$2,'2020 Data(H)'!$C$1:$CZ$432,167,FALSE)</f>
        <v>#N/A</v>
      </c>
      <c r="F235" s="306">
        <v>0</v>
      </c>
      <c r="G235" s="771"/>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08">
        <v>518</v>
      </c>
      <c r="B236" s="712" t="s">
        <v>526</v>
      </c>
      <c r="C236" s="712" t="s">
        <v>175</v>
      </c>
      <c r="D236" s="32" t="s">
        <v>39</v>
      </c>
      <c r="E236" s="710" t="e">
        <f>HLOOKUP($D$2,'2020 Data(H)'!$C$1:$CZ$432,168,FALSE)</f>
        <v>#N/A</v>
      </c>
      <c r="F236" s="306">
        <v>0</v>
      </c>
      <c r="G236" s="771"/>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310"/>
      <c r="B237" s="600"/>
      <c r="C237" s="600"/>
      <c r="D237" s="804" t="s">
        <v>1547</v>
      </c>
      <c r="E237" s="101" t="e">
        <f>SUM(E233:E236)</f>
        <v>#N/A</v>
      </c>
      <c r="F237" s="101">
        <f>SUM(F233:F236)</f>
        <v>0</v>
      </c>
      <c r="G237" s="781"/>
      <c r="H237" s="17"/>
      <c r="I237" s="79"/>
      <c r="Z237" s="310"/>
      <c r="AA237" s="310"/>
      <c r="AB237" s="310"/>
      <c r="AC237" s="310"/>
      <c r="AD237" s="310"/>
      <c r="AE237" s="310"/>
      <c r="AF237" s="310"/>
      <c r="AG237" s="310"/>
      <c r="AH237" s="310"/>
      <c r="AI237" s="310"/>
      <c r="AJ237" s="310"/>
      <c r="AK237" s="310"/>
      <c r="AL237" s="310"/>
      <c r="AM237" s="310"/>
      <c r="AN237" s="310"/>
      <c r="AO237" s="310"/>
      <c r="AP237" s="310"/>
      <c r="AQ237" s="310"/>
      <c r="AR237" s="310"/>
    </row>
    <row r="238" spans="1:44" ht="30.75" hidden="1" customHeight="1" x14ac:dyDescent="0.3">
      <c r="A238" s="108"/>
      <c r="B238" s="600"/>
      <c r="C238" s="600"/>
      <c r="D238" s="28" t="s">
        <v>48</v>
      </c>
      <c r="E238" s="1"/>
      <c r="F238" s="387"/>
      <c r="G238" s="781"/>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08">
        <v>519</v>
      </c>
      <c r="B239" s="712" t="s">
        <v>37</v>
      </c>
      <c r="C239" s="712" t="s">
        <v>176</v>
      </c>
      <c r="D239" s="32" t="s">
        <v>14</v>
      </c>
      <c r="E239" s="710" t="e">
        <f>HLOOKUP($D$2,'2020 Data(H)'!$C$1:$CZ$432,169,FALSE)</f>
        <v>#N/A</v>
      </c>
      <c r="F239" s="306">
        <v>0</v>
      </c>
      <c r="G239" s="771">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08">
        <v>520</v>
      </c>
      <c r="B240" s="712" t="s">
        <v>37</v>
      </c>
      <c r="C240" s="712" t="s">
        <v>176</v>
      </c>
      <c r="D240" s="32" t="s">
        <v>16</v>
      </c>
      <c r="E240" s="710" t="e">
        <f>HLOOKUP($D$2,'2020 Data(H)'!$C$1:$CZ$432,170,FALSE)</f>
        <v>#N/A</v>
      </c>
      <c r="F240" s="306">
        <v>0</v>
      </c>
      <c r="G240" s="771">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08">
        <v>521</v>
      </c>
      <c r="B241" s="712" t="s">
        <v>37</v>
      </c>
      <c r="C241" s="712" t="s">
        <v>176</v>
      </c>
      <c r="D241" s="32" t="s">
        <v>18</v>
      </c>
      <c r="E241" s="710" t="e">
        <f>HLOOKUP($D$2,'2020 Data(H)'!$C$1:$CZ$432,171,FALSE)</f>
        <v>#N/A</v>
      </c>
      <c r="F241" s="306">
        <v>0</v>
      </c>
      <c r="G241" s="771">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08">
        <v>522</v>
      </c>
      <c r="B242" s="712" t="s">
        <v>37</v>
      </c>
      <c r="C242" s="712" t="s">
        <v>176</v>
      </c>
      <c r="D242" s="32" t="s">
        <v>40</v>
      </c>
      <c r="E242" s="710" t="e">
        <f>HLOOKUP($D$2,'2020 Data(H)'!$C$1:$CZ$432,172,FALSE)</f>
        <v>#N/A</v>
      </c>
      <c r="F242" s="306">
        <v>0</v>
      </c>
      <c r="G242" s="771">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6"/>
      <c r="B243" s="600"/>
      <c r="C243" s="600"/>
      <c r="D243" s="805"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6"/>
      <c r="B244" s="600"/>
      <c r="C244" s="600"/>
      <c r="D244" s="28" t="s">
        <v>32</v>
      </c>
      <c r="E244" s="6"/>
      <c r="F244" s="806"/>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08">
        <v>523</v>
      </c>
      <c r="B245" s="712" t="s">
        <v>526</v>
      </c>
      <c r="C245" s="712" t="s">
        <v>177</v>
      </c>
      <c r="D245" s="32" t="s">
        <v>15</v>
      </c>
      <c r="E245" s="710" t="e">
        <f>HLOOKUP($D$2,'2020 Data(H)'!$C$1:$CZ$432,173,FALSE)</f>
        <v>#N/A</v>
      </c>
      <c r="F245" s="306">
        <v>0</v>
      </c>
      <c r="G245" s="771">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08">
        <v>524</v>
      </c>
      <c r="B246" s="712" t="s">
        <v>526</v>
      </c>
      <c r="C246" s="712" t="s">
        <v>177</v>
      </c>
      <c r="D246" s="32" t="s">
        <v>17</v>
      </c>
      <c r="E246" s="710" t="e">
        <f>HLOOKUP($D$2,'2020 Data(H)'!$C$1:$CZ$432,174,FALSE)</f>
        <v>#N/A</v>
      </c>
      <c r="F246" s="306">
        <v>0</v>
      </c>
      <c r="G246" s="771">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08">
        <v>525</v>
      </c>
      <c r="B247" s="712" t="s">
        <v>526</v>
      </c>
      <c r="C247" s="712" t="s">
        <v>177</v>
      </c>
      <c r="D247" s="32" t="s">
        <v>19</v>
      </c>
      <c r="E247" s="710" t="e">
        <f>HLOOKUP($D$2,'2020 Data(H)'!$C$1:$CZ$432,175,FALSE)</f>
        <v>#N/A</v>
      </c>
      <c r="F247" s="306">
        <v>0</v>
      </c>
      <c r="G247" s="771">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08">
        <v>526</v>
      </c>
      <c r="B248" s="712" t="s">
        <v>526</v>
      </c>
      <c r="C248" s="712" t="s">
        <v>177</v>
      </c>
      <c r="D248" s="32" t="s">
        <v>41</v>
      </c>
      <c r="E248" s="710" t="e">
        <f>HLOOKUP($D$2,'2020 Data(H)'!$C$1:$CZ$432,176,FALSE)</f>
        <v>#N/A</v>
      </c>
      <c r="F248" s="306">
        <v>0</v>
      </c>
      <c r="G248" s="771">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08"/>
      <c r="B249" s="872"/>
      <c r="C249" s="872"/>
      <c r="D249" s="805" t="s">
        <v>33</v>
      </c>
      <c r="E249" s="101" t="e">
        <f>SUM(E245:E248)</f>
        <v>#N/A</v>
      </c>
      <c r="F249" s="101">
        <f>SUM(F245:F248)</f>
        <v>0</v>
      </c>
      <c r="G249" s="781"/>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08"/>
      <c r="B250" s="872"/>
      <c r="C250" s="872"/>
      <c r="D250" s="807" t="s">
        <v>35</v>
      </c>
      <c r="E250" s="101" t="e">
        <f>E230+E237-E249</f>
        <v>#N/A</v>
      </c>
      <c r="F250" s="101">
        <f>F230+F237-F249</f>
        <v>0</v>
      </c>
      <c r="G250" s="781"/>
      <c r="H250" s="17"/>
      <c r="I250" s="79"/>
      <c r="J250" s="616"/>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08"/>
      <c r="B251" s="600"/>
      <c r="C251" s="600"/>
      <c r="D251" s="798"/>
      <c r="E251" s="1"/>
      <c r="F251" s="387"/>
      <c r="G251" s="781"/>
      <c r="H251" s="17"/>
      <c r="I251" s="79"/>
      <c r="J251" s="616"/>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08"/>
      <c r="B252" s="918"/>
      <c r="C252" s="918"/>
      <c r="D252" s="909" t="s">
        <v>8</v>
      </c>
      <c r="E252" s="920"/>
      <c r="F252" s="921"/>
      <c r="G252" s="922"/>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08">
        <v>527</v>
      </c>
      <c r="B253" s="712" t="s">
        <v>58</v>
      </c>
      <c r="C253" s="712" t="s">
        <v>178</v>
      </c>
      <c r="D253" s="29" t="s">
        <v>1548</v>
      </c>
      <c r="E253" s="710" t="e">
        <f>HLOOKUP($D$2,'2020 Data(H)'!$C$1:$CZ$432,177,FALSE)</f>
        <v>#N/A</v>
      </c>
      <c r="F253" s="306">
        <v>0</v>
      </c>
      <c r="G253" s="781"/>
      <c r="H253" s="17"/>
      <c r="I253" s="773"/>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08">
        <v>356</v>
      </c>
      <c r="B254" s="712" t="s">
        <v>66</v>
      </c>
      <c r="C254" s="712" t="s">
        <v>178</v>
      </c>
      <c r="D254" s="107" t="s">
        <v>20</v>
      </c>
      <c r="E254" s="710" t="e">
        <f>HLOOKUP($D$2,'2020 Data(H)'!$C$1:$CZ$432,118,FALSE)</f>
        <v>#N/A</v>
      </c>
      <c r="F254" s="306">
        <v>0</v>
      </c>
      <c r="G254" s="781"/>
      <c r="H254" s="17"/>
      <c r="I254" s="773"/>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08">
        <v>357</v>
      </c>
      <c r="B255" s="712" t="s">
        <v>56</v>
      </c>
      <c r="C255" s="712" t="s">
        <v>179</v>
      </c>
      <c r="D255" s="107" t="s">
        <v>21</v>
      </c>
      <c r="E255" s="710" t="e">
        <f>HLOOKUP($D$2,'2020 Data(H)'!$C$1:$CZ$432,119,FALSE)</f>
        <v>#N/A</v>
      </c>
      <c r="F255" s="306">
        <v>0</v>
      </c>
      <c r="G255" s="771">
        <f>IF(F255&lt;0,"Error: Enter as positive.",)</f>
        <v>0</v>
      </c>
      <c r="H255" s="17"/>
      <c r="I255" s="773"/>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08"/>
      <c r="B256" s="907" t="s">
        <v>10</v>
      </c>
      <c r="C256" s="908"/>
      <c r="D256" s="883"/>
      <c r="E256" s="884"/>
      <c r="F256" s="923"/>
      <c r="G256" s="904"/>
      <c r="H256" s="17"/>
      <c r="I256" s="79"/>
      <c r="N256" s="308"/>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08">
        <v>337</v>
      </c>
      <c r="B257" s="4" t="s">
        <v>56</v>
      </c>
      <c r="C257" s="4" t="s">
        <v>1549</v>
      </c>
      <c r="D257" s="24" t="s">
        <v>1334</v>
      </c>
      <c r="E257" s="710" t="e">
        <f>HLOOKUP($D$2,'2020 Data(H)'!$C$1:$CZ$432,103,FALSE)</f>
        <v>#N/A</v>
      </c>
      <c r="F257" s="306">
        <v>0</v>
      </c>
      <c r="G257" s="771">
        <f>IF(F257&lt;0,"Error: Enter as positive.",)</f>
        <v>0</v>
      </c>
      <c r="H257" s="17"/>
      <c r="I257" s="79"/>
      <c r="N257" s="308"/>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08">
        <v>343</v>
      </c>
      <c r="B258" s="4" t="s">
        <v>56</v>
      </c>
      <c r="C258" s="4" t="s">
        <v>656</v>
      </c>
      <c r="D258" s="29" t="s">
        <v>1550</v>
      </c>
      <c r="E258" s="710" t="e">
        <f>HLOOKUP($D$2,'2020 Data(H)'!$C$1:$CZ$432,109,FALSE)</f>
        <v>#N/A</v>
      </c>
      <c r="F258" s="306">
        <v>0</v>
      </c>
      <c r="G258" s="771">
        <f>IF(F258&lt;0,"Error: Enter as positive.",)</f>
        <v>0</v>
      </c>
      <c r="H258" s="17"/>
      <c r="I258" s="79"/>
      <c r="M258" s="98"/>
      <c r="N258" s="308"/>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08">
        <v>82</v>
      </c>
      <c r="B259" s="4" t="s">
        <v>61</v>
      </c>
      <c r="C259" s="4" t="s">
        <v>1551</v>
      </c>
      <c r="D259" s="24" t="s">
        <v>861</v>
      </c>
      <c r="E259" s="710" t="e">
        <f>HLOOKUP($D$2,'2020 Data(H)'!$C$1:$CZ$432,46,FALSE)</f>
        <v>#N/A</v>
      </c>
      <c r="F259" s="306">
        <v>0</v>
      </c>
      <c r="G259" s="771">
        <f>IF(F259&lt;0,"Error: Enter as positive.",)</f>
        <v>0</v>
      </c>
      <c r="H259" s="17"/>
      <c r="I259" s="808"/>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08">
        <v>359</v>
      </c>
      <c r="B260" s="4" t="s">
        <v>56</v>
      </c>
      <c r="C260" s="4" t="s">
        <v>1552</v>
      </c>
      <c r="D260" s="24" t="s">
        <v>861</v>
      </c>
      <c r="E260" s="710" t="e">
        <f>HLOOKUP($D$2,'2020 Data(H)'!$C$1:$CZ$432,120,FALSE)</f>
        <v>#N/A</v>
      </c>
      <c r="F260" s="306">
        <v>0</v>
      </c>
      <c r="G260" s="771">
        <f>IF(F260&lt;0,"Error: Enter as positive.",)</f>
        <v>0</v>
      </c>
      <c r="H260" s="17"/>
      <c r="I260" s="808"/>
      <c r="J260" s="616"/>
      <c r="L260" s="809"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811" customFormat="1" ht="33" customHeight="1" x14ac:dyDescent="0.3">
      <c r="A261" s="108"/>
      <c r="B261" s="868" t="s">
        <v>690</v>
      </c>
      <c r="C261" s="869"/>
      <c r="D261" s="96"/>
      <c r="E261" s="810"/>
      <c r="F261" s="796"/>
      <c r="G261" s="770"/>
      <c r="H261" s="17"/>
      <c r="I261" s="808"/>
      <c r="J261" s="18"/>
      <c r="K261" s="18"/>
      <c r="L261" s="18"/>
      <c r="M261" s="18"/>
      <c r="N261" s="308"/>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811" customFormat="1" ht="110.25" customHeight="1" x14ac:dyDescent="0.3">
      <c r="A262" s="124">
        <v>622</v>
      </c>
      <c r="B262" s="812" t="s">
        <v>606</v>
      </c>
      <c r="C262" s="124" t="s">
        <v>689</v>
      </c>
      <c r="D262" s="124" t="s">
        <v>1445</v>
      </c>
      <c r="E262" s="710" t="e">
        <f>HLOOKUP($D$2,'2020 Data(H)'!$C$1:$CZ$432,282,FALSE)</f>
        <v>#N/A</v>
      </c>
      <c r="F262" s="306">
        <v>0</v>
      </c>
      <c r="G262" s="771"/>
      <c r="H262" s="17"/>
      <c r="I262" s="808"/>
      <c r="J262" s="18"/>
      <c r="K262" s="18"/>
      <c r="L262" s="18"/>
      <c r="M262" s="18"/>
      <c r="N262" s="308"/>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811" customFormat="1" ht="225" customHeight="1" x14ac:dyDescent="0.3">
      <c r="A263" s="108">
        <v>577</v>
      </c>
      <c r="B263" s="712"/>
      <c r="C263" s="712" t="s">
        <v>543</v>
      </c>
      <c r="D263" s="363" t="s">
        <v>653</v>
      </c>
      <c r="E263" s="1116"/>
      <c r="F263" s="306"/>
      <c r="G263" s="1117" t="str">
        <f>IF(F263="Yes","In this cell - Please include the name of the plan, a brief description of the benefit and the population group that received the benefits."," ")</f>
        <v xml:space="preserve"> </v>
      </c>
      <c r="H263" s="17"/>
      <c r="I263" s="808"/>
      <c r="J263" s="616"/>
      <c r="K263" s="18"/>
      <c r="L263" s="18"/>
      <c r="M263" s="18"/>
      <c r="N263" s="308"/>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811" customFormat="1" ht="30.75" hidden="1" customHeight="1" x14ac:dyDescent="0.3">
      <c r="A264" s="108"/>
      <c r="B264" s="868" t="s">
        <v>528</v>
      </c>
      <c r="C264" s="869"/>
      <c r="D264" s="96"/>
      <c r="E264" s="810"/>
      <c r="F264" s="813"/>
      <c r="G264" s="770"/>
      <c r="H264" s="17"/>
      <c r="I264" s="79"/>
      <c r="J264" s="18"/>
      <c r="K264" s="18"/>
      <c r="L264" s="18"/>
      <c r="M264" s="18"/>
      <c r="N264" s="308"/>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811" customFormat="1" ht="81.75" hidden="1" customHeight="1" x14ac:dyDescent="0.3">
      <c r="A265" s="108">
        <v>598</v>
      </c>
      <c r="B265" s="712" t="s">
        <v>59</v>
      </c>
      <c r="C265" s="712" t="s">
        <v>529</v>
      </c>
      <c r="D265" s="749" t="s">
        <v>657</v>
      </c>
      <c r="E265" s="710" t="e">
        <f>HLOOKUP($D$2,'2020 Data(H)'!$C$1:$CZ$432,258,FALSE)</f>
        <v>#N/A</v>
      </c>
      <c r="F265" s="306">
        <v>0</v>
      </c>
      <c r="G265" s="771">
        <f>IF(F265&lt;0,"Error: Enter as positive.",)</f>
        <v>0</v>
      </c>
      <c r="H265" s="771"/>
      <c r="I265" s="808"/>
      <c r="J265" s="616"/>
      <c r="K265" s="18"/>
      <c r="L265" s="18"/>
      <c r="M265" s="18"/>
      <c r="N265" s="308"/>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811" customFormat="1" ht="53.25" hidden="1" customHeight="1" x14ac:dyDescent="0.3">
      <c r="A266" s="108">
        <v>599</v>
      </c>
      <c r="B266" s="712" t="s">
        <v>59</v>
      </c>
      <c r="C266" s="712" t="s">
        <v>529</v>
      </c>
      <c r="D266" s="29" t="s">
        <v>658</v>
      </c>
      <c r="E266" s="710" t="e">
        <f>HLOOKUP($D$2,'2020 Data(H)'!$C$1:$CZ$432,259,FALSE)</f>
        <v>#N/A</v>
      </c>
      <c r="F266" s="306">
        <v>0</v>
      </c>
      <c r="G266" s="815" t="str">
        <f>IF(ISBLANK(F266),"Please do not leave blank","")</f>
        <v/>
      </c>
      <c r="H266" s="771">
        <f>IF(F266&lt;0,"Error: Enter as positive.",)</f>
        <v>0</v>
      </c>
      <c r="I266" s="79"/>
      <c r="J266" s="809"/>
      <c r="K266" s="18"/>
      <c r="L266" s="18"/>
      <c r="M266" s="18"/>
      <c r="N266" s="308"/>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811" customFormat="1" ht="78.75" hidden="1" customHeight="1" x14ac:dyDescent="0.3">
      <c r="A267" s="108">
        <v>602</v>
      </c>
      <c r="B267" s="712" t="s">
        <v>59</v>
      </c>
      <c r="C267" s="712" t="s">
        <v>529</v>
      </c>
      <c r="D267" s="107" t="s">
        <v>662</v>
      </c>
      <c r="E267" s="710" t="e">
        <f>HLOOKUP($D$2,'2020 Data(H)'!$C$1:$CZ$432,262,FALSE)</f>
        <v>#N/A</v>
      </c>
      <c r="F267" s="306">
        <v>0</v>
      </c>
      <c r="G267" s="815" t="str">
        <f>IF(ISBLANK(F267),"Please do not leave blank","")</f>
        <v/>
      </c>
      <c r="H267" s="771">
        <f>IF(F267&lt;0,"Note: Number is normally positive.",)</f>
        <v>0</v>
      </c>
      <c r="I267" s="79"/>
      <c r="J267" s="616"/>
      <c r="K267" s="18"/>
      <c r="L267" s="18"/>
      <c r="M267" s="18"/>
      <c r="N267" s="308"/>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811" customFormat="1" ht="90" hidden="1" customHeight="1" x14ac:dyDescent="0.3">
      <c r="A268" s="108">
        <v>619</v>
      </c>
      <c r="B268" s="712" t="s">
        <v>59</v>
      </c>
      <c r="C268" s="712" t="s">
        <v>677</v>
      </c>
      <c r="D268" s="94" t="s">
        <v>686</v>
      </c>
      <c r="E268" s="35" t="e">
        <f>HLOOKUP($D$2,'2020 Data(H)'!$C$1:$CZ$432,279,FALSE)</f>
        <v>#N/A</v>
      </c>
      <c r="F268" s="942">
        <v>0</v>
      </c>
      <c r="G268" s="815" t="str">
        <f>IF(ISBLANK(F268),"Please do not leave blank ",IF(F268=H268,"","Please review percentage"))</f>
        <v/>
      </c>
      <c r="H268" s="816">
        <f>ROUND(IFERROR((F267/F266)*100,0),1)</f>
        <v>0</v>
      </c>
      <c r="I268" s="308"/>
      <c r="J268" s="18"/>
      <c r="K268" s="18"/>
      <c r="L268" s="18"/>
      <c r="M268" s="18"/>
      <c r="N268" s="308"/>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907" t="s">
        <v>25</v>
      </c>
      <c r="C269" s="908"/>
      <c r="D269" s="910"/>
      <c r="E269" s="924"/>
      <c r="F269" s="925"/>
      <c r="G269" s="892"/>
      <c r="H269" s="17"/>
      <c r="I269" s="79"/>
      <c r="J269" s="616"/>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606</v>
      </c>
      <c r="C270" s="124" t="s">
        <v>691</v>
      </c>
      <c r="D270" s="124" t="s">
        <v>1446</v>
      </c>
      <c r="E270" s="710" t="e">
        <f>HLOOKUP($D$2,'2020 Data(H)'!$C$1:$CZ$432,281,FALSE)</f>
        <v>#N/A</v>
      </c>
      <c r="F270" s="306">
        <v>0</v>
      </c>
      <c r="G270" s="815" t="s">
        <v>1447</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712"/>
      <c r="C271" s="712" t="s">
        <v>167</v>
      </c>
      <c r="D271" s="709" t="s">
        <v>532</v>
      </c>
      <c r="E271" s="710" t="e">
        <f>HLOOKUP($D$2,'2020 Data(H)'!$C$1:$CZ$432,197,FALSE)</f>
        <v>#N/A</v>
      </c>
      <c r="F271" s="779"/>
      <c r="G271" s="814" t="str">
        <f>IF(F271&lt;1,"Please answer this question","")</f>
        <v>Please answer this question</v>
      </c>
      <c r="H271" s="772"/>
      <c r="I271" s="773"/>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19">
        <v>659</v>
      </c>
      <c r="B272" s="866" t="s">
        <v>59</v>
      </c>
      <c r="C272" s="866" t="s">
        <v>672</v>
      </c>
      <c r="D272" s="322" t="s">
        <v>1448</v>
      </c>
      <c r="E272" s="710" t="e">
        <f>HLOOKUP($D$2,'2020 Data(H)'!$C$1:$CZ$432,312,FALSE)</f>
        <v>#N/A</v>
      </c>
      <c r="F272" s="307">
        <v>0</v>
      </c>
      <c r="G272" s="815" t="s">
        <v>1449</v>
      </c>
      <c r="H272" s="771">
        <f>IF(F269&lt;0,"Error: Enter as positive.",)</f>
        <v>0</v>
      </c>
      <c r="I272" s="385"/>
      <c r="N272" s="308"/>
      <c r="Z272" s="319"/>
      <c r="AA272" s="319"/>
      <c r="AB272" s="319"/>
      <c r="AC272" s="319"/>
      <c r="AD272" s="319"/>
      <c r="AE272" s="319"/>
      <c r="AF272" s="319"/>
      <c r="AG272" s="319"/>
      <c r="AH272" s="319"/>
      <c r="AI272" s="319"/>
      <c r="AJ272" s="319"/>
      <c r="AK272" s="319"/>
      <c r="AL272" s="319"/>
      <c r="AM272" s="319"/>
      <c r="AN272" s="319"/>
      <c r="AO272" s="319"/>
      <c r="AP272" s="319"/>
      <c r="AQ272" s="319"/>
      <c r="AR272" s="319"/>
    </row>
    <row r="273" spans="1:44" ht="65.25" customHeight="1" x14ac:dyDescent="0.3">
      <c r="A273" s="319">
        <v>660</v>
      </c>
      <c r="B273" s="866" t="s">
        <v>59</v>
      </c>
      <c r="C273" s="866" t="s">
        <v>672</v>
      </c>
      <c r="D273" s="322" t="s">
        <v>1450</v>
      </c>
      <c r="E273" s="710" t="e">
        <f>HLOOKUP($D$2,'2020 Data(H)'!$C$1:$CZ$432,313,FALSE)</f>
        <v>#N/A</v>
      </c>
      <c r="F273" s="307">
        <v>0</v>
      </c>
      <c r="G273" s="815" t="str">
        <f>IF(ISBLANK(F273),"Please do not leave blank","")</f>
        <v/>
      </c>
      <c r="H273" s="771">
        <f>IF(F270&lt;0,"Note: Number is normally positive.",)</f>
        <v>0</v>
      </c>
      <c r="I273" s="17"/>
      <c r="Z273" s="319"/>
      <c r="AA273" s="319"/>
      <c r="AB273" s="319"/>
      <c r="AC273" s="319"/>
      <c r="AD273" s="319"/>
      <c r="AE273" s="319"/>
      <c r="AF273" s="319"/>
      <c r="AG273" s="319"/>
      <c r="AH273" s="319"/>
      <c r="AI273" s="319"/>
      <c r="AJ273" s="319"/>
      <c r="AK273" s="319"/>
      <c r="AL273" s="319"/>
      <c r="AM273" s="319"/>
      <c r="AN273" s="319"/>
      <c r="AO273" s="319"/>
      <c r="AP273" s="319"/>
      <c r="AQ273" s="319"/>
      <c r="AR273" s="319"/>
    </row>
    <row r="274" spans="1:44" ht="94.5" customHeight="1" x14ac:dyDescent="0.3">
      <c r="A274" s="319">
        <v>661</v>
      </c>
      <c r="B274" s="866" t="s">
        <v>59</v>
      </c>
      <c r="C274" s="866" t="s">
        <v>676</v>
      </c>
      <c r="D274" s="677" t="s">
        <v>1451</v>
      </c>
      <c r="E274" s="388" t="e">
        <f>HLOOKUP($D$2,'2020 Data(H)'!$C$1:$CZ$432,314,FALSE)</f>
        <v>#N/A</v>
      </c>
      <c r="F274" s="277">
        <v>0</v>
      </c>
      <c r="G274" s="815" t="str">
        <f>IF(ISBLANK(F274),"Please do not leave blank ",IF(F274=H274,"","Please review percentage"))</f>
        <v/>
      </c>
      <c r="H274" s="816">
        <f>ROUND(IFERROR((F273/F272)*100,0),1)</f>
        <v>0</v>
      </c>
      <c r="I274" s="816"/>
      <c r="Z274" s="319"/>
      <c r="AA274" s="319"/>
      <c r="AB274" s="319"/>
      <c r="AC274" s="319"/>
      <c r="AD274" s="319"/>
      <c r="AE274" s="319"/>
      <c r="AF274" s="319"/>
      <c r="AG274" s="319"/>
      <c r="AH274" s="319"/>
      <c r="AI274" s="319"/>
      <c r="AJ274" s="319"/>
      <c r="AK274" s="319"/>
      <c r="AL274" s="319"/>
      <c r="AM274" s="319"/>
      <c r="AN274" s="319"/>
      <c r="AO274" s="319"/>
      <c r="AP274" s="319"/>
      <c r="AQ274" s="319"/>
      <c r="AR274" s="319"/>
    </row>
    <row r="275" spans="1:44" ht="111.75" customHeight="1" x14ac:dyDescent="0.3">
      <c r="A275" s="108"/>
      <c r="B275" s="712"/>
      <c r="C275" s="712"/>
      <c r="D275" s="27" t="s">
        <v>26</v>
      </c>
      <c r="E275" s="714"/>
      <c r="F275" s="717"/>
      <c r="G275" s="815"/>
      <c r="H275" s="816"/>
      <c r="I275" s="817"/>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08"/>
      <c r="B276" s="907" t="s">
        <v>27</v>
      </c>
      <c r="C276" s="908"/>
      <c r="D276" s="910"/>
      <c r="E276" s="924"/>
      <c r="F276" s="924"/>
      <c r="G276" s="892"/>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33">
        <v>371</v>
      </c>
      <c r="B277" s="4" t="s">
        <v>56</v>
      </c>
      <c r="C277" s="4" t="s">
        <v>168</v>
      </c>
      <c r="D277" s="24" t="s">
        <v>1553</v>
      </c>
      <c r="E277" s="710" t="e">
        <f>HLOOKUP($D$2,'2020 Data(H)'!$C$1:$CZ$432,132,FALSE)</f>
        <v>#N/A</v>
      </c>
      <c r="F277" s="307">
        <v>0</v>
      </c>
      <c r="G277" s="771">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08">
        <v>513</v>
      </c>
      <c r="B278" s="864" t="s">
        <v>58</v>
      </c>
      <c r="C278" s="4" t="s">
        <v>168</v>
      </c>
      <c r="D278" s="24" t="s">
        <v>1554</v>
      </c>
      <c r="E278" s="710" t="e">
        <f>HLOOKUP($D$2,'2020 Data(H)'!$C$1:$CZ$432,163,FALSE)</f>
        <v>#N/A</v>
      </c>
      <c r="F278" s="307">
        <v>0</v>
      </c>
      <c r="G278" s="771">
        <f>IF(F278&lt;0,"Error: Enter as positive.",)</f>
        <v>0</v>
      </c>
      <c r="H278" s="772"/>
      <c r="I278" s="773"/>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08">
        <v>514</v>
      </c>
      <c r="B279" s="864" t="s">
        <v>58</v>
      </c>
      <c r="C279" s="4" t="s">
        <v>168</v>
      </c>
      <c r="D279" s="24" t="s">
        <v>1555</v>
      </c>
      <c r="E279" s="710" t="e">
        <f>HLOOKUP($D$2,'2020 Data(H)'!$C$1:$CZ$432,164,FALSE)</f>
        <v>#N/A</v>
      </c>
      <c r="F279" s="307">
        <v>0</v>
      </c>
      <c r="G279" s="771">
        <f>IF(F279&lt;0,"Error: Enter as positive.",)</f>
        <v>0</v>
      </c>
      <c r="H279" s="17"/>
      <c r="I279" s="773"/>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08">
        <v>990</v>
      </c>
      <c r="B280" s="873" t="s">
        <v>1048</v>
      </c>
      <c r="C280" s="870" t="s">
        <v>168</v>
      </c>
      <c r="D280" s="799" t="s">
        <v>1049</v>
      </c>
      <c r="E280" s="712" t="s">
        <v>1025</v>
      </c>
      <c r="F280" s="307">
        <v>0</v>
      </c>
      <c r="G280" s="771"/>
      <c r="H280" s="17"/>
      <c r="I280" s="773"/>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hidden="1" customHeight="1" x14ac:dyDescent="0.3">
      <c r="A281" s="108"/>
      <c r="B281" s="907" t="s">
        <v>28</v>
      </c>
      <c r="C281" s="908"/>
      <c r="D281" s="910"/>
      <c r="E281" s="924"/>
      <c r="F281" s="892"/>
      <c r="G281" s="892"/>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hidden="1" customHeight="1" x14ac:dyDescent="0.3">
      <c r="A282" s="108">
        <v>6</v>
      </c>
      <c r="B282" s="4" t="s">
        <v>55</v>
      </c>
      <c r="C282" s="4" t="s">
        <v>169</v>
      </c>
      <c r="D282" s="24" t="s">
        <v>1556</v>
      </c>
      <c r="E282" s="710" t="e">
        <f>HLOOKUP($D$2,'2020 Data(H)'!$C$1:$CZ$432,5,FALSE)</f>
        <v>#N/A</v>
      </c>
      <c r="F282" s="307">
        <v>0</v>
      </c>
      <c r="G282" s="771">
        <f>IF(F282&lt;0,"Error: Enter as positive.",)</f>
        <v>0</v>
      </c>
      <c r="H282" s="17"/>
      <c r="I282" s="79"/>
      <c r="J282" s="616"/>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08"/>
      <c r="B283" s="907" t="s">
        <v>180</v>
      </c>
      <c r="C283" s="908"/>
      <c r="D283" s="910"/>
      <c r="E283" s="926"/>
      <c r="F283" s="902"/>
      <c r="G283" s="902"/>
      <c r="H283" s="772"/>
      <c r="I283" s="773"/>
      <c r="J283" s="616"/>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08">
        <v>541</v>
      </c>
      <c r="B284" s="712" t="s">
        <v>59</v>
      </c>
      <c r="C284" s="712" t="s">
        <v>1557</v>
      </c>
      <c r="D284" s="709" t="s">
        <v>1558</v>
      </c>
      <c r="E284" s="710" t="e">
        <f>HLOOKUP($D$2,'2020 Data(H)'!$C$1:$CZ$432,191,FALSE)</f>
        <v>#N/A</v>
      </c>
      <c r="F284" s="307">
        <v>0</v>
      </c>
      <c r="G284" s="771"/>
      <c r="H284" s="772"/>
      <c r="I284" s="773"/>
      <c r="J284" s="616"/>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08"/>
      <c r="B285" s="908" t="s">
        <v>50</v>
      </c>
      <c r="C285" s="908"/>
      <c r="D285" s="910"/>
      <c r="E285" s="926"/>
      <c r="F285" s="922"/>
      <c r="G285" s="922"/>
      <c r="H285" s="772"/>
      <c r="I285" s="773"/>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08">
        <v>542</v>
      </c>
      <c r="B286" s="712" t="s">
        <v>59</v>
      </c>
      <c r="C286" s="874" t="s">
        <v>1559</v>
      </c>
      <c r="D286" s="29" t="s">
        <v>170</v>
      </c>
      <c r="E286" s="710" t="e">
        <f>HLOOKUP($D$2,'2020 Data(H)'!$C$1:$CZ$432,192,FALSE)</f>
        <v>#N/A</v>
      </c>
      <c r="F286" s="307">
        <v>0</v>
      </c>
      <c r="G286" s="771"/>
      <c r="H286" s="772"/>
      <c r="I286" s="818"/>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08"/>
      <c r="B287" s="907" t="s">
        <v>1560</v>
      </c>
      <c r="C287" s="907"/>
      <c r="D287" s="883"/>
      <c r="E287" s="884"/>
      <c r="F287" s="904"/>
      <c r="G287" s="904"/>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08"/>
      <c r="B288" s="927" t="s">
        <v>12</v>
      </c>
      <c r="C288" s="927"/>
      <c r="D288" s="883"/>
      <c r="E288" s="884"/>
      <c r="F288" s="928"/>
      <c r="G288" s="904"/>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34">
        <v>528</v>
      </c>
      <c r="B289" s="712" t="s">
        <v>55</v>
      </c>
      <c r="C289" s="4" t="s">
        <v>171</v>
      </c>
      <c r="D289" s="649" t="s">
        <v>1597</v>
      </c>
      <c r="E289" s="710" t="e">
        <f>HLOOKUP($D$2,'2020 Data(H)'!$C$1:$CZ$432,178,FALSE)</f>
        <v>#N/A</v>
      </c>
      <c r="F289" s="307">
        <v>0</v>
      </c>
      <c r="G289" s="771">
        <f>IF(F289="","Error: Unit must enter this information if they levy taxes.",)</f>
        <v>0</v>
      </c>
      <c r="H289" s="819"/>
      <c r="I289" s="79"/>
      <c r="J289" s="820"/>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34">
        <v>529</v>
      </c>
      <c r="B290" s="712" t="s">
        <v>55</v>
      </c>
      <c r="C290" s="4" t="s">
        <v>171</v>
      </c>
      <c r="D290" s="649" t="s">
        <v>1561</v>
      </c>
      <c r="E290" s="710" t="e">
        <f>HLOOKUP($D$2,'2020 Data(H)'!$C$1:$CZ$432,179,FALSE)</f>
        <v>#N/A</v>
      </c>
      <c r="F290" s="307">
        <v>0</v>
      </c>
      <c r="G290" s="771">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34">
        <v>530</v>
      </c>
      <c r="B291" s="712" t="s">
        <v>55</v>
      </c>
      <c r="C291" s="4" t="s">
        <v>171</v>
      </c>
      <c r="D291" s="875" t="s">
        <v>1562</v>
      </c>
      <c r="E291" s="710" t="e">
        <f>HLOOKUP($D$2,'2020 Data(H)'!$C$1:$CZ$432,180,FALSE)</f>
        <v>#N/A</v>
      </c>
      <c r="F291" s="307">
        <v>0</v>
      </c>
      <c r="G291" s="771">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34">
        <v>531</v>
      </c>
      <c r="B292" s="712" t="s">
        <v>55</v>
      </c>
      <c r="C292" s="4" t="s">
        <v>171</v>
      </c>
      <c r="D292" s="875" t="s">
        <v>1563</v>
      </c>
      <c r="E292" s="710" t="e">
        <f>HLOOKUP($D$2,'2020 Data(H)'!$C$1:$CZ$432,181,FALSE)</f>
        <v>#N/A</v>
      </c>
      <c r="F292" s="307">
        <v>0</v>
      </c>
      <c r="G292" s="771">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08">
        <v>61</v>
      </c>
      <c r="B293" s="4" t="s">
        <v>59</v>
      </c>
      <c r="C293" s="4" t="s">
        <v>171</v>
      </c>
      <c r="D293" s="29" t="s">
        <v>1564</v>
      </c>
      <c r="E293" s="35" t="e">
        <f>HLOOKUP($D$2,'2020 Data(H)'!$C$1:$CZ$432,43,FALSE)</f>
        <v>#N/A</v>
      </c>
      <c r="F293" s="287">
        <v>0</v>
      </c>
      <c r="G293" s="771" t="e">
        <f>IF(F293=H293," ","Please check values in account 528, 529, 530 and  531.")</f>
        <v>#DIV/0!</v>
      </c>
      <c r="H293" s="821"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08">
        <v>102</v>
      </c>
      <c r="B294" s="4" t="s">
        <v>59</v>
      </c>
      <c r="C294" s="4" t="s">
        <v>171</v>
      </c>
      <c r="D294" s="60" t="s">
        <v>1565</v>
      </c>
      <c r="E294" s="35" t="e">
        <f>HLOOKUP($D$2,'2020 Data(H)'!$C$1:$CZ$432,62,FALSE)</f>
        <v>#N/A</v>
      </c>
      <c r="F294" s="287">
        <v>0</v>
      </c>
      <c r="G294" s="771" t="e">
        <f>IF(F294=H294," ","Please check values in account 528 and 530.")</f>
        <v>#DIV/0!</v>
      </c>
      <c r="H294" s="821"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08">
        <v>103</v>
      </c>
      <c r="B295" s="4" t="s">
        <v>59</v>
      </c>
      <c r="C295" s="4" t="s">
        <v>171</v>
      </c>
      <c r="D295" s="29" t="s">
        <v>1566</v>
      </c>
      <c r="E295" s="35" t="e">
        <f>HLOOKUP($D$2,'2020 Data(H)'!$C$1:$CZ$432,63,FALSE)</f>
        <v>#N/A</v>
      </c>
      <c r="F295" s="287">
        <v>0</v>
      </c>
      <c r="G295" s="771" t="e">
        <f>IF(F295=H295," ","Please check values in account 529 and 531.")</f>
        <v>#DIV/0!</v>
      </c>
      <c r="H295" s="821" t="e">
        <f>ROUND((F290-F292)/F290*100,2)</f>
        <v>#DIV/0!</v>
      </c>
      <c r="I295" s="79"/>
      <c r="M295" s="18" t="s">
        <v>1026</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08">
        <v>544</v>
      </c>
      <c r="B296" s="712" t="s">
        <v>59</v>
      </c>
      <c r="C296" s="712" t="s">
        <v>171</v>
      </c>
      <c r="D296" s="24" t="s">
        <v>1567</v>
      </c>
      <c r="E296" s="36" t="e">
        <f>HLOOKUP($D$2,'2020 Data(H)'!$C$1:$CZ$432,194,FALSE)</f>
        <v>#N/A</v>
      </c>
      <c r="F296" s="376">
        <v>0</v>
      </c>
      <c r="G296" s="771"/>
      <c r="H296" s="17"/>
      <c r="I296" s="108"/>
      <c r="J296" s="876"/>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08">
        <v>545</v>
      </c>
      <c r="B297" s="712" t="s">
        <v>59</v>
      </c>
      <c r="C297" s="712" t="s">
        <v>171</v>
      </c>
      <c r="D297" s="24" t="s">
        <v>1568</v>
      </c>
      <c r="E297" s="36"/>
      <c r="F297" s="376">
        <v>0</v>
      </c>
      <c r="G297" s="771"/>
      <c r="H297" s="17"/>
      <c r="I297" s="137"/>
      <c r="J297" s="876"/>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692</v>
      </c>
      <c r="E298" s="36"/>
      <c r="F298" s="276"/>
      <c r="G298" s="814" t="str">
        <f>IF(+F298&lt;1,"Please answer this question","")</f>
        <v>Please answer this question</v>
      </c>
      <c r="H298" s="17"/>
      <c r="I298" s="108"/>
      <c r="J298" s="876"/>
      <c r="M298" s="18" t="s">
        <v>1027</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713">
        <v>648</v>
      </c>
      <c r="B299" s="326" t="s">
        <v>1143</v>
      </c>
      <c r="C299" s="870" t="s">
        <v>171</v>
      </c>
      <c r="D299" s="326" t="s">
        <v>1430</v>
      </c>
      <c r="E299" s="712" t="s">
        <v>1025</v>
      </c>
      <c r="F299" s="376">
        <v>0</v>
      </c>
      <c r="G299" s="814"/>
      <c r="H299" s="17"/>
      <c r="I299" s="108"/>
      <c r="J299" s="876"/>
      <c r="Z299" s="713"/>
      <c r="AA299" s="713"/>
      <c r="AB299" s="713"/>
      <c r="AC299" s="713"/>
      <c r="AD299" s="713"/>
      <c r="AE299" s="713"/>
      <c r="AF299" s="713"/>
      <c r="AG299" s="713"/>
      <c r="AH299" s="713"/>
      <c r="AI299" s="713"/>
      <c r="AJ299" s="713"/>
      <c r="AK299" s="713"/>
      <c r="AL299" s="713"/>
      <c r="AM299" s="713"/>
      <c r="AN299" s="713"/>
      <c r="AO299" s="713"/>
      <c r="AP299" s="713"/>
      <c r="AQ299" s="713"/>
      <c r="AR299" s="713"/>
    </row>
    <row r="300" spans="1:44" ht="171" hidden="1" customHeight="1" x14ac:dyDescent="0.3">
      <c r="A300" s="713">
        <v>991</v>
      </c>
      <c r="B300" s="325" t="s">
        <v>1055</v>
      </c>
      <c r="C300" s="326"/>
      <c r="D300" s="822" t="s">
        <v>1348</v>
      </c>
      <c r="E300" s="712" t="s">
        <v>1025</v>
      </c>
      <c r="F300" s="276"/>
      <c r="G300" s="814"/>
      <c r="H300" s="823" t="s">
        <v>1051</v>
      </c>
      <c r="I300" s="257"/>
      <c r="J300" s="876"/>
      <c r="M300" s="18" t="s">
        <v>1052</v>
      </c>
      <c r="Z300" s="713"/>
      <c r="AA300" s="713"/>
      <c r="AB300" s="713"/>
      <c r="AC300" s="713"/>
      <c r="AD300" s="713"/>
      <c r="AE300" s="713"/>
      <c r="AF300" s="713"/>
      <c r="AG300" s="713"/>
      <c r="AH300" s="713"/>
      <c r="AI300" s="713"/>
      <c r="AJ300" s="713"/>
      <c r="AK300" s="713"/>
      <c r="AL300" s="713"/>
      <c r="AM300" s="713"/>
      <c r="AN300" s="713"/>
      <c r="AO300" s="713"/>
      <c r="AP300" s="713"/>
      <c r="AQ300" s="713"/>
      <c r="AR300" s="713"/>
    </row>
    <row r="301" spans="1:44" ht="27.75" customHeight="1" x14ac:dyDescent="0.3">
      <c r="A301" s="108"/>
      <c r="B301" s="907" t="s">
        <v>680</v>
      </c>
      <c r="C301" s="907"/>
      <c r="D301" s="907"/>
      <c r="E301" s="929"/>
      <c r="F301" s="929"/>
      <c r="G301" s="930"/>
      <c r="H301" s="17"/>
      <c r="I301" s="108"/>
      <c r="J301" s="876"/>
      <c r="M301" s="18" t="s">
        <v>1053</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712" t="s">
        <v>59</v>
      </c>
      <c r="C302" s="712"/>
      <c r="D302" s="24" t="s">
        <v>679</v>
      </c>
      <c r="E302" s="950"/>
      <c r="F302" s="276"/>
      <c r="G302" s="814" t="str">
        <f>IF(F302&lt;1,"Please answer this question","")</f>
        <v>Please answer this question</v>
      </c>
      <c r="H302" s="17"/>
      <c r="I302" s="108"/>
      <c r="J302" s="876"/>
      <c r="M302" s="18" t="s">
        <v>1054</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77"/>
      <c r="B303" s="1172" t="s">
        <v>869</v>
      </c>
      <c r="C303" s="1172"/>
      <c r="D303" s="1172"/>
      <c r="E303" s="943"/>
      <c r="F303" s="943"/>
      <c r="G303" s="943"/>
      <c r="H303" s="17"/>
      <c r="I303" s="108"/>
      <c r="J303" s="876"/>
      <c r="M303" s="18" t="s">
        <v>877</v>
      </c>
      <c r="Z303" s="877"/>
      <c r="AA303" s="877"/>
      <c r="AB303" s="877"/>
      <c r="AC303" s="877"/>
      <c r="AD303" s="877"/>
      <c r="AE303" s="877"/>
      <c r="AF303" s="877"/>
      <c r="AG303" s="877"/>
      <c r="AH303" s="877"/>
      <c r="AI303" s="877"/>
      <c r="AJ303" s="877"/>
      <c r="AK303" s="877"/>
      <c r="AL303" s="877"/>
      <c r="AM303" s="877"/>
      <c r="AN303" s="877"/>
      <c r="AO303" s="877"/>
      <c r="AP303" s="877"/>
      <c r="AQ303" s="877"/>
      <c r="AR303" s="877"/>
    </row>
    <row r="304" spans="1:44" ht="63" customHeight="1" x14ac:dyDescent="0.3">
      <c r="A304" s="319">
        <v>947</v>
      </c>
      <c r="B304" s="878"/>
      <c r="C304" s="878"/>
      <c r="D304" s="174" t="s">
        <v>791</v>
      </c>
      <c r="E304" s="715"/>
      <c r="F304" s="824"/>
      <c r="G304" s="814" t="str">
        <f>IF(ISBLANK(F304),"Please do not leave blank","")</f>
        <v>Please do not leave blank</v>
      </c>
      <c r="H304" s="17"/>
      <c r="I304" s="308"/>
      <c r="J304" s="750"/>
      <c r="K304" s="308"/>
      <c r="L304" s="308"/>
      <c r="M304" s="308"/>
      <c r="O304" s="308"/>
      <c r="Z304" s="319"/>
      <c r="AA304" s="319"/>
      <c r="AB304" s="319"/>
      <c r="AC304" s="319"/>
      <c r="AD304" s="319"/>
      <c r="AE304" s="319"/>
      <c r="AF304" s="319"/>
      <c r="AG304" s="319"/>
      <c r="AH304" s="319"/>
      <c r="AI304" s="319"/>
      <c r="AJ304" s="319"/>
      <c r="AK304" s="319"/>
      <c r="AL304" s="319"/>
      <c r="AM304" s="319"/>
      <c r="AN304" s="319"/>
      <c r="AO304" s="319"/>
      <c r="AP304" s="319"/>
      <c r="AQ304" s="319"/>
      <c r="AR304" s="319"/>
    </row>
    <row r="305" spans="1:44" ht="65.25" customHeight="1" x14ac:dyDescent="0.3">
      <c r="A305" s="319">
        <v>948</v>
      </c>
      <c r="B305" s="878"/>
      <c r="C305" s="878"/>
      <c r="D305" s="174" t="s">
        <v>792</v>
      </c>
      <c r="E305" s="715"/>
      <c r="F305" s="824"/>
      <c r="G305" s="814" t="str">
        <f t="shared" ref="G305:G311" si="3">IF(ISBLANK(F305),"Please do not leave blank","")</f>
        <v>Please do not leave blank</v>
      </c>
      <c r="H305" s="17"/>
      <c r="I305" s="308"/>
      <c r="J305" s="750"/>
      <c r="K305" s="308"/>
      <c r="L305" s="308"/>
      <c r="M305" s="308"/>
      <c r="O305" s="308"/>
      <c r="Z305" s="319"/>
      <c r="AA305" s="319"/>
      <c r="AB305" s="319"/>
      <c r="AC305" s="319"/>
      <c r="AD305" s="319"/>
      <c r="AE305" s="319"/>
      <c r="AF305" s="319"/>
      <c r="AG305" s="319"/>
      <c r="AH305" s="319"/>
      <c r="AI305" s="319"/>
      <c r="AJ305" s="319"/>
      <c r="AK305" s="319"/>
      <c r="AL305" s="319"/>
      <c r="AM305" s="319"/>
      <c r="AN305" s="319"/>
      <c r="AO305" s="319"/>
      <c r="AP305" s="319"/>
      <c r="AQ305" s="319"/>
      <c r="AR305" s="319"/>
    </row>
    <row r="306" spans="1:44" ht="76.5" customHeight="1" x14ac:dyDescent="0.3">
      <c r="A306" s="319">
        <v>949</v>
      </c>
      <c r="B306" s="878"/>
      <c r="C306" s="878"/>
      <c r="D306" s="174" t="s">
        <v>793</v>
      </c>
      <c r="E306" s="715"/>
      <c r="F306" s="824"/>
      <c r="G306" s="814" t="str">
        <f t="shared" si="3"/>
        <v>Please do not leave blank</v>
      </c>
      <c r="H306" s="17"/>
      <c r="I306" s="308"/>
      <c r="J306" s="750"/>
      <c r="K306" s="308"/>
      <c r="L306" s="308"/>
      <c r="M306" s="308"/>
      <c r="O306" s="308"/>
      <c r="Z306" s="319"/>
      <c r="AA306" s="319"/>
      <c r="AB306" s="319"/>
      <c r="AC306" s="319"/>
      <c r="AD306" s="319"/>
      <c r="AE306" s="319"/>
      <c r="AF306" s="319"/>
      <c r="AG306" s="319"/>
      <c r="AH306" s="319"/>
      <c r="AI306" s="319"/>
      <c r="AJ306" s="319"/>
      <c r="AK306" s="319"/>
      <c r="AL306" s="319"/>
      <c r="AM306" s="319"/>
      <c r="AN306" s="319"/>
      <c r="AO306" s="319"/>
      <c r="AP306" s="319"/>
      <c r="AQ306" s="319"/>
      <c r="AR306" s="319"/>
    </row>
    <row r="307" spans="1:44" ht="60" customHeight="1" x14ac:dyDescent="0.3">
      <c r="A307" s="319">
        <v>950</v>
      </c>
      <c r="B307" s="878"/>
      <c r="C307" s="878"/>
      <c r="D307" s="174" t="s">
        <v>775</v>
      </c>
      <c r="E307" s="715"/>
      <c r="F307" s="824"/>
      <c r="G307" s="814" t="str">
        <f t="shared" si="3"/>
        <v>Please do not leave blank</v>
      </c>
      <c r="H307" s="17"/>
      <c r="I307" s="308"/>
      <c r="J307" s="750"/>
      <c r="K307" s="308"/>
      <c r="L307" s="308"/>
      <c r="M307" s="308"/>
      <c r="O307" s="308"/>
      <c r="Z307" s="319"/>
      <c r="AA307" s="319"/>
      <c r="AB307" s="319"/>
      <c r="AC307" s="319"/>
      <c r="AD307" s="319"/>
      <c r="AE307" s="319"/>
      <c r="AF307" s="319"/>
      <c r="AG307" s="319"/>
      <c r="AH307" s="319"/>
      <c r="AI307" s="319"/>
      <c r="AJ307" s="319"/>
      <c r="AK307" s="319"/>
      <c r="AL307" s="319"/>
      <c r="AM307" s="319"/>
      <c r="AN307" s="319"/>
      <c r="AO307" s="319"/>
      <c r="AP307" s="319"/>
      <c r="AQ307" s="319"/>
      <c r="AR307" s="319"/>
    </row>
    <row r="308" spans="1:44" ht="72" x14ac:dyDescent="0.3">
      <c r="A308" s="319">
        <v>952</v>
      </c>
      <c r="B308" s="878"/>
      <c r="C308" s="878"/>
      <c r="D308" s="825" t="s">
        <v>1452</v>
      </c>
      <c r="E308" s="715"/>
      <c r="F308" s="826"/>
      <c r="G308" s="814" t="s">
        <v>1598</v>
      </c>
      <c r="H308" s="17"/>
      <c r="I308" s="827"/>
      <c r="J308" s="750"/>
      <c r="K308" s="308"/>
      <c r="L308" s="308"/>
      <c r="M308" s="308"/>
      <c r="O308" s="308"/>
      <c r="Z308" s="319"/>
      <c r="AA308" s="319"/>
      <c r="AB308" s="319"/>
      <c r="AC308" s="319"/>
      <c r="AD308" s="319"/>
      <c r="AE308" s="319"/>
      <c r="AF308" s="319"/>
      <c r="AG308" s="319"/>
      <c r="AH308" s="319"/>
      <c r="AI308" s="319"/>
      <c r="AJ308" s="319"/>
      <c r="AK308" s="319"/>
      <c r="AL308" s="319"/>
      <c r="AM308" s="319"/>
      <c r="AN308" s="319"/>
      <c r="AO308" s="319"/>
      <c r="AP308" s="319"/>
      <c r="AQ308" s="319"/>
      <c r="AR308" s="319"/>
    </row>
    <row r="309" spans="1:44" ht="93" customHeight="1" x14ac:dyDescent="0.3">
      <c r="A309" s="319">
        <v>954</v>
      </c>
      <c r="B309" s="878"/>
      <c r="C309" s="878"/>
      <c r="D309" s="825" t="s">
        <v>776</v>
      </c>
      <c r="E309" s="715"/>
      <c r="F309" s="824"/>
      <c r="G309" s="814" t="str">
        <f t="shared" si="3"/>
        <v>Please do not leave blank</v>
      </c>
      <c r="H309" s="17"/>
      <c r="I309" s="308"/>
      <c r="J309" s="750"/>
      <c r="K309" s="308"/>
      <c r="L309" s="308"/>
      <c r="M309" s="308"/>
      <c r="O309" s="308"/>
      <c r="Z309" s="319"/>
      <c r="AA309" s="319"/>
      <c r="AB309" s="319"/>
      <c r="AC309" s="319"/>
      <c r="AD309" s="319"/>
      <c r="AE309" s="319"/>
      <c r="AF309" s="319"/>
      <c r="AG309" s="319"/>
      <c r="AH309" s="319"/>
      <c r="AI309" s="319"/>
      <c r="AJ309" s="319"/>
      <c r="AK309" s="319"/>
      <c r="AL309" s="319"/>
      <c r="AM309" s="319"/>
      <c r="AN309" s="319"/>
      <c r="AO309" s="319"/>
      <c r="AP309" s="319"/>
      <c r="AQ309" s="319"/>
      <c r="AR309" s="319"/>
    </row>
    <row r="310" spans="1:44" ht="98.25" customHeight="1" x14ac:dyDescent="0.3">
      <c r="A310" s="319">
        <v>956</v>
      </c>
      <c r="B310" s="878"/>
      <c r="C310" s="878"/>
      <c r="D310" s="825" t="s">
        <v>777</v>
      </c>
      <c r="E310" s="715"/>
      <c r="F310" s="824"/>
      <c r="G310" s="814" t="str">
        <f t="shared" si="3"/>
        <v>Please do not leave blank</v>
      </c>
      <c r="H310" s="17"/>
      <c r="I310" s="308"/>
      <c r="J310" s="312"/>
      <c r="K310" s="308"/>
      <c r="L310" s="308"/>
      <c r="M310" s="308"/>
      <c r="O310" s="308"/>
      <c r="Z310" s="319"/>
      <c r="AA310" s="319"/>
      <c r="AB310" s="319"/>
      <c r="AC310" s="319"/>
      <c r="AD310" s="319"/>
      <c r="AE310" s="319"/>
      <c r="AF310" s="319"/>
      <c r="AG310" s="319"/>
      <c r="AH310" s="319"/>
      <c r="AI310" s="319"/>
      <c r="AJ310" s="319"/>
      <c r="AK310" s="319"/>
      <c r="AL310" s="319"/>
      <c r="AM310" s="319"/>
      <c r="AN310" s="319"/>
      <c r="AO310" s="319"/>
      <c r="AP310" s="319"/>
      <c r="AQ310" s="319"/>
      <c r="AR310" s="319"/>
    </row>
    <row r="311" spans="1:44" ht="218.25" customHeight="1" x14ac:dyDescent="0.3">
      <c r="A311" s="319">
        <v>958</v>
      </c>
      <c r="B311" s="878"/>
      <c r="C311" s="878"/>
      <c r="D311" s="822" t="s">
        <v>1285</v>
      </c>
      <c r="E311" s="715"/>
      <c r="F311" s="824"/>
      <c r="G311" s="814" t="str">
        <f t="shared" si="3"/>
        <v>Please do not leave blank</v>
      </c>
      <c r="H311" s="17"/>
      <c r="I311" s="308"/>
      <c r="J311" s="308"/>
      <c r="K311" s="308"/>
      <c r="L311" s="308"/>
      <c r="M311" s="308"/>
      <c r="O311" s="308"/>
      <c r="Z311" s="319"/>
      <c r="AA311" s="319"/>
      <c r="AB311" s="319"/>
      <c r="AC311" s="319"/>
      <c r="AD311" s="319"/>
      <c r="AE311" s="319"/>
      <c r="AF311" s="319"/>
      <c r="AG311" s="319"/>
      <c r="AH311" s="319"/>
      <c r="AI311" s="319"/>
      <c r="AJ311" s="319"/>
      <c r="AK311" s="319"/>
      <c r="AL311" s="319"/>
      <c r="AM311" s="319"/>
      <c r="AN311" s="319"/>
      <c r="AO311" s="319"/>
      <c r="AP311" s="319"/>
      <c r="AQ311" s="319"/>
      <c r="AR311" s="319"/>
    </row>
    <row r="312" spans="1:44" ht="15" thickBot="1" x14ac:dyDescent="0.35">
      <c r="A312" s="108"/>
      <c r="B312" s="931"/>
      <c r="C312" s="932"/>
      <c r="D312" s="933" t="s">
        <v>779</v>
      </c>
      <c r="E312" s="917"/>
      <c r="F312" s="934"/>
      <c r="G312" s="935"/>
      <c r="H312" s="936"/>
      <c r="I312" s="308"/>
      <c r="J312" s="308"/>
      <c r="K312" s="308"/>
      <c r="L312" s="308"/>
      <c r="M312" s="308"/>
      <c r="O312" s="308"/>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169" t="s">
        <v>870</v>
      </c>
      <c r="C313" s="1170"/>
      <c r="D313" s="1170"/>
      <c r="E313" s="1171"/>
      <c r="F313" s="79"/>
      <c r="G313" s="814"/>
      <c r="H313" s="17"/>
      <c r="I313" s="108"/>
      <c r="Z313" s="18"/>
    </row>
    <row r="314" spans="1:44" ht="75.75" customHeight="1" x14ac:dyDescent="0.3">
      <c r="B314" s="1173" t="s">
        <v>871</v>
      </c>
      <c r="C314" s="1173"/>
      <c r="D314" s="1173"/>
      <c r="E314" s="1173"/>
      <c r="F314" s="79"/>
      <c r="G314" s="814"/>
      <c r="H314" s="17"/>
      <c r="I314" s="108"/>
      <c r="Z314" s="18"/>
    </row>
    <row r="315" spans="1:44" ht="15" thickBot="1" x14ac:dyDescent="0.35">
      <c r="A315" s="828"/>
      <c r="B315" s="829"/>
      <c r="C315" s="829"/>
      <c r="D315" s="830"/>
      <c r="E315" s="710"/>
      <c r="F315" s="79"/>
      <c r="G315" s="814"/>
      <c r="H315" s="17"/>
      <c r="I315" s="108"/>
      <c r="Z315" s="828"/>
      <c r="AA315" s="828"/>
      <c r="AB315" s="828"/>
      <c r="AC315" s="828"/>
      <c r="AD315" s="828"/>
      <c r="AE315" s="828"/>
      <c r="AF315" s="828"/>
      <c r="AG315" s="828"/>
      <c r="AH315" s="828"/>
      <c r="AI315" s="828"/>
      <c r="AJ315" s="828"/>
      <c r="AK315" s="828"/>
      <c r="AL315" s="828"/>
      <c r="AM315" s="828"/>
      <c r="AN315" s="828"/>
      <c r="AO315" s="828"/>
      <c r="AP315" s="828"/>
      <c r="AQ315" s="828"/>
      <c r="AR315" s="828"/>
    </row>
    <row r="316" spans="1:44" ht="15" thickBot="1" x14ac:dyDescent="0.35">
      <c r="B316" s="159" t="s">
        <v>757</v>
      </c>
      <c r="C316" s="160" t="s">
        <v>758</v>
      </c>
      <c r="D316" s="831"/>
      <c r="E316" s="832"/>
      <c r="F316" s="100"/>
      <c r="G316" s="814"/>
      <c r="H316" s="17"/>
      <c r="I316" s="108"/>
      <c r="Z316" s="18"/>
    </row>
    <row r="317" spans="1:44" ht="44.25" customHeight="1" thickBot="1" x14ac:dyDescent="0.35">
      <c r="B317" s="163" t="s">
        <v>797</v>
      </c>
      <c r="C317" s="162"/>
      <c r="D317" s="161"/>
      <c r="E317" s="716"/>
      <c r="F317" s="833"/>
      <c r="G317" s="814"/>
      <c r="H317" s="17"/>
      <c r="I317" s="108"/>
      <c r="Z317" s="18"/>
    </row>
    <row r="318" spans="1:44" ht="44.25" customHeight="1" thickBot="1" x14ac:dyDescent="0.35">
      <c r="B318" s="163"/>
      <c r="C318" s="173"/>
      <c r="D318" s="834" t="s">
        <v>859</v>
      </c>
      <c r="E318" s="835"/>
      <c r="F318" s="836"/>
      <c r="G318" s="836"/>
      <c r="H318" s="17"/>
      <c r="I318" s="108"/>
      <c r="Z318" s="18"/>
    </row>
    <row r="319" spans="1:44" ht="64.5" customHeight="1" thickBot="1" x14ac:dyDescent="0.35">
      <c r="A319" s="600">
        <v>960</v>
      </c>
      <c r="B319" s="1178" t="s">
        <v>798</v>
      </c>
      <c r="C319" s="1179"/>
      <c r="D319" s="837"/>
      <c r="E319" s="944" t="str">
        <f>IF(ISBLANK($D319),"&lt;&lt;&lt;&lt;&lt;&lt;&lt;&lt;&lt;&lt;&lt;&lt;&lt;&lt;&lt;","")</f>
        <v>&lt;&lt;&lt;&lt;&lt;&lt;&lt;&lt;&lt;&lt;&lt;&lt;&lt;&lt;&lt;</v>
      </c>
      <c r="F319" s="945" t="str">
        <f>IF(ISBLANK($D319),"Required","")</f>
        <v>Required</v>
      </c>
      <c r="G319" s="947"/>
      <c r="H319" s="772"/>
      <c r="I319" s="108"/>
      <c r="Z319" s="600"/>
      <c r="AA319" s="600"/>
      <c r="AB319" s="600"/>
      <c r="AC319" s="600"/>
      <c r="AD319" s="600"/>
      <c r="AE319" s="600"/>
      <c r="AF319" s="600"/>
      <c r="AG319" s="600"/>
      <c r="AH319" s="600"/>
      <c r="AI319" s="600"/>
      <c r="AJ319" s="600"/>
      <c r="AK319" s="600"/>
      <c r="AL319" s="600"/>
      <c r="AM319" s="600"/>
      <c r="AN319" s="600"/>
      <c r="AO319" s="600"/>
      <c r="AP319" s="600"/>
      <c r="AQ319" s="600"/>
      <c r="AR319" s="600"/>
    </row>
    <row r="320" spans="1:44" ht="30.75" customHeight="1" thickBot="1" x14ac:dyDescent="0.35">
      <c r="A320" s="600">
        <v>962</v>
      </c>
      <c r="B320" s="1174" t="s">
        <v>759</v>
      </c>
      <c r="C320" s="1175"/>
      <c r="D320" s="837"/>
      <c r="E320" s="944" t="str">
        <f>IF(ISBLANK($D320),"&lt;&lt;&lt;&lt;&lt;&lt;&lt;&lt;&lt;&lt;&lt;&lt;&lt;&lt;&lt;","")</f>
        <v>&lt;&lt;&lt;&lt;&lt;&lt;&lt;&lt;&lt;&lt;&lt;&lt;&lt;&lt;&lt;</v>
      </c>
      <c r="F320" s="945" t="str">
        <f>IF(ISBLANK($D320),"Required","")</f>
        <v>Required</v>
      </c>
      <c r="H320" s="17"/>
      <c r="I320" s="108"/>
      <c r="Z320" s="600"/>
      <c r="AA320" s="600"/>
      <c r="AB320" s="600"/>
      <c r="AC320" s="600"/>
      <c r="AD320" s="600"/>
      <c r="AE320" s="600"/>
      <c r="AF320" s="600"/>
      <c r="AG320" s="600"/>
      <c r="AH320" s="600"/>
      <c r="AI320" s="600"/>
      <c r="AJ320" s="600"/>
      <c r="AK320" s="600"/>
      <c r="AL320" s="600"/>
      <c r="AM320" s="600"/>
      <c r="AN320" s="600"/>
      <c r="AO320" s="600"/>
      <c r="AP320" s="600"/>
      <c r="AQ320" s="600"/>
      <c r="AR320" s="600"/>
    </row>
    <row r="321" spans="1:44" ht="30.75" customHeight="1" thickBot="1" x14ac:dyDescent="0.35">
      <c r="A321" s="600">
        <v>964</v>
      </c>
      <c r="B321" s="1174" t="s">
        <v>760</v>
      </c>
      <c r="C321" s="1175"/>
      <c r="D321" s="838"/>
      <c r="E321" s="944" t="str">
        <f>IF(ISBLANK($D321),"&lt;&lt;&lt;&lt;&lt;&lt;&lt;&lt;&lt;&lt;&lt;&lt;&lt;&lt;&lt;","")</f>
        <v>&lt;&lt;&lt;&lt;&lt;&lt;&lt;&lt;&lt;&lt;&lt;&lt;&lt;&lt;&lt;</v>
      </c>
      <c r="F321" s="945" t="str">
        <f>IF(ISBLANK($D321),"Required","")</f>
        <v>Required</v>
      </c>
      <c r="H321" s="17"/>
      <c r="I321" s="377"/>
      <c r="Z321" s="600"/>
      <c r="AA321" s="600"/>
      <c r="AB321" s="600"/>
      <c r="AC321" s="600"/>
      <c r="AD321" s="600"/>
      <c r="AE321" s="600"/>
      <c r="AF321" s="600"/>
      <c r="AG321" s="600"/>
      <c r="AH321" s="600"/>
      <c r="AI321" s="600"/>
      <c r="AJ321" s="600"/>
      <c r="AK321" s="600"/>
      <c r="AL321" s="600"/>
      <c r="AM321" s="600"/>
      <c r="AN321" s="600"/>
      <c r="AO321" s="600"/>
      <c r="AP321" s="600"/>
      <c r="AQ321" s="600"/>
      <c r="AR321" s="600"/>
    </row>
    <row r="322" spans="1:44" ht="30.75" customHeight="1" thickBot="1" x14ac:dyDescent="0.35">
      <c r="A322" s="600">
        <v>966</v>
      </c>
      <c r="B322" s="1174" t="s">
        <v>761</v>
      </c>
      <c r="C322" s="1175"/>
      <c r="D322" s="837"/>
      <c r="E322" s="944" t="str">
        <f>IF(ISBLANK($D322),"&lt;&lt;&lt;&lt;&lt;&lt;&lt;&lt;&lt;&lt;&lt;&lt;&lt;&lt;&lt;","")</f>
        <v>&lt;&lt;&lt;&lt;&lt;&lt;&lt;&lt;&lt;&lt;&lt;&lt;&lt;&lt;&lt;</v>
      </c>
      <c r="F322" s="945" t="str">
        <f>IF(ISBLANK($D322),"Required","")</f>
        <v>Required</v>
      </c>
      <c r="H322" s="17"/>
      <c r="I322" s="108"/>
      <c r="Z322" s="600"/>
      <c r="AA322" s="600"/>
      <c r="AB322" s="600"/>
      <c r="AC322" s="600"/>
      <c r="AD322" s="600"/>
      <c r="AE322" s="600"/>
      <c r="AF322" s="600"/>
      <c r="AG322" s="600"/>
      <c r="AH322" s="600"/>
      <c r="AI322" s="600"/>
      <c r="AJ322" s="600"/>
      <c r="AK322" s="600"/>
      <c r="AL322" s="600"/>
      <c r="AM322" s="600"/>
      <c r="AN322" s="600"/>
      <c r="AO322" s="600"/>
      <c r="AP322" s="600"/>
      <c r="AQ322" s="600"/>
      <c r="AR322" s="600"/>
    </row>
    <row r="323" spans="1:44" ht="30.75" customHeight="1" thickBot="1" x14ac:dyDescent="0.35">
      <c r="A323" s="600">
        <v>968</v>
      </c>
      <c r="B323" s="1176" t="s">
        <v>762</v>
      </c>
      <c r="C323" s="1177"/>
      <c r="D323" s="839"/>
      <c r="E323" s="946" t="str">
        <f>IF(ISBLANK($D323),"&lt;&lt;&lt;&lt;&lt;&lt;&lt;&lt;&lt;&lt;&lt;&lt;&lt;&lt;&lt;","")</f>
        <v>&lt;&lt;&lt;&lt;&lt;&lt;&lt;&lt;&lt;&lt;&lt;&lt;&lt;&lt;&lt;</v>
      </c>
      <c r="F323" s="945" t="str">
        <f>IF(ISBLANK($D323),"Required","")</f>
        <v>Required</v>
      </c>
      <c r="H323" s="17"/>
      <c r="I323" s="108"/>
      <c r="Z323" s="600"/>
      <c r="AA323" s="600"/>
      <c r="AB323" s="600"/>
      <c r="AC323" s="600"/>
      <c r="AD323" s="600"/>
      <c r="AE323" s="600"/>
      <c r="AF323" s="600"/>
      <c r="AG323" s="600"/>
      <c r="AH323" s="600"/>
      <c r="AI323" s="600"/>
      <c r="AJ323" s="600"/>
      <c r="AK323" s="600"/>
      <c r="AL323" s="600"/>
      <c r="AM323" s="600"/>
      <c r="AN323" s="600"/>
      <c r="AO323" s="600"/>
      <c r="AP323" s="600"/>
      <c r="AQ323" s="600"/>
      <c r="AR323" s="600"/>
    </row>
    <row r="324" spans="1:44" x14ac:dyDescent="0.3">
      <c r="A324" s="108"/>
      <c r="B324" s="937"/>
      <c r="C324" s="937"/>
      <c r="D324" s="948" t="s">
        <v>46</v>
      </c>
      <c r="E324" s="938"/>
      <c r="F324" s="938"/>
      <c r="G324" s="938"/>
      <c r="H324" s="939"/>
      <c r="I324" s="108"/>
    </row>
    <row r="325" spans="1:44" x14ac:dyDescent="0.3">
      <c r="A325" s="108"/>
      <c r="B325" s="712"/>
      <c r="C325" s="712"/>
      <c r="D325" s="171"/>
      <c r="E325" s="310"/>
      <c r="F325" s="840"/>
      <c r="G325" s="840"/>
      <c r="H325" s="17"/>
      <c r="I325" s="108"/>
    </row>
    <row r="326" spans="1:44" x14ac:dyDescent="0.3">
      <c r="A326" s="108"/>
      <c r="B326" s="712"/>
      <c r="C326" s="712"/>
      <c r="D326" s="24"/>
      <c r="E326" s="1147"/>
      <c r="F326" s="840"/>
      <c r="G326" s="840"/>
      <c r="H326" s="17"/>
      <c r="I326" s="108"/>
    </row>
    <row r="327" spans="1:44" x14ac:dyDescent="0.3">
      <c r="A327" s="18">
        <f>SUBTOTAL(109,A7:A323)</f>
        <v>21322</v>
      </c>
    </row>
    <row r="328" spans="1:44" x14ac:dyDescent="0.3">
      <c r="A328" s="108"/>
      <c r="B328" s="879"/>
      <c r="C328" s="879"/>
      <c r="D328" s="841"/>
      <c r="E328" s="423"/>
      <c r="F328" s="18"/>
      <c r="G328" s="842"/>
      <c r="H328" s="17"/>
      <c r="I328" s="108"/>
    </row>
    <row r="329" spans="1:44" x14ac:dyDescent="0.3">
      <c r="A329" s="600"/>
      <c r="B329" s="600"/>
      <c r="C329" s="600"/>
      <c r="D329" s="841"/>
      <c r="E329" s="422"/>
      <c r="F329" s="308"/>
      <c r="G329" s="842"/>
      <c r="H329" s="17"/>
      <c r="I329" s="108"/>
    </row>
    <row r="330" spans="1:44" x14ac:dyDescent="0.3">
      <c r="A330" s="600"/>
      <c r="B330" s="600"/>
      <c r="C330" s="600"/>
      <c r="D330" s="843"/>
      <c r="E330" s="422"/>
      <c r="F330" s="308"/>
      <c r="G330" s="842"/>
      <c r="H330" s="17"/>
      <c r="I330" s="108"/>
    </row>
    <row r="331" spans="1:44" x14ac:dyDescent="0.3">
      <c r="A331" s="600"/>
      <c r="B331" s="600"/>
      <c r="C331" s="600"/>
      <c r="D331" s="843"/>
      <c r="E331" s="422"/>
      <c r="F331" s="308"/>
      <c r="G331" s="842"/>
      <c r="H331" s="17"/>
      <c r="I331" s="108"/>
    </row>
    <row r="332" spans="1:44" x14ac:dyDescent="0.3">
      <c r="A332" s="600"/>
      <c r="B332" s="600"/>
      <c r="C332" s="600"/>
      <c r="D332" s="843"/>
      <c r="E332" s="422"/>
      <c r="F332" s="308"/>
      <c r="G332" s="842"/>
      <c r="H332" s="17"/>
      <c r="I332" s="108"/>
    </row>
    <row r="333" spans="1:44" x14ac:dyDescent="0.3">
      <c r="A333" s="600"/>
      <c r="B333" s="600"/>
      <c r="C333" s="600"/>
      <c r="D333" s="843"/>
      <c r="E333" s="422"/>
      <c r="F333" s="308"/>
      <c r="G333" s="842"/>
      <c r="H333" s="17"/>
      <c r="I333" s="108"/>
    </row>
    <row r="334" spans="1:44" x14ac:dyDescent="0.3">
      <c r="A334" s="600"/>
      <c r="D334" s="640"/>
      <c r="E334" s="422"/>
      <c r="F334" s="308"/>
      <c r="H334" s="17"/>
      <c r="I334" s="108"/>
    </row>
    <row r="335" spans="1:44" x14ac:dyDescent="0.3">
      <c r="D335" s="640"/>
      <c r="E335" s="423"/>
      <c r="F335" s="308"/>
      <c r="H335" s="17"/>
      <c r="I335" s="108"/>
    </row>
    <row r="336" spans="1:44" x14ac:dyDescent="0.3">
      <c r="D336" s="640"/>
      <c r="E336" s="310"/>
      <c r="F336" s="308"/>
      <c r="H336" s="17"/>
      <c r="I336" s="108"/>
    </row>
    <row r="337" spans="4:12" x14ac:dyDescent="0.3">
      <c r="D337" s="640"/>
      <c r="E337" s="310"/>
      <c r="F337" s="308"/>
      <c r="I337" s="108"/>
    </row>
    <row r="338" spans="4:12" x14ac:dyDescent="0.3">
      <c r="E338" s="310"/>
      <c r="F338" s="308"/>
      <c r="G338" s="845"/>
      <c r="I338" s="108"/>
    </row>
    <row r="339" spans="4:12" x14ac:dyDescent="0.3">
      <c r="E339" s="310"/>
      <c r="F339" s="308"/>
      <c r="I339" s="108"/>
    </row>
    <row r="340" spans="4:12" x14ac:dyDescent="0.3">
      <c r="E340" s="310"/>
      <c r="F340" s="308"/>
      <c r="I340" s="108"/>
    </row>
    <row r="341" spans="4:12" x14ac:dyDescent="0.3">
      <c r="E341" s="310"/>
      <c r="F341" s="308"/>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308"/>
    </row>
    <row r="350" spans="4:12" x14ac:dyDescent="0.3">
      <c r="I350" s="308"/>
      <c r="K350" s="310"/>
      <c r="L350" s="310"/>
    </row>
    <row r="351" spans="4:12" x14ac:dyDescent="0.3">
      <c r="I351" s="308"/>
      <c r="K351" s="310"/>
      <c r="L351" s="310"/>
    </row>
    <row r="352" spans="4:12" x14ac:dyDescent="0.3">
      <c r="I352" s="308"/>
      <c r="K352" s="310"/>
      <c r="L352" s="310"/>
    </row>
    <row r="353" spans="9:12" x14ac:dyDescent="0.3">
      <c r="I353" s="308"/>
      <c r="K353" s="310"/>
      <c r="L353" s="310"/>
    </row>
    <row r="354" spans="9:12" x14ac:dyDescent="0.3">
      <c r="I354" s="308"/>
      <c r="K354" s="310"/>
      <c r="L354" s="310"/>
    </row>
    <row r="355" spans="9:12" x14ac:dyDescent="0.3">
      <c r="I355" s="308"/>
      <c r="K355" s="310"/>
      <c r="L355" s="310"/>
    </row>
    <row r="356" spans="9:12" x14ac:dyDescent="0.3">
      <c r="I356" s="108"/>
      <c r="K356" s="310"/>
      <c r="L356" s="310"/>
    </row>
    <row r="357" spans="9:12" x14ac:dyDescent="0.3">
      <c r="I357" s="108"/>
      <c r="K357" s="310"/>
      <c r="L357" s="310"/>
    </row>
    <row r="358" spans="9:12" x14ac:dyDescent="0.3">
      <c r="I358" s="108"/>
      <c r="J358" s="310"/>
      <c r="K358" s="310"/>
      <c r="L358" s="310"/>
    </row>
    <row r="359" spans="9:12" x14ac:dyDescent="0.3">
      <c r="I359" s="108"/>
      <c r="J359" s="310"/>
      <c r="K359" s="310"/>
      <c r="L359" s="310"/>
    </row>
    <row r="360" spans="9:12" x14ac:dyDescent="0.3">
      <c r="I360" s="108"/>
      <c r="J360" s="310"/>
      <c r="K360" s="310"/>
      <c r="L360" s="310"/>
    </row>
    <row r="361" spans="9:12" x14ac:dyDescent="0.3">
      <c r="I361" s="108"/>
      <c r="J361" s="310"/>
      <c r="K361" s="310"/>
      <c r="L361" s="310"/>
    </row>
    <row r="362" spans="9:12" x14ac:dyDescent="0.3">
      <c r="I362" s="108"/>
      <c r="J362" s="310"/>
      <c r="K362" s="310"/>
      <c r="L362" s="310"/>
    </row>
    <row r="363" spans="9:12" x14ac:dyDescent="0.3">
      <c r="I363" s="108"/>
      <c r="J363" s="310"/>
      <c r="K363" s="310"/>
      <c r="L363" s="310"/>
    </row>
    <row r="364" spans="9:12" x14ac:dyDescent="0.3">
      <c r="I364" s="108"/>
      <c r="J364" s="310"/>
      <c r="K364" s="310"/>
      <c r="L364" s="310"/>
    </row>
    <row r="365" spans="9:12" x14ac:dyDescent="0.3">
      <c r="I365" s="308"/>
      <c r="J365" s="310"/>
      <c r="K365" s="310"/>
      <c r="L365" s="310"/>
    </row>
    <row r="366" spans="9:12" x14ac:dyDescent="0.3">
      <c r="I366" s="308"/>
      <c r="J366" s="310"/>
      <c r="K366" s="310"/>
      <c r="L366" s="310"/>
    </row>
    <row r="367" spans="9:12" x14ac:dyDescent="0.3">
      <c r="I367" s="308"/>
      <c r="J367" s="310"/>
      <c r="K367" s="310"/>
      <c r="L367" s="310"/>
    </row>
    <row r="368" spans="9:12" x14ac:dyDescent="0.3">
      <c r="I368" s="308"/>
      <c r="J368" s="310"/>
      <c r="K368" s="310"/>
      <c r="L368" s="310"/>
    </row>
    <row r="369" spans="9:12" x14ac:dyDescent="0.3">
      <c r="I369" s="308"/>
      <c r="J369" s="310"/>
      <c r="K369" s="310"/>
      <c r="L369" s="310"/>
    </row>
    <row r="370" spans="9:12" x14ac:dyDescent="0.3">
      <c r="I370" s="308"/>
      <c r="J370" s="310"/>
      <c r="K370" s="310"/>
      <c r="L370" s="310"/>
    </row>
    <row r="371" spans="9:12" x14ac:dyDescent="0.3">
      <c r="I371" s="308"/>
      <c r="J371" s="310"/>
      <c r="K371" s="310"/>
      <c r="L371" s="310"/>
    </row>
    <row r="372" spans="9:12" x14ac:dyDescent="0.3">
      <c r="I372" s="308"/>
      <c r="J372" s="310"/>
      <c r="K372" s="310"/>
      <c r="L372" s="310"/>
    </row>
    <row r="373" spans="9:12" x14ac:dyDescent="0.3">
      <c r="I373" s="308"/>
      <c r="J373" s="310"/>
      <c r="K373" s="310"/>
      <c r="L373" s="310"/>
    </row>
    <row r="374" spans="9:12" x14ac:dyDescent="0.3">
      <c r="I374" s="308"/>
      <c r="J374" s="310"/>
      <c r="K374" s="310"/>
      <c r="L374" s="310"/>
    </row>
    <row r="375" spans="9:12" x14ac:dyDescent="0.3">
      <c r="I375" s="308"/>
      <c r="J375" s="310"/>
      <c r="K375" s="310"/>
      <c r="L375" s="310"/>
    </row>
    <row r="376" spans="9:12" x14ac:dyDescent="0.3">
      <c r="I376" s="308"/>
      <c r="J376" s="310"/>
      <c r="K376" s="310"/>
      <c r="L376" s="310"/>
    </row>
    <row r="377" spans="9:12" x14ac:dyDescent="0.3">
      <c r="I377" s="308"/>
      <c r="J377" s="310"/>
      <c r="K377" s="310"/>
      <c r="L377" s="310"/>
    </row>
    <row r="378" spans="9:12" x14ac:dyDescent="0.3">
      <c r="I378" s="308"/>
      <c r="J378" s="310"/>
      <c r="K378" s="310"/>
      <c r="L378" s="310"/>
    </row>
    <row r="379" spans="9:12" x14ac:dyDescent="0.3">
      <c r="I379" s="308"/>
      <c r="J379" s="310"/>
      <c r="K379" s="310"/>
      <c r="L379" s="310"/>
    </row>
    <row r="380" spans="9:12" x14ac:dyDescent="0.3">
      <c r="I380" s="308"/>
      <c r="J380" s="310"/>
      <c r="K380" s="310"/>
      <c r="L380" s="310"/>
    </row>
    <row r="381" spans="9:12" x14ac:dyDescent="0.3">
      <c r="I381" s="308"/>
      <c r="J381" s="310"/>
      <c r="K381" s="310"/>
      <c r="L381" s="310"/>
    </row>
    <row r="382" spans="9:12" x14ac:dyDescent="0.3">
      <c r="I382" s="308"/>
      <c r="J382" s="310"/>
      <c r="K382" s="310"/>
      <c r="L382" s="310"/>
    </row>
    <row r="383" spans="9:12" x14ac:dyDescent="0.3">
      <c r="I383" s="308"/>
      <c r="J383" s="310"/>
      <c r="K383" s="310"/>
      <c r="L383" s="310"/>
    </row>
    <row r="384" spans="9:12" x14ac:dyDescent="0.3">
      <c r="I384" s="308"/>
      <c r="J384" s="310"/>
      <c r="K384" s="310"/>
      <c r="L384" s="310"/>
    </row>
    <row r="385" spans="9:12" x14ac:dyDescent="0.3">
      <c r="I385" s="308"/>
      <c r="J385" s="310"/>
      <c r="K385" s="310"/>
      <c r="L385" s="310"/>
    </row>
    <row r="386" spans="9:12" x14ac:dyDescent="0.3">
      <c r="I386" s="308"/>
      <c r="J386" s="310"/>
      <c r="K386" s="310"/>
      <c r="L386" s="310"/>
    </row>
    <row r="387" spans="9:12" x14ac:dyDescent="0.3">
      <c r="I387" s="308"/>
      <c r="J387" s="310"/>
      <c r="K387" s="310"/>
      <c r="L387" s="310"/>
    </row>
    <row r="388" spans="9:12" x14ac:dyDescent="0.3">
      <c r="I388" s="308"/>
      <c r="J388" s="310"/>
      <c r="K388" s="310"/>
      <c r="L388" s="310"/>
    </row>
    <row r="389" spans="9:12" x14ac:dyDescent="0.3">
      <c r="I389" s="308"/>
      <c r="J389" s="310"/>
      <c r="K389" s="310"/>
      <c r="L389" s="310"/>
    </row>
    <row r="390" spans="9:12" x14ac:dyDescent="0.3">
      <c r="I390" s="308"/>
      <c r="J390" s="310"/>
      <c r="K390" s="310"/>
      <c r="L390" s="310"/>
    </row>
    <row r="391" spans="9:12" x14ac:dyDescent="0.3">
      <c r="I391" s="308"/>
      <c r="J391" s="310"/>
      <c r="K391" s="310"/>
      <c r="L391" s="310"/>
    </row>
    <row r="392" spans="9:12" x14ac:dyDescent="0.3">
      <c r="I392" s="308"/>
      <c r="J392" s="310"/>
      <c r="K392" s="310"/>
      <c r="L392" s="310"/>
    </row>
    <row r="393" spans="9:12" x14ac:dyDescent="0.3">
      <c r="I393" s="308"/>
      <c r="J393" s="310"/>
      <c r="K393" s="310"/>
      <c r="L393" s="310"/>
    </row>
    <row r="394" spans="9:12" x14ac:dyDescent="0.3">
      <c r="I394" s="308"/>
      <c r="J394" s="310"/>
      <c r="K394" s="310"/>
      <c r="L394" s="310"/>
    </row>
    <row r="395" spans="9:12" x14ac:dyDescent="0.3">
      <c r="I395" s="308"/>
      <c r="J395" s="310"/>
      <c r="K395" s="310"/>
      <c r="L395" s="310"/>
    </row>
    <row r="396" spans="9:12" x14ac:dyDescent="0.3">
      <c r="I396" s="308"/>
      <c r="J396" s="310"/>
      <c r="K396" s="310"/>
      <c r="L396" s="310"/>
    </row>
    <row r="397" spans="9:12" x14ac:dyDescent="0.3">
      <c r="I397" s="308"/>
      <c r="J397" s="310"/>
      <c r="K397" s="310"/>
      <c r="L397" s="310"/>
    </row>
    <row r="398" spans="9:12" x14ac:dyDescent="0.3">
      <c r="I398" s="308"/>
      <c r="J398" s="310"/>
      <c r="K398" s="310"/>
      <c r="L398" s="310"/>
    </row>
    <row r="399" spans="9:12" x14ac:dyDescent="0.3">
      <c r="I399" s="308"/>
      <c r="J399" s="310"/>
      <c r="K399" s="310"/>
      <c r="L399" s="310"/>
    </row>
    <row r="400" spans="9:12" x14ac:dyDescent="0.3">
      <c r="I400" s="308"/>
      <c r="J400" s="310"/>
      <c r="K400" s="310"/>
      <c r="L400" s="310"/>
    </row>
    <row r="401" spans="9:12" x14ac:dyDescent="0.3">
      <c r="I401" s="308"/>
      <c r="J401" s="310"/>
      <c r="K401" s="310"/>
      <c r="L401" s="310"/>
    </row>
    <row r="402" spans="9:12" x14ac:dyDescent="0.3">
      <c r="I402" s="308"/>
      <c r="J402" s="310"/>
      <c r="K402" s="310"/>
      <c r="L402" s="310"/>
    </row>
    <row r="403" spans="9:12" x14ac:dyDescent="0.3">
      <c r="I403" s="308"/>
      <c r="J403" s="310"/>
      <c r="K403" s="310"/>
      <c r="L403" s="310"/>
    </row>
    <row r="404" spans="9:12" x14ac:dyDescent="0.3">
      <c r="I404" s="308"/>
      <c r="J404" s="310"/>
      <c r="K404" s="310"/>
      <c r="L404" s="310"/>
    </row>
    <row r="405" spans="9:12" x14ac:dyDescent="0.3">
      <c r="I405" s="308"/>
      <c r="J405" s="310"/>
      <c r="K405" s="310"/>
      <c r="L405" s="310"/>
    </row>
    <row r="406" spans="9:12" x14ac:dyDescent="0.3">
      <c r="I406" s="308"/>
      <c r="J406" s="310"/>
      <c r="K406" s="310"/>
      <c r="L406" s="310"/>
    </row>
    <row r="407" spans="9:12" x14ac:dyDescent="0.3">
      <c r="I407" s="308"/>
      <c r="J407" s="310"/>
      <c r="K407" s="310"/>
      <c r="L407" s="310"/>
    </row>
    <row r="408" spans="9:12" x14ac:dyDescent="0.3">
      <c r="I408" s="308"/>
      <c r="J408" s="310"/>
      <c r="K408" s="310"/>
      <c r="L408" s="310"/>
    </row>
    <row r="409" spans="9:12" x14ac:dyDescent="0.3">
      <c r="I409" s="308"/>
      <c r="J409" s="310"/>
      <c r="K409" s="310"/>
      <c r="L409" s="310"/>
    </row>
    <row r="410" spans="9:12" x14ac:dyDescent="0.3">
      <c r="I410" s="308"/>
      <c r="J410" s="310"/>
      <c r="K410" s="310"/>
      <c r="L410" s="310"/>
    </row>
    <row r="411" spans="9:12" x14ac:dyDescent="0.3">
      <c r="I411" s="308"/>
      <c r="J411" s="310"/>
      <c r="K411" s="310"/>
      <c r="L411" s="310"/>
    </row>
    <row r="412" spans="9:12" x14ac:dyDescent="0.3">
      <c r="I412" s="308"/>
      <c r="J412" s="310"/>
      <c r="K412" s="310"/>
      <c r="L412" s="310"/>
    </row>
    <row r="413" spans="9:12" x14ac:dyDescent="0.3">
      <c r="I413" s="308"/>
      <c r="J413" s="310"/>
      <c r="K413" s="310"/>
      <c r="L413" s="310"/>
    </row>
    <row r="414" spans="9:12" x14ac:dyDescent="0.3">
      <c r="I414" s="308"/>
      <c r="J414" s="310"/>
      <c r="K414" s="310"/>
      <c r="L414" s="310"/>
    </row>
    <row r="415" spans="9:12" x14ac:dyDescent="0.3">
      <c r="I415" s="308"/>
      <c r="J415" s="310"/>
      <c r="K415" s="310"/>
      <c r="L415" s="310"/>
    </row>
    <row r="416" spans="9:12" x14ac:dyDescent="0.3">
      <c r="I416" s="308"/>
      <c r="J416" s="310"/>
      <c r="K416" s="310"/>
      <c r="L416" s="310"/>
    </row>
    <row r="417" spans="9:12" x14ac:dyDescent="0.3">
      <c r="I417" s="308"/>
      <c r="J417" s="310"/>
      <c r="K417" s="310"/>
      <c r="L417" s="310"/>
    </row>
    <row r="418" spans="9:12" x14ac:dyDescent="0.3">
      <c r="I418" s="308"/>
      <c r="J418" s="310"/>
      <c r="K418" s="310"/>
      <c r="L418" s="310"/>
    </row>
    <row r="419" spans="9:12" x14ac:dyDescent="0.3">
      <c r="I419" s="308"/>
      <c r="J419" s="310"/>
    </row>
    <row r="420" spans="9:12" x14ac:dyDescent="0.3">
      <c r="I420" s="308"/>
      <c r="J420" s="310"/>
    </row>
    <row r="421" spans="9:12" x14ac:dyDescent="0.3">
      <c r="I421" s="308"/>
      <c r="J421" s="310"/>
    </row>
    <row r="422" spans="9:12" x14ac:dyDescent="0.3">
      <c r="I422" s="308"/>
      <c r="J422" s="310"/>
    </row>
    <row r="423" spans="9:12" x14ac:dyDescent="0.3">
      <c r="I423" s="308"/>
      <c r="J423" s="310"/>
    </row>
    <row r="424" spans="9:12" x14ac:dyDescent="0.3">
      <c r="I424" s="308"/>
      <c r="J424" s="310"/>
    </row>
    <row r="425" spans="9:12" x14ac:dyDescent="0.3">
      <c r="I425" s="308"/>
      <c r="J425" s="310"/>
    </row>
    <row r="426" spans="9:12" x14ac:dyDescent="0.3">
      <c r="I426" s="308"/>
      <c r="J426" s="310"/>
    </row>
    <row r="427" spans="9:12" x14ac:dyDescent="0.3">
      <c r="I427" s="308"/>
    </row>
    <row r="428" spans="9:12" x14ac:dyDescent="0.3">
      <c r="I428" s="308"/>
    </row>
    <row r="429" spans="9:12" x14ac:dyDescent="0.3">
      <c r="I429" s="308"/>
    </row>
    <row r="430" spans="9:12" x14ac:dyDescent="0.3">
      <c r="I430" s="308"/>
    </row>
    <row r="431" spans="9:12" x14ac:dyDescent="0.3">
      <c r="I431" s="308"/>
    </row>
    <row r="432" spans="9:12" x14ac:dyDescent="0.3">
      <c r="I432" s="308"/>
    </row>
    <row r="433" spans="9:9" x14ac:dyDescent="0.3">
      <c r="I433" s="308"/>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AanU6XTQlCk9kvGrf7mqCfi2JE1MrAxzJUJqkg1ASOkHkomHjoU3TYLp9Gs8XCzQ3uvABR+usBd4vIUAO0sssQ==" saltValue="+uH//6zvApn3CFvuouX6PA=="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8" type="noConversion"/>
  <conditionalFormatting sqref="H198 H87:H98">
    <cfRule type="cellIs" dxfId="124" priority="107" stopIfTrue="1" operator="notEqual">
      <formula>0</formula>
    </cfRule>
  </conditionalFormatting>
  <conditionalFormatting sqref="H199">
    <cfRule type="cellIs" dxfId="123" priority="105" stopIfTrue="1" operator="notEqual">
      <formula>0</formula>
    </cfRule>
  </conditionalFormatting>
  <conditionalFormatting sqref="G289:G292 G296:G297">
    <cfRule type="cellIs" dxfId="122" priority="104" stopIfTrue="1" operator="notEqual">
      <formula>0</formula>
    </cfRule>
  </conditionalFormatting>
  <conditionalFormatting sqref="H23">
    <cfRule type="cellIs" dxfId="121" priority="103" stopIfTrue="1" operator="notEqual">
      <formula>0</formula>
    </cfRule>
  </conditionalFormatting>
  <conditionalFormatting sqref="H37:H38">
    <cfRule type="cellIs" dxfId="120" priority="102" stopIfTrue="1" operator="notEqual">
      <formula>0</formula>
    </cfRule>
  </conditionalFormatting>
  <conditionalFormatting sqref="H72">
    <cfRule type="cellIs" dxfId="119" priority="101" stopIfTrue="1" operator="notEqual">
      <formula>0</formula>
    </cfRule>
  </conditionalFormatting>
  <conditionalFormatting sqref="H149">
    <cfRule type="cellIs" dxfId="118" priority="99" stopIfTrue="1" operator="notEqual">
      <formula>0</formula>
    </cfRule>
  </conditionalFormatting>
  <conditionalFormatting sqref="H168">
    <cfRule type="cellIs" dxfId="117" priority="98" stopIfTrue="1" operator="notEqual">
      <formula>0</formula>
    </cfRule>
  </conditionalFormatting>
  <conditionalFormatting sqref="H182">
    <cfRule type="cellIs" dxfId="116" priority="97" stopIfTrue="1" operator="notEqual">
      <formula>0</formula>
    </cfRule>
  </conditionalFormatting>
  <conditionalFormatting sqref="H183">
    <cfRule type="cellIs" dxfId="115"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14" priority="67" stopIfTrue="1" operator="equal">
      <formula>0</formula>
    </cfRule>
  </conditionalFormatting>
  <conditionalFormatting sqref="L260">
    <cfRule type="cellIs" dxfId="113" priority="66" stopIfTrue="1" operator="equal">
      <formula>0</formula>
    </cfRule>
  </conditionalFormatting>
  <conditionalFormatting sqref="G274">
    <cfRule type="cellIs" priority="65" stopIfTrue="1" operator="equal">
      <formula>";;;"</formula>
    </cfRule>
  </conditionalFormatting>
  <conditionalFormatting sqref="G274">
    <cfRule type="cellIs" dxfId="112" priority="64" stopIfTrue="1" operator="equal">
      <formula>0</formula>
    </cfRule>
  </conditionalFormatting>
  <conditionalFormatting sqref="G274">
    <cfRule type="cellIs" dxfId="111" priority="63" stopIfTrue="1" operator="equal">
      <formula>0</formula>
    </cfRule>
  </conditionalFormatting>
  <conditionalFormatting sqref="G273">
    <cfRule type="cellIs" priority="53" stopIfTrue="1" operator="equal">
      <formula>";;;"</formula>
    </cfRule>
  </conditionalFormatting>
  <conditionalFormatting sqref="G273">
    <cfRule type="cellIs" dxfId="110" priority="52" stopIfTrue="1" operator="equal">
      <formula>0</formula>
    </cfRule>
  </conditionalFormatting>
  <conditionalFormatting sqref="G273">
    <cfRule type="cellIs" dxfId="109" priority="51" stopIfTrue="1" operator="equal">
      <formula>0</formula>
    </cfRule>
  </conditionalFormatting>
  <conditionalFormatting sqref="J266">
    <cfRule type="cellIs" priority="50" stopIfTrue="1" operator="equal">
      <formula>";;;"</formula>
    </cfRule>
  </conditionalFormatting>
  <conditionalFormatting sqref="J266">
    <cfRule type="cellIs" dxfId="108" priority="49" stopIfTrue="1" operator="equal">
      <formula>0</formula>
    </cfRule>
  </conditionalFormatting>
  <conditionalFormatting sqref="J266">
    <cfRule type="cellIs" dxfId="107" priority="48" stopIfTrue="1" operator="equal">
      <formula>0</formula>
    </cfRule>
  </conditionalFormatting>
  <conditionalFormatting sqref="G268">
    <cfRule type="cellIs" priority="20" stopIfTrue="1" operator="equal">
      <formula>";;;"</formula>
    </cfRule>
  </conditionalFormatting>
  <conditionalFormatting sqref="G268">
    <cfRule type="cellIs" dxfId="106" priority="19" stopIfTrue="1" operator="equal">
      <formula>0</formula>
    </cfRule>
  </conditionalFormatting>
  <conditionalFormatting sqref="G268">
    <cfRule type="cellIs" dxfId="105" priority="18" stopIfTrue="1" operator="equal">
      <formula>0</formula>
    </cfRule>
  </conditionalFormatting>
  <conditionalFormatting sqref="G266">
    <cfRule type="cellIs" priority="17" stopIfTrue="1" operator="equal">
      <formula>";;;"</formula>
    </cfRule>
  </conditionalFormatting>
  <conditionalFormatting sqref="G266">
    <cfRule type="cellIs" dxfId="104" priority="16" stopIfTrue="1" operator="equal">
      <formula>0</formula>
    </cfRule>
  </conditionalFormatting>
  <conditionalFormatting sqref="G266">
    <cfRule type="cellIs" dxfId="103" priority="15" stopIfTrue="1" operator="equal">
      <formula>0</formula>
    </cfRule>
  </conditionalFormatting>
  <conditionalFormatting sqref="G267">
    <cfRule type="cellIs" priority="14" stopIfTrue="1" operator="equal">
      <formula>";;;"</formula>
    </cfRule>
  </conditionalFormatting>
  <conditionalFormatting sqref="G267">
    <cfRule type="cellIs" dxfId="102" priority="13" stopIfTrue="1" operator="equal">
      <formula>0</formula>
    </cfRule>
  </conditionalFormatting>
  <conditionalFormatting sqref="G267">
    <cfRule type="cellIs" dxfId="101" priority="12" stopIfTrue="1" operator="equal">
      <formula>0</formula>
    </cfRule>
  </conditionalFormatting>
  <conditionalFormatting sqref="G270">
    <cfRule type="cellIs" priority="11" stopIfTrue="1" operator="equal">
      <formula>";;;"</formula>
    </cfRule>
  </conditionalFormatting>
  <conditionalFormatting sqref="G270">
    <cfRule type="cellIs" dxfId="100" priority="10" stopIfTrue="1" operator="equal">
      <formula>0</formula>
    </cfRule>
  </conditionalFormatting>
  <conditionalFormatting sqref="G270">
    <cfRule type="cellIs" dxfId="99" priority="9" stopIfTrue="1" operator="equal">
      <formula>0</formula>
    </cfRule>
  </conditionalFormatting>
  <conditionalFormatting sqref="G272">
    <cfRule type="cellIs" priority="3" stopIfTrue="1" operator="equal">
      <formula>";;;"</formula>
    </cfRule>
  </conditionalFormatting>
  <conditionalFormatting sqref="G272">
    <cfRule type="cellIs" dxfId="98" priority="2" stopIfTrue="1" operator="equal">
      <formula>0</formula>
    </cfRule>
  </conditionalFormatting>
  <conditionalFormatting sqref="G272">
    <cfRule type="cellIs" dxfId="97" priority="1" stopIfTrue="1" operator="equal">
      <formula>0</formula>
    </cfRule>
  </conditionalFormatting>
  <dataValidations xWindow="829" yWindow="690" count="24">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prompt="Select from drop down list" sqref="G88" xr:uid="{03FCCE46-B0EA-4672-8B51-281D65C01346}">
      <formula1>#REF!</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Names(H)'!$A$1:$A$109</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7"/>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4" customWidth="1"/>
    <col min="5" max="5" width="43.6640625" style="252" customWidth="1"/>
    <col min="6" max="6" width="53.33203125" style="252" customWidth="1"/>
    <col min="7" max="7" width="18.6640625" style="194" customWidth="1"/>
    <col min="8" max="8" width="44.44140625" style="194" customWidth="1"/>
    <col min="9" max="9" width="9.44140625" style="194" customWidth="1"/>
    <col min="10" max="10" width="9.33203125" style="252"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4" width="9.33203125" customWidth="1"/>
    <col min="35" max="35" width="9.33203125" style="1158" customWidth="1"/>
    <col min="36" max="36" width="9.33203125" style="195" customWidth="1"/>
    <col min="37" max="37" width="36.44140625" style="195" customWidth="1"/>
    <col min="38" max="38" width="9.33203125" style="195" customWidth="1"/>
    <col min="39" max="43" width="9.33203125" style="195"/>
    <col min="44" max="16384" width="9.33203125" style="194"/>
  </cols>
  <sheetData>
    <row r="1" spans="1:43" ht="87" customHeight="1" thickBot="1" x14ac:dyDescent="0.35">
      <c r="B1" s="1204" t="s">
        <v>2074</v>
      </c>
      <c r="C1" s="1205"/>
      <c r="D1" s="1205"/>
      <c r="E1" s="1205"/>
      <c r="F1" s="1205"/>
      <c r="G1" s="1205"/>
      <c r="H1" s="1205"/>
      <c r="I1" s="1205"/>
      <c r="J1" s="1206"/>
    </row>
    <row r="2" spans="1:43" s="196" customFormat="1" ht="16.8" hidden="1" thickBot="1" x14ac:dyDescent="0.35">
      <c r="B2" s="1207" t="s">
        <v>878</v>
      </c>
      <c r="C2" s="1208"/>
      <c r="D2" s="1208"/>
      <c r="E2" s="1208"/>
      <c r="F2" s="1208"/>
      <c r="G2" s="1208"/>
      <c r="H2" s="1208"/>
      <c r="I2" s="1208"/>
      <c r="J2" s="1209"/>
      <c r="K2"/>
      <c r="L2"/>
      <c r="M2"/>
      <c r="N2"/>
      <c r="O2"/>
      <c r="P2"/>
      <c r="Q2"/>
      <c r="R2"/>
      <c r="S2"/>
      <c r="T2"/>
      <c r="U2"/>
      <c r="V2"/>
      <c r="W2"/>
      <c r="X2"/>
      <c r="Y2"/>
      <c r="Z2"/>
      <c r="AA2"/>
      <c r="AB2"/>
      <c r="AC2"/>
      <c r="AD2"/>
      <c r="AE2"/>
      <c r="AF2"/>
      <c r="AG2"/>
      <c r="AH2"/>
      <c r="AI2" s="1158"/>
      <c r="AJ2" s="195"/>
      <c r="AK2" s="195"/>
      <c r="AL2" s="195"/>
      <c r="AM2" s="195"/>
      <c r="AN2" s="195"/>
      <c r="AO2" s="195"/>
      <c r="AP2" s="195"/>
      <c r="AQ2" s="195"/>
    </row>
    <row r="3" spans="1:43" s="198" customFormat="1" ht="39" hidden="1" customHeight="1" thickBot="1" x14ac:dyDescent="0.35">
      <c r="A3" s="194"/>
      <c r="B3" s="1210" t="s">
        <v>879</v>
      </c>
      <c r="C3" s="1211"/>
      <c r="D3" s="1211"/>
      <c r="E3" s="1211"/>
      <c r="F3" s="1211"/>
      <c r="G3" s="1211"/>
      <c r="H3" s="1211"/>
      <c r="I3" s="1211"/>
      <c r="J3" s="1212"/>
      <c r="K3"/>
      <c r="L3"/>
      <c r="M3"/>
      <c r="N3"/>
      <c r="O3"/>
      <c r="P3"/>
      <c r="Q3"/>
      <c r="R3"/>
      <c r="S3"/>
      <c r="T3"/>
      <c r="U3"/>
      <c r="V3"/>
      <c r="W3"/>
      <c r="X3"/>
      <c r="Y3"/>
      <c r="Z3"/>
      <c r="AA3"/>
      <c r="AB3"/>
      <c r="AC3"/>
      <c r="AD3"/>
      <c r="AE3"/>
      <c r="AF3"/>
      <c r="AG3"/>
      <c r="AH3"/>
      <c r="AI3" s="1159"/>
      <c r="AJ3" s="197"/>
      <c r="AK3" s="197"/>
      <c r="AL3" s="197"/>
      <c r="AM3" s="197"/>
      <c r="AN3" s="197"/>
      <c r="AO3" s="197"/>
      <c r="AP3" s="197"/>
      <c r="AQ3" s="197"/>
    </row>
    <row r="4" spans="1:43" s="237" customFormat="1" ht="25.35" customHeight="1" x14ac:dyDescent="0.3">
      <c r="A4" s="1148"/>
      <c r="B4" s="1152" t="s">
        <v>880</v>
      </c>
      <c r="C4" s="1153"/>
      <c r="D4" s="1153"/>
      <c r="E4" s="1153"/>
      <c r="F4" s="1150"/>
      <c r="G4" s="1149"/>
      <c r="H4" s="1150"/>
      <c r="I4" s="1150"/>
      <c r="J4" s="1151"/>
      <c r="K4"/>
      <c r="L4"/>
      <c r="M4"/>
      <c r="N4"/>
      <c r="O4"/>
      <c r="P4"/>
      <c r="Q4"/>
      <c r="R4"/>
      <c r="S4"/>
      <c r="T4"/>
      <c r="U4"/>
      <c r="V4"/>
      <c r="W4"/>
      <c r="X4"/>
      <c r="Y4"/>
      <c r="Z4"/>
      <c r="AA4"/>
      <c r="AB4"/>
      <c r="AC4"/>
      <c r="AD4"/>
      <c r="AE4"/>
      <c r="AF4"/>
      <c r="AG4"/>
      <c r="AH4"/>
      <c r="AI4" s="1160"/>
      <c r="AJ4" s="226"/>
      <c r="AK4" s="226"/>
      <c r="AL4" s="226"/>
      <c r="AM4" s="226"/>
      <c r="AN4" s="226"/>
      <c r="AO4" s="226"/>
      <c r="AP4" s="226"/>
      <c r="AQ4" s="226"/>
    </row>
    <row r="5" spans="1:43" ht="27" hidden="1" customHeight="1" x14ac:dyDescent="0.3">
      <c r="B5" s="1213" t="s">
        <v>1624</v>
      </c>
      <c r="C5" s="1214"/>
      <c r="D5" s="1214"/>
      <c r="E5" s="1214"/>
      <c r="F5" s="1214"/>
      <c r="G5" s="1214"/>
      <c r="H5" s="1214"/>
      <c r="I5" s="1214"/>
      <c r="J5" s="1215"/>
    </row>
    <row r="6" spans="1:43" ht="27" hidden="1" customHeight="1" x14ac:dyDescent="0.3">
      <c r="B6" s="1001"/>
      <c r="C6" s="1002"/>
      <c r="D6" s="1002"/>
      <c r="E6" s="1002"/>
      <c r="F6" s="1002"/>
      <c r="G6" s="1002"/>
      <c r="H6" s="1002"/>
      <c r="I6" s="1002"/>
      <c r="J6" s="1003"/>
    </row>
    <row r="7" spans="1:43" ht="20.25" customHeight="1" thickBot="1" x14ac:dyDescent="0.35">
      <c r="B7" s="1194" t="s">
        <v>881</v>
      </c>
      <c r="C7" s="1195"/>
      <c r="D7" s="1195"/>
      <c r="E7" s="1195"/>
      <c r="F7" s="1195"/>
      <c r="G7" s="1195"/>
      <c r="H7" s="1195"/>
      <c r="I7" s="1195"/>
      <c r="J7" s="1196"/>
    </row>
    <row r="8" spans="1:43" ht="39" hidden="1" customHeight="1" thickBot="1" x14ac:dyDescent="0.35">
      <c r="B8" s="200"/>
      <c r="C8" s="201"/>
      <c r="D8" s="202" t="s">
        <v>882</v>
      </c>
      <c r="E8" s="203"/>
      <c r="F8" s="204"/>
      <c r="G8" s="204"/>
      <c r="H8" s="204"/>
      <c r="I8" s="204"/>
      <c r="J8" s="205"/>
    </row>
    <row r="9" spans="1:43" s="206" customFormat="1" ht="15" hidden="1" thickBot="1" x14ac:dyDescent="0.35">
      <c r="B9" s="207"/>
      <c r="C9" s="208"/>
      <c r="D9" s="259" t="s">
        <v>728</v>
      </c>
      <c r="E9" s="209"/>
      <c r="F9" s="209"/>
      <c r="G9" s="209"/>
      <c r="H9" s="210"/>
      <c r="I9" s="210"/>
      <c r="J9" s="211"/>
      <c r="K9"/>
      <c r="L9"/>
      <c r="M9"/>
      <c r="N9"/>
      <c r="O9"/>
      <c r="P9"/>
      <c r="Q9"/>
      <c r="R9"/>
      <c r="S9"/>
      <c r="T9"/>
      <c r="U9"/>
      <c r="V9"/>
      <c r="W9"/>
      <c r="X9"/>
      <c r="Y9"/>
      <c r="Z9"/>
      <c r="AA9"/>
      <c r="AB9"/>
      <c r="AC9"/>
      <c r="AD9"/>
      <c r="AE9"/>
      <c r="AF9"/>
      <c r="AG9"/>
      <c r="AH9"/>
      <c r="AI9" s="1158"/>
      <c r="AJ9" s="195"/>
      <c r="AK9" s="195"/>
      <c r="AL9" s="195"/>
      <c r="AM9" s="195"/>
      <c r="AN9" s="195"/>
      <c r="AO9" s="195"/>
      <c r="AP9" s="195"/>
      <c r="AQ9" s="195"/>
    </row>
    <row r="10" spans="1:43" ht="19.5" hidden="1" customHeight="1" thickBot="1" x14ac:dyDescent="0.35">
      <c r="B10" s="212"/>
      <c r="C10" s="213"/>
      <c r="D10" s="316" t="s">
        <v>1149</v>
      </c>
      <c r="E10" s="1181" t="s">
        <v>883</v>
      </c>
      <c r="F10" s="1181"/>
      <c r="G10" s="1183"/>
      <c r="H10" s="1184"/>
      <c r="I10" s="1185"/>
      <c r="J10" s="214"/>
      <c r="AK10" s="195" t="s">
        <v>884</v>
      </c>
    </row>
    <row r="11" spans="1:43" ht="14.25" hidden="1" customHeight="1" thickBot="1" x14ac:dyDescent="0.35">
      <c r="B11" s="212"/>
      <c r="C11" s="213"/>
      <c r="D11" s="259"/>
      <c r="E11" s="209"/>
      <c r="F11" s="209"/>
      <c r="G11" s="215" t="str">
        <f>IF(U9&gt;0,"PLEASE SEE INSTRUCTIONS REGARDING NAME","")</f>
        <v/>
      </c>
      <c r="H11" s="216"/>
      <c r="I11" s="216"/>
      <c r="J11" s="214"/>
    </row>
    <row r="12" spans="1:43" ht="21" hidden="1" customHeight="1" thickBot="1" x14ac:dyDescent="0.35">
      <c r="B12" s="212"/>
      <c r="C12" s="213"/>
      <c r="D12" s="317" t="s">
        <v>1150</v>
      </c>
      <c r="E12" s="1181" t="s">
        <v>1353</v>
      </c>
      <c r="F12" s="1181"/>
      <c r="G12" s="217"/>
      <c r="H12" s="216"/>
      <c r="I12" s="216"/>
      <c r="J12" s="214"/>
      <c r="AK12" s="199">
        <v>44012</v>
      </c>
    </row>
    <row r="13" spans="1:43" ht="6.75" hidden="1" customHeight="1" thickBot="1" x14ac:dyDescent="0.35">
      <c r="B13" s="212"/>
      <c r="C13" s="213"/>
      <c r="D13" s="259"/>
      <c r="E13" s="218"/>
      <c r="F13" s="218"/>
      <c r="G13" s="216"/>
      <c r="H13" s="216"/>
      <c r="I13" s="216"/>
      <c r="J13" s="214"/>
    </row>
    <row r="14" spans="1:43" ht="26.25" hidden="1" customHeight="1" thickBot="1" x14ac:dyDescent="0.35">
      <c r="B14" s="212"/>
      <c r="C14" s="213"/>
      <c r="D14" s="265">
        <v>900</v>
      </c>
      <c r="E14" s="1181" t="s">
        <v>885</v>
      </c>
      <c r="F14" s="1181"/>
      <c r="G14" s="219"/>
      <c r="H14" s="216"/>
      <c r="I14" s="216"/>
      <c r="J14" s="214"/>
      <c r="AK14" s="199"/>
    </row>
    <row r="15" spans="1:43" ht="6.75" hidden="1" customHeight="1" thickBot="1" x14ac:dyDescent="0.35">
      <c r="B15" s="212"/>
      <c r="C15" s="213"/>
      <c r="D15" s="265"/>
      <c r="E15" s="218"/>
      <c r="F15" s="218"/>
      <c r="G15" s="216"/>
      <c r="H15" s="216"/>
      <c r="I15" s="216"/>
      <c r="J15" s="214"/>
    </row>
    <row r="16" spans="1:43" ht="26.25" hidden="1" customHeight="1" thickBot="1" x14ac:dyDescent="0.35">
      <c r="B16" s="212"/>
      <c r="C16" s="213"/>
      <c r="D16" s="265" t="s">
        <v>1071</v>
      </c>
      <c r="E16" s="1190" t="s">
        <v>886</v>
      </c>
      <c r="F16" s="1190"/>
      <c r="G16" s="1191"/>
      <c r="H16" s="1184"/>
      <c r="I16" s="1185"/>
      <c r="J16" s="214"/>
      <c r="AK16" s="220" t="s">
        <v>887</v>
      </c>
    </row>
    <row r="17" spans="2:37" ht="6.75" hidden="1" customHeight="1" thickBot="1" x14ac:dyDescent="0.35">
      <c r="B17" s="212"/>
      <c r="C17" s="213"/>
      <c r="D17" s="265"/>
      <c r="E17" s="218"/>
      <c r="F17" s="218"/>
      <c r="G17" s="216"/>
      <c r="H17" s="216"/>
      <c r="I17" s="216"/>
      <c r="J17" s="214"/>
    </row>
    <row r="18" spans="2:37" ht="24" hidden="1" customHeight="1" thickBot="1" x14ac:dyDescent="0.35">
      <c r="B18" s="212"/>
      <c r="C18" s="213"/>
      <c r="D18" s="265" t="s">
        <v>1072</v>
      </c>
      <c r="E18" s="1190" t="s">
        <v>888</v>
      </c>
      <c r="F18" s="1190"/>
      <c r="G18" s="1183"/>
      <c r="H18" s="1184"/>
      <c r="I18" s="1185"/>
      <c r="J18" s="214"/>
      <c r="AK18" s="220" t="s">
        <v>889</v>
      </c>
    </row>
    <row r="19" spans="2:37" ht="6.75" hidden="1" customHeight="1" thickBot="1" x14ac:dyDescent="0.35">
      <c r="B19" s="212"/>
      <c r="C19" s="213"/>
      <c r="D19" s="265"/>
      <c r="E19" s="218"/>
      <c r="F19" s="218"/>
      <c r="G19" s="216"/>
      <c r="H19" s="216"/>
      <c r="I19" s="216"/>
      <c r="J19" s="214"/>
    </row>
    <row r="20" spans="2:37" ht="24" hidden="1" customHeight="1" thickBot="1" x14ac:dyDescent="0.35">
      <c r="B20" s="212"/>
      <c r="C20" s="213"/>
      <c r="D20" s="265" t="s">
        <v>1073</v>
      </c>
      <c r="E20" s="1190" t="s">
        <v>890</v>
      </c>
      <c r="F20" s="1190"/>
      <c r="G20" s="1183"/>
      <c r="H20" s="1184"/>
      <c r="I20" s="1185"/>
      <c r="J20" s="214"/>
      <c r="AK20" s="220" t="s">
        <v>891</v>
      </c>
    </row>
    <row r="21" spans="2:37" ht="6.75" hidden="1" customHeight="1" thickBot="1" x14ac:dyDescent="0.35">
      <c r="B21" s="212"/>
      <c r="C21" s="213"/>
      <c r="D21" s="265"/>
      <c r="E21" s="218"/>
      <c r="F21" s="218"/>
      <c r="G21" s="216"/>
      <c r="H21" s="216"/>
      <c r="I21" s="216"/>
      <c r="J21" s="214"/>
    </row>
    <row r="22" spans="2:37" ht="24" hidden="1" customHeight="1" thickBot="1" x14ac:dyDescent="0.35">
      <c r="B22" s="212"/>
      <c r="C22" s="213"/>
      <c r="D22" s="265" t="s">
        <v>1074</v>
      </c>
      <c r="E22" s="1190" t="s">
        <v>892</v>
      </c>
      <c r="F22" s="1190"/>
      <c r="G22" s="1191"/>
      <c r="H22" s="1184"/>
      <c r="I22" s="1185"/>
      <c r="J22" s="214"/>
      <c r="AK22" s="220" t="s">
        <v>893</v>
      </c>
    </row>
    <row r="23" spans="2:37" ht="6.75" hidden="1" customHeight="1" thickBot="1" x14ac:dyDescent="0.35">
      <c r="B23" s="212"/>
      <c r="C23" s="213"/>
      <c r="D23" s="265"/>
      <c r="E23" s="218"/>
      <c r="F23" s="218"/>
      <c r="G23" s="216"/>
      <c r="H23" s="216"/>
      <c r="I23" s="216"/>
      <c r="J23" s="214"/>
    </row>
    <row r="24" spans="2:37" ht="24" hidden="1" customHeight="1" thickBot="1" x14ac:dyDescent="0.35">
      <c r="B24" s="212"/>
      <c r="C24" s="213"/>
      <c r="D24" s="265" t="s">
        <v>1075</v>
      </c>
      <c r="E24" s="1190" t="s">
        <v>894</v>
      </c>
      <c r="F24" s="1190"/>
      <c r="G24" s="1191"/>
      <c r="H24" s="1184"/>
      <c r="I24" s="1185"/>
      <c r="J24" s="214"/>
      <c r="AK24" s="220" t="s">
        <v>895</v>
      </c>
    </row>
    <row r="25" spans="2:37" ht="6.75" hidden="1" customHeight="1" thickBot="1" x14ac:dyDescent="0.35">
      <c r="B25" s="212"/>
      <c r="C25" s="213"/>
      <c r="D25" s="266"/>
      <c r="E25" s="209"/>
      <c r="F25" s="209"/>
      <c r="G25" s="213"/>
      <c r="H25" s="213"/>
      <c r="I25" s="213"/>
      <c r="J25" s="214"/>
    </row>
    <row r="26" spans="2:37" ht="18.75" hidden="1" customHeight="1" thickBot="1" x14ac:dyDescent="0.35">
      <c r="B26" s="212"/>
      <c r="C26" s="213"/>
      <c r="D26" s="265" t="s">
        <v>1151</v>
      </c>
      <c r="E26" s="1181" t="s">
        <v>896</v>
      </c>
      <c r="F26" s="1181"/>
      <c r="G26" s="1216"/>
      <c r="H26" s="1217"/>
      <c r="I26" s="221"/>
      <c r="J26" s="214"/>
    </row>
    <row r="27" spans="2:37" ht="28.5" hidden="1" customHeight="1" thickBot="1" x14ac:dyDescent="0.35">
      <c r="B27" s="212"/>
      <c r="C27" s="213"/>
      <c r="D27" s="265"/>
      <c r="E27" s="1197" t="str">
        <f>IF(G26="Housing Authority", CONCATENATE("SKIP Questions ",D28,"-",D66),"")</f>
        <v/>
      </c>
      <c r="F27" s="1197"/>
      <c r="G27" s="1197"/>
      <c r="H27" s="1197"/>
      <c r="I27" s="221"/>
      <c r="J27" s="214"/>
    </row>
    <row r="28" spans="2:37" ht="28.5" hidden="1" customHeight="1" thickBot="1" x14ac:dyDescent="0.35">
      <c r="B28" s="212"/>
      <c r="C28" s="213"/>
      <c r="D28" s="265" t="s">
        <v>1077</v>
      </c>
      <c r="E28" s="1181" t="s">
        <v>897</v>
      </c>
      <c r="F28" s="1181"/>
      <c r="G28" s="222"/>
      <c r="H28" s="1198">
        <f>+O28</f>
        <v>0</v>
      </c>
      <c r="I28" s="1199"/>
      <c r="J28" s="214"/>
    </row>
    <row r="29" spans="2:37" ht="6.75" hidden="1" customHeight="1" thickBot="1" x14ac:dyDescent="0.35">
      <c r="B29" s="212"/>
      <c r="C29" s="213"/>
      <c r="D29" s="266"/>
      <c r="E29" s="209"/>
      <c r="F29" s="209"/>
      <c r="G29" s="223"/>
      <c r="H29" s="209"/>
      <c r="I29" s="224"/>
      <c r="J29" s="214"/>
    </row>
    <row r="30" spans="2:37" ht="18.75" hidden="1" customHeight="1" thickBot="1" x14ac:dyDescent="0.35">
      <c r="B30" s="212"/>
      <c r="C30" s="213"/>
      <c r="D30" s="265" t="s">
        <v>1076</v>
      </c>
      <c r="E30" s="1181" t="s">
        <v>898</v>
      </c>
      <c r="F30" s="1181"/>
      <c r="G30" s="225"/>
      <c r="H30" s="1200"/>
      <c r="I30" s="1200"/>
      <c r="J30" s="214"/>
    </row>
    <row r="31" spans="2:37" ht="6.75" hidden="1" customHeight="1" thickBot="1" x14ac:dyDescent="0.35">
      <c r="B31" s="212"/>
      <c r="C31" s="213"/>
      <c r="D31" s="266"/>
      <c r="E31" s="209"/>
      <c r="F31" s="209"/>
      <c r="G31" s="213"/>
      <c r="H31" s="213"/>
      <c r="I31" s="213"/>
      <c r="J31" s="214"/>
    </row>
    <row r="32" spans="2:37" ht="27.75" hidden="1" customHeight="1" thickBot="1" x14ac:dyDescent="0.35">
      <c r="B32" s="212"/>
      <c r="C32" s="213"/>
      <c r="D32" s="265" t="s">
        <v>1078</v>
      </c>
      <c r="E32" s="1192" t="s">
        <v>899</v>
      </c>
      <c r="F32" s="1193"/>
      <c r="G32" s="1201"/>
      <c r="H32" s="1202"/>
      <c r="I32" s="1203"/>
      <c r="J32" s="214"/>
    </row>
    <row r="33" spans="2:10" ht="6.75" hidden="1" customHeight="1" thickBot="1" x14ac:dyDescent="0.35">
      <c r="B33" s="212"/>
      <c r="C33" s="213"/>
      <c r="D33" s="266"/>
      <c r="E33" s="209"/>
      <c r="F33" s="209"/>
      <c r="G33" s="213"/>
      <c r="H33" s="213"/>
      <c r="I33" s="213"/>
      <c r="J33" s="214"/>
    </row>
    <row r="34" spans="2:10" ht="17.25" hidden="1" customHeight="1" thickBot="1" x14ac:dyDescent="0.35">
      <c r="B34" s="212"/>
      <c r="C34" s="213"/>
      <c r="D34" s="265" t="s">
        <v>1079</v>
      </c>
      <c r="E34" s="218" t="s">
        <v>900</v>
      </c>
      <c r="F34" s="218"/>
      <c r="G34" s="1183"/>
      <c r="H34" s="1184"/>
      <c r="I34" s="1185"/>
      <c r="J34" s="214"/>
    </row>
    <row r="35" spans="2:10" ht="6.75" hidden="1" customHeight="1" thickBot="1" x14ac:dyDescent="0.35">
      <c r="B35" s="212"/>
      <c r="C35" s="213"/>
      <c r="D35" s="266"/>
      <c r="E35" s="209"/>
      <c r="F35" s="209"/>
      <c r="G35" s="213"/>
      <c r="H35" s="213"/>
      <c r="I35" s="213"/>
      <c r="J35" s="214"/>
    </row>
    <row r="36" spans="2:10" ht="18" hidden="1" customHeight="1" thickBot="1" x14ac:dyDescent="0.35">
      <c r="B36" s="212"/>
      <c r="C36" s="213"/>
      <c r="D36" s="265" t="s">
        <v>1080</v>
      </c>
      <c r="E36" s="1181" t="s">
        <v>901</v>
      </c>
      <c r="F36" s="1219"/>
      <c r="G36" s="1183"/>
      <c r="H36" s="1184"/>
      <c r="I36" s="1185"/>
      <c r="J36" s="214"/>
    </row>
    <row r="37" spans="2:10" ht="8.25" hidden="1" customHeight="1" thickBot="1" x14ac:dyDescent="0.35">
      <c r="B37" s="212"/>
      <c r="C37" s="213"/>
      <c r="D37" s="259"/>
      <c r="E37" s="1220"/>
      <c r="F37" s="1220"/>
      <c r="G37" s="1220"/>
      <c r="H37" s="1220"/>
      <c r="I37" s="221"/>
      <c r="J37" s="214"/>
    </row>
    <row r="38" spans="2:10" ht="39" customHeight="1" thickBot="1" x14ac:dyDescent="0.35">
      <c r="B38" s="1221" t="s">
        <v>1623</v>
      </c>
      <c r="C38" s="1222"/>
      <c r="D38" s="1222"/>
      <c r="E38" s="1222"/>
      <c r="F38" s="1222"/>
      <c r="G38" s="1222"/>
      <c r="H38" s="1222"/>
      <c r="I38" s="1222"/>
      <c r="J38" s="1223"/>
    </row>
    <row r="39" spans="2:10" ht="4.5" customHeight="1" x14ac:dyDescent="0.3">
      <c r="B39" s="212"/>
      <c r="C39" s="213"/>
      <c r="D39" s="260"/>
      <c r="E39" s="209"/>
      <c r="F39" s="209"/>
      <c r="G39" s="213"/>
      <c r="H39" s="213"/>
      <c r="I39" s="213"/>
      <c r="J39" s="214"/>
    </row>
    <row r="40" spans="2:10" ht="4.5" customHeight="1" thickBot="1" x14ac:dyDescent="0.35">
      <c r="B40" s="212"/>
      <c r="C40" s="213"/>
      <c r="D40" s="260"/>
      <c r="E40" s="209"/>
      <c r="F40" s="209"/>
      <c r="G40" s="213"/>
      <c r="H40" s="213"/>
      <c r="I40" s="213"/>
      <c r="J40" s="214"/>
    </row>
    <row r="41" spans="2:10" ht="30.75" customHeight="1" thickBot="1" x14ac:dyDescent="0.35">
      <c r="B41" s="212"/>
      <c r="C41" s="213"/>
      <c r="D41" s="259">
        <v>906</v>
      </c>
      <c r="E41" s="1181" t="s">
        <v>902</v>
      </c>
      <c r="F41" s="1181"/>
      <c r="G41" s="222"/>
      <c r="H41" s="314" t="str">
        <f>IF(G41="","This Question must be answered before uploading, the report will not be processed if left blank","")</f>
        <v>This Question must be answered before uploading, the report will not be processed if left blank</v>
      </c>
      <c r="I41" s="213"/>
      <c r="J41" s="214"/>
    </row>
    <row r="42" spans="2:10" ht="6.75" customHeight="1" thickBot="1" x14ac:dyDescent="0.35">
      <c r="B42" s="212"/>
      <c r="C42" s="213"/>
      <c r="D42" s="259"/>
      <c r="E42" s="218"/>
      <c r="F42" s="218"/>
      <c r="G42" s="223"/>
      <c r="H42" s="213"/>
      <c r="I42" s="213"/>
      <c r="J42" s="214"/>
    </row>
    <row r="43" spans="2:10" ht="32.25" customHeight="1" thickBot="1" x14ac:dyDescent="0.35">
      <c r="B43" s="212"/>
      <c r="C43" s="213"/>
      <c r="D43" s="259">
        <v>907</v>
      </c>
      <c r="E43" s="1181" t="s">
        <v>903</v>
      </c>
      <c r="F43" s="1181"/>
      <c r="G43" s="222"/>
      <c r="H43" s="314" t="str">
        <f>IF(G43="","This Question must be answered before uploading, the report will not be processed if left blank","")</f>
        <v>This Question must be answered before uploading, the report will not be processed if left blank</v>
      </c>
      <c r="I43" s="213"/>
      <c r="J43" s="214"/>
    </row>
    <row r="44" spans="2:10" ht="6.75" customHeight="1" thickBot="1" x14ac:dyDescent="0.35">
      <c r="B44" s="212"/>
      <c r="C44" s="213"/>
      <c r="D44" s="259"/>
      <c r="E44" s="218"/>
      <c r="F44" s="218"/>
      <c r="G44" s="223"/>
      <c r="H44" s="213"/>
      <c r="I44" s="213"/>
      <c r="J44" s="214"/>
    </row>
    <row r="45" spans="2:10" ht="32.25" customHeight="1" thickBot="1" x14ac:dyDescent="0.35">
      <c r="B45" s="212"/>
      <c r="C45" s="213"/>
      <c r="D45" s="259">
        <v>951</v>
      </c>
      <c r="E45" s="1181" t="s">
        <v>904</v>
      </c>
      <c r="F45" s="1181"/>
      <c r="G45" s="222"/>
      <c r="H45" s="314" t="str">
        <f>IF(G45="","This Question must be answered before uploading, the report will not be processed if left blank","")</f>
        <v>This Question must be answered before uploading, the report will not be processed if left blank</v>
      </c>
      <c r="I45" s="209"/>
      <c r="J45" s="214"/>
    </row>
    <row r="46" spans="2:10" ht="6.75" customHeight="1" thickBot="1" x14ac:dyDescent="0.35">
      <c r="B46" s="212"/>
      <c r="C46" s="213"/>
      <c r="D46" s="259"/>
      <c r="E46" s="218"/>
      <c r="F46" s="218"/>
      <c r="G46" s="223"/>
      <c r="H46" s="213"/>
      <c r="I46" s="213"/>
      <c r="J46" s="214"/>
    </row>
    <row r="47" spans="2:10" ht="33" customHeight="1" thickBot="1" x14ac:dyDescent="0.35">
      <c r="B47" s="212"/>
      <c r="C47" s="213"/>
      <c r="D47" s="259">
        <v>953</v>
      </c>
      <c r="E47" s="1181" t="s">
        <v>905</v>
      </c>
      <c r="F47" s="1181"/>
      <c r="G47" s="222"/>
      <c r="H47" s="314" t="str">
        <f>IF(G47="","This Question must be answered before uploading, the report will not be processed if left blank","")</f>
        <v>This Question must be answered before uploading, the report will not be processed if left blank</v>
      </c>
      <c r="I47" s="209"/>
      <c r="J47" s="214"/>
    </row>
    <row r="48" spans="2:10" ht="6.75" customHeight="1" thickBot="1" x14ac:dyDescent="0.35">
      <c r="B48" s="212"/>
      <c r="C48" s="213"/>
      <c r="D48" s="261"/>
      <c r="E48" s="218"/>
      <c r="F48" s="218"/>
      <c r="G48" s="223"/>
      <c r="H48" s="213"/>
      <c r="I48" s="213"/>
      <c r="J48" s="214"/>
    </row>
    <row r="49" spans="2:43" ht="32.25" customHeight="1" thickBot="1" x14ac:dyDescent="0.35">
      <c r="B49" s="212"/>
      <c r="C49" s="213"/>
      <c r="D49" s="259">
        <v>955</v>
      </c>
      <c r="E49" s="1181" t="s">
        <v>906</v>
      </c>
      <c r="F49" s="1181"/>
      <c r="G49" s="227"/>
      <c r="H49" s="314" t="str">
        <f>IF(G49="","This Question must be answered before uploading, the report will not be processed if left blank","")</f>
        <v>This Question must be answered before uploading, the report will not be processed if left blank</v>
      </c>
      <c r="I49" s="228"/>
      <c r="J49" s="229"/>
      <c r="AK49" s="195">
        <v>0</v>
      </c>
    </row>
    <row r="50" spans="2:43" ht="6.75" customHeight="1" thickBot="1" x14ac:dyDescent="0.35">
      <c r="B50" s="212"/>
      <c r="C50" s="213"/>
      <c r="D50" s="259"/>
      <c r="E50" s="218"/>
      <c r="F50" s="218"/>
      <c r="G50" s="223"/>
      <c r="H50" s="228"/>
      <c r="I50" s="228"/>
      <c r="J50" s="229"/>
    </row>
    <row r="51" spans="2:43" ht="39.75" customHeight="1" thickBot="1" x14ac:dyDescent="0.35">
      <c r="B51" s="212"/>
      <c r="C51" s="213"/>
      <c r="D51" s="259">
        <v>957</v>
      </c>
      <c r="E51" s="1181" t="s">
        <v>907</v>
      </c>
      <c r="F51" s="1181"/>
      <c r="G51" s="227"/>
      <c r="H51" s="314" t="str">
        <f>IF(G51="","This Question must be answered before uploading, the report will not be processed if left blank","")</f>
        <v>This Question must be answered before uploading, the report will not be processed if left blank</v>
      </c>
      <c r="I51" s="228"/>
      <c r="J51" s="229"/>
      <c r="AK51" s="195">
        <v>1</v>
      </c>
    </row>
    <row r="52" spans="2:43" ht="9.75" customHeight="1" thickBot="1" x14ac:dyDescent="0.35">
      <c r="B52" s="212"/>
      <c r="C52" s="213"/>
      <c r="D52" s="260"/>
      <c r="E52" s="209"/>
      <c r="F52" s="209"/>
      <c r="G52" s="213"/>
      <c r="H52" s="213"/>
      <c r="I52" s="213"/>
      <c r="J52" s="214"/>
    </row>
    <row r="53" spans="2:43" ht="35.1" customHeight="1" thickBot="1" x14ac:dyDescent="0.35">
      <c r="B53" s="212"/>
      <c r="C53" s="213"/>
      <c r="D53" s="259">
        <v>959</v>
      </c>
      <c r="E53" s="1182" t="s">
        <v>1345</v>
      </c>
      <c r="F53" s="1182"/>
      <c r="G53" s="222"/>
      <c r="H53" s="314" t="str">
        <f>IF(G53="","This Question must be answered before uploading, the report will not be processed if left blank","")</f>
        <v>This Question must be answered before uploading, the report will not be processed if left blank</v>
      </c>
      <c r="I53" s="213"/>
      <c r="J53" s="214"/>
    </row>
    <row r="54" spans="2:43" ht="8.25" hidden="1" customHeight="1" thickBot="1" x14ac:dyDescent="0.35">
      <c r="B54" s="212"/>
      <c r="C54" s="213"/>
      <c r="D54" s="259"/>
      <c r="E54" s="393"/>
      <c r="F54" s="393"/>
      <c r="G54" s="213"/>
      <c r="H54" s="213"/>
      <c r="I54" s="213"/>
      <c r="J54" s="214"/>
    </row>
    <row r="55" spans="2:43" ht="67.5" hidden="1" customHeight="1" thickBot="1" x14ac:dyDescent="0.35">
      <c r="B55" s="212"/>
      <c r="C55" s="230"/>
      <c r="D55" s="259">
        <v>973</v>
      </c>
      <c r="E55" s="1182" t="s">
        <v>1429</v>
      </c>
      <c r="F55" s="1182"/>
      <c r="G55" s="400"/>
      <c r="H55" s="314" t="str">
        <f>IF(G55="","This Question must be answered before uploading, the report will not be processed if left blank","")</f>
        <v>This Question must be answered before uploading, the report will not be processed if left blank</v>
      </c>
      <c r="I55" s="286"/>
      <c r="J55" s="214"/>
    </row>
    <row r="56" spans="2:43" ht="6.75" customHeight="1" thickBot="1" x14ac:dyDescent="0.35">
      <c r="B56" s="212"/>
      <c r="C56" s="230"/>
      <c r="D56" s="262"/>
      <c r="E56" s="209"/>
      <c r="F56" s="209"/>
      <c r="G56" s="258"/>
      <c r="H56" s="213"/>
      <c r="I56" s="213"/>
      <c r="J56" s="214"/>
    </row>
    <row r="57" spans="2:43" ht="98.25" customHeight="1" thickBot="1" x14ac:dyDescent="0.35">
      <c r="B57" s="212"/>
      <c r="C57" s="213"/>
      <c r="D57" s="259">
        <v>974</v>
      </c>
      <c r="E57" s="1181" t="s">
        <v>1349</v>
      </c>
      <c r="F57" s="1186"/>
      <c r="G57" s="222"/>
      <c r="H57" s="313" t="str">
        <f>IF(G57="","This Question must be answered before uploading, the report will not be processed if left blank","")</f>
        <v>This Question must be answered before uploading, the report will not be processed if left blank</v>
      </c>
      <c r="I57" s="231"/>
      <c r="J57" s="214"/>
    </row>
    <row r="58" spans="2:43" ht="6.75" customHeight="1" x14ac:dyDescent="0.3">
      <c r="B58" s="212"/>
      <c r="C58" s="213"/>
      <c r="D58" s="259"/>
      <c r="E58" s="218"/>
      <c r="F58" s="218"/>
      <c r="G58" s="223"/>
      <c r="H58" s="213"/>
      <c r="I58" s="213"/>
      <c r="J58" s="214"/>
    </row>
    <row r="59" spans="2:43" ht="6.75" hidden="1" customHeight="1" thickBot="1" x14ac:dyDescent="0.35">
      <c r="B59" s="212"/>
      <c r="C59" s="213"/>
      <c r="D59" s="259"/>
      <c r="E59" s="218"/>
      <c r="F59" s="218"/>
      <c r="G59" s="223"/>
      <c r="H59" s="209"/>
      <c r="I59" s="213"/>
      <c r="J59" s="214"/>
    </row>
    <row r="60" spans="2:43" ht="29.25" hidden="1" customHeight="1" thickBot="1" x14ac:dyDescent="0.35">
      <c r="B60" s="212"/>
      <c r="C60" s="213"/>
      <c r="D60" s="259">
        <v>965</v>
      </c>
      <c r="E60" s="1181" t="s">
        <v>908</v>
      </c>
      <c r="F60" s="1181"/>
      <c r="G60" s="225"/>
      <c r="H60" s="314" t="str">
        <f>IF(G60="","This Question must be answered before uploading, the report will not be processed if left blank","")</f>
        <v>This Question must be answered before uploading, the report will not be processed if left blank</v>
      </c>
      <c r="I60" s="224"/>
      <c r="J60" s="214"/>
    </row>
    <row r="61" spans="2:43" ht="6.75" customHeight="1" thickBot="1" x14ac:dyDescent="0.35">
      <c r="B61" s="212"/>
      <c r="C61" s="213"/>
      <c r="D61" s="260"/>
      <c r="E61" s="209"/>
      <c r="F61" s="209"/>
      <c r="G61" s="223"/>
      <c r="H61" s="209"/>
      <c r="I61" s="224"/>
      <c r="J61" s="214"/>
    </row>
    <row r="62" spans="2:43" s="237" customFormat="1" ht="30.75" customHeight="1" thickBot="1" x14ac:dyDescent="0.35">
      <c r="B62" s="232"/>
      <c r="C62" s="233"/>
      <c r="D62" s="259" t="s">
        <v>1152</v>
      </c>
      <c r="E62" s="234" t="s">
        <v>909</v>
      </c>
      <c r="F62" s="235" t="str">
        <f>IF(G62="Yes", "Please Submit Management Letter","")</f>
        <v/>
      </c>
      <c r="G62" s="222"/>
      <c r="H62" s="314" t="str">
        <f>IF(G62="","This Question must be answered before uploading, the report will not be processed if left blank","")</f>
        <v>This Question must be answered before uploading, the report will not be processed if left blank</v>
      </c>
      <c r="I62" s="285"/>
      <c r="J62" s="214"/>
      <c r="K62"/>
      <c r="L62"/>
      <c r="M62"/>
      <c r="N62"/>
      <c r="O62"/>
      <c r="P62"/>
      <c r="Q62"/>
      <c r="R62"/>
      <c r="S62"/>
      <c r="T62"/>
      <c r="U62"/>
      <c r="V62"/>
      <c r="W62"/>
      <c r="X62"/>
      <c r="Y62"/>
      <c r="Z62"/>
      <c r="AA62"/>
      <c r="AB62"/>
      <c r="AC62"/>
      <c r="AD62"/>
      <c r="AE62"/>
      <c r="AF62"/>
      <c r="AG62"/>
      <c r="AH62"/>
      <c r="AI62" s="1160"/>
      <c r="AJ62" s="226"/>
      <c r="AK62" s="236"/>
      <c r="AL62" s="226"/>
      <c r="AM62" s="226"/>
      <c r="AN62" s="226"/>
      <c r="AO62" s="226"/>
      <c r="AP62" s="226"/>
      <c r="AQ62" s="226"/>
    </row>
    <row r="63" spans="2:43" s="237" customFormat="1" ht="9.75" customHeight="1" thickBot="1" x14ac:dyDescent="0.35">
      <c r="B63" s="232"/>
      <c r="C63" s="233"/>
      <c r="D63" s="260"/>
      <c r="E63" s="238"/>
      <c r="F63" s="239"/>
      <c r="G63" s="223"/>
      <c r="H63" s="209"/>
      <c r="I63" s="224"/>
      <c r="J63" s="214"/>
      <c r="K63"/>
      <c r="L63"/>
      <c r="M63"/>
      <c r="N63"/>
      <c r="O63"/>
      <c r="P63"/>
      <c r="Q63"/>
      <c r="R63"/>
      <c r="S63"/>
      <c r="T63"/>
      <c r="U63"/>
      <c r="V63"/>
      <c r="W63"/>
      <c r="X63"/>
      <c r="Y63"/>
      <c r="Z63"/>
      <c r="AA63"/>
      <c r="AB63"/>
      <c r="AC63"/>
      <c r="AD63"/>
      <c r="AE63"/>
      <c r="AF63"/>
      <c r="AG63"/>
      <c r="AH63"/>
      <c r="AI63" s="1160"/>
      <c r="AJ63" s="226"/>
      <c r="AK63" s="236"/>
      <c r="AL63" s="226"/>
      <c r="AM63" s="226"/>
      <c r="AN63" s="226"/>
      <c r="AO63" s="226"/>
      <c r="AP63" s="226"/>
      <c r="AQ63" s="226"/>
    </row>
    <row r="64" spans="2:43" s="237" customFormat="1" ht="31.5" customHeight="1" thickBot="1" x14ac:dyDescent="0.35">
      <c r="B64" s="232"/>
      <c r="C64" s="233"/>
      <c r="D64" s="259" t="s">
        <v>1153</v>
      </c>
      <c r="E64" s="234" t="s">
        <v>910</v>
      </c>
      <c r="F64" s="235" t="str">
        <f>IF(G64="Yes", "Please Submit AU-C 260 Letter","")</f>
        <v/>
      </c>
      <c r="G64" s="222"/>
      <c r="H64" s="314" t="str">
        <f>IF(G64="","This Question must be answered before uploading, the report will not be processed if left blank","")</f>
        <v>This Question must be answered before uploading, the report will not be processed if left blank</v>
      </c>
      <c r="I64" s="285"/>
      <c r="J64" s="214"/>
      <c r="K64"/>
      <c r="L64"/>
      <c r="M64"/>
      <c r="N64"/>
      <c r="O64"/>
      <c r="P64"/>
      <c r="Q64"/>
      <c r="R64"/>
      <c r="S64"/>
      <c r="T64"/>
      <c r="U64"/>
      <c r="V64"/>
      <c r="W64"/>
      <c r="X64"/>
      <c r="Y64"/>
      <c r="Z64"/>
      <c r="AA64"/>
      <c r="AB64"/>
      <c r="AC64"/>
      <c r="AD64"/>
      <c r="AE64"/>
      <c r="AF64"/>
      <c r="AG64"/>
      <c r="AH64"/>
      <c r="AI64" s="1160"/>
      <c r="AJ64" s="226"/>
      <c r="AK64" s="236"/>
      <c r="AL64" s="226"/>
      <c r="AM64" s="226"/>
      <c r="AN64" s="226"/>
      <c r="AO64" s="226"/>
      <c r="AP64" s="226"/>
      <c r="AQ64" s="226"/>
    </row>
    <row r="65" spans="2:43" s="237" customFormat="1" ht="8.25" customHeight="1" thickBot="1" x14ac:dyDescent="0.35">
      <c r="B65" s="232"/>
      <c r="C65" s="233"/>
      <c r="D65" s="260"/>
      <c r="E65" s="240"/>
      <c r="F65" s="239"/>
      <c r="G65" s="223"/>
      <c r="H65" s="209"/>
      <c r="I65" s="224"/>
      <c r="J65" s="214"/>
      <c r="K65"/>
      <c r="L65"/>
      <c r="M65"/>
      <c r="N65"/>
      <c r="O65"/>
      <c r="P65"/>
      <c r="Q65"/>
      <c r="R65"/>
      <c r="S65"/>
      <c r="T65"/>
      <c r="U65"/>
      <c r="V65"/>
      <c r="W65"/>
      <c r="X65"/>
      <c r="Y65"/>
      <c r="Z65"/>
      <c r="AA65"/>
      <c r="AB65"/>
      <c r="AC65"/>
      <c r="AD65"/>
      <c r="AE65"/>
      <c r="AF65"/>
      <c r="AG65"/>
      <c r="AH65"/>
      <c r="AI65" s="1160"/>
      <c r="AJ65" s="226"/>
      <c r="AK65" s="236"/>
      <c r="AL65" s="226"/>
      <c r="AM65" s="226"/>
      <c r="AN65" s="226"/>
      <c r="AO65" s="226"/>
      <c r="AP65" s="226"/>
      <c r="AQ65" s="226"/>
    </row>
    <row r="66" spans="2:43" s="237" customFormat="1" ht="33.75" customHeight="1" thickBot="1" x14ac:dyDescent="0.35">
      <c r="B66" s="232"/>
      <c r="C66" s="233"/>
      <c r="D66" s="259" t="s">
        <v>1154</v>
      </c>
      <c r="E66" s="234" t="s">
        <v>911</v>
      </c>
      <c r="F66" s="235" t="str">
        <f>IF(G66="Yes", "Please Submit AU-C 265 Letter","")</f>
        <v/>
      </c>
      <c r="G66" s="222"/>
      <c r="H66" s="314" t="str">
        <f>IF(G66="","This Question must be answered before uploading, the report will not be processed if left blank","")</f>
        <v>This Question must be answered before uploading, the report will not be processed if left blank</v>
      </c>
      <c r="I66" s="285"/>
      <c r="J66" s="214"/>
      <c r="K66"/>
      <c r="L66"/>
      <c r="M66"/>
      <c r="N66"/>
      <c r="O66"/>
      <c r="P66"/>
      <c r="Q66"/>
      <c r="R66"/>
      <c r="S66"/>
      <c r="T66"/>
      <c r="U66"/>
      <c r="V66"/>
      <c r="W66"/>
      <c r="X66"/>
      <c r="Y66"/>
      <c r="Z66"/>
      <c r="AA66"/>
      <c r="AB66"/>
      <c r="AC66"/>
      <c r="AD66"/>
      <c r="AE66"/>
      <c r="AF66"/>
      <c r="AG66"/>
      <c r="AH66"/>
      <c r="AI66" s="1160"/>
      <c r="AJ66" s="226"/>
      <c r="AK66" s="236"/>
      <c r="AL66" s="226"/>
      <c r="AM66" s="226"/>
      <c r="AN66" s="226"/>
      <c r="AO66" s="226"/>
      <c r="AP66" s="226"/>
      <c r="AQ66" s="226"/>
    </row>
    <row r="67" spans="2:43" ht="6.75" hidden="1" customHeight="1" thickBot="1" x14ac:dyDescent="0.35">
      <c r="B67" s="212"/>
      <c r="C67" s="213"/>
      <c r="D67" s="260"/>
      <c r="E67" s="241"/>
      <c r="F67" s="241"/>
      <c r="G67" s="216"/>
      <c r="H67" s="209"/>
      <c r="I67" s="209"/>
      <c r="J67" s="214"/>
    </row>
    <row r="68" spans="2:43" s="237" customFormat="1" ht="35.25" hidden="1" customHeight="1" thickBot="1" x14ac:dyDescent="0.35">
      <c r="B68" s="232"/>
      <c r="C68" s="216"/>
      <c r="D68" s="403">
        <v>977</v>
      </c>
      <c r="E68" s="1187" t="s">
        <v>1330</v>
      </c>
      <c r="F68" s="1188"/>
      <c r="G68" s="401"/>
      <c r="H68" s="314" t="str">
        <f>IF(G68="","This Question must be answered before uploading, the report will not be processed if left blank","")</f>
        <v>This Question must be answered before uploading, the report will not be processed if left blank</v>
      </c>
      <c r="I68" s="224"/>
      <c r="J68" s="214"/>
      <c r="K68"/>
      <c r="L68"/>
      <c r="M68"/>
      <c r="N68"/>
      <c r="O68"/>
      <c r="P68"/>
      <c r="Q68"/>
      <c r="R68"/>
      <c r="S68"/>
      <c r="T68"/>
      <c r="U68"/>
      <c r="V68"/>
      <c r="W68"/>
      <c r="X68"/>
      <c r="Y68"/>
      <c r="Z68"/>
      <c r="AA68"/>
      <c r="AB68"/>
      <c r="AC68"/>
      <c r="AD68"/>
      <c r="AE68"/>
      <c r="AF68"/>
      <c r="AG68"/>
      <c r="AH68"/>
      <c r="AI68" s="1160"/>
      <c r="AJ68" s="226"/>
      <c r="AK68" s="236"/>
      <c r="AL68" s="226"/>
      <c r="AM68" s="226"/>
      <c r="AN68" s="226"/>
      <c r="AO68" s="226"/>
      <c r="AP68" s="226"/>
      <c r="AQ68" s="226"/>
    </row>
    <row r="69" spans="2:43" s="237" customFormat="1" ht="8.25" hidden="1" customHeight="1" thickBot="1" x14ac:dyDescent="0.35">
      <c r="B69" s="232"/>
      <c r="C69" s="216"/>
      <c r="D69" s="259"/>
      <c r="E69" s="267"/>
      <c r="F69" s="268"/>
      <c r="G69" s="223"/>
      <c r="H69" s="209"/>
      <c r="I69" s="224"/>
      <c r="J69" s="214"/>
      <c r="K69"/>
      <c r="L69"/>
      <c r="M69"/>
      <c r="N69"/>
      <c r="O69"/>
      <c r="P69"/>
      <c r="Q69"/>
      <c r="R69"/>
      <c r="S69"/>
      <c r="T69"/>
      <c r="U69"/>
      <c r="V69"/>
      <c r="W69"/>
      <c r="X69"/>
      <c r="Y69"/>
      <c r="Z69"/>
      <c r="AA69"/>
      <c r="AB69"/>
      <c r="AC69"/>
      <c r="AD69"/>
      <c r="AE69"/>
      <c r="AF69"/>
      <c r="AG69"/>
      <c r="AH69"/>
      <c r="AI69" s="1160"/>
      <c r="AJ69" s="226"/>
      <c r="AK69" s="236"/>
      <c r="AL69" s="226"/>
      <c r="AM69" s="226"/>
      <c r="AN69" s="226"/>
      <c r="AO69" s="226"/>
      <c r="AP69" s="226"/>
      <c r="AQ69" s="226"/>
    </row>
    <row r="70" spans="2:43" s="237" customFormat="1" ht="30" hidden="1" customHeight="1" thickBot="1" x14ac:dyDescent="0.35">
      <c r="B70" s="232"/>
      <c r="C70" s="216"/>
      <c r="D70" s="403">
        <v>978</v>
      </c>
      <c r="E70" s="1187" t="s">
        <v>1082</v>
      </c>
      <c r="F70" s="1188"/>
      <c r="G70" s="401"/>
      <c r="H70" s="314" t="str">
        <f>IF(G70="","This Question must be answered before uploading, the report will not be processed if left blank","")</f>
        <v>This Question must be answered before uploading, the report will not be processed if left blank</v>
      </c>
      <c r="I70" s="224"/>
      <c r="J70" s="214"/>
      <c r="K70"/>
      <c r="L70"/>
      <c r="M70"/>
      <c r="N70"/>
      <c r="O70"/>
      <c r="P70"/>
      <c r="Q70"/>
      <c r="R70"/>
      <c r="S70"/>
      <c r="T70"/>
      <c r="U70"/>
      <c r="V70"/>
      <c r="W70"/>
      <c r="X70"/>
      <c r="Y70"/>
      <c r="Z70"/>
      <c r="AA70"/>
      <c r="AB70"/>
      <c r="AC70"/>
      <c r="AD70"/>
      <c r="AE70"/>
      <c r="AF70"/>
      <c r="AG70"/>
      <c r="AH70"/>
      <c r="AI70" s="1160"/>
      <c r="AJ70" s="226"/>
      <c r="AK70" s="236"/>
      <c r="AL70" s="226"/>
      <c r="AM70" s="226"/>
      <c r="AN70" s="226"/>
      <c r="AO70" s="226"/>
      <c r="AP70" s="226"/>
      <c r="AQ70" s="226"/>
    </row>
    <row r="71" spans="2:43" s="237" customFormat="1" ht="8.25" customHeight="1" thickBot="1" x14ac:dyDescent="0.35">
      <c r="B71" s="232"/>
      <c r="C71" s="216"/>
      <c r="D71" s="403"/>
      <c r="E71" s="267"/>
      <c r="F71" s="268"/>
      <c r="G71" s="223"/>
      <c r="H71" s="209"/>
      <c r="I71" s="224"/>
      <c r="J71" s="214"/>
      <c r="K71"/>
      <c r="L71"/>
      <c r="M71"/>
      <c r="N71"/>
      <c r="O71"/>
      <c r="P71"/>
      <c r="Q71"/>
      <c r="R71"/>
      <c r="S71"/>
      <c r="T71"/>
      <c r="U71"/>
      <c r="V71"/>
      <c r="W71"/>
      <c r="X71"/>
      <c r="Y71"/>
      <c r="Z71"/>
      <c r="AA71"/>
      <c r="AB71"/>
      <c r="AC71"/>
      <c r="AD71"/>
      <c r="AE71"/>
      <c r="AF71"/>
      <c r="AG71"/>
      <c r="AH71"/>
      <c r="AI71" s="1160"/>
      <c r="AJ71" s="226"/>
      <c r="AK71" s="236"/>
      <c r="AL71" s="226"/>
      <c r="AM71" s="226"/>
      <c r="AN71" s="226"/>
      <c r="AO71" s="226"/>
      <c r="AP71" s="226"/>
      <c r="AQ71" s="226"/>
    </row>
    <row r="72" spans="2:43" s="237" customFormat="1" ht="36.75" customHeight="1" thickBot="1" x14ac:dyDescent="0.35">
      <c r="B72" s="232"/>
      <c r="C72" s="216"/>
      <c r="D72" s="403">
        <v>979</v>
      </c>
      <c r="E72" s="1187" t="s">
        <v>2077</v>
      </c>
      <c r="F72" s="1188"/>
      <c r="G72" s="401"/>
      <c r="H72" s="314" t="str">
        <f>IF(G72="","This Question must be answered before uploading, the report will not be processed if left blank","")</f>
        <v>This Question must be answered before uploading, the report will not be processed if left blank</v>
      </c>
      <c r="I72" s="224"/>
      <c r="J72" s="214"/>
      <c r="K72"/>
      <c r="L72"/>
      <c r="M72"/>
      <c r="N72"/>
      <c r="O72"/>
      <c r="P72"/>
      <c r="Q72"/>
      <c r="R72"/>
      <c r="S72"/>
      <c r="T72"/>
      <c r="U72"/>
      <c r="V72"/>
      <c r="W72"/>
      <c r="X72"/>
      <c r="Y72"/>
      <c r="Z72"/>
      <c r="AA72"/>
      <c r="AB72"/>
      <c r="AC72"/>
      <c r="AD72"/>
      <c r="AE72"/>
      <c r="AF72"/>
      <c r="AG72"/>
      <c r="AH72"/>
      <c r="AI72" s="1160"/>
      <c r="AJ72" s="226"/>
      <c r="AK72" s="236"/>
      <c r="AL72" s="226"/>
      <c r="AM72" s="226"/>
      <c r="AN72" s="226"/>
      <c r="AO72" s="226"/>
      <c r="AP72" s="226"/>
      <c r="AQ72" s="226"/>
    </row>
    <row r="73" spans="2:43" s="269" customFormat="1" ht="6.75" customHeight="1" thickBot="1" x14ac:dyDescent="0.35">
      <c r="B73" s="232"/>
      <c r="C73" s="216"/>
      <c r="D73" s="259"/>
      <c r="E73" s="267"/>
      <c r="F73" s="268"/>
      <c r="G73" s="223"/>
      <c r="H73" s="209"/>
      <c r="I73" s="224"/>
      <c r="J73" s="214"/>
      <c r="K73"/>
      <c r="L73"/>
      <c r="M73"/>
      <c r="N73"/>
      <c r="O73"/>
      <c r="P73"/>
      <c r="Q73"/>
      <c r="R73"/>
      <c r="S73"/>
      <c r="T73"/>
      <c r="U73"/>
      <c r="V73"/>
      <c r="W73"/>
      <c r="X73"/>
      <c r="Y73"/>
      <c r="Z73"/>
      <c r="AA73"/>
      <c r="AB73"/>
      <c r="AC73"/>
      <c r="AD73"/>
      <c r="AE73"/>
      <c r="AF73"/>
      <c r="AG73"/>
      <c r="AH73"/>
      <c r="AI73" s="1161"/>
      <c r="AJ73" s="270"/>
      <c r="AK73" s="271"/>
      <c r="AL73" s="270"/>
      <c r="AM73" s="270"/>
      <c r="AN73" s="270"/>
      <c r="AO73" s="270"/>
      <c r="AP73" s="270"/>
      <c r="AQ73" s="270"/>
    </row>
    <row r="74" spans="2:43" s="237" customFormat="1" ht="39" customHeight="1" thickBot="1" x14ac:dyDescent="0.35">
      <c r="B74" s="232"/>
      <c r="C74" s="216"/>
      <c r="D74" s="403">
        <v>980</v>
      </c>
      <c r="E74" s="1218" t="s">
        <v>1081</v>
      </c>
      <c r="F74" s="1218"/>
      <c r="G74" s="402"/>
      <c r="H74" s="314" t="str">
        <f>IF(G74="","This Question must be answered before uploading, the report will not be processed if left blank","")</f>
        <v>This Question must be answered before uploading, the report will not be processed if left blank</v>
      </c>
      <c r="I74" s="224"/>
      <c r="J74" s="214"/>
      <c r="K74"/>
      <c r="L74"/>
      <c r="M74"/>
      <c r="N74"/>
      <c r="O74"/>
      <c r="P74"/>
      <c r="Q74"/>
      <c r="R74"/>
      <c r="S74"/>
      <c r="T74"/>
      <c r="U74"/>
      <c r="V74"/>
      <c r="W74"/>
      <c r="X74"/>
      <c r="Y74"/>
      <c r="Z74"/>
      <c r="AA74"/>
      <c r="AB74"/>
      <c r="AC74"/>
      <c r="AD74"/>
      <c r="AE74"/>
      <c r="AF74"/>
      <c r="AG74"/>
      <c r="AH74"/>
      <c r="AI74" s="1160"/>
      <c r="AJ74" s="226"/>
      <c r="AK74" s="236"/>
      <c r="AL74" s="226"/>
      <c r="AM74" s="226"/>
      <c r="AN74" s="226"/>
      <c r="AO74" s="226"/>
      <c r="AP74" s="226"/>
      <c r="AQ74" s="226"/>
    </row>
    <row r="75" spans="2:43" s="269" customFormat="1" ht="6.75" customHeight="1" thickBot="1" x14ac:dyDescent="0.35">
      <c r="B75" s="232"/>
      <c r="C75" s="216"/>
      <c r="D75" s="259"/>
      <c r="E75" s="1121"/>
      <c r="F75" s="268"/>
      <c r="G75" s="223"/>
      <c r="H75" s="1120"/>
      <c r="I75" s="224"/>
      <c r="J75" s="214"/>
      <c r="K75"/>
      <c r="L75"/>
      <c r="M75"/>
      <c r="N75"/>
      <c r="O75"/>
      <c r="P75"/>
      <c r="Q75"/>
      <c r="R75"/>
      <c r="S75"/>
      <c r="T75"/>
      <c r="U75"/>
      <c r="V75"/>
      <c r="W75"/>
      <c r="X75"/>
      <c r="Y75"/>
      <c r="Z75"/>
      <c r="AA75"/>
      <c r="AB75"/>
      <c r="AC75"/>
      <c r="AD75"/>
      <c r="AE75"/>
      <c r="AF75"/>
      <c r="AG75"/>
      <c r="AH75"/>
      <c r="AI75" s="1161"/>
      <c r="AJ75" s="270"/>
      <c r="AK75" s="271"/>
      <c r="AL75" s="270"/>
      <c r="AM75" s="270"/>
      <c r="AN75" s="270"/>
      <c r="AO75" s="270"/>
      <c r="AP75" s="270"/>
      <c r="AQ75" s="270"/>
    </row>
    <row r="76" spans="2:43" ht="32.25" customHeight="1" thickBot="1" x14ac:dyDescent="0.35">
      <c r="B76" s="212"/>
      <c r="C76" s="230"/>
      <c r="D76" s="259">
        <v>975</v>
      </c>
      <c r="E76" s="1181" t="s">
        <v>1084</v>
      </c>
      <c r="F76" s="1186"/>
      <c r="G76" s="222"/>
      <c r="H76" s="313" t="str">
        <f>IF(G76="","This Question must be answered before uploading, the report will not be processed if left blank","")</f>
        <v>This Question must be answered before uploading, the report will not be processed if left blank</v>
      </c>
      <c r="I76" s="228"/>
      <c r="J76" s="229"/>
    </row>
    <row r="77" spans="2:43" s="269" customFormat="1" ht="6.75" customHeight="1" thickBot="1" x14ac:dyDescent="0.35">
      <c r="B77" s="232"/>
      <c r="C77" s="216"/>
      <c r="D77" s="259"/>
      <c r="E77" s="1119"/>
      <c r="F77" s="268"/>
      <c r="G77" s="223"/>
      <c r="H77" s="1118"/>
      <c r="I77" s="224"/>
      <c r="J77" s="214"/>
      <c r="K77"/>
      <c r="L77"/>
      <c r="M77"/>
      <c r="N77"/>
      <c r="O77"/>
      <c r="P77"/>
      <c r="Q77"/>
      <c r="R77"/>
      <c r="S77"/>
      <c r="T77"/>
      <c r="U77"/>
      <c r="V77"/>
      <c r="W77"/>
      <c r="X77"/>
      <c r="Y77"/>
      <c r="Z77"/>
      <c r="AA77"/>
      <c r="AB77"/>
      <c r="AC77"/>
      <c r="AD77"/>
      <c r="AE77"/>
      <c r="AF77"/>
      <c r="AG77"/>
      <c r="AH77"/>
      <c r="AI77" s="1161"/>
      <c r="AJ77" s="270"/>
      <c r="AK77" s="271"/>
      <c r="AL77" s="270"/>
      <c r="AM77" s="270"/>
      <c r="AN77" s="270"/>
      <c r="AO77" s="270"/>
      <c r="AP77" s="270"/>
      <c r="AQ77" s="270"/>
    </row>
    <row r="78" spans="2:43" ht="61.5" customHeight="1" thickBot="1" x14ac:dyDescent="0.35">
      <c r="B78" s="212"/>
      <c r="C78" s="230"/>
      <c r="D78" s="259">
        <v>976</v>
      </c>
      <c r="E78" s="1181" t="s">
        <v>1299</v>
      </c>
      <c r="F78" s="1186"/>
      <c r="G78" s="222"/>
      <c r="H78" s="313" t="str">
        <f>IF(G78="","This Question must be answered before uploading, the report will not be processed if left blank","")</f>
        <v>This Question must be answered before uploading, the report will not be processed if left blank</v>
      </c>
      <c r="I78" s="228"/>
      <c r="J78" s="229"/>
    </row>
    <row r="79" spans="2:43" ht="39" customHeight="1" thickBot="1" x14ac:dyDescent="0.35">
      <c r="B79" s="200"/>
      <c r="C79" s="201"/>
      <c r="D79" s="202"/>
      <c r="E79" s="203"/>
      <c r="F79" s="204"/>
      <c r="G79" s="280"/>
      <c r="H79" s="204"/>
      <c r="I79" s="204"/>
      <c r="J79" s="205"/>
    </row>
    <row r="80" spans="2:43" ht="10.5" customHeight="1" thickBot="1" x14ac:dyDescent="0.35">
      <c r="B80" s="212"/>
      <c r="C80" s="213"/>
      <c r="D80" s="260"/>
      <c r="E80" s="209"/>
      <c r="F80" s="209"/>
      <c r="G80" s="216"/>
      <c r="H80" s="213"/>
      <c r="I80" s="213"/>
      <c r="J80" s="214"/>
    </row>
    <row r="81" spans="1:37" ht="39.6" customHeight="1" thickBot="1" x14ac:dyDescent="0.35">
      <c r="B81" s="212"/>
      <c r="C81" s="213"/>
      <c r="D81" s="260" t="s">
        <v>1155</v>
      </c>
      <c r="E81" s="1163" t="str">
        <f>IF(G81="","This Question must be answered before uploading, the report will not be processed if left blank","")</f>
        <v>This Question must be answered before uploading, the report will not be processed if left blank</v>
      </c>
      <c r="F81" s="1157" t="s">
        <v>912</v>
      </c>
      <c r="G81" s="1183"/>
      <c r="H81" s="1184"/>
      <c r="I81" s="1185"/>
      <c r="J81" s="214"/>
      <c r="AK81" s="195" t="s">
        <v>891</v>
      </c>
    </row>
    <row r="82" spans="1:37" ht="6.75" customHeight="1" thickBot="1" x14ac:dyDescent="0.35">
      <c r="B82" s="212"/>
      <c r="C82" s="213"/>
      <c r="D82" s="260"/>
      <c r="E82" s="241"/>
      <c r="F82" s="241"/>
      <c r="G82" s="216"/>
      <c r="H82" s="216"/>
      <c r="I82" s="216"/>
      <c r="J82" s="214"/>
    </row>
    <row r="83" spans="1:37" ht="30.6" customHeight="1" thickBot="1" x14ac:dyDescent="0.35">
      <c r="B83" s="212"/>
      <c r="C83" s="213"/>
      <c r="D83" s="260" t="s">
        <v>1156</v>
      </c>
      <c r="E83" s="1163" t="str">
        <f>IF(G83="","This Question must be answered before uploading, the report will not be processed if left blank","")</f>
        <v>This Question must be answered before uploading, the report will not be processed if left blank</v>
      </c>
      <c r="F83" s="1157" t="s">
        <v>913</v>
      </c>
      <c r="G83" s="1183"/>
      <c r="H83" s="1184"/>
      <c r="I83" s="1185"/>
      <c r="J83" s="214"/>
      <c r="AK83" s="195" t="s">
        <v>914</v>
      </c>
    </row>
    <row r="84" spans="1:37" ht="6.75" customHeight="1" thickBot="1" x14ac:dyDescent="0.35">
      <c r="B84" s="212"/>
      <c r="C84" s="213"/>
      <c r="D84" s="260"/>
      <c r="E84" s="241"/>
      <c r="F84" s="241"/>
      <c r="G84" s="242"/>
      <c r="H84" s="216"/>
      <c r="I84" s="216"/>
      <c r="J84" s="214"/>
    </row>
    <row r="85" spans="1:37" ht="36.6" customHeight="1" thickBot="1" x14ac:dyDescent="0.35">
      <c r="B85" s="212"/>
      <c r="C85" s="213"/>
      <c r="D85" s="260" t="s">
        <v>1880</v>
      </c>
      <c r="E85" s="1163" t="str">
        <f>IF(G85="","This Question must be answered before uploading, the report will not be processed if left blank","")</f>
        <v>This Question must be answered before uploading, the report will not be processed if left blank</v>
      </c>
      <c r="F85" s="1157" t="s">
        <v>1354</v>
      </c>
      <c r="G85" s="217"/>
      <c r="H85" s="216"/>
      <c r="I85" s="216"/>
      <c r="J85" s="214"/>
      <c r="AK85" s="195">
        <v>44048</v>
      </c>
    </row>
    <row r="86" spans="1:37" ht="6.75" customHeight="1" x14ac:dyDescent="0.3">
      <c r="B86" s="212"/>
      <c r="C86" s="213"/>
      <c r="D86" s="260"/>
      <c r="E86" s="241"/>
      <c r="F86" s="241"/>
      <c r="G86" s="216"/>
      <c r="H86" s="216"/>
      <c r="I86" s="216"/>
      <c r="J86" s="214"/>
    </row>
    <row r="87" spans="1:37" ht="30" hidden="1" customHeight="1" x14ac:dyDescent="0.3">
      <c r="B87" s="212"/>
      <c r="C87" s="213"/>
      <c r="D87" s="260"/>
      <c r="E87" s="1189"/>
      <c r="F87" s="1189"/>
      <c r="G87" s="243" t="str">
        <f>CONCATENATE(G10," 2021 TD.xlsx")</f>
        <v xml:space="preserve"> 2021 TD.xlsx</v>
      </c>
      <c r="H87" s="243"/>
      <c r="I87" s="244"/>
      <c r="J87" s="214"/>
    </row>
    <row r="88" spans="1:37" ht="18" customHeight="1" x14ac:dyDescent="0.3">
      <c r="B88" s="212"/>
      <c r="C88" s="213"/>
      <c r="D88" s="1162"/>
      <c r="E88" s="1162"/>
      <c r="F88" s="1162"/>
      <c r="G88" s="1180" t="str">
        <f>IF(G11="","","Please review the Transmittal Instructions and your answer to Question 1")</f>
        <v/>
      </c>
      <c r="H88" s="1180"/>
      <c r="I88" s="1180"/>
      <c r="J88" s="214"/>
    </row>
    <row r="89" spans="1:37" ht="13.2" customHeight="1" x14ac:dyDescent="0.3">
      <c r="B89" s="212"/>
      <c r="C89" s="213"/>
      <c r="D89" s="1162"/>
      <c r="E89" s="1162"/>
      <c r="F89" s="1162"/>
      <c r="G89" s="1180" t="str">
        <f>IF(G88="Currently the file name is incorrect, please correct before uploading",CONCATENATE("File current name is ",O89),"")</f>
        <v/>
      </c>
      <c r="H89" s="1180"/>
      <c r="I89" s="245"/>
      <c r="J89" s="246"/>
    </row>
    <row r="90" spans="1:37" ht="6.75" customHeight="1" thickBot="1" x14ac:dyDescent="0.35">
      <c r="B90" s="247"/>
      <c r="C90" s="248"/>
      <c r="D90" s="263"/>
      <c r="E90" s="249"/>
      <c r="F90" s="249"/>
      <c r="G90" s="250"/>
      <c r="H90" s="250"/>
      <c r="I90" s="250"/>
      <c r="J90" s="251"/>
    </row>
    <row r="93" spans="1:37" x14ac:dyDescent="0.3">
      <c r="B93" s="194" t="s">
        <v>915</v>
      </c>
      <c r="D93" s="198"/>
      <c r="E93" s="253">
        <v>1.01</v>
      </c>
      <c r="F93" s="254"/>
    </row>
    <row r="94" spans="1:37" x14ac:dyDescent="0.3">
      <c r="A94" s="198"/>
      <c r="B94" s="194" t="s">
        <v>916</v>
      </c>
      <c r="D94" s="198"/>
      <c r="E94" s="255">
        <v>44427</v>
      </c>
      <c r="F94" s="256"/>
    </row>
    <row r="95" spans="1:37" x14ac:dyDescent="0.3">
      <c r="E95" s="254"/>
      <c r="F95" s="254"/>
    </row>
    <row r="97" spans="5:5" x14ac:dyDescent="0.3">
      <c r="E97" s="252">
        <f>SUBTOTAL(109,D3:D89)</f>
        <v>11472</v>
      </c>
    </row>
  </sheetData>
  <sheetProtection selectLockedCells="1"/>
  <mergeCells count="54">
    <mergeCell ref="G26:H26"/>
    <mergeCell ref="E74:F74"/>
    <mergeCell ref="E20:F20"/>
    <mergeCell ref="G20:I20"/>
    <mergeCell ref="G22:I22"/>
    <mergeCell ref="E24:F24"/>
    <mergeCell ref="G24:I24"/>
    <mergeCell ref="E55:F55"/>
    <mergeCell ref="G34:I34"/>
    <mergeCell ref="E36:F36"/>
    <mergeCell ref="G36:I36"/>
    <mergeCell ref="E37:H37"/>
    <mergeCell ref="B38:J38"/>
    <mergeCell ref="E41:F41"/>
    <mergeCell ref="E43:F43"/>
    <mergeCell ref="E45:F45"/>
    <mergeCell ref="B1:J1"/>
    <mergeCell ref="B2:J2"/>
    <mergeCell ref="B3:J3"/>
    <mergeCell ref="E12:F12"/>
    <mergeCell ref="E14:F14"/>
    <mergeCell ref="B5:J5"/>
    <mergeCell ref="E16:F16"/>
    <mergeCell ref="G16:I16"/>
    <mergeCell ref="E18:F18"/>
    <mergeCell ref="E32:F32"/>
    <mergeCell ref="B7:J7"/>
    <mergeCell ref="E10:F10"/>
    <mergeCell ref="G10:I10"/>
    <mergeCell ref="E27:H27"/>
    <mergeCell ref="E28:F28"/>
    <mergeCell ref="H28:I28"/>
    <mergeCell ref="E30:F30"/>
    <mergeCell ref="H30:I30"/>
    <mergeCell ref="E22:F22"/>
    <mergeCell ref="G18:I18"/>
    <mergeCell ref="G32:I32"/>
    <mergeCell ref="E26:F26"/>
    <mergeCell ref="E47:F47"/>
    <mergeCell ref="E49:F49"/>
    <mergeCell ref="G83:I83"/>
    <mergeCell ref="E87:F87"/>
    <mergeCell ref="G88:I88"/>
    <mergeCell ref="G89:H89"/>
    <mergeCell ref="E51:F51"/>
    <mergeCell ref="E53:F53"/>
    <mergeCell ref="G81:I81"/>
    <mergeCell ref="E76:F76"/>
    <mergeCell ref="E78:F78"/>
    <mergeCell ref="E57:F57"/>
    <mergeCell ref="E60:F60"/>
    <mergeCell ref="E68:F68"/>
    <mergeCell ref="E70:F70"/>
    <mergeCell ref="E72:F72"/>
  </mergeCells>
  <conditionalFormatting sqref="G10 G41 G43 G45 G47 G49 G57 G66 G60 G51 G78 G76">
    <cfRule type="expression" dxfId="96"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95" priority="39">
      <formula>$T26</formula>
    </cfRule>
  </conditionalFormatting>
  <conditionalFormatting sqref="G41 G43 G45 G47 G49 G60 G62 G64 G66 G30 G32 G76 G51:G57 G78">
    <cfRule type="expression" dxfId="94" priority="38">
      <formula>$G$26="Housing Authority"</formula>
    </cfRule>
  </conditionalFormatting>
  <conditionalFormatting sqref="G14">
    <cfRule type="expression" dxfId="93" priority="37">
      <formula>$T14</formula>
    </cfRule>
  </conditionalFormatting>
  <conditionalFormatting sqref="G12">
    <cfRule type="expression" dxfId="92" priority="36">
      <formula>$T12</formula>
    </cfRule>
  </conditionalFormatting>
  <conditionalFormatting sqref="G85">
    <cfRule type="expression" dxfId="91" priority="35">
      <formula>$T85</formula>
    </cfRule>
  </conditionalFormatting>
  <conditionalFormatting sqref="G81">
    <cfRule type="expression" dxfId="90"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89"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88"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87" priority="23">
      <formula>$G$26="Housing Authority"</formula>
    </cfRule>
  </conditionalFormatting>
  <conditionalFormatting sqref="G64">
    <cfRule type="expression" dxfId="86" priority="28">
      <formula>$T64</formula>
    </cfRule>
  </conditionalFormatting>
  <conditionalFormatting sqref="G64">
    <cfRule type="expression" dxfId="85" priority="27">
      <formula>$G$26="Housing Authority"</formula>
    </cfRule>
  </conditionalFormatting>
  <conditionalFormatting sqref="G66">
    <cfRule type="expression" dxfId="84" priority="26">
      <formula>$G$26="Housing Authority"</formula>
    </cfRule>
  </conditionalFormatting>
  <conditionalFormatting sqref="G62">
    <cfRule type="expression" dxfId="83" priority="25">
      <formula>$T62</formula>
    </cfRule>
  </conditionalFormatting>
  <conditionalFormatting sqref="G62">
    <cfRule type="expression" dxfId="82" priority="24">
      <formula>$G$26="Housing Authority"</formula>
    </cfRule>
  </conditionalFormatting>
  <conditionalFormatting sqref="G31">
    <cfRule type="expression" dxfId="81" priority="22">
      <formula>$T31</formula>
    </cfRule>
  </conditionalFormatting>
  <conditionalFormatting sqref="G28">
    <cfRule type="expression" dxfId="80" priority="21">
      <formula>$T28</formula>
    </cfRule>
  </conditionalFormatting>
  <conditionalFormatting sqref="G28">
    <cfRule type="expression" dxfId="79" priority="20">
      <formula>$G$26="Housing Authority"</formula>
    </cfRule>
  </conditionalFormatting>
  <conditionalFormatting sqref="G30">
    <cfRule type="expression" dxfId="78" priority="19">
      <formula>$T30</formula>
    </cfRule>
  </conditionalFormatting>
  <conditionalFormatting sqref="G16">
    <cfRule type="expression" dxfId="77"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76"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75"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74" priority="10">
      <formula>$G$26="Housing Authority"</formula>
    </cfRule>
  </conditionalFormatting>
  <conditionalFormatting sqref="G32">
    <cfRule type="expression" dxfId="73" priority="11">
      <formula>$P$32</formula>
    </cfRule>
    <cfRule type="expression" dxfId="72" priority="18">
      <formula>$T32</formula>
    </cfRule>
  </conditionalFormatting>
  <conditionalFormatting sqref="G36">
    <cfRule type="expression" dxfId="71" priority="7">
      <formula>$G$26="Housing Authority"</formula>
    </cfRule>
  </conditionalFormatting>
  <conditionalFormatting sqref="G36">
    <cfRule type="expression" dxfId="70" priority="8">
      <formula>$P$32</formula>
    </cfRule>
    <cfRule type="expression" dxfId="69" priority="9">
      <formula>$T36</formula>
    </cfRule>
  </conditionalFormatting>
  <conditionalFormatting sqref="G34">
    <cfRule type="expression" dxfId="68" priority="4">
      <formula>$G$26="Housing Authority"</formula>
    </cfRule>
  </conditionalFormatting>
  <conditionalFormatting sqref="G34">
    <cfRule type="expression" dxfId="67" priority="5">
      <formula>$P$32</formula>
    </cfRule>
    <cfRule type="expression" dxfId="66" priority="6">
      <formula>$T34</formula>
    </cfRule>
  </conditionalFormatting>
  <conditionalFormatting sqref="G24">
    <cfRule type="expression" dxfId="65"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64" priority="1">
      <formula>$T53</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H79:H80 I63 H85:I87 H65:I65 H69 H71 G81 H76:H77 H73 I68:I80"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operator="greaterThan" allowBlank="1" showInputMessage="1" showErrorMessage="1" sqref="G76" xr:uid="{88F7A55F-54A8-43AC-9559-A6B059CD4307}">
      <formula1>"6/30/2020"</formula1>
    </dataValidation>
    <dataValidation type="list" showInputMessage="1" showErrorMessage="1" sqref="G76" xr:uid="{05687151-3E3B-4826-B66C-E6C4C6589FA2}">
      <formula1>"Yes,No"</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s>
  <hyperlinks>
    <hyperlink ref="AK16" r:id="rId1" xr:uid="{B0B5000D-91BF-4416-A582-CCA86307BD44}"/>
    <hyperlink ref="AK22" r:id="rId2" xr:uid="{0450F1F5-67CF-4FAC-A3CF-C30014F5F87B}"/>
    <hyperlink ref="AK24" r:id="rId3" xr:uid="{6D29BB61-1A28-4C3B-A44E-A134E65797CF}"/>
  </hyperlinks>
  <printOptions horizontalCentered="1" verticalCentered="1"/>
  <pageMargins left="0" right="0" top="0" bottom="1" header="0.3" footer="0.3"/>
  <pageSetup scale="58" fitToWidth="0"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700" customWidth="1"/>
    <col min="4" max="4" width="20.88671875" style="3" bestFit="1" customWidth="1"/>
    <col min="5" max="5" width="17.5546875" style="3" customWidth="1"/>
    <col min="6" max="6" width="22.6640625" style="3" customWidth="1"/>
    <col min="7" max="7" width="17.44140625" style="597" bestFit="1" customWidth="1"/>
    <col min="8" max="8" width="9.6640625" style="3" bestFit="1" customWidth="1"/>
    <col min="9" max="9" width="1" style="631" customWidth="1"/>
    <col min="10" max="10" width="18.109375" style="5" customWidth="1"/>
    <col min="11" max="11" width="36.88671875" style="9" customWidth="1"/>
    <col min="12" max="12" width="15.44140625" style="708" bestFit="1" customWidth="1"/>
    <col min="13" max="13" width="1.44140625" style="3" customWidth="1"/>
    <col min="14" max="14" width="18.109375" style="3" customWidth="1"/>
    <col min="15" max="15" width="17.88671875" style="3" customWidth="1"/>
    <col min="16" max="16" width="8.6640625" style="310"/>
    <col min="17" max="17" width="10.33203125" style="600"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780</v>
      </c>
      <c r="D1" s="13">
        <f>L65-(L52+L53-L57-L58-L233)-L61</f>
        <v>0</v>
      </c>
      <c r="I1" s="598"/>
      <c r="J1" s="48"/>
      <c r="K1" s="14" t="s">
        <v>47</v>
      </c>
      <c r="L1" s="63"/>
      <c r="M1" s="599"/>
      <c r="S1" s="3">
        <v>100</v>
      </c>
      <c r="T1" s="3">
        <v>1</v>
      </c>
    </row>
    <row r="2" spans="1:25" ht="36" x14ac:dyDescent="0.4">
      <c r="C2" s="74" t="str">
        <f>'Unit Data from Audit Worksheet'!D2</f>
        <v>Select Unit Name from Drop Down List</v>
      </c>
      <c r="D2" s="145">
        <v>2021</v>
      </c>
      <c r="E2" s="12">
        <v>2021</v>
      </c>
      <c r="F2" s="12"/>
      <c r="G2" s="70"/>
      <c r="H2" s="12"/>
      <c r="I2" s="598"/>
      <c r="J2" s="43" t="s">
        <v>43</v>
      </c>
      <c r="K2" s="8" t="s">
        <v>42</v>
      </c>
      <c r="L2" s="68" t="s">
        <v>30</v>
      </c>
      <c r="S2" s="3">
        <v>200</v>
      </c>
      <c r="T2" s="3">
        <v>2</v>
      </c>
    </row>
    <row r="3" spans="1:25" ht="31.2" x14ac:dyDescent="0.3">
      <c r="A3" s="601" t="s">
        <v>43</v>
      </c>
      <c r="B3" s="602"/>
      <c r="C3" s="46" t="s">
        <v>1</v>
      </c>
      <c r="D3" s="15" t="s">
        <v>44</v>
      </c>
      <c r="E3" s="15" t="s">
        <v>45</v>
      </c>
      <c r="F3" s="16" t="s">
        <v>49</v>
      </c>
      <c r="G3" s="75" t="s">
        <v>557</v>
      </c>
      <c r="H3" s="16" t="s">
        <v>675</v>
      </c>
      <c r="I3" s="598"/>
      <c r="J3" s="603"/>
      <c r="K3" s="146"/>
      <c r="L3" s="604"/>
      <c r="O3" s="3" t="s">
        <v>296</v>
      </c>
      <c r="Q3" s="86" t="s">
        <v>558</v>
      </c>
      <c r="S3" s="3">
        <v>300</v>
      </c>
      <c r="T3" s="3">
        <v>3</v>
      </c>
    </row>
    <row r="4" spans="1:25" ht="18" x14ac:dyDescent="0.35">
      <c r="A4" s="605"/>
      <c r="B4" s="606"/>
      <c r="C4" s="50"/>
      <c r="D4" s="7"/>
      <c r="E4" s="7"/>
      <c r="F4" s="7"/>
      <c r="G4" s="71"/>
      <c r="H4" s="7"/>
      <c r="I4" s="598"/>
      <c r="J4" s="45">
        <v>999</v>
      </c>
      <c r="K4" s="11" t="s">
        <v>293</v>
      </c>
      <c r="L4" s="134" t="e">
        <f>'Unit Data from Audit Worksheet'!D3</f>
        <v>#N/A</v>
      </c>
      <c r="S4" s="3">
        <v>400</v>
      </c>
      <c r="T4" s="3">
        <v>4</v>
      </c>
      <c r="W4" s="3" t="b">
        <f t="shared" ref="W4:W35" si="0">EXACT(A4,J4)</f>
        <v>0</v>
      </c>
      <c r="X4" s="607" t="e">
        <f>E4-L4</f>
        <v>#N/A</v>
      </c>
      <c r="Y4" s="607" t="e">
        <f>D4-L4</f>
        <v>#N/A</v>
      </c>
    </row>
    <row r="5" spans="1:25" ht="57" customHeight="1" x14ac:dyDescent="0.3">
      <c r="A5" s="608">
        <f>'Unit Data from Audit Worksheet'!A7</f>
        <v>333</v>
      </c>
      <c r="B5" s="54" t="str">
        <f>'Unit Data from Audit Worksheet'!C7</f>
        <v>Net Position-Governmental Activities</v>
      </c>
      <c r="C5" s="609" t="str">
        <f>'Unit Data from Audit Worksheet'!D7</f>
        <v xml:space="preserve"> All unrestricted Cash and investments.  
Exclude: restricted cash 
                   cash held by a third party. </v>
      </c>
      <c r="D5" s="144"/>
      <c r="E5" s="152">
        <f>'Unit Data from Audit Worksheet'!F7</f>
        <v>0</v>
      </c>
      <c r="F5" s="359">
        <f>IF(L5&lt;0,"Error: Number is normally positive.",)</f>
        <v>0</v>
      </c>
      <c r="G5" s="72"/>
      <c r="H5" s="358">
        <f>'Unit Data from Audit Worksheet'!I7</f>
        <v>0</v>
      </c>
      <c r="I5" s="38"/>
      <c r="J5" s="42">
        <v>333</v>
      </c>
      <c r="K5" s="51" t="s">
        <v>184</v>
      </c>
      <c r="L5" s="610">
        <f>IF(D5="",E5,D5)</f>
        <v>0</v>
      </c>
      <c r="P5" s="327"/>
      <c r="S5" s="3">
        <v>500</v>
      </c>
      <c r="T5" s="3">
        <v>5</v>
      </c>
      <c r="W5" s="3" t="b">
        <f t="shared" si="0"/>
        <v>1</v>
      </c>
      <c r="X5" s="607">
        <f t="shared" ref="X5:X116" si="1">E5-L5</f>
        <v>0</v>
      </c>
      <c r="Y5" s="607">
        <f t="shared" ref="Y5:Y116" si="2">D5-L5</f>
        <v>0</v>
      </c>
    </row>
    <row r="6" spans="1:25" ht="39.75" customHeight="1" x14ac:dyDescent="0.3">
      <c r="A6" s="346">
        <f>'Unit Data from Audit Worksheet'!A8</f>
        <v>500</v>
      </c>
      <c r="B6" s="360" t="str">
        <f>'Unit Data from Audit Worksheet'!C8</f>
        <v>Net Position-Governmental Activities</v>
      </c>
      <c r="C6" s="345" t="str">
        <f>'Unit Data from Audit Worksheet'!D8</f>
        <v xml:space="preserve"> All restricted Cash and investments</v>
      </c>
      <c r="D6" s="144"/>
      <c r="E6" s="366">
        <f>'Unit Data from Audit Worksheet'!F8</f>
        <v>0</v>
      </c>
      <c r="F6" s="359">
        <f>IF(L6&lt;0,"Error: Number is normally positive.",)</f>
        <v>0</v>
      </c>
      <c r="G6" s="361"/>
      <c r="H6" s="358">
        <f>'Unit Data from Audit Worksheet'!I8</f>
        <v>0</v>
      </c>
      <c r="I6" s="38"/>
      <c r="J6" s="357">
        <v>500</v>
      </c>
      <c r="K6" s="356" t="s">
        <v>183</v>
      </c>
      <c r="L6" s="610">
        <f>IF(D6="",E6,D6)</f>
        <v>0</v>
      </c>
      <c r="P6" s="328"/>
      <c r="T6" s="3">
        <v>6</v>
      </c>
      <c r="W6" s="3" t="b">
        <f t="shared" si="0"/>
        <v>1</v>
      </c>
      <c r="X6" s="607">
        <f t="shared" si="1"/>
        <v>0</v>
      </c>
      <c r="Y6" s="607">
        <f t="shared" si="2"/>
        <v>0</v>
      </c>
    </row>
    <row r="7" spans="1:25" ht="43.5" customHeight="1" x14ac:dyDescent="0.3">
      <c r="A7" s="346">
        <f>'Unit Data from Audit Worksheet'!A9</f>
        <v>385</v>
      </c>
      <c r="B7" s="360" t="str">
        <f>'Unit Data from Audit Worksheet'!C9</f>
        <v>Net Position-Governmental Activities</v>
      </c>
      <c r="C7" s="345" t="str">
        <f>'Unit Data from Audit Worksheet'!D9</f>
        <v>Total Assets and deferred outflows</v>
      </c>
      <c r="D7" s="144"/>
      <c r="E7" s="366">
        <f>'Unit Data from Audit Worksheet'!F9</f>
        <v>0</v>
      </c>
      <c r="F7" s="135">
        <f>IF((L5+L6)&gt;L7,"Error: Please review accts (333 + 500) &gt; 385",)</f>
        <v>0</v>
      </c>
      <c r="G7" s="361" t="str">
        <f>IF(Q7=1," Included in error count"," ")</f>
        <v xml:space="preserve"> </v>
      </c>
      <c r="H7" s="358">
        <f>'Unit Data from Audit Worksheet'!I9</f>
        <v>0</v>
      </c>
      <c r="I7" s="38"/>
      <c r="J7" s="76">
        <v>385</v>
      </c>
      <c r="K7" s="77" t="s">
        <v>115</v>
      </c>
      <c r="L7" s="611">
        <f>IF(D7="",E7,D7)+IF(D9="",E9,D9)</f>
        <v>0</v>
      </c>
      <c r="N7" s="78" t="s">
        <v>544</v>
      </c>
      <c r="P7" s="328"/>
      <c r="T7" s="3">
        <v>7</v>
      </c>
      <c r="W7" s="3" t="b">
        <f t="shared" si="0"/>
        <v>1</v>
      </c>
      <c r="X7" s="607">
        <f t="shared" si="1"/>
        <v>0</v>
      </c>
      <c r="Y7" s="607">
        <f t="shared" si="2"/>
        <v>0</v>
      </c>
    </row>
    <row r="8" spans="1:25" ht="90.75" customHeight="1" x14ac:dyDescent="0.3">
      <c r="A8" s="346">
        <f>'Unit Data from Audit Worksheet'!A10</f>
        <v>575</v>
      </c>
      <c r="B8" s="360" t="str">
        <f>'Unit Data from Audit Worksheet'!C10</f>
        <v>Net Position-Governmental Activities</v>
      </c>
      <c r="C8" s="345" t="str">
        <f>'Unit Data from Audit Worksheet'!D10</f>
        <v>Record any positive Internal balances on the net position statements that appear in the Asset Section of the Net Position Statement</v>
      </c>
      <c r="D8" s="144"/>
      <c r="E8" s="366">
        <f>'Unit Data from Audit Worksheet'!F10</f>
        <v>0</v>
      </c>
      <c r="F8" s="359">
        <f>IF(L8&lt;0,"Error: Number is normally positive.",)</f>
        <v>0</v>
      </c>
      <c r="G8" s="361"/>
      <c r="H8" s="358">
        <f>'Unit Data from Audit Worksheet'!I10</f>
        <v>0</v>
      </c>
      <c r="I8" s="38"/>
      <c r="J8" s="357">
        <v>575</v>
      </c>
      <c r="K8" s="363" t="s">
        <v>547</v>
      </c>
      <c r="L8" s="610">
        <f>IF(D8="",E8,D8)</f>
        <v>0</v>
      </c>
      <c r="N8" s="64"/>
      <c r="P8" s="328"/>
      <c r="W8" s="3" t="b">
        <f t="shared" si="0"/>
        <v>1</v>
      </c>
      <c r="X8" s="607">
        <f t="shared" si="1"/>
        <v>0</v>
      </c>
      <c r="Y8" s="607">
        <f t="shared" si="2"/>
        <v>0</v>
      </c>
    </row>
    <row r="9" spans="1:25" ht="103.5" customHeight="1" x14ac:dyDescent="0.3">
      <c r="A9" s="346">
        <f>'Unit Data from Audit Worksheet'!A11</f>
        <v>576</v>
      </c>
      <c r="B9" s="360" t="str">
        <f>'Unit Data from Audit Worksheet'!C11</f>
        <v>Net Position-Governmental Activities</v>
      </c>
      <c r="C9" s="612" t="str">
        <f>'Unit Data from Audit Worksheet'!D11</f>
        <v>Record any negative Internal balances on the net position statements that appear in the Asset Section of the Net Position Statement.
Enter as a positive</v>
      </c>
      <c r="D9" s="110"/>
      <c r="E9" s="155">
        <f>'Unit Data from Audit Worksheet'!F11</f>
        <v>0</v>
      </c>
      <c r="F9" s="355">
        <f>IF(E9&lt;0,"Error: Enter as positive.",)</f>
        <v>0</v>
      </c>
      <c r="G9" s="112"/>
      <c r="H9" s="113">
        <f>'Unit Data from Audit Worksheet'!I11</f>
        <v>0</v>
      </c>
      <c r="I9" s="38"/>
      <c r="J9" s="105">
        <v>576</v>
      </c>
      <c r="K9" s="363" t="s">
        <v>548</v>
      </c>
      <c r="L9" s="610">
        <f>IF(D9="",E9,D9)</f>
        <v>0</v>
      </c>
      <c r="N9" s="64"/>
      <c r="P9" s="329"/>
      <c r="W9" s="3" t="b">
        <f t="shared" si="0"/>
        <v>1</v>
      </c>
      <c r="X9" s="607">
        <f t="shared" si="1"/>
        <v>0</v>
      </c>
      <c r="Y9" s="607">
        <f t="shared" si="2"/>
        <v>0</v>
      </c>
    </row>
    <row r="10" spans="1:25" s="18" customFormat="1" ht="100.5" customHeight="1" x14ac:dyDescent="0.3">
      <c r="A10" s="346">
        <f>'Unit Data from Audit Worksheet'!A12</f>
        <v>626</v>
      </c>
      <c r="B10" s="351" t="str">
        <f>'Unit Data from Audit Worksheet'!C12</f>
        <v>Net Position-Governmental Activities</v>
      </c>
      <c r="C10" s="350"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72">
        <f>'Unit Data from Audit Worksheet'!F12</f>
        <v>0</v>
      </c>
      <c r="F10" s="354">
        <f>IF(L10&lt;0,"Error: Enter as a positive.",)</f>
        <v>0</v>
      </c>
      <c r="G10" s="339"/>
      <c r="H10" s="354">
        <f>'Unit Data from Audit Worksheet'!I12</f>
        <v>0</v>
      </c>
      <c r="I10" s="38"/>
      <c r="J10" s="353">
        <v>626</v>
      </c>
      <c r="K10" s="321" t="s">
        <v>714</v>
      </c>
      <c r="L10" s="613">
        <f>IF(D10="",E10,D10)+IF(D9="",E9,D9)</f>
        <v>0</v>
      </c>
      <c r="M10" s="614"/>
      <c r="N10" s="182" t="s">
        <v>544</v>
      </c>
      <c r="O10" s="614"/>
      <c r="P10" s="330"/>
      <c r="Q10" s="615"/>
      <c r="R10" s="3"/>
      <c r="W10" s="18" t="b">
        <f t="shared" si="0"/>
        <v>1</v>
      </c>
      <c r="X10" s="616">
        <f t="shared" si="1"/>
        <v>0</v>
      </c>
      <c r="Y10" s="616">
        <f t="shared" si="2"/>
        <v>0</v>
      </c>
    </row>
    <row r="11" spans="1:25" s="18" customFormat="1" ht="86.25" customHeight="1" x14ac:dyDescent="0.3">
      <c r="A11" s="346">
        <f>'Unit Data from Audit Worksheet'!A13</f>
        <v>627</v>
      </c>
      <c r="B11" s="351" t="str">
        <f>'Unit Data from Audit Worksheet'!C13</f>
        <v>Net Position-Governmental Activities</v>
      </c>
      <c r="C11" s="350"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72">
        <f>'Unit Data from Audit Worksheet'!F13</f>
        <v>0</v>
      </c>
      <c r="F11" s="354"/>
      <c r="G11" s="339"/>
      <c r="H11" s="354"/>
      <c r="I11" s="38"/>
      <c r="J11" s="353">
        <v>627</v>
      </c>
      <c r="K11" s="321" t="s">
        <v>706</v>
      </c>
      <c r="L11" s="617">
        <f t="shared" ref="L11:L16" si="3">IF(D11="",E11,D11)</f>
        <v>0</v>
      </c>
      <c r="M11" s="614"/>
      <c r="N11" s="181"/>
      <c r="O11" s="614"/>
      <c r="P11" s="330"/>
      <c r="Q11" s="615"/>
      <c r="R11" s="3"/>
      <c r="W11" s="18" t="b">
        <f t="shared" si="0"/>
        <v>1</v>
      </c>
      <c r="X11" s="616">
        <f t="shared" si="1"/>
        <v>0</v>
      </c>
      <c r="Y11" s="616">
        <f t="shared" si="2"/>
        <v>0</v>
      </c>
    </row>
    <row r="12" spans="1:25" s="18" customFormat="1" ht="86.25" customHeight="1" x14ac:dyDescent="0.3">
      <c r="A12" s="346">
        <f>'Unit Data from Audit Worksheet'!A14</f>
        <v>628</v>
      </c>
      <c r="B12" s="351" t="str">
        <f>'Unit Data from Audit Worksheet'!C14</f>
        <v>Net Position-Governmental Activities</v>
      </c>
      <c r="C12" s="350" t="str">
        <f>'Unit Data from Audit Worksheet'!D14</f>
        <v>Please enter any compensated absences that are classified as current liabilities and included in account 626 above (amounts entered should agree to the current amount included in the changes to long-term debt note)</v>
      </c>
      <c r="D12" s="110"/>
      <c r="E12" s="372">
        <f>'Unit Data from Audit Worksheet'!F14</f>
        <v>0</v>
      </c>
      <c r="F12" s="354"/>
      <c r="G12" s="339"/>
      <c r="H12" s="354"/>
      <c r="I12" s="38"/>
      <c r="J12" s="353">
        <v>628</v>
      </c>
      <c r="K12" s="321" t="s">
        <v>711</v>
      </c>
      <c r="L12" s="617">
        <f t="shared" si="3"/>
        <v>0</v>
      </c>
      <c r="M12" s="614"/>
      <c r="N12" s="181"/>
      <c r="O12" s="614"/>
      <c r="P12" s="330"/>
      <c r="Q12" s="615"/>
      <c r="R12" s="3"/>
      <c r="W12" s="18" t="b">
        <f t="shared" si="0"/>
        <v>1</v>
      </c>
      <c r="X12" s="616">
        <f t="shared" si="1"/>
        <v>0</v>
      </c>
      <c r="Y12" s="616">
        <f t="shared" si="2"/>
        <v>0</v>
      </c>
    </row>
    <row r="13" spans="1:25" s="18" customFormat="1" ht="93" customHeight="1" x14ac:dyDescent="0.3">
      <c r="A13" s="346">
        <f>'Unit Data from Audit Worksheet'!A15</f>
        <v>629</v>
      </c>
      <c r="B13" s="351" t="str">
        <f>'Unit Data from Audit Worksheet'!C15</f>
        <v>Net Position-Governmental Activities</v>
      </c>
      <c r="C13" s="350" t="str">
        <f>'Unit Data from Audit Worksheet'!D15</f>
        <v>Please enter any pension liabilities that are classified as current liabilities and included in account 626 above (amounts entered should agree to the current amount included in the changes to long-term debt note)</v>
      </c>
      <c r="D13" s="110"/>
      <c r="E13" s="372">
        <f>'Unit Data from Audit Worksheet'!F15</f>
        <v>0</v>
      </c>
      <c r="F13" s="354"/>
      <c r="G13" s="339"/>
      <c r="H13" s="354"/>
      <c r="I13" s="38"/>
      <c r="J13" s="353">
        <v>629</v>
      </c>
      <c r="K13" s="321" t="s">
        <v>710</v>
      </c>
      <c r="L13" s="617">
        <f t="shared" si="3"/>
        <v>0</v>
      </c>
      <c r="M13" s="614"/>
      <c r="N13" s="181"/>
      <c r="O13" s="614"/>
      <c r="P13" s="330"/>
      <c r="Q13" s="615"/>
      <c r="R13" s="3"/>
      <c r="W13" s="18" t="b">
        <f t="shared" si="0"/>
        <v>1</v>
      </c>
      <c r="X13" s="616">
        <f t="shared" si="1"/>
        <v>0</v>
      </c>
      <c r="Y13" s="616">
        <f t="shared" si="2"/>
        <v>0</v>
      </c>
    </row>
    <row r="14" spans="1:25" s="18" customFormat="1" ht="67.5" customHeight="1" x14ac:dyDescent="0.3">
      <c r="A14" s="346">
        <f>'Unit Data from Audit Worksheet'!A16</f>
        <v>630</v>
      </c>
      <c r="B14" s="351" t="str">
        <f>'Unit Data from Audit Worksheet'!C16</f>
        <v>Net Position-Governmental Activities</v>
      </c>
      <c r="C14" s="350" t="str">
        <f>'Unit Data from Audit Worksheet'!D16</f>
        <v>Please enter any current liabilities that are payable from restricted assets and included in account 626 above</v>
      </c>
      <c r="D14" s="110"/>
      <c r="E14" s="372">
        <f>'Unit Data from Audit Worksheet'!F16</f>
        <v>0</v>
      </c>
      <c r="F14" s="354"/>
      <c r="G14" s="339"/>
      <c r="H14" s="354"/>
      <c r="I14" s="38"/>
      <c r="J14" s="353">
        <v>630</v>
      </c>
      <c r="K14" s="321" t="s">
        <v>709</v>
      </c>
      <c r="L14" s="617">
        <f t="shared" si="3"/>
        <v>0</v>
      </c>
      <c r="M14" s="614"/>
      <c r="N14" s="181"/>
      <c r="O14" s="614"/>
      <c r="P14" s="330"/>
      <c r="Q14" s="615"/>
      <c r="R14" s="3"/>
      <c r="W14" s="18" t="b">
        <f t="shared" si="0"/>
        <v>1</v>
      </c>
      <c r="X14" s="616">
        <f t="shared" si="1"/>
        <v>0</v>
      </c>
      <c r="Y14" s="616">
        <f t="shared" si="2"/>
        <v>0</v>
      </c>
    </row>
    <row r="15" spans="1:25" s="18" customFormat="1" ht="102.75" customHeight="1" x14ac:dyDescent="0.3">
      <c r="A15" s="346">
        <f>'Unit Data from Audit Worksheet'!A17</f>
        <v>631</v>
      </c>
      <c r="B15" s="360" t="str">
        <f>'Unit Data from Audit Worksheet'!C17</f>
        <v>Net Position-Governmental Activities</v>
      </c>
      <c r="C15" s="340" t="str">
        <f>'Unit Data from Audit Worksheet'!D17</f>
        <v>Please enter any OPEB liabilities that are classified as current liabilities and included in account 626 above (amounts entered should agree to the current amount included in the changes to long-term debt note)</v>
      </c>
      <c r="D15" s="110"/>
      <c r="E15" s="372">
        <f>'Unit Data from Audit Worksheet'!F17</f>
        <v>0</v>
      </c>
      <c r="F15" s="354"/>
      <c r="G15" s="339"/>
      <c r="H15" s="354"/>
      <c r="I15" s="38"/>
      <c r="J15" s="353">
        <v>631</v>
      </c>
      <c r="K15" s="321" t="s">
        <v>708</v>
      </c>
      <c r="L15" s="617">
        <f t="shared" si="3"/>
        <v>0</v>
      </c>
      <c r="M15" s="614"/>
      <c r="N15" s="181"/>
      <c r="O15" s="614"/>
      <c r="P15" s="330"/>
      <c r="Q15" s="615"/>
      <c r="R15" s="3"/>
      <c r="W15" s="18" t="b">
        <f t="shared" si="0"/>
        <v>1</v>
      </c>
      <c r="X15" s="616">
        <f t="shared" si="1"/>
        <v>0</v>
      </c>
      <c r="Y15" s="616">
        <f t="shared" si="2"/>
        <v>0</v>
      </c>
    </row>
    <row r="16" spans="1:25" s="18" customFormat="1" ht="119.25" customHeight="1" x14ac:dyDescent="0.3">
      <c r="A16" s="346">
        <f>'Unit Data from Audit Worksheet'!A18</f>
        <v>632</v>
      </c>
      <c r="B16" s="360" t="str">
        <f>'Unit Data from Audit Worksheet'!C18</f>
        <v>Net Position-Governmental Activities</v>
      </c>
      <c r="C16" s="340"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72">
        <f>'Unit Data from Audit Worksheet'!F18</f>
        <v>0</v>
      </c>
      <c r="F16" s="354"/>
      <c r="G16" s="339"/>
      <c r="H16" s="354"/>
      <c r="I16" s="38"/>
      <c r="J16" s="353">
        <v>632</v>
      </c>
      <c r="K16" s="321" t="s">
        <v>707</v>
      </c>
      <c r="L16" s="617">
        <f t="shared" si="3"/>
        <v>0</v>
      </c>
      <c r="M16" s="614"/>
      <c r="N16" s="181"/>
      <c r="O16" s="614"/>
      <c r="P16" s="330"/>
      <c r="Q16" s="615"/>
      <c r="R16" s="3"/>
      <c r="W16" s="18" t="b">
        <f t="shared" si="0"/>
        <v>1</v>
      </c>
      <c r="X16" s="616">
        <f t="shared" si="1"/>
        <v>0</v>
      </c>
      <c r="Y16" s="616">
        <f t="shared" si="2"/>
        <v>0</v>
      </c>
    </row>
    <row r="17" spans="1:25" ht="30.6" x14ac:dyDescent="0.3">
      <c r="A17" s="346">
        <f>'Unit Data from Audit Worksheet'!A19</f>
        <v>338</v>
      </c>
      <c r="B17" s="360" t="str">
        <f>'Unit Data from Audit Worksheet'!C19</f>
        <v>Net Position-Governmental Activities</v>
      </c>
      <c r="C17" s="345" t="str">
        <f>'Unit Data from Audit Worksheet'!D19</f>
        <v>Total Liabilities and total deferred inflows</v>
      </c>
      <c r="D17" s="110"/>
      <c r="E17" s="152">
        <f>'Unit Data from Audit Worksheet'!F19</f>
        <v>0</v>
      </c>
      <c r="F17" s="135" t="str">
        <f>IF(L10&gt;L17,"Please review accounts 626 greater than 338","")</f>
        <v/>
      </c>
      <c r="G17" s="72"/>
      <c r="H17" s="358">
        <f>'Unit Data from Audit Worksheet'!I19</f>
        <v>0</v>
      </c>
      <c r="I17" s="38"/>
      <c r="J17" s="114">
        <v>338</v>
      </c>
      <c r="K17" s="115" t="s">
        <v>116</v>
      </c>
      <c r="L17" s="611">
        <f>IF(D17="",E17,D17)+IF(D9="",E9,D9)</f>
        <v>0</v>
      </c>
      <c r="N17" s="78" t="s">
        <v>544</v>
      </c>
      <c r="P17" s="327"/>
      <c r="W17" s="3" t="b">
        <f t="shared" si="0"/>
        <v>1</v>
      </c>
      <c r="X17" s="607">
        <f t="shared" si="1"/>
        <v>0</v>
      </c>
      <c r="Y17" s="607">
        <f t="shared" si="2"/>
        <v>0</v>
      </c>
    </row>
    <row r="18" spans="1:25" ht="100.5" customHeight="1" x14ac:dyDescent="0.3">
      <c r="A18" s="346">
        <f>'Unit Data from Audit Worksheet'!A20</f>
        <v>335</v>
      </c>
      <c r="B18" s="360" t="str">
        <f>'Unit Data from Audit Worksheet'!C20</f>
        <v>Net Position-Governmental Activities</v>
      </c>
      <c r="C18" s="345" t="str">
        <f>'Unit Data from Audit Worksheet'!D20</f>
        <v>Unearned revenues that were included in current liabilities in your audit report or entered in acct # 626 above. 
Exclude - unearned revenues that are listed in deferred inflows.</v>
      </c>
      <c r="D18" s="110"/>
      <c r="E18" s="366">
        <f>'Unit Data from Audit Worksheet'!F20</f>
        <v>0</v>
      </c>
      <c r="F18" s="359">
        <f>IF(L18&lt;0,"Error: Enter as a positive.",)</f>
        <v>0</v>
      </c>
      <c r="G18" s="361"/>
      <c r="H18" s="358">
        <f>'Unit Data from Audit Worksheet'!I20</f>
        <v>0</v>
      </c>
      <c r="I18" s="38"/>
      <c r="J18" s="357">
        <v>335</v>
      </c>
      <c r="K18" s="356" t="s">
        <v>117</v>
      </c>
      <c r="L18" s="610">
        <f>IF(D18="",E18,D18)</f>
        <v>0</v>
      </c>
      <c r="P18" s="328"/>
      <c r="W18" s="3" t="b">
        <f t="shared" si="0"/>
        <v>1</v>
      </c>
      <c r="X18" s="607">
        <f t="shared" si="1"/>
        <v>0</v>
      </c>
      <c r="Y18" s="607">
        <f t="shared" si="2"/>
        <v>0</v>
      </c>
    </row>
    <row r="19" spans="1:25" ht="20.399999999999999" x14ac:dyDescent="0.3">
      <c r="A19" s="346">
        <f>'Unit Data from Audit Worksheet'!A21</f>
        <v>252</v>
      </c>
      <c r="B19" s="360" t="str">
        <f>'Unit Data from Audit Worksheet'!C21</f>
        <v>Net Position-Governmental Activities</v>
      </c>
      <c r="C19" s="345" t="str">
        <f>'Unit Data from Audit Worksheet'!D21</f>
        <v xml:space="preserve"> Total Net investment in capital assets</v>
      </c>
      <c r="D19" s="110"/>
      <c r="E19" s="366">
        <f>'Unit Data from Audit Worksheet'!F21</f>
        <v>0</v>
      </c>
      <c r="F19" s="359"/>
      <c r="G19" s="361"/>
      <c r="H19" s="358">
        <f>'Unit Data from Audit Worksheet'!I21</f>
        <v>0</v>
      </c>
      <c r="I19" s="38"/>
      <c r="J19" s="357">
        <v>252</v>
      </c>
      <c r="K19" s="356" t="s">
        <v>103</v>
      </c>
      <c r="L19" s="610">
        <f t="shared" ref="L19:L51" si="4">IF(D19="",E19,D19)</f>
        <v>0</v>
      </c>
      <c r="O19" s="618" t="e">
        <f>'Unit Data from Audit Worksheet'!E21</f>
        <v>#N/A</v>
      </c>
      <c r="P19" s="328"/>
      <c r="W19" s="3" t="b">
        <f t="shared" si="0"/>
        <v>1</v>
      </c>
      <c r="X19" s="607">
        <f t="shared" si="1"/>
        <v>0</v>
      </c>
      <c r="Y19" s="607">
        <f t="shared" si="2"/>
        <v>0</v>
      </c>
    </row>
    <row r="20" spans="1:25" ht="20.399999999999999" x14ac:dyDescent="0.3">
      <c r="A20" s="346">
        <f>'Unit Data from Audit Worksheet'!A22</f>
        <v>253</v>
      </c>
      <c r="B20" s="360" t="str">
        <f>'Unit Data from Audit Worksheet'!C22</f>
        <v>Net Position-Governmental Activities</v>
      </c>
      <c r="C20" s="345" t="str">
        <f>'Unit Data from Audit Worksheet'!D22</f>
        <v xml:space="preserve"> Total Net Position, Restricted</v>
      </c>
      <c r="D20" s="110"/>
      <c r="E20" s="366">
        <f>'Unit Data from Audit Worksheet'!F22</f>
        <v>0</v>
      </c>
      <c r="F20" s="359"/>
      <c r="G20" s="361"/>
      <c r="H20" s="358">
        <f>'Unit Data from Audit Worksheet'!I22</f>
        <v>0</v>
      </c>
      <c r="I20" s="38"/>
      <c r="J20" s="357">
        <v>253</v>
      </c>
      <c r="K20" s="356" t="s">
        <v>104</v>
      </c>
      <c r="L20" s="610">
        <f t="shared" si="4"/>
        <v>0</v>
      </c>
      <c r="O20" s="618" t="e">
        <f>'Unit Data from Audit Worksheet'!E22</f>
        <v>#N/A</v>
      </c>
      <c r="P20" s="328"/>
      <c r="W20" s="3" t="b">
        <f t="shared" si="0"/>
        <v>1</v>
      </c>
      <c r="X20" s="607">
        <f t="shared" si="1"/>
        <v>0</v>
      </c>
      <c r="Y20" s="607">
        <f t="shared" si="2"/>
        <v>0</v>
      </c>
    </row>
    <row r="21" spans="1:25" ht="73.5" customHeight="1" x14ac:dyDescent="0.3">
      <c r="A21" s="346">
        <f>'Unit Data from Audit Worksheet'!A23</f>
        <v>254</v>
      </c>
      <c r="B21" s="360" t="str">
        <f>'Unit Data from Audit Worksheet'!C23</f>
        <v>Net Position-Governmental Activities</v>
      </c>
      <c r="C21" s="345" t="str">
        <f>'Unit Data from Audit Worksheet'!D23</f>
        <v>Total Net Position, Unrestricted - enter negative unrestricted net position as a negative)</v>
      </c>
      <c r="D21" s="110"/>
      <c r="E21" s="366">
        <f>'Unit Data from Audit Worksheet'!F23</f>
        <v>0</v>
      </c>
      <c r="F21" s="359">
        <f>IF((L7-L17-L19-L20-L21)=0,,"Error: Total assets and deferred outflows less total liabilities and deferred inflows do not equal total net position accts 385-338-252-253-254")</f>
        <v>0</v>
      </c>
      <c r="G21" s="90">
        <f>+L7-L17-L19-L20-L21</f>
        <v>0</v>
      </c>
      <c r="H21" s="358">
        <f>'Unit Data from Audit Worksheet'!I23</f>
        <v>0</v>
      </c>
      <c r="I21" s="38"/>
      <c r="J21" s="357">
        <v>254</v>
      </c>
      <c r="K21" s="356" t="s">
        <v>105</v>
      </c>
      <c r="L21" s="610">
        <f t="shared" si="4"/>
        <v>0</v>
      </c>
      <c r="O21" s="618" t="e">
        <f>'Unit Data from Audit Worksheet'!E23</f>
        <v>#N/A</v>
      </c>
      <c r="P21" s="328"/>
      <c r="Q21" s="600">
        <f>IF(G21&lt;&gt;0,1,0)</f>
        <v>0</v>
      </c>
      <c r="W21" s="3" t="b">
        <f t="shared" si="0"/>
        <v>1</v>
      </c>
      <c r="X21" s="607">
        <f t="shared" si="1"/>
        <v>0</v>
      </c>
      <c r="Y21" s="607">
        <f t="shared" si="2"/>
        <v>0</v>
      </c>
    </row>
    <row r="22" spans="1:25" ht="51.75" customHeight="1" x14ac:dyDescent="0.3">
      <c r="A22" s="346">
        <f>'Unit Data from Audit Worksheet'!A25</f>
        <v>502</v>
      </c>
      <c r="B22" s="360" t="str">
        <f>'Unit Data from Audit Worksheet'!C25</f>
        <v>Net Position-Business Activities</v>
      </c>
      <c r="C22" s="345" t="str">
        <f>'Unit Data from Audit Worksheet'!D25</f>
        <v xml:space="preserve">All unrestricted Cash and investments. 
Exclude restricted cash and cash held by a third party. </v>
      </c>
      <c r="D22" s="110"/>
      <c r="E22" s="366">
        <f>'Unit Data from Audit Worksheet'!F25</f>
        <v>0</v>
      </c>
      <c r="F22" s="359">
        <f>IF(L22&lt;0,"Error: Number is normally positive.",)</f>
        <v>0</v>
      </c>
      <c r="G22" s="361"/>
      <c r="H22" s="358">
        <f>'Unit Data from Audit Worksheet'!I25</f>
        <v>0</v>
      </c>
      <c r="I22" s="38"/>
      <c r="J22" s="357">
        <v>502</v>
      </c>
      <c r="K22" s="356" t="s">
        <v>186</v>
      </c>
      <c r="L22" s="610">
        <f t="shared" si="4"/>
        <v>0</v>
      </c>
      <c r="P22" s="328"/>
      <c r="W22" s="3" t="b">
        <f t="shared" si="0"/>
        <v>1</v>
      </c>
      <c r="X22" s="607">
        <f t="shared" si="1"/>
        <v>0</v>
      </c>
      <c r="Y22" s="607">
        <f t="shared" si="2"/>
        <v>0</v>
      </c>
    </row>
    <row r="23" spans="1:25" ht="40.5" customHeight="1" x14ac:dyDescent="0.3">
      <c r="A23" s="346">
        <f>'Unit Data from Audit Worksheet'!A26</f>
        <v>503</v>
      </c>
      <c r="B23" s="360" t="str">
        <f>'Unit Data from Audit Worksheet'!C26</f>
        <v>Net Position-Business Activities</v>
      </c>
      <c r="C23" s="345" t="str">
        <f>'Unit Data from Audit Worksheet'!D26</f>
        <v>All restricted Cash and investments</v>
      </c>
      <c r="D23" s="110"/>
      <c r="E23" s="366">
        <f>'Unit Data from Audit Worksheet'!F26</f>
        <v>0</v>
      </c>
      <c r="F23" s="359">
        <f>IF(L23&lt;0,"Error: Number is normally positive.",)</f>
        <v>0</v>
      </c>
      <c r="G23" s="361"/>
      <c r="H23" s="358">
        <f>'Unit Data from Audit Worksheet'!I26</f>
        <v>0</v>
      </c>
      <c r="I23" s="38"/>
      <c r="J23" s="357">
        <v>503</v>
      </c>
      <c r="K23" s="356" t="s">
        <v>187</v>
      </c>
      <c r="L23" s="610">
        <f t="shared" si="4"/>
        <v>0</v>
      </c>
      <c r="P23" s="328"/>
      <c r="W23" s="3" t="b">
        <f t="shared" si="0"/>
        <v>1</v>
      </c>
      <c r="X23" s="607">
        <f t="shared" si="1"/>
        <v>0</v>
      </c>
      <c r="Y23" s="607">
        <f t="shared" si="2"/>
        <v>0</v>
      </c>
    </row>
    <row r="24" spans="1:25" ht="39" customHeight="1" x14ac:dyDescent="0.3">
      <c r="A24" s="346">
        <f>'Unit Data from Audit Worksheet'!A28</f>
        <v>344</v>
      </c>
      <c r="B24" s="360" t="str">
        <f>'Unit Data from Audit Worksheet'!C28</f>
        <v>Statement of Activities - Governmental</v>
      </c>
      <c r="C24" s="345" t="str">
        <f>'Unit Data from Audit Worksheet'!D28</f>
        <v xml:space="preserve">Total Interest expense on Long-Term Debt </v>
      </c>
      <c r="D24" s="110"/>
      <c r="E24" s="366">
        <f>'Unit Data from Audit Worksheet'!F28</f>
        <v>0</v>
      </c>
      <c r="F24" s="359">
        <f>IF(L24&lt;0,"Error: Enter as a positive.",)</f>
        <v>0</v>
      </c>
      <c r="G24" s="361"/>
      <c r="H24" s="358">
        <f>'Unit Data from Audit Worksheet'!I28</f>
        <v>0</v>
      </c>
      <c r="I24" s="38"/>
      <c r="J24" s="357">
        <v>344</v>
      </c>
      <c r="K24" s="356" t="s">
        <v>188</v>
      </c>
      <c r="L24" s="610">
        <f t="shared" si="4"/>
        <v>0</v>
      </c>
      <c r="P24" s="328"/>
      <c r="W24" s="3" t="b">
        <f t="shared" si="0"/>
        <v>1</v>
      </c>
      <c r="X24" s="607">
        <f t="shared" si="1"/>
        <v>0</v>
      </c>
      <c r="Y24" s="607">
        <f t="shared" si="2"/>
        <v>0</v>
      </c>
    </row>
    <row r="25" spans="1:25" ht="39" customHeight="1" x14ac:dyDescent="0.3">
      <c r="A25" s="346">
        <f>'Unit Data from Audit Worksheet'!A29</f>
        <v>388</v>
      </c>
      <c r="B25" s="360" t="str">
        <f>'Unit Data from Audit Worksheet'!C29</f>
        <v>Statement of Activities - Governmental</v>
      </c>
      <c r="C25" s="345" t="str">
        <f>'Unit Data from Audit Worksheet'!D29</f>
        <v>Total Expenses</v>
      </c>
      <c r="D25" s="110"/>
      <c r="E25" s="366">
        <f>'Unit Data from Audit Worksheet'!F29</f>
        <v>0</v>
      </c>
      <c r="F25" s="359">
        <f t="shared" ref="F25:F30" si="5">IF(L25&lt;0,"Error: Number is normally positive.",)</f>
        <v>0</v>
      </c>
      <c r="G25" s="361"/>
      <c r="H25" s="358">
        <f>'Unit Data from Audit Worksheet'!I29</f>
        <v>0</v>
      </c>
      <c r="I25" s="38"/>
      <c r="J25" s="357">
        <v>388</v>
      </c>
      <c r="K25" s="356" t="s">
        <v>189</v>
      </c>
      <c r="L25" s="610">
        <f t="shared" si="4"/>
        <v>0</v>
      </c>
      <c r="P25" s="328"/>
      <c r="W25" s="3" t="b">
        <f t="shared" si="0"/>
        <v>1</v>
      </c>
      <c r="X25" s="607">
        <f t="shared" si="1"/>
        <v>0</v>
      </c>
      <c r="Y25" s="607">
        <f t="shared" si="2"/>
        <v>0</v>
      </c>
    </row>
    <row r="26" spans="1:25" ht="39" customHeight="1" x14ac:dyDescent="0.3">
      <c r="A26" s="346">
        <f>'Unit Data from Audit Worksheet'!A30</f>
        <v>339</v>
      </c>
      <c r="B26" s="360" t="str">
        <f>'Unit Data from Audit Worksheet'!C30</f>
        <v>Statement of Activities - Governmental</v>
      </c>
      <c r="C26" s="345" t="str">
        <f>'Unit Data from Audit Worksheet'!D30</f>
        <v xml:space="preserve">Charges for services </v>
      </c>
      <c r="D26" s="110"/>
      <c r="E26" s="366">
        <f>'Unit Data from Audit Worksheet'!F30</f>
        <v>0</v>
      </c>
      <c r="F26" s="359">
        <f t="shared" si="5"/>
        <v>0</v>
      </c>
      <c r="G26" s="361"/>
      <c r="H26" s="358">
        <f>'Unit Data from Audit Worksheet'!I30</f>
        <v>0</v>
      </c>
      <c r="I26" s="38"/>
      <c r="J26" s="357">
        <v>339</v>
      </c>
      <c r="K26" s="356" t="s">
        <v>190</v>
      </c>
      <c r="L26" s="610">
        <f t="shared" si="4"/>
        <v>0</v>
      </c>
      <c r="P26" s="328"/>
      <c r="W26" s="3" t="b">
        <f t="shared" si="0"/>
        <v>1</v>
      </c>
      <c r="X26" s="607">
        <f t="shared" si="1"/>
        <v>0</v>
      </c>
      <c r="Y26" s="607">
        <f t="shared" si="2"/>
        <v>0</v>
      </c>
    </row>
    <row r="27" spans="1:25" ht="39" customHeight="1" x14ac:dyDescent="0.3">
      <c r="A27" s="346">
        <f>'Unit Data from Audit Worksheet'!A31</f>
        <v>504</v>
      </c>
      <c r="B27" s="360" t="str">
        <f>'Unit Data from Audit Worksheet'!C31</f>
        <v>Statement of Activities - Governmental</v>
      </c>
      <c r="C27" s="345" t="str">
        <f>'Unit Data from Audit Worksheet'!D31</f>
        <v>Operating grants and contributions</v>
      </c>
      <c r="D27" s="110"/>
      <c r="E27" s="366">
        <f>'Unit Data from Audit Worksheet'!F31</f>
        <v>0</v>
      </c>
      <c r="F27" s="359">
        <f t="shared" si="5"/>
        <v>0</v>
      </c>
      <c r="G27" s="361"/>
      <c r="H27" s="358">
        <f>'Unit Data from Audit Worksheet'!I31</f>
        <v>0</v>
      </c>
      <c r="I27" s="38"/>
      <c r="J27" s="357">
        <v>504</v>
      </c>
      <c r="K27" s="356" t="s">
        <v>191</v>
      </c>
      <c r="L27" s="610">
        <f t="shared" si="4"/>
        <v>0</v>
      </c>
      <c r="P27" s="328"/>
      <c r="W27" s="3" t="b">
        <f t="shared" si="0"/>
        <v>1</v>
      </c>
      <c r="X27" s="607">
        <f t="shared" si="1"/>
        <v>0</v>
      </c>
      <c r="Y27" s="607">
        <f t="shared" si="2"/>
        <v>0</v>
      </c>
    </row>
    <row r="28" spans="1:25" ht="39" customHeight="1" x14ac:dyDescent="0.3">
      <c r="A28" s="346">
        <f>'Unit Data from Audit Worksheet'!A32</f>
        <v>505</v>
      </c>
      <c r="B28" s="360" t="str">
        <f>'Unit Data from Audit Worksheet'!C32</f>
        <v>Statement of Activities - Governmental</v>
      </c>
      <c r="C28" s="345" t="str">
        <f>'Unit Data from Audit Worksheet'!D32</f>
        <v>Capital grants and contributions</v>
      </c>
      <c r="D28" s="110"/>
      <c r="E28" s="366">
        <f>'Unit Data from Audit Worksheet'!F32</f>
        <v>0</v>
      </c>
      <c r="F28" s="359">
        <f t="shared" si="5"/>
        <v>0</v>
      </c>
      <c r="G28" s="361"/>
      <c r="H28" s="358">
        <f>'Unit Data from Audit Worksheet'!I32</f>
        <v>0</v>
      </c>
      <c r="I28" s="38"/>
      <c r="J28" s="357">
        <v>505</v>
      </c>
      <c r="K28" s="356" t="s">
        <v>192</v>
      </c>
      <c r="L28" s="610">
        <f t="shared" si="4"/>
        <v>0</v>
      </c>
      <c r="P28" s="328"/>
      <c r="W28" s="3" t="b">
        <f t="shared" si="0"/>
        <v>1</v>
      </c>
      <c r="X28" s="607">
        <f t="shared" si="1"/>
        <v>0</v>
      </c>
      <c r="Y28" s="607">
        <f t="shared" si="2"/>
        <v>0</v>
      </c>
    </row>
    <row r="29" spans="1:25" ht="82.5" customHeight="1" x14ac:dyDescent="0.3">
      <c r="A29" s="346">
        <f>'Unit Data from Audit Worksheet'!A33</f>
        <v>341</v>
      </c>
      <c r="B29" s="360" t="str">
        <f>'Unit Data from Audit Worksheet'!C33</f>
        <v>Statement of Activities - Governmental</v>
      </c>
      <c r="C29" s="345" t="str">
        <f>'Unit Data from Audit Worksheet'!D33</f>
        <v>Total General revenues
Exclude: transfers-in or out,
                 special items,
                 extraordinary amounts</v>
      </c>
      <c r="D29" s="110"/>
      <c r="E29" s="366">
        <f>'Unit Data from Audit Worksheet'!F33</f>
        <v>0</v>
      </c>
      <c r="F29" s="359">
        <f t="shared" si="5"/>
        <v>0</v>
      </c>
      <c r="G29" s="361"/>
      <c r="H29" s="358">
        <f>'Unit Data from Audit Worksheet'!I33</f>
        <v>0</v>
      </c>
      <c r="I29" s="38"/>
      <c r="J29" s="357">
        <v>341</v>
      </c>
      <c r="K29" s="356" t="s">
        <v>193</v>
      </c>
      <c r="L29" s="610">
        <f t="shared" si="4"/>
        <v>0</v>
      </c>
      <c r="P29" s="328"/>
      <c r="W29" s="3" t="b">
        <f t="shared" si="0"/>
        <v>1</v>
      </c>
      <c r="X29" s="607">
        <f t="shared" si="1"/>
        <v>0</v>
      </c>
      <c r="Y29" s="607">
        <f t="shared" si="2"/>
        <v>0</v>
      </c>
    </row>
    <row r="30" spans="1:25" ht="82.5" customHeight="1" x14ac:dyDescent="0.3">
      <c r="A30" s="346">
        <f>'Unit Data from Audit Worksheet'!A34</f>
        <v>386</v>
      </c>
      <c r="B30" s="360" t="str">
        <f>'Unit Data from Audit Worksheet'!C34</f>
        <v>Statement of Activities - Governmental</v>
      </c>
      <c r="C30" s="345" t="str">
        <f>'Unit Data from Audit Worksheet'!D34</f>
        <v>Total Transfers in    (Preference is that transfers-in  are not netted against transfers-out)</v>
      </c>
      <c r="D30" s="110"/>
      <c r="E30" s="366">
        <f>'Unit Data from Audit Worksheet'!F34</f>
        <v>0</v>
      </c>
      <c r="F30" s="359">
        <f t="shared" si="5"/>
        <v>0</v>
      </c>
      <c r="G30" s="361"/>
      <c r="H30" s="358">
        <f>'Unit Data from Audit Worksheet'!I34</f>
        <v>0</v>
      </c>
      <c r="I30" s="38"/>
      <c r="J30" s="357">
        <v>386</v>
      </c>
      <c r="K30" s="356" t="s">
        <v>194</v>
      </c>
      <c r="L30" s="610">
        <f t="shared" si="4"/>
        <v>0</v>
      </c>
      <c r="P30" s="328"/>
      <c r="W30" s="3" t="b">
        <f t="shared" si="0"/>
        <v>1</v>
      </c>
      <c r="X30" s="607">
        <f t="shared" si="1"/>
        <v>0</v>
      </c>
      <c r="Y30" s="607">
        <f t="shared" si="2"/>
        <v>0</v>
      </c>
    </row>
    <row r="31" spans="1:25" ht="82.5" customHeight="1" x14ac:dyDescent="0.3">
      <c r="A31" s="346">
        <f>'Unit Data from Audit Worksheet'!A35</f>
        <v>387</v>
      </c>
      <c r="B31" s="360" t="str">
        <f>'Unit Data from Audit Worksheet'!C35</f>
        <v>Statement of Activities - Governmental</v>
      </c>
      <c r="C31" s="345" t="str">
        <f>'Unit Data from Audit Worksheet'!D35</f>
        <v>Total Transfers out    (Preference is that transfers-in  are not netted against transfers-out)</v>
      </c>
      <c r="D31" s="110"/>
      <c r="E31" s="366">
        <f>'Unit Data from Audit Worksheet'!F35</f>
        <v>0</v>
      </c>
      <c r="F31" s="359">
        <f>IF(L31&lt;0,"Error: Enter as a positive.",)</f>
        <v>0</v>
      </c>
      <c r="G31" s="361"/>
      <c r="H31" s="358">
        <f>'Unit Data from Audit Worksheet'!I35</f>
        <v>0</v>
      </c>
      <c r="I31" s="38"/>
      <c r="J31" s="357">
        <v>387</v>
      </c>
      <c r="K31" s="356" t="s">
        <v>195</v>
      </c>
      <c r="L31" s="610">
        <f t="shared" si="4"/>
        <v>0</v>
      </c>
      <c r="P31" s="328"/>
      <c r="W31" s="3" t="b">
        <f t="shared" si="0"/>
        <v>1</v>
      </c>
      <c r="X31" s="607">
        <f t="shared" si="1"/>
        <v>0</v>
      </c>
      <c r="Y31" s="607">
        <f t="shared" si="2"/>
        <v>0</v>
      </c>
    </row>
    <row r="32" spans="1:25" ht="82.5" customHeight="1" x14ac:dyDescent="0.3">
      <c r="A32" s="346">
        <f>'Unit Data from Audit Worksheet'!A36</f>
        <v>389</v>
      </c>
      <c r="B32" s="360" t="str">
        <f>'Unit Data from Audit Worksheet'!C36</f>
        <v>Statement of Activities - Governmental</v>
      </c>
      <c r="C32" s="345" t="str">
        <f>'Unit Data from Audit Worksheet'!D36</f>
        <v>Total Special and Extraordinary items.    (Amounts that increase net position are recorded as positive and amounts that decrease net position are recorded as negative)</v>
      </c>
      <c r="D32" s="110"/>
      <c r="E32" s="366">
        <f>'Unit Data from Audit Worksheet'!F36</f>
        <v>0</v>
      </c>
      <c r="F32" s="359"/>
      <c r="G32" s="361"/>
      <c r="H32" s="358">
        <f>'Unit Data from Audit Worksheet'!I36</f>
        <v>0</v>
      </c>
      <c r="I32" s="38"/>
      <c r="J32" s="357">
        <v>389</v>
      </c>
      <c r="K32" s="356" t="s">
        <v>196</v>
      </c>
      <c r="L32" s="610">
        <f t="shared" si="4"/>
        <v>0</v>
      </c>
      <c r="N32" s="619"/>
      <c r="P32" s="328"/>
      <c r="W32" s="3" t="b">
        <f t="shared" si="0"/>
        <v>1</v>
      </c>
      <c r="X32" s="607">
        <f t="shared" si="1"/>
        <v>0</v>
      </c>
      <c r="Y32" s="607">
        <f t="shared" si="2"/>
        <v>0</v>
      </c>
    </row>
    <row r="33" spans="1:25" ht="79.5" customHeight="1" x14ac:dyDescent="0.3">
      <c r="A33" s="346">
        <f>'Unit Data from Audit Worksheet'!A37</f>
        <v>255</v>
      </c>
      <c r="B33" s="360" t="str">
        <f>'Unit Data from Audit Worksheet'!C37</f>
        <v>Statement of Activities - Governmental</v>
      </c>
      <c r="C33" s="345" t="str">
        <f>'Unit Data from Audit Worksheet'!D37</f>
        <v>Total Change in net position - (Increase in net position is recorded as a positive and a decrease in net position is recorded as a negative)</v>
      </c>
      <c r="D33" s="110"/>
      <c r="E33" s="366">
        <f>'Unit Data from Audit Worksheet'!F37</f>
        <v>0</v>
      </c>
      <c r="F33" s="359">
        <f>IF((L26+L27+L28+L29+L30-L31+L32-L25-L33)=0,,"Total revenues less total expenses do not equal total change in net position. Acct 339+504+505+341+386-387+389-388-255=0")</f>
        <v>0</v>
      </c>
      <c r="G33" s="91">
        <f>L26+L27+L28+L29+L30-L31+L32-L25-L33</f>
        <v>0</v>
      </c>
      <c r="H33" s="358">
        <f>'Unit Data from Audit Worksheet'!I37</f>
        <v>0</v>
      </c>
      <c r="I33" s="38"/>
      <c r="J33" s="357">
        <v>255</v>
      </c>
      <c r="K33" s="356" t="s">
        <v>197</v>
      </c>
      <c r="L33" s="610">
        <f t="shared" si="4"/>
        <v>0</v>
      </c>
      <c r="O33" s="618" t="e">
        <f>'Unit Data from Audit Worksheet'!E37</f>
        <v>#N/A</v>
      </c>
      <c r="P33" s="328"/>
      <c r="Q33" s="600">
        <f>IF(G33&lt;&gt;0,1,0)</f>
        <v>0</v>
      </c>
      <c r="W33" s="3" t="b">
        <f t="shared" si="0"/>
        <v>1</v>
      </c>
      <c r="X33" s="607">
        <f t="shared" si="1"/>
        <v>0</v>
      </c>
      <c r="Y33" s="607">
        <f t="shared" si="2"/>
        <v>0</v>
      </c>
    </row>
    <row r="34" spans="1:25" ht="89.25" customHeight="1" x14ac:dyDescent="0.3">
      <c r="A34" s="346">
        <f>'Unit Data from Audit Worksheet'!A38</f>
        <v>376</v>
      </c>
      <c r="B34" s="360" t="str">
        <f>'Unit Data from Audit Worksheet'!C38</f>
        <v>Statement of Activities - Governmental</v>
      </c>
      <c r="C34" s="345" t="str">
        <f>'Unit Data from Audit Worksheet'!D38</f>
        <v>Any adjustment to beginning net position including rounding, prior period adjustments and restatements.   (Increases to net position are positive; decreases to net position are negative)</v>
      </c>
      <c r="D34" s="110"/>
      <c r="E34" s="366">
        <f>'Unit Data from Audit Worksheet'!F38</f>
        <v>0</v>
      </c>
      <c r="F34" s="87" t="e">
        <f>IF(L19+L20+L21-L33-L34=O19+O20+O21,,"Beginning Balance does not agree with our records acct (252+253+254-255-376=PY252+PY253+PY254)")</f>
        <v>#N/A</v>
      </c>
      <c r="G34" s="92" t="e">
        <f>L19+L20+L21-L33-L34-(O19+O20+O21)</f>
        <v>#N/A</v>
      </c>
      <c r="H34" s="358">
        <f>'Unit Data from Audit Worksheet'!I38</f>
        <v>0</v>
      </c>
      <c r="I34" s="38"/>
      <c r="J34" s="357">
        <v>376</v>
      </c>
      <c r="K34" s="356" t="s">
        <v>108</v>
      </c>
      <c r="L34" s="610">
        <f t="shared" si="4"/>
        <v>0</v>
      </c>
      <c r="O34" s="618" t="e">
        <f>'Unit Data from Audit Worksheet'!E38</f>
        <v>#N/A</v>
      </c>
      <c r="P34" s="328"/>
      <c r="Q34" s="600" t="e">
        <f>IF(G34&lt;&gt;0,1,0)</f>
        <v>#N/A</v>
      </c>
      <c r="W34" s="3" t="b">
        <f t="shared" si="0"/>
        <v>1</v>
      </c>
      <c r="X34" s="607">
        <f t="shared" si="1"/>
        <v>0</v>
      </c>
      <c r="Y34" s="607">
        <f t="shared" si="2"/>
        <v>0</v>
      </c>
    </row>
    <row r="35" spans="1:25" ht="157.5" customHeight="1" x14ac:dyDescent="0.3">
      <c r="A35" s="346">
        <f>'Unit Data from Audit Worksheet'!A39</f>
        <v>597</v>
      </c>
      <c r="B35" s="360" t="str">
        <f>'Unit Data from Audit Worksheet'!C39</f>
        <v>Statement of Activities                               (all governmental and business funds)</v>
      </c>
      <c r="C35" s="345"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66">
        <f>'Unit Data from Audit Worksheet'!F39</f>
        <v>0</v>
      </c>
      <c r="F35" s="359">
        <f>IF(L35&lt;0,"Error: Number is normally positive.",)</f>
        <v>0</v>
      </c>
      <c r="G35" s="361"/>
      <c r="H35" s="358">
        <f>'Unit Data from Audit Worksheet'!I39</f>
        <v>0</v>
      </c>
      <c r="I35" s="38"/>
      <c r="J35" s="357">
        <v>597</v>
      </c>
      <c r="K35" s="356" t="s">
        <v>655</v>
      </c>
      <c r="L35" s="610">
        <f t="shared" si="4"/>
        <v>0</v>
      </c>
      <c r="O35" s="618"/>
      <c r="P35" s="328"/>
      <c r="W35" s="3" t="b">
        <f t="shared" si="0"/>
        <v>1</v>
      </c>
      <c r="X35" s="607">
        <f t="shared" si="1"/>
        <v>0</v>
      </c>
      <c r="Y35" s="607">
        <f t="shared" si="2"/>
        <v>0</v>
      </c>
    </row>
    <row r="36" spans="1:25" ht="90" customHeight="1" x14ac:dyDescent="0.3">
      <c r="A36" s="346">
        <f>'Unit Data from Audit Worksheet'!A41</f>
        <v>592</v>
      </c>
      <c r="B36" s="360" t="str">
        <f>'Unit Data from Audit Worksheet'!C41</f>
        <v>Statement of Activities - Business Activities</v>
      </c>
      <c r="C36" s="345" t="str">
        <f>'Unit Data from Audit Worksheet'!D41</f>
        <v>Total Change in net position Business Type 
(Increase in net position is recorded as a positive and a decrease in net position is recorded as a negative)</v>
      </c>
      <c r="D36" s="110"/>
      <c r="E36" s="366">
        <f>'Unit Data from Audit Worksheet'!F41</f>
        <v>0</v>
      </c>
      <c r="F36" s="359"/>
      <c r="G36" s="361"/>
      <c r="H36" s="358">
        <f>'Unit Data from Audit Worksheet'!I41</f>
        <v>0</v>
      </c>
      <c r="I36" s="38"/>
      <c r="J36" s="357">
        <v>592</v>
      </c>
      <c r="K36" s="356" t="s">
        <v>610</v>
      </c>
      <c r="L36" s="610">
        <f t="shared" si="4"/>
        <v>0</v>
      </c>
      <c r="O36" s="618"/>
      <c r="P36" s="328"/>
      <c r="W36" s="3" t="b">
        <f t="shared" ref="W36:W66" si="6">EXACT(A36,J36)</f>
        <v>1</v>
      </c>
      <c r="X36" s="607">
        <f t="shared" si="1"/>
        <v>0</v>
      </c>
      <c r="Y36" s="607">
        <f t="shared" si="2"/>
        <v>0</v>
      </c>
    </row>
    <row r="37" spans="1:25" ht="66" customHeight="1" x14ac:dyDescent="0.3">
      <c r="A37" s="346">
        <f>'Unit Data from Audit Worksheet'!A42</f>
        <v>591</v>
      </c>
      <c r="B37" s="360" t="str">
        <f>'Unit Data from Audit Worksheet'!C42</f>
        <v>Statement of Activities - Business Activities</v>
      </c>
      <c r="C37" s="345" t="str">
        <f>'Unit Data from Audit Worksheet'!D42</f>
        <v>Total Expenses - Exclude Transfers</v>
      </c>
      <c r="D37" s="110"/>
      <c r="E37" s="366">
        <f>'Unit Data from Audit Worksheet'!F42</f>
        <v>0</v>
      </c>
      <c r="F37" s="359">
        <f>IF(L37&lt;0,"Error: Enter as a positive.",)</f>
        <v>0</v>
      </c>
      <c r="G37" s="361"/>
      <c r="H37" s="358">
        <f>'Unit Data from Audit Worksheet'!I42</f>
        <v>0</v>
      </c>
      <c r="I37" s="38"/>
      <c r="J37" s="357">
        <v>591</v>
      </c>
      <c r="K37" s="356" t="s">
        <v>609</v>
      </c>
      <c r="L37" s="610">
        <f t="shared" si="4"/>
        <v>0</v>
      </c>
      <c r="O37" s="618"/>
      <c r="P37" s="328"/>
      <c r="W37" s="3" t="b">
        <f t="shared" si="6"/>
        <v>1</v>
      </c>
      <c r="X37" s="607">
        <f t="shared" si="1"/>
        <v>0</v>
      </c>
      <c r="Y37" s="607">
        <f t="shared" si="2"/>
        <v>0</v>
      </c>
    </row>
    <row r="38" spans="1:25" s="746" customFormat="1" ht="66" customHeight="1" x14ac:dyDescent="0.3">
      <c r="A38" s="346">
        <f>'Unit Data from Audit Worksheet'!A43</f>
        <v>593</v>
      </c>
      <c r="B38" s="360" t="str">
        <f>'Unit Data from Audit Worksheet'!C43</f>
        <v>Statement of Activities - Business Activities</v>
      </c>
      <c r="C38" s="345" t="str">
        <f>'Unit Data from Audit Worksheet'!D43</f>
        <v>Total Transfers in    (Preference is that transfers-in  are not netted against transfers-out)</v>
      </c>
      <c r="D38" s="110"/>
      <c r="E38" s="366">
        <f>'Unit Data from Audit Worksheet'!F43</f>
        <v>0</v>
      </c>
      <c r="F38" s="359"/>
      <c r="G38" s="361"/>
      <c r="H38" s="358"/>
      <c r="I38" s="748"/>
      <c r="J38" s="357">
        <v>593</v>
      </c>
      <c r="K38" s="751" t="s">
        <v>1431</v>
      </c>
      <c r="L38" s="610">
        <f t="shared" si="4"/>
        <v>0</v>
      </c>
      <c r="O38" s="618"/>
      <c r="P38" s="328"/>
      <c r="Q38" s="600"/>
      <c r="X38" s="607"/>
      <c r="Y38" s="607"/>
    </row>
    <row r="39" spans="1:25" s="746" customFormat="1" ht="66" customHeight="1" x14ac:dyDescent="0.3">
      <c r="A39" s="346">
        <f>'Unit Data from Audit Worksheet'!A44</f>
        <v>594</v>
      </c>
      <c r="B39" s="360" t="str">
        <f>'Unit Data from Audit Worksheet'!C44</f>
        <v>Statement of Activities - Business Activities</v>
      </c>
      <c r="C39" s="345" t="str">
        <f>'Unit Data from Audit Worksheet'!D44</f>
        <v>Total Transfers out    (Preference is that transfers-in  are not netted against transfers-out)</v>
      </c>
      <c r="D39" s="110"/>
      <c r="E39" s="366">
        <f>'Unit Data from Audit Worksheet'!F44</f>
        <v>0</v>
      </c>
      <c r="F39" s="359"/>
      <c r="G39" s="361"/>
      <c r="H39" s="358"/>
      <c r="I39" s="748"/>
      <c r="J39" s="357">
        <v>594</v>
      </c>
      <c r="K39" s="751" t="s">
        <v>1432</v>
      </c>
      <c r="L39" s="610">
        <f t="shared" si="4"/>
        <v>0</v>
      </c>
      <c r="O39" s="618"/>
      <c r="P39" s="328"/>
      <c r="Q39" s="600"/>
      <c r="X39" s="607"/>
      <c r="Y39" s="607"/>
    </row>
    <row r="40" spans="1:25" s="746" customFormat="1" ht="66" customHeight="1" x14ac:dyDescent="0.3">
      <c r="A40" s="346">
        <f>'Unit Data from Audit Worksheet'!A46</f>
        <v>558</v>
      </c>
      <c r="B40" s="360" t="str">
        <f>'Unit Data from Audit Worksheet'!C46</f>
        <v>Mental Health-Balance Sheet - Non GAAP</v>
      </c>
      <c r="C40" s="345" t="str">
        <f>'Unit Data from Audit Worksheet'!D46</f>
        <v xml:space="preserve">All unrestricted cash and investments.  
Exclude restricted cash and cash held by a third party. </v>
      </c>
      <c r="D40" s="110"/>
      <c r="E40" s="366">
        <f>'Unit Data from Audit Worksheet'!F46</f>
        <v>0</v>
      </c>
      <c r="F40" s="359"/>
      <c r="G40" s="361"/>
      <c r="H40" s="358"/>
      <c r="I40" s="748"/>
      <c r="J40" s="357">
        <v>558</v>
      </c>
      <c r="K40" s="747" t="s">
        <v>1433</v>
      </c>
      <c r="L40" s="610">
        <f t="shared" si="4"/>
        <v>0</v>
      </c>
      <c r="O40" s="618"/>
      <c r="P40" s="328"/>
      <c r="Q40" s="600"/>
      <c r="X40" s="607"/>
      <c r="Y40" s="607"/>
    </row>
    <row r="41" spans="1:25" s="746" customFormat="1" ht="66" customHeight="1" x14ac:dyDescent="0.3">
      <c r="A41" s="346">
        <f>'Unit Data from Audit Worksheet'!A47</f>
        <v>559</v>
      </c>
      <c r="B41" s="360" t="str">
        <f>'Unit Data from Audit Worksheet'!C47</f>
        <v>Mental Health-Balance Sheet - Non GAAP</v>
      </c>
      <c r="C41" s="345" t="str">
        <f>'Unit Data from Audit Worksheet'!D47</f>
        <v>All restricted cash and investments</v>
      </c>
      <c r="D41" s="110"/>
      <c r="E41" s="366">
        <f>'Unit Data from Audit Worksheet'!F47</f>
        <v>0</v>
      </c>
      <c r="F41" s="359"/>
      <c r="G41" s="361"/>
      <c r="H41" s="358"/>
      <c r="I41" s="748"/>
      <c r="J41" s="357">
        <v>559</v>
      </c>
      <c r="K41" s="747" t="s">
        <v>1434</v>
      </c>
      <c r="L41" s="610">
        <f t="shared" si="4"/>
        <v>0</v>
      </c>
      <c r="O41" s="618"/>
      <c r="P41" s="328"/>
      <c r="Q41" s="600"/>
      <c r="X41" s="607"/>
      <c r="Y41" s="607"/>
    </row>
    <row r="42" spans="1:25" s="746" customFormat="1" ht="124.5" customHeight="1" x14ac:dyDescent="0.3">
      <c r="A42" s="346">
        <f>'Unit Data from Audit Worksheet'!A48</f>
        <v>560</v>
      </c>
      <c r="B42" s="360" t="str">
        <f>'Unit Data from Audit Worksheet'!C48</f>
        <v>Mental Health-Balance Sheet - Non GAAP</v>
      </c>
      <c r="C42" s="345" t="str">
        <f>'Unit Data from Audit Worksheet'!D48</f>
        <v>Current Liabilities 
Exclude: all deferred inflows
                 current debt service payments
Include: Liabilities payable from restricted assets.</v>
      </c>
      <c r="D42" s="110"/>
      <c r="E42" s="366">
        <f>'Unit Data from Audit Worksheet'!F48</f>
        <v>0</v>
      </c>
      <c r="F42" s="359"/>
      <c r="G42" s="361"/>
      <c r="H42" s="358"/>
      <c r="I42" s="748"/>
      <c r="J42" s="357">
        <v>560</v>
      </c>
      <c r="K42" s="747" t="s">
        <v>1435</v>
      </c>
      <c r="L42" s="610">
        <f t="shared" si="4"/>
        <v>0</v>
      </c>
      <c r="O42" s="618"/>
      <c r="P42" s="328"/>
      <c r="Q42" s="600"/>
      <c r="X42" s="607"/>
      <c r="Y42" s="607"/>
    </row>
    <row r="43" spans="1:25" s="746" customFormat="1" ht="66" customHeight="1" x14ac:dyDescent="0.3">
      <c r="A43" s="346">
        <f>'Unit Data from Audit Worksheet'!A49</f>
        <v>561</v>
      </c>
      <c r="B43" s="360" t="str">
        <f>'Unit Data from Audit Worksheet'!C49</f>
        <v>Mental Health-Balance Sheet - Non GAAP</v>
      </c>
      <c r="C43" s="345" t="str">
        <f>'Unit Data from Audit Worksheet'!D49</f>
        <v xml:space="preserve">Mental Health Enterprise Fund Non GAAP deferred inflows or liabilities derived from cash receipts.   </v>
      </c>
      <c r="D43" s="110"/>
      <c r="E43" s="366">
        <f>'Unit Data from Audit Worksheet'!F49</f>
        <v>0</v>
      </c>
      <c r="F43" s="359"/>
      <c r="G43" s="361"/>
      <c r="H43" s="358"/>
      <c r="I43" s="748"/>
      <c r="J43" s="357">
        <v>561</v>
      </c>
      <c r="K43" s="747" t="s">
        <v>1436</v>
      </c>
      <c r="L43" s="610">
        <f t="shared" si="4"/>
        <v>0</v>
      </c>
      <c r="O43" s="618"/>
      <c r="P43" s="328"/>
      <c r="Q43" s="600"/>
      <c r="X43" s="607"/>
      <c r="Y43" s="607"/>
    </row>
    <row r="44" spans="1:25" s="746" customFormat="1" ht="137.25" customHeight="1" x14ac:dyDescent="0.3">
      <c r="A44" s="346">
        <f>'Unit Data from Audit Worksheet'!A50</f>
        <v>563</v>
      </c>
      <c r="B44" s="360" t="str">
        <f>'Unit Data from Audit Worksheet'!C50</f>
        <v>Mental Health-Balance Sheet - Non GAAP</v>
      </c>
      <c r="C44" s="345"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66">
        <f>'Unit Data from Audit Worksheet'!F50</f>
        <v>0</v>
      </c>
      <c r="F44" s="359"/>
      <c r="G44" s="361"/>
      <c r="H44" s="358"/>
      <c r="I44" s="748"/>
      <c r="J44" s="357">
        <v>563</v>
      </c>
      <c r="K44" s="747" t="s">
        <v>1437</v>
      </c>
      <c r="L44" s="610">
        <f t="shared" si="4"/>
        <v>0</v>
      </c>
      <c r="O44" s="618"/>
      <c r="P44" s="328"/>
      <c r="Q44" s="600"/>
      <c r="X44" s="607"/>
      <c r="Y44" s="607"/>
    </row>
    <row r="45" spans="1:25" s="746" customFormat="1" ht="66" customHeight="1" x14ac:dyDescent="0.3">
      <c r="A45" s="346">
        <f>'Unit Data from Audit Worksheet'!A51</f>
        <v>564</v>
      </c>
      <c r="B45" s="360" t="str">
        <f>'Unit Data from Audit Worksheet'!C51</f>
        <v>Mental Health Enterprise Fund Non GAAP-Rev, Exp. Change in Fund Balance</v>
      </c>
      <c r="C45" s="345" t="str">
        <f>'Unit Data from Audit Worksheet'!D51</f>
        <v>Total expenditures  
Exclude: expenditures in the ""other financing sources (uses)"" section.</v>
      </c>
      <c r="D45" s="110"/>
      <c r="E45" s="366">
        <f>'Unit Data from Audit Worksheet'!F51</f>
        <v>0</v>
      </c>
      <c r="F45" s="359"/>
      <c r="G45" s="361"/>
      <c r="H45" s="358"/>
      <c r="I45" s="748"/>
      <c r="J45" s="357">
        <v>564</v>
      </c>
      <c r="K45" s="747" t="s">
        <v>1438</v>
      </c>
      <c r="L45" s="610">
        <f t="shared" si="4"/>
        <v>0</v>
      </c>
      <c r="O45" s="618"/>
      <c r="P45" s="328"/>
      <c r="Q45" s="600"/>
      <c r="X45" s="607"/>
      <c r="Y45" s="607"/>
    </row>
    <row r="46" spans="1:25" s="746" customFormat="1" ht="66" customHeight="1" x14ac:dyDescent="0.3">
      <c r="A46" s="346">
        <f>'Unit Data from Audit Worksheet'!A52</f>
        <v>568</v>
      </c>
      <c r="B46" s="360" t="str">
        <f>'Unit Data from Audit Worksheet'!C52</f>
        <v>Mental Health Enterprise Fund Non GAAP-Rev, Exp. Change in Fund Balance</v>
      </c>
      <c r="C46" s="345" t="str">
        <f>'Unit Data from Audit Worksheet'!D52</f>
        <v>Total Proceeds from all long-term debt issuances 
Exclude: proceeds from refundings</v>
      </c>
      <c r="D46" s="110"/>
      <c r="E46" s="366">
        <f>'Unit Data from Audit Worksheet'!F52</f>
        <v>0</v>
      </c>
      <c r="F46" s="359"/>
      <c r="G46" s="361"/>
      <c r="H46" s="358"/>
      <c r="I46" s="748"/>
      <c r="J46" s="357">
        <v>568</v>
      </c>
      <c r="K46" s="747" t="s">
        <v>1439</v>
      </c>
      <c r="L46" s="610">
        <f t="shared" si="4"/>
        <v>0</v>
      </c>
      <c r="O46" s="618"/>
      <c r="P46" s="328"/>
      <c r="Q46" s="600"/>
      <c r="X46" s="607"/>
      <c r="Y46" s="607"/>
    </row>
    <row r="47" spans="1:25" s="750" customFormat="1" ht="66" customHeight="1" x14ac:dyDescent="0.3">
      <c r="A47" s="346">
        <f>'Unit Data from Audit Worksheet'!A53</f>
        <v>565</v>
      </c>
      <c r="B47" s="360" t="str">
        <f>'Unit Data from Audit Worksheet'!C53</f>
        <v>Mental Health Enterprise Fund Non GAAP-Rev, Exp. Change in Fund Balance</v>
      </c>
      <c r="C47" s="345" t="str">
        <f>'Unit Data from Audit Worksheet'!D53</f>
        <v>Debt Refunding - Net refunding proceeds against debt payoff and if negative place results on this line.</v>
      </c>
      <c r="D47" s="110"/>
      <c r="E47" s="366">
        <f>'Unit Data from Audit Worksheet'!F53</f>
        <v>0</v>
      </c>
      <c r="F47" s="359"/>
      <c r="G47" s="361"/>
      <c r="H47" s="358"/>
      <c r="I47" s="752"/>
      <c r="J47" s="357">
        <v>565</v>
      </c>
      <c r="K47" s="747" t="s">
        <v>1573</v>
      </c>
      <c r="L47" s="610">
        <f t="shared" si="4"/>
        <v>0</v>
      </c>
      <c r="O47" s="618"/>
      <c r="P47" s="328"/>
      <c r="Q47" s="600"/>
      <c r="X47" s="607"/>
      <c r="Y47" s="607"/>
    </row>
    <row r="48" spans="1:25" s="746" customFormat="1" ht="66" customHeight="1" x14ac:dyDescent="0.3">
      <c r="A48" s="346">
        <f>'Unit Data from Audit Worksheet'!A54</f>
        <v>566</v>
      </c>
      <c r="B48" s="360" t="str">
        <f>'Unit Data from Audit Worksheet'!C54</f>
        <v>Mental Health Enterprise Fund Non GAAP-Rev, Exp. Change in Fund Balance</v>
      </c>
      <c r="C48" s="345" t="str">
        <f>'Unit Data from Audit Worksheet'!D54</f>
        <v>Debt Refunding - Net refunding proceeds against debt payoff and if positive place results on this line.</v>
      </c>
      <c r="D48" s="110"/>
      <c r="E48" s="366">
        <f>'Unit Data from Audit Worksheet'!F54</f>
        <v>0</v>
      </c>
      <c r="F48" s="359"/>
      <c r="G48" s="361"/>
      <c r="H48" s="358"/>
      <c r="I48" s="748"/>
      <c r="J48" s="357">
        <v>566</v>
      </c>
      <c r="K48" s="747" t="s">
        <v>1440</v>
      </c>
      <c r="L48" s="610">
        <f t="shared" si="4"/>
        <v>0</v>
      </c>
      <c r="O48" s="618"/>
      <c r="P48" s="328"/>
      <c r="Q48" s="600"/>
      <c r="X48" s="607"/>
      <c r="Y48" s="607"/>
    </row>
    <row r="49" spans="1:25" s="746" customFormat="1" ht="66" customHeight="1" x14ac:dyDescent="0.3">
      <c r="A49" s="346">
        <f>'Unit Data from Audit Worksheet'!A55</f>
        <v>567</v>
      </c>
      <c r="B49" s="360" t="str">
        <f>'Unit Data from Audit Worksheet'!C55</f>
        <v>Mental Health Enterprise Fund Non GAAP-Rev, Exp. Change in Fund Balance</v>
      </c>
      <c r="C49" s="345" t="str">
        <f>'Unit Data from Audit Worksheet'!D55</f>
        <v>Total Transfers out    (Preference is that transfers-in  are not netted against transfers-out)</v>
      </c>
      <c r="D49" s="110"/>
      <c r="E49" s="366">
        <f>'Unit Data from Audit Worksheet'!F55</f>
        <v>0</v>
      </c>
      <c r="F49" s="359"/>
      <c r="G49" s="361"/>
      <c r="H49" s="358"/>
      <c r="I49" s="748"/>
      <c r="J49" s="357">
        <v>567</v>
      </c>
      <c r="K49" s="747" t="s">
        <v>1441</v>
      </c>
      <c r="L49" s="610">
        <f t="shared" si="4"/>
        <v>0</v>
      </c>
      <c r="O49" s="618"/>
      <c r="P49" s="328"/>
      <c r="Q49" s="600"/>
      <c r="X49" s="607"/>
      <c r="Y49" s="607"/>
    </row>
    <row r="50" spans="1:25" s="746" customFormat="1" ht="66" customHeight="1" x14ac:dyDescent="0.3">
      <c r="A50" s="346">
        <f>'Unit Data from Audit Worksheet'!A56</f>
        <v>562</v>
      </c>
      <c r="B50" s="360" t="str">
        <f>'Unit Data from Audit Worksheet'!C56</f>
        <v>Notes</v>
      </c>
      <c r="C50" s="345" t="str">
        <f>'Unit Data from Audit Worksheet'!D56</f>
        <v>Mental Health Enterprise Fund Non GAAP -  Total Encumbrances.  You will have to refer to the note disclosure where the amount of encumbrances is listed.</v>
      </c>
      <c r="D50" s="110"/>
      <c r="E50" s="366">
        <f>'Unit Data from Audit Worksheet'!F56</f>
        <v>0</v>
      </c>
      <c r="F50" s="359"/>
      <c r="G50" s="361"/>
      <c r="H50" s="358"/>
      <c r="I50" s="748"/>
      <c r="J50" s="357">
        <v>562</v>
      </c>
      <c r="K50" s="747" t="s">
        <v>1442</v>
      </c>
      <c r="L50" s="610">
        <f t="shared" si="4"/>
        <v>0</v>
      </c>
      <c r="O50" s="618"/>
      <c r="P50" s="328"/>
      <c r="Q50" s="600"/>
      <c r="X50" s="607"/>
      <c r="Y50" s="607"/>
    </row>
    <row r="51" spans="1:25" s="746" customFormat="1" ht="66" customHeight="1" x14ac:dyDescent="0.3">
      <c r="A51" s="346">
        <f>'Unit Data from Audit Worksheet'!A57</f>
        <v>569</v>
      </c>
      <c r="B51" s="360" t="str">
        <f>'Unit Data from Audit Worksheet'!C57</f>
        <v>Notes</v>
      </c>
      <c r="C51" s="345" t="str">
        <f>'Unit Data from Audit Worksheet'!D57</f>
        <v>Please enter the principal and interest due next fiscal year on existing borrowings.</v>
      </c>
      <c r="D51" s="110"/>
      <c r="E51" s="366">
        <f>'Unit Data from Audit Worksheet'!F57</f>
        <v>0</v>
      </c>
      <c r="F51" s="359"/>
      <c r="G51" s="361"/>
      <c r="H51" s="358"/>
      <c r="I51" s="748"/>
      <c r="J51" s="357">
        <v>569</v>
      </c>
      <c r="K51" s="747" t="s">
        <v>1443</v>
      </c>
      <c r="L51" s="610">
        <f t="shared" si="4"/>
        <v>0</v>
      </c>
      <c r="O51" s="618"/>
      <c r="P51" s="328"/>
      <c r="Q51" s="600"/>
      <c r="X51" s="607"/>
      <c r="Y51" s="607"/>
    </row>
    <row r="52" spans="1:25" ht="54" customHeight="1" x14ac:dyDescent="0.3">
      <c r="A52" s="346">
        <f>'Unit Data from Audit Worksheet'!A59</f>
        <v>506</v>
      </c>
      <c r="B52" s="53" t="str">
        <f>'Unit Data from Audit Worksheet'!C59</f>
        <v>General Fund-Balance Sheet</v>
      </c>
      <c r="C52" s="620"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58">
        <f>'Unit Data from Audit Worksheet'!I59</f>
        <v>0</v>
      </c>
      <c r="I52" s="38"/>
      <c r="J52" s="41">
        <v>506</v>
      </c>
      <c r="K52" s="356" t="s">
        <v>198</v>
      </c>
      <c r="L52" s="621">
        <f t="shared" ref="L52:L65" si="7">IF(D52="",E52,D52)</f>
        <v>0</v>
      </c>
      <c r="P52" s="328"/>
      <c r="W52" s="3" t="b">
        <f t="shared" si="6"/>
        <v>1</v>
      </c>
      <c r="X52" s="607">
        <f t="shared" si="1"/>
        <v>0</v>
      </c>
      <c r="Y52" s="607">
        <f t="shared" si="2"/>
        <v>0</v>
      </c>
    </row>
    <row r="53" spans="1:25" ht="45.75" customHeight="1" x14ac:dyDescent="0.3">
      <c r="A53" s="346">
        <f>'Unit Data from Audit Worksheet'!A60</f>
        <v>536</v>
      </c>
      <c r="B53" s="53" t="str">
        <f>'Unit Data from Audit Worksheet'!C60</f>
        <v>General Fund-Balance Sheet</v>
      </c>
      <c r="C53" s="620" t="str">
        <f>'Unit Data from Audit Worksheet'!D60</f>
        <v>All restricted cash and investments</v>
      </c>
      <c r="D53" s="110"/>
      <c r="E53" s="154">
        <f>'Unit Data from Audit Worksheet'!F60</f>
        <v>0</v>
      </c>
      <c r="F53" s="37">
        <f>IF(L53&lt;0,"Error: Number is normally positive.",)</f>
        <v>0</v>
      </c>
      <c r="G53" s="73"/>
      <c r="H53" s="358">
        <f>'Unit Data from Audit Worksheet'!I60</f>
        <v>0</v>
      </c>
      <c r="I53" s="38"/>
      <c r="J53" s="41">
        <v>536</v>
      </c>
      <c r="K53" s="356" t="s">
        <v>199</v>
      </c>
      <c r="L53" s="621">
        <f t="shared" si="7"/>
        <v>0</v>
      </c>
      <c r="P53" s="328"/>
      <c r="W53" s="3" t="b">
        <f t="shared" si="6"/>
        <v>1</v>
      </c>
      <c r="X53" s="607">
        <f t="shared" si="1"/>
        <v>0</v>
      </c>
      <c r="Y53" s="607">
        <f t="shared" si="2"/>
        <v>0</v>
      </c>
    </row>
    <row r="54" spans="1:25" ht="56.25" customHeight="1" x14ac:dyDescent="0.3">
      <c r="A54" s="346">
        <f>'Unit Data from Audit Worksheet'!A61</f>
        <v>586</v>
      </c>
      <c r="B54" s="360" t="str">
        <f>'Unit Data from Audit Worksheet'!C61</f>
        <v>General Fund-Balance Sheet</v>
      </c>
      <c r="C54" s="345" t="str">
        <f>'Unit Data from Audit Worksheet'!D61</f>
        <v>Advance To: Interfund loan receivable-portion of repayment plan longer than 12 months</v>
      </c>
      <c r="D54" s="144"/>
      <c r="E54" s="366">
        <f>'Unit Data from Audit Worksheet'!F61</f>
        <v>0</v>
      </c>
      <c r="F54" s="359"/>
      <c r="G54" s="361"/>
      <c r="H54" s="358"/>
      <c r="I54" s="38"/>
      <c r="J54" s="357">
        <v>586</v>
      </c>
      <c r="K54" s="345" t="s">
        <v>562</v>
      </c>
      <c r="L54" s="610">
        <f t="shared" si="7"/>
        <v>0</v>
      </c>
      <c r="P54" s="328"/>
      <c r="W54" s="3" t="b">
        <f t="shared" si="6"/>
        <v>1</v>
      </c>
      <c r="X54" s="607">
        <f t="shared" si="1"/>
        <v>0</v>
      </c>
      <c r="Y54" s="607">
        <f t="shared" si="2"/>
        <v>0</v>
      </c>
    </row>
    <row r="55" spans="1:25" ht="28.8" x14ac:dyDescent="0.3">
      <c r="A55" s="346">
        <f>'Unit Data from Audit Worksheet'!A62</f>
        <v>379</v>
      </c>
      <c r="B55" s="360" t="str">
        <f>'Unit Data from Audit Worksheet'!C62</f>
        <v>General Fund-Balance Sheet</v>
      </c>
      <c r="C55" s="345" t="str">
        <f>'Unit Data from Audit Worksheet'!D62</f>
        <v>Total Assets and deferred outflows</v>
      </c>
      <c r="D55" s="144"/>
      <c r="E55" s="366">
        <f>'Unit Data from Audit Worksheet'!F62</f>
        <v>0</v>
      </c>
      <c r="F55" s="84">
        <f>IF((L52+L53)&gt;L55,"Error: Please review accts (506+536)&gt;379",)</f>
        <v>0</v>
      </c>
      <c r="G55" s="361" t="str">
        <f>IF(Q55=1," Included in error count"," ")</f>
        <v xml:space="preserve"> </v>
      </c>
      <c r="H55" s="358">
        <f>'Unit Data from Audit Worksheet'!I62</f>
        <v>0</v>
      </c>
      <c r="I55" s="38"/>
      <c r="J55" s="357">
        <v>379</v>
      </c>
      <c r="K55" s="356" t="s">
        <v>118</v>
      </c>
      <c r="L55" s="610">
        <f t="shared" si="7"/>
        <v>0</v>
      </c>
      <c r="P55" s="328"/>
      <c r="Q55" s="600">
        <f>IF(L52+L53&gt;L55,1,0)</f>
        <v>0</v>
      </c>
      <c r="W55" s="3" t="b">
        <f t="shared" si="6"/>
        <v>1</v>
      </c>
      <c r="X55" s="607">
        <f t="shared" si="1"/>
        <v>0</v>
      </c>
      <c r="Y55" s="607">
        <f t="shared" si="2"/>
        <v>0</v>
      </c>
    </row>
    <row r="56" spans="1:25" ht="106.5" customHeight="1" x14ac:dyDescent="0.3">
      <c r="A56" s="346">
        <f>'Unit Data from Audit Worksheet'!A63</f>
        <v>368</v>
      </c>
      <c r="B56" s="360" t="str">
        <f>'Unit Data from Audit Worksheet'!C63</f>
        <v>General Fund-Balance Sheet</v>
      </c>
      <c r="C56" s="345"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66">
        <f>'Unit Data from Audit Worksheet'!F63</f>
        <v>0</v>
      </c>
      <c r="F56" s="359">
        <f>IF(L56&lt;0,"Error: Enter as a positive.",)</f>
        <v>0</v>
      </c>
      <c r="G56" s="361"/>
      <c r="H56" s="358">
        <f>'Unit Data from Audit Worksheet'!I63</f>
        <v>0</v>
      </c>
      <c r="I56" s="38"/>
      <c r="J56" s="357">
        <v>368</v>
      </c>
      <c r="K56" s="356" t="s">
        <v>200</v>
      </c>
      <c r="L56" s="610">
        <f t="shared" si="7"/>
        <v>0</v>
      </c>
      <c r="P56" s="328"/>
      <c r="W56" s="3" t="b">
        <f t="shared" si="6"/>
        <v>1</v>
      </c>
      <c r="X56" s="607">
        <f t="shared" si="1"/>
        <v>0</v>
      </c>
      <c r="Y56" s="607">
        <f t="shared" si="2"/>
        <v>0</v>
      </c>
    </row>
    <row r="57" spans="1:25" ht="90.75" customHeight="1" x14ac:dyDescent="0.3">
      <c r="A57" s="346">
        <f>'Unit Data from Audit Worksheet'!A64</f>
        <v>4</v>
      </c>
      <c r="B57" s="53" t="str">
        <f>'Unit Data from Audit Worksheet'!C64</f>
        <v>General Fund-Balance Sheet</v>
      </c>
      <c r="C57" s="620"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58">
        <f>'Unit Data from Audit Worksheet'!I64</f>
        <v>0</v>
      </c>
      <c r="I57" s="38"/>
      <c r="J57" s="41">
        <v>4</v>
      </c>
      <c r="K57" s="356" t="s">
        <v>119</v>
      </c>
      <c r="L57" s="621">
        <f t="shared" si="7"/>
        <v>0</v>
      </c>
      <c r="P57" s="328"/>
      <c r="W57" s="3" t="b">
        <f t="shared" si="6"/>
        <v>1</v>
      </c>
      <c r="X57" s="607">
        <f t="shared" si="1"/>
        <v>0</v>
      </c>
      <c r="Y57" s="607">
        <f t="shared" si="2"/>
        <v>0</v>
      </c>
    </row>
    <row r="58" spans="1:25" ht="131.25" customHeight="1" x14ac:dyDescent="0.3">
      <c r="A58" s="346">
        <f>'Unit Data from Audit Worksheet'!A65</f>
        <v>5</v>
      </c>
      <c r="B58" s="53" t="str">
        <f>'Unit Data from Audit Worksheet'!C65</f>
        <v>General Fund-Balance Sheet</v>
      </c>
      <c r="C58" s="620"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58">
        <f>'Unit Data from Audit Worksheet'!I65</f>
        <v>0</v>
      </c>
      <c r="I58" s="38"/>
      <c r="J58" s="41">
        <v>5</v>
      </c>
      <c r="K58" s="356" t="s">
        <v>120</v>
      </c>
      <c r="L58" s="621">
        <f t="shared" si="7"/>
        <v>0</v>
      </c>
      <c r="P58" s="328"/>
      <c r="W58" s="3" t="b">
        <f t="shared" si="6"/>
        <v>1</v>
      </c>
      <c r="X58" s="607">
        <f t="shared" si="1"/>
        <v>0</v>
      </c>
      <c r="Y58" s="607">
        <f t="shared" si="2"/>
        <v>0</v>
      </c>
    </row>
    <row r="59" spans="1:25" ht="104.25" customHeight="1" x14ac:dyDescent="0.3">
      <c r="A59" s="346">
        <f>'Unit Data from Audit Worksheet'!A66</f>
        <v>380</v>
      </c>
      <c r="B59" s="360" t="str">
        <f>'Unit Data from Audit Worksheet'!C66</f>
        <v>General Fund-Balance Sheet</v>
      </c>
      <c r="C59" s="345"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66">
        <f>'Unit Data from Audit Worksheet'!F66</f>
        <v>0</v>
      </c>
      <c r="F59" s="359">
        <f t="shared" si="8"/>
        <v>0</v>
      </c>
      <c r="G59" s="361"/>
      <c r="H59" s="358">
        <f>'Unit Data from Audit Worksheet'!I66</f>
        <v>0</v>
      </c>
      <c r="I59" s="38"/>
      <c r="J59" s="357">
        <v>380</v>
      </c>
      <c r="K59" s="356" t="s">
        <v>121</v>
      </c>
      <c r="L59" s="610">
        <f t="shared" si="7"/>
        <v>0</v>
      </c>
      <c r="P59" s="328"/>
      <c r="W59" s="3" t="b">
        <f t="shared" si="6"/>
        <v>1</v>
      </c>
      <c r="X59" s="607">
        <f t="shared" si="1"/>
        <v>0</v>
      </c>
      <c r="Y59" s="607">
        <f t="shared" si="2"/>
        <v>0</v>
      </c>
    </row>
    <row r="60" spans="1:25" ht="41.25" customHeight="1" x14ac:dyDescent="0.3">
      <c r="A60" s="346">
        <f>'Unit Data from Audit Worksheet'!A67</f>
        <v>391</v>
      </c>
      <c r="B60" s="360" t="str">
        <f>'Unit Data from Audit Worksheet'!C67</f>
        <v>General Fund-Balance Sheet</v>
      </c>
      <c r="C60" s="345" t="str">
        <f>'Unit Data from Audit Worksheet'!D67</f>
        <v xml:space="preserve">Fund balance, Restricted for Stabilization by State Statute </v>
      </c>
      <c r="D60" s="144"/>
      <c r="E60" s="366">
        <f>'Unit Data from Audit Worksheet'!F67</f>
        <v>0</v>
      </c>
      <c r="F60" s="359">
        <f t="shared" si="8"/>
        <v>0</v>
      </c>
      <c r="G60" s="361"/>
      <c r="H60" s="358">
        <f>'Unit Data from Audit Worksheet'!I67</f>
        <v>0</v>
      </c>
      <c r="I60" s="38"/>
      <c r="J60" s="357">
        <v>391</v>
      </c>
      <c r="K60" s="356" t="s">
        <v>201</v>
      </c>
      <c r="L60" s="610">
        <f t="shared" si="7"/>
        <v>0</v>
      </c>
      <c r="P60" s="328"/>
      <c r="W60" s="3" t="b">
        <f t="shared" si="6"/>
        <v>1</v>
      </c>
      <c r="X60" s="607">
        <f t="shared" si="1"/>
        <v>0</v>
      </c>
      <c r="Y60" s="607">
        <f t="shared" si="2"/>
        <v>0</v>
      </c>
    </row>
    <row r="61" spans="1:25" ht="28.8" x14ac:dyDescent="0.3">
      <c r="A61" s="346">
        <f>'Unit Data from Audit Worksheet'!A68</f>
        <v>7</v>
      </c>
      <c r="B61" s="53" t="str">
        <f>'Unit Data from Audit Worksheet'!C68</f>
        <v>General Fund-Balance Sheet</v>
      </c>
      <c r="C61" s="620" t="str">
        <f>'Unit Data from Audit Worksheet'!D68</f>
        <v>Fund balance, Nonspendable-  inventory/prepaids/etc.</v>
      </c>
      <c r="D61" s="144"/>
      <c r="E61" s="154">
        <f>'Unit Data from Audit Worksheet'!F68</f>
        <v>0</v>
      </c>
      <c r="F61" s="37">
        <f t="shared" si="8"/>
        <v>0</v>
      </c>
      <c r="G61" s="73"/>
      <c r="H61" s="358">
        <f>'Unit Data from Audit Worksheet'!I68</f>
        <v>0</v>
      </c>
      <c r="I61" s="38"/>
      <c r="J61" s="41">
        <v>7</v>
      </c>
      <c r="K61" s="356" t="s">
        <v>202</v>
      </c>
      <c r="L61" s="621">
        <f t="shared" si="7"/>
        <v>0</v>
      </c>
      <c r="P61" s="328"/>
      <c r="W61" s="3" t="b">
        <f t="shared" si="6"/>
        <v>1</v>
      </c>
      <c r="X61" s="607">
        <f t="shared" si="1"/>
        <v>0</v>
      </c>
      <c r="Y61" s="607">
        <f t="shared" si="2"/>
        <v>0</v>
      </c>
    </row>
    <row r="62" spans="1:25" ht="89.25" customHeight="1" x14ac:dyDescent="0.3">
      <c r="A62" s="622">
        <f>'Unit Data from Audit Worksheet'!A69</f>
        <v>11</v>
      </c>
      <c r="B62" s="117" t="str">
        <f>'Unit Data from Audit Worksheet'!C69</f>
        <v>General Fund-Balance Sheet</v>
      </c>
      <c r="C62" s="612"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610">
        <f t="shared" si="7"/>
        <v>0</v>
      </c>
      <c r="P62" s="329"/>
      <c r="W62" s="3" t="b">
        <f t="shared" si="6"/>
        <v>1</v>
      </c>
      <c r="X62" s="607">
        <f t="shared" si="1"/>
        <v>0</v>
      </c>
      <c r="Y62" s="607">
        <f t="shared" si="2"/>
        <v>0</v>
      </c>
    </row>
    <row r="63" spans="1:25" s="18" customFormat="1" ht="48.75" customHeight="1" x14ac:dyDescent="0.3">
      <c r="A63" s="318">
        <f>'Unit Data from Audit Worksheet'!A70</f>
        <v>645</v>
      </c>
      <c r="B63" s="373" t="str">
        <f>'Unit Data from Audit Worksheet'!C70</f>
        <v>General Fund-Balance Sheet</v>
      </c>
      <c r="C63" s="318" t="str">
        <f>'Unit Data from Audit Worksheet'!D70</f>
        <v>Fund balance, Assigned (total of all assigned components)</v>
      </c>
      <c r="D63" s="116"/>
      <c r="E63" s="372">
        <f>'Unit Data from Audit Worksheet'!F70</f>
        <v>0</v>
      </c>
      <c r="F63" s="354">
        <f>IF(L63&lt;0,"Error: Enter as a positive.",)</f>
        <v>0</v>
      </c>
      <c r="G63" s="339"/>
      <c r="H63" s="354">
        <f>'Unit Data from Audit Worksheet'!I70</f>
        <v>0</v>
      </c>
      <c r="I63" s="623"/>
      <c r="J63" s="353">
        <v>645</v>
      </c>
      <c r="K63" s="318" t="s">
        <v>725</v>
      </c>
      <c r="L63" s="624">
        <f t="shared" si="7"/>
        <v>0</v>
      </c>
      <c r="M63" s="614"/>
      <c r="N63" s="614"/>
      <c r="O63" s="614"/>
      <c r="P63" s="330"/>
      <c r="Q63" s="615"/>
      <c r="R63" s="3"/>
      <c r="S63" s="614"/>
      <c r="T63" s="614"/>
      <c r="U63" s="614"/>
      <c r="V63" s="614"/>
      <c r="W63" s="18" t="b">
        <f t="shared" si="6"/>
        <v>1</v>
      </c>
      <c r="X63" s="616">
        <f t="shared" si="1"/>
        <v>0</v>
      </c>
      <c r="Y63" s="616">
        <f t="shared" si="2"/>
        <v>0</v>
      </c>
    </row>
    <row r="64" spans="1:25" s="18" customFormat="1" ht="45.75" customHeight="1" x14ac:dyDescent="0.3">
      <c r="A64" s="318">
        <f>'Unit Data from Audit Worksheet'!A71</f>
        <v>646</v>
      </c>
      <c r="B64" s="373" t="str">
        <f>'Unit Data from Audit Worksheet'!C71</f>
        <v>General Fund-Balance Sheet</v>
      </c>
      <c r="C64" s="318" t="str">
        <f>'Unit Data from Audit Worksheet'!D71</f>
        <v>Fund Balance, Unassigned</v>
      </c>
      <c r="D64" s="116"/>
      <c r="E64" s="372">
        <f>'Unit Data from Audit Worksheet'!F71</f>
        <v>0</v>
      </c>
      <c r="F64" s="354">
        <f>IF(L64&lt;0,"Error: Enter as a positive.",)</f>
        <v>0</v>
      </c>
      <c r="G64" s="339"/>
      <c r="H64" s="354">
        <f>'Unit Data from Audit Worksheet'!I71</f>
        <v>0</v>
      </c>
      <c r="I64" s="623"/>
      <c r="J64" s="353">
        <v>646</v>
      </c>
      <c r="K64" s="318" t="s">
        <v>726</v>
      </c>
      <c r="L64" s="624">
        <f t="shared" si="7"/>
        <v>0</v>
      </c>
      <c r="M64" s="614"/>
      <c r="N64" s="614"/>
      <c r="O64" s="614"/>
      <c r="P64" s="330"/>
      <c r="Q64" s="615"/>
      <c r="R64" s="3"/>
      <c r="S64" s="614"/>
      <c r="T64" s="614"/>
      <c r="U64" s="614"/>
      <c r="V64" s="614"/>
      <c r="W64" s="18" t="b">
        <f t="shared" si="6"/>
        <v>1</v>
      </c>
      <c r="X64" s="616">
        <f t="shared" si="1"/>
        <v>0</v>
      </c>
      <c r="Y64" s="616">
        <f t="shared" si="2"/>
        <v>0</v>
      </c>
    </row>
    <row r="65" spans="1:27" ht="55.5" customHeight="1" x14ac:dyDescent="0.3">
      <c r="A65" s="608">
        <f>'Unit Data from Audit Worksheet'!A72</f>
        <v>9</v>
      </c>
      <c r="B65" s="118" t="str">
        <f>'Unit Data from Audit Worksheet'!C72</f>
        <v>General Fund-Balance Sheet</v>
      </c>
      <c r="C65" s="625"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58">
        <f>'Unit Data from Audit Worksheet'!I72</f>
        <v>0</v>
      </c>
      <c r="I65" s="38"/>
      <c r="J65" s="121">
        <v>9</v>
      </c>
      <c r="K65" s="51" t="s">
        <v>204</v>
      </c>
      <c r="L65" s="621">
        <f t="shared" si="7"/>
        <v>0</v>
      </c>
      <c r="O65" s="618" t="e">
        <f>'Unit Data from Audit Worksheet'!E72</f>
        <v>#N/A</v>
      </c>
      <c r="P65" s="327"/>
      <c r="Q65" s="600">
        <f>IF(G65&lt;&gt;0,1,0)</f>
        <v>0</v>
      </c>
      <c r="W65" s="3" t="b">
        <f t="shared" si="6"/>
        <v>1</v>
      </c>
      <c r="X65" s="607">
        <f t="shared" si="1"/>
        <v>0</v>
      </c>
      <c r="Y65" s="607">
        <f t="shared" si="2"/>
        <v>0</v>
      </c>
    </row>
    <row r="66" spans="1:27" s="18" customFormat="1" ht="73.5" customHeight="1" x14ac:dyDescent="0.3">
      <c r="A66" s="346">
        <f>'Unit Data from Audit Worksheet'!A73</f>
        <v>540</v>
      </c>
      <c r="B66" s="360" t="str">
        <f>'Unit Data from Audit Worksheet'!C73</f>
        <v>General Fund - Budget Actual Statement</v>
      </c>
      <c r="C66" s="345" t="str">
        <f>'Unit Data from Audit Worksheet'!D73</f>
        <v>Amount of the General Fund Balance appropriated in next year's budget. As reported on the General Fund Balance Sheet.</v>
      </c>
      <c r="D66" s="144"/>
      <c r="E66" s="366">
        <f>'Unit Data from Audit Worksheet'!F73</f>
        <v>0</v>
      </c>
      <c r="F66" s="359">
        <f t="shared" si="8"/>
        <v>0</v>
      </c>
      <c r="G66" s="361"/>
      <c r="H66" s="358">
        <f>'Unit Data from Audit Worksheet'!I73</f>
        <v>0</v>
      </c>
      <c r="I66" s="38"/>
      <c r="J66" s="357">
        <v>540</v>
      </c>
      <c r="K66" s="356" t="s">
        <v>267</v>
      </c>
      <c r="L66" s="610">
        <f t="shared" ref="L66:L123" si="9">IF(D66="",E66,D66)</f>
        <v>0</v>
      </c>
      <c r="P66" s="328"/>
      <c r="Q66" s="600"/>
      <c r="R66" s="3"/>
      <c r="W66" s="3" t="b">
        <f t="shared" si="6"/>
        <v>1</v>
      </c>
      <c r="X66" s="607">
        <f t="shared" si="1"/>
        <v>0</v>
      </c>
      <c r="Y66" s="607">
        <f t="shared" si="2"/>
        <v>0</v>
      </c>
      <c r="AA66" s="3"/>
    </row>
    <row r="67" spans="1:27" s="18" customFormat="1" ht="73.5" customHeight="1" x14ac:dyDescent="0.3">
      <c r="A67" s="626">
        <f>'Unit Data from Audit Worksheet'!A75</f>
        <v>984</v>
      </c>
      <c r="B67" s="364" t="str">
        <f>'Unit Data from Audit Worksheet'!C75</f>
        <v>General Fund - Budget Actual Statement</v>
      </c>
      <c r="C67" s="627" t="str">
        <f>'Unit Data from Audit Worksheet'!D75</f>
        <v>Amount of Ad valorem tax collected (including motor vehicle and prior years) reported on budget actual statement</v>
      </c>
      <c r="D67" s="144">
        <v>1000000</v>
      </c>
      <c r="E67" s="367">
        <f>'Unit Data from Audit Worksheet'!F75</f>
        <v>0</v>
      </c>
      <c r="F67" s="359"/>
      <c r="G67" s="361"/>
      <c r="H67" s="358"/>
      <c r="I67" s="38"/>
      <c r="J67" s="375">
        <v>984</v>
      </c>
      <c r="K67" s="126" t="s">
        <v>1126</v>
      </c>
      <c r="L67" s="628">
        <f t="shared" si="9"/>
        <v>1000000</v>
      </c>
      <c r="P67" s="328"/>
      <c r="Q67" s="600"/>
      <c r="R67" s="3"/>
      <c r="W67" s="3"/>
      <c r="X67" s="607"/>
      <c r="Y67" s="607"/>
      <c r="AA67" s="3"/>
    </row>
    <row r="68" spans="1:27" s="18" customFormat="1" ht="73.5" customHeight="1" x14ac:dyDescent="0.3">
      <c r="A68" s="626">
        <f>'Unit Data from Audit Worksheet'!A76</f>
        <v>985</v>
      </c>
      <c r="B68" s="364" t="str">
        <f>'Unit Data from Audit Worksheet'!C76</f>
        <v>General Fund - Budget Actual Statement</v>
      </c>
      <c r="C68" s="627" t="str">
        <f>'Unit Data from Audit Worksheet'!D76</f>
        <v>Amount of Ad valorem tax budgeted (including motor vehicle and prior years) reported on budget actual statement</v>
      </c>
      <c r="D68" s="144">
        <v>50000</v>
      </c>
      <c r="E68" s="367">
        <f>'Unit Data from Audit Worksheet'!F76</f>
        <v>0</v>
      </c>
      <c r="F68" s="359"/>
      <c r="G68" s="361"/>
      <c r="H68" s="358"/>
      <c r="I68" s="38"/>
      <c r="J68" s="375">
        <v>985</v>
      </c>
      <c r="K68" s="126" t="s">
        <v>1127</v>
      </c>
      <c r="L68" s="628">
        <f t="shared" si="9"/>
        <v>50000</v>
      </c>
      <c r="P68" s="328"/>
      <c r="Q68" s="600"/>
      <c r="R68" s="3"/>
      <c r="W68" s="3"/>
      <c r="X68" s="607"/>
      <c r="Y68" s="607"/>
      <c r="AA68" s="3"/>
    </row>
    <row r="69" spans="1:27" ht="73.5" customHeight="1" x14ac:dyDescent="0.3">
      <c r="A69" s="346">
        <f>'Unit Data from Audit Worksheet'!A77</f>
        <v>369</v>
      </c>
      <c r="B69" s="360" t="str">
        <f>'Unit Data from Audit Worksheet'!C77</f>
        <v>General Fund-Rev, Exp. Change in Fund Balance</v>
      </c>
      <c r="C69" s="345" t="str">
        <f>'Unit Data from Audit Worksheet'!D77</f>
        <v>Total Intergovernmental revenue 
Include restricted and unrestricted revenues</v>
      </c>
      <c r="D69" s="144"/>
      <c r="E69" s="366">
        <f>'Unit Data from Audit Worksheet'!F77</f>
        <v>0</v>
      </c>
      <c r="F69" s="359"/>
      <c r="G69" s="361"/>
      <c r="H69" s="358">
        <f>'Unit Data from Audit Worksheet'!I77</f>
        <v>0</v>
      </c>
      <c r="I69" s="38"/>
      <c r="J69" s="357">
        <v>369</v>
      </c>
      <c r="K69" s="356" t="s">
        <v>205</v>
      </c>
      <c r="L69" s="610">
        <f t="shared" si="9"/>
        <v>0</v>
      </c>
      <c r="P69" s="328"/>
      <c r="W69" s="3" t="b">
        <f t="shared" ref="W69:W132" si="10">EXACT(A69,J69)</f>
        <v>1</v>
      </c>
      <c r="X69" s="607">
        <f t="shared" si="1"/>
        <v>0</v>
      </c>
      <c r="Y69" s="607">
        <f t="shared" si="2"/>
        <v>0</v>
      </c>
    </row>
    <row r="70" spans="1:27" ht="73.5" customHeight="1" x14ac:dyDescent="0.3">
      <c r="A70" s="346">
        <f>'Unit Data from Audit Worksheet'!A78</f>
        <v>16</v>
      </c>
      <c r="B70" s="360" t="str">
        <f>'Unit Data from Audit Worksheet'!C78</f>
        <v>General Fund-Rev, Exp. Change in Fund Balance</v>
      </c>
      <c r="C70" s="345" t="str">
        <f>'Unit Data from Audit Worksheet'!D78</f>
        <v>Total revenues</v>
      </c>
      <c r="D70" s="144"/>
      <c r="E70" s="366">
        <f>'Unit Data from Audit Worksheet'!F78</f>
        <v>0</v>
      </c>
      <c r="F70" s="359"/>
      <c r="G70" s="361"/>
      <c r="H70" s="358">
        <f>'Unit Data from Audit Worksheet'!I78</f>
        <v>0</v>
      </c>
      <c r="I70" s="38"/>
      <c r="J70" s="357">
        <v>16</v>
      </c>
      <c r="K70" s="356" t="s">
        <v>206</v>
      </c>
      <c r="L70" s="610">
        <f t="shared" si="9"/>
        <v>0</v>
      </c>
      <c r="P70" s="328"/>
      <c r="W70" s="3" t="b">
        <f t="shared" si="10"/>
        <v>1</v>
      </c>
      <c r="X70" s="607">
        <f t="shared" si="1"/>
        <v>0</v>
      </c>
      <c r="Y70" s="607">
        <f t="shared" si="2"/>
        <v>0</v>
      </c>
    </row>
    <row r="71" spans="1:27" ht="73.5" customHeight="1" x14ac:dyDescent="0.3">
      <c r="A71" s="346">
        <f>'Unit Data from Audit Worksheet'!A79</f>
        <v>370</v>
      </c>
      <c r="B71" s="360" t="str">
        <f>'Unit Data from Audit Worksheet'!C79</f>
        <v>General Fund-Rev, Exp. Change in Fund Balance</v>
      </c>
      <c r="C71" s="345" t="str">
        <f>'Unit Data from Audit Worksheet'!D79</f>
        <v>Debt service expenditures. 
Include principal, interest paid, and bond/debt issuance costs on long-term debt</v>
      </c>
      <c r="D71" s="144"/>
      <c r="E71" s="366">
        <f>'Unit Data from Audit Worksheet'!F79</f>
        <v>0</v>
      </c>
      <c r="F71" s="359">
        <f t="shared" ref="F71:F77" si="11">IF(L71&lt;0,"Error: Enter as a positive.",)</f>
        <v>0</v>
      </c>
      <c r="G71" s="361"/>
      <c r="H71" s="358">
        <f>'Unit Data from Audit Worksheet'!I79</f>
        <v>0</v>
      </c>
      <c r="I71" s="38"/>
      <c r="J71" s="357">
        <v>370</v>
      </c>
      <c r="K71" s="356" t="s">
        <v>207</v>
      </c>
      <c r="L71" s="610">
        <f t="shared" si="9"/>
        <v>0</v>
      </c>
      <c r="P71" s="328"/>
      <c r="W71" s="3" t="b">
        <f t="shared" si="10"/>
        <v>1</v>
      </c>
      <c r="X71" s="607">
        <f t="shared" si="1"/>
        <v>0</v>
      </c>
      <c r="Y71" s="607">
        <f t="shared" si="2"/>
        <v>0</v>
      </c>
    </row>
    <row r="72" spans="1:27" ht="73.5" customHeight="1" x14ac:dyDescent="0.3">
      <c r="A72" s="346">
        <f>'Unit Data from Audit Worksheet'!A80</f>
        <v>532</v>
      </c>
      <c r="B72" s="360" t="str">
        <f>'Unit Data from Audit Worksheet'!C80</f>
        <v>General Fund-Rev, Exp. Change in Fund Balance</v>
      </c>
      <c r="C72" s="345" t="str">
        <f>'Unit Data from Audit Worksheet'!D80</f>
        <v xml:space="preserve">Total expenditures  
Exclude expenditures in the "other financing sources (uses)" section.
</v>
      </c>
      <c r="D72" s="144"/>
      <c r="E72" s="366">
        <f>'Unit Data from Audit Worksheet'!F80</f>
        <v>0</v>
      </c>
      <c r="F72" s="359">
        <f t="shared" si="11"/>
        <v>0</v>
      </c>
      <c r="G72" s="361"/>
      <c r="H72" s="358">
        <f>'Unit Data from Audit Worksheet'!I80</f>
        <v>0</v>
      </c>
      <c r="I72" s="38"/>
      <c r="J72" s="357">
        <v>532</v>
      </c>
      <c r="K72" s="629" t="s">
        <v>208</v>
      </c>
      <c r="L72" s="610">
        <f t="shared" si="9"/>
        <v>0</v>
      </c>
      <c r="P72" s="328"/>
      <c r="W72" s="3" t="b">
        <f t="shared" si="10"/>
        <v>1</v>
      </c>
      <c r="X72" s="607">
        <f t="shared" si="1"/>
        <v>0</v>
      </c>
      <c r="Y72" s="607">
        <f t="shared" si="2"/>
        <v>0</v>
      </c>
    </row>
    <row r="73" spans="1:27" ht="73.5" customHeight="1" x14ac:dyDescent="0.3">
      <c r="A73" s="346">
        <f>'Unit Data from Audit Worksheet'!A81</f>
        <v>17</v>
      </c>
      <c r="B73" s="360" t="str">
        <f>'Unit Data from Audit Worksheet'!C81</f>
        <v>General Fund-Rev, Exp. Change in Fund Balance</v>
      </c>
      <c r="C73" s="345" t="str">
        <f>'Unit Data from Audit Worksheet'!D81</f>
        <v>Total Transfers in    (Preference is that transfers-in  are not netted against transfers-out)</v>
      </c>
      <c r="D73" s="144"/>
      <c r="E73" s="366">
        <f>'Unit Data from Audit Worksheet'!F81</f>
        <v>0</v>
      </c>
      <c r="F73" s="359">
        <f t="shared" si="11"/>
        <v>0</v>
      </c>
      <c r="G73" s="361"/>
      <c r="H73" s="358">
        <f>'Unit Data from Audit Worksheet'!I81</f>
        <v>0</v>
      </c>
      <c r="I73" s="38"/>
      <c r="J73" s="357">
        <v>17</v>
      </c>
      <c r="K73" s="356" t="s">
        <v>209</v>
      </c>
      <c r="L73" s="610">
        <f t="shared" si="9"/>
        <v>0</v>
      </c>
      <c r="P73" s="328"/>
      <c r="W73" s="3" t="b">
        <f t="shared" si="10"/>
        <v>1</v>
      </c>
      <c r="X73" s="607">
        <f t="shared" si="1"/>
        <v>0</v>
      </c>
      <c r="Y73" s="607">
        <f t="shared" si="2"/>
        <v>0</v>
      </c>
    </row>
    <row r="74" spans="1:27" ht="54.75" customHeight="1" x14ac:dyDescent="0.3">
      <c r="A74" s="346">
        <f>'Unit Data from Audit Worksheet'!A82</f>
        <v>20</v>
      </c>
      <c r="B74" s="360" t="str">
        <f>'Unit Data from Audit Worksheet'!C82</f>
        <v>General Fund-Rev, Exp. Change in Fund Balance</v>
      </c>
      <c r="C74" s="345" t="str">
        <f>'Unit Data from Audit Worksheet'!D82</f>
        <v>Total Transfers out    (Preference is that transfers-in  are not netted against transfers-out)</v>
      </c>
      <c r="D74" s="144"/>
      <c r="E74" s="366">
        <f>'Unit Data from Audit Worksheet'!F82</f>
        <v>0</v>
      </c>
      <c r="F74" s="359">
        <f t="shared" si="11"/>
        <v>0</v>
      </c>
      <c r="G74" s="361"/>
      <c r="H74" s="358">
        <f>'Unit Data from Audit Worksheet'!I82</f>
        <v>0</v>
      </c>
      <c r="I74" s="38"/>
      <c r="J74" s="357">
        <v>20</v>
      </c>
      <c r="K74" s="356" t="s">
        <v>210</v>
      </c>
      <c r="L74" s="610">
        <f t="shared" si="9"/>
        <v>0</v>
      </c>
      <c r="P74" s="328"/>
      <c r="W74" s="3" t="b">
        <f t="shared" si="10"/>
        <v>1</v>
      </c>
      <c r="X74" s="607">
        <f t="shared" si="1"/>
        <v>0</v>
      </c>
      <c r="Y74" s="607">
        <f t="shared" si="2"/>
        <v>0</v>
      </c>
    </row>
    <row r="75" spans="1:27" ht="54.75" customHeight="1" x14ac:dyDescent="0.3">
      <c r="A75" s="346">
        <f>'Unit Data from Audit Worksheet'!A83</f>
        <v>533</v>
      </c>
      <c r="B75" s="360" t="str">
        <f>'Unit Data from Audit Worksheet'!C83</f>
        <v>General Fund-Rev, Exp. Change in Fund Balance</v>
      </c>
      <c r="C75" s="345" t="str">
        <f>'Unit Data from Audit Worksheet'!D83</f>
        <v>Total Proceeds from all long-term debt issuances 
Exclude proceeds from refundings</v>
      </c>
      <c r="D75" s="144"/>
      <c r="E75" s="366">
        <f>'Unit Data from Audit Worksheet'!F83</f>
        <v>0</v>
      </c>
      <c r="F75" s="359">
        <f t="shared" si="11"/>
        <v>0</v>
      </c>
      <c r="G75" s="361"/>
      <c r="H75" s="358">
        <f>'Unit Data from Audit Worksheet'!I83</f>
        <v>0</v>
      </c>
      <c r="I75" s="38"/>
      <c r="J75" s="357">
        <v>533</v>
      </c>
      <c r="K75" s="629" t="s">
        <v>211</v>
      </c>
      <c r="L75" s="610">
        <f t="shared" si="9"/>
        <v>0</v>
      </c>
      <c r="P75" s="328"/>
      <c r="W75" s="3" t="b">
        <f t="shared" si="10"/>
        <v>1</v>
      </c>
      <c r="X75" s="607">
        <f t="shared" si="1"/>
        <v>0</v>
      </c>
      <c r="Y75" s="607">
        <f t="shared" si="2"/>
        <v>0</v>
      </c>
    </row>
    <row r="76" spans="1:27" ht="54.75" customHeight="1" x14ac:dyDescent="0.3">
      <c r="A76" s="346">
        <f>'Unit Data from Audit Worksheet'!A84</f>
        <v>508</v>
      </c>
      <c r="B76" s="360" t="str">
        <f>'Unit Data from Audit Worksheet'!C84</f>
        <v>General Fund-Rev, Exp. Change in Fund Balance</v>
      </c>
      <c r="C76" s="345" t="str">
        <f>'Unit Data from Audit Worksheet'!D84</f>
        <v>Debt Refunding - Net refunding proceeds against debt payoff and if positive place results on this line.</v>
      </c>
      <c r="D76" s="144"/>
      <c r="E76" s="366">
        <f>'Unit Data from Audit Worksheet'!F84</f>
        <v>0</v>
      </c>
      <c r="F76" s="359">
        <f t="shared" si="11"/>
        <v>0</v>
      </c>
      <c r="G76" s="361"/>
      <c r="H76" s="358">
        <f>'Unit Data from Audit Worksheet'!I84</f>
        <v>0</v>
      </c>
      <c r="I76" s="38"/>
      <c r="J76" s="357">
        <v>508</v>
      </c>
      <c r="K76" s="356" t="s">
        <v>213</v>
      </c>
      <c r="L76" s="610">
        <f t="shared" si="9"/>
        <v>0</v>
      </c>
      <c r="P76" s="328"/>
      <c r="W76" s="3" t="b">
        <f t="shared" si="10"/>
        <v>1</v>
      </c>
      <c r="X76" s="607">
        <f t="shared" si="1"/>
        <v>0</v>
      </c>
      <c r="Y76" s="607">
        <f t="shared" si="2"/>
        <v>0</v>
      </c>
    </row>
    <row r="77" spans="1:27" ht="54.75" customHeight="1" x14ac:dyDescent="0.3">
      <c r="A77" s="346">
        <f>'Unit Data from Audit Worksheet'!A85</f>
        <v>509</v>
      </c>
      <c r="B77" s="360" t="str">
        <f>'Unit Data from Audit Worksheet'!C85</f>
        <v>General Fund-Rev, Exp. Change in Fund Balance</v>
      </c>
      <c r="C77" s="345" t="str">
        <f>'Unit Data from Audit Worksheet'!D85</f>
        <v>Debt Refunding - Net refunding proceeds against debt payoff and if negative place results on this line.</v>
      </c>
      <c r="D77" s="144"/>
      <c r="E77" s="366">
        <f>'Unit Data from Audit Worksheet'!F85</f>
        <v>0</v>
      </c>
      <c r="F77" s="359">
        <f t="shared" si="11"/>
        <v>0</v>
      </c>
      <c r="G77" s="361"/>
      <c r="H77" s="358">
        <f>'Unit Data from Audit Worksheet'!I85</f>
        <v>0</v>
      </c>
      <c r="I77" s="38"/>
      <c r="J77" s="357">
        <v>509</v>
      </c>
      <c r="K77" s="356" t="s">
        <v>214</v>
      </c>
      <c r="L77" s="610">
        <f t="shared" si="9"/>
        <v>0</v>
      </c>
      <c r="P77" s="328"/>
      <c r="W77" s="3" t="b">
        <f t="shared" si="10"/>
        <v>1</v>
      </c>
      <c r="X77" s="607">
        <f t="shared" si="1"/>
        <v>0</v>
      </c>
      <c r="Y77" s="607">
        <f t="shared" si="2"/>
        <v>0</v>
      </c>
    </row>
    <row r="78" spans="1:27" ht="84.75" customHeight="1" x14ac:dyDescent="0.3">
      <c r="A78" s="346">
        <f>'Unit Data from Audit Worksheet'!A86</f>
        <v>22</v>
      </c>
      <c r="B78" s="360" t="str">
        <f>'Unit Data from Audit Worksheet'!C86</f>
        <v>General Fund-Rev, Exp. Change in Fund Balance</v>
      </c>
      <c r="C78" s="345" t="str">
        <f>'Unit Data from Audit Worksheet'!D86</f>
        <v xml:space="preserve">All other items on this statement that were not included in total revenues, total expenditures, transfers in or out, or proceeds from long-term debt above.  </v>
      </c>
      <c r="D78" s="144"/>
      <c r="E78" s="366">
        <f>'Unit Data from Audit Worksheet'!F86</f>
        <v>0</v>
      </c>
      <c r="F78" s="359"/>
      <c r="G78" s="361"/>
      <c r="H78" s="358">
        <f>'Unit Data from Audit Worksheet'!I86</f>
        <v>0</v>
      </c>
      <c r="I78" s="38"/>
      <c r="J78" s="357">
        <v>22</v>
      </c>
      <c r="K78" s="356" t="s">
        <v>212</v>
      </c>
      <c r="L78" s="610">
        <f t="shared" si="9"/>
        <v>0</v>
      </c>
      <c r="P78" s="328"/>
      <c r="W78" s="3" t="b">
        <f t="shared" si="10"/>
        <v>1</v>
      </c>
      <c r="X78" s="607">
        <f t="shared" si="1"/>
        <v>0</v>
      </c>
      <c r="Y78" s="607">
        <f t="shared" si="2"/>
        <v>0</v>
      </c>
    </row>
    <row r="79" spans="1:27" ht="74.25" customHeight="1" x14ac:dyDescent="0.3">
      <c r="A79" s="346">
        <f>'Unit Data from Audit Worksheet'!A87</f>
        <v>23</v>
      </c>
      <c r="B79" s="360" t="str">
        <f>'Unit Data from Audit Worksheet'!C87</f>
        <v>General Fund-Rev, Exp. Change in Fund Balance</v>
      </c>
      <c r="C79" s="345" t="str">
        <f>'Unit Data from Audit Worksheet'!D87</f>
        <v>Change in fund balance - (Increase in Fund balance is recorded as a positive and a decrease in fund balance is recorded as a negative)</v>
      </c>
      <c r="D79" s="144"/>
      <c r="E79" s="366">
        <f>'Unit Data from Audit Worksheet'!F87</f>
        <v>0</v>
      </c>
      <c r="F79" s="359">
        <f>IF(+L70-L72+L73-L74+L75+L76-L77+L78-L79=0,,"Error:Total revenues less toal Expenditures do not equal change in fund balance")</f>
        <v>0</v>
      </c>
      <c r="G79" s="91">
        <f>+L70-L72+L73-L74+L75+L78+L76-L77-L79</f>
        <v>0</v>
      </c>
      <c r="H79" s="358">
        <f>'Unit Data from Audit Worksheet'!I87</f>
        <v>0</v>
      </c>
      <c r="I79" s="38"/>
      <c r="J79" s="357">
        <v>23</v>
      </c>
      <c r="K79" s="356" t="s">
        <v>215</v>
      </c>
      <c r="L79" s="610">
        <f t="shared" si="9"/>
        <v>0</v>
      </c>
      <c r="P79" s="328"/>
      <c r="Q79" s="600">
        <f>IF(G79&lt;&gt;0,1,0)</f>
        <v>0</v>
      </c>
      <c r="W79" s="3" t="b">
        <f t="shared" si="10"/>
        <v>1</v>
      </c>
      <c r="X79" s="607">
        <f t="shared" si="1"/>
        <v>0</v>
      </c>
      <c r="Y79" s="607">
        <f t="shared" si="2"/>
        <v>0</v>
      </c>
    </row>
    <row r="80" spans="1:27" ht="123" customHeight="1" x14ac:dyDescent="0.3">
      <c r="A80" s="622">
        <f>'Unit Data from Audit Worksheet'!A89</f>
        <v>507</v>
      </c>
      <c r="B80" s="117" t="str">
        <f>'Unit Data from Audit Worksheet'!C89</f>
        <v>General Fund-Rev, Exp. Change in Fund Balance</v>
      </c>
      <c r="C80" s="338"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f>'Unit Data from Audit Worksheet'!I89</f>
        <v>0</v>
      </c>
      <c r="I80" s="38"/>
      <c r="J80" s="105">
        <v>507</v>
      </c>
      <c r="K80" s="44" t="s">
        <v>216</v>
      </c>
      <c r="L80" s="610">
        <f t="shared" si="9"/>
        <v>0</v>
      </c>
      <c r="N80" s="619"/>
      <c r="O80" s="618"/>
      <c r="P80" s="329"/>
      <c r="Q80" s="600" t="e">
        <f>IF(G80&lt;&gt;0,1,0)</f>
        <v>#N/A</v>
      </c>
      <c r="W80" s="3" t="b">
        <f t="shared" si="10"/>
        <v>1</v>
      </c>
      <c r="X80" s="607">
        <f t="shared" si="1"/>
        <v>0</v>
      </c>
      <c r="Y80" s="607">
        <f t="shared" si="2"/>
        <v>0</v>
      </c>
    </row>
    <row r="81" spans="1:26" ht="123" customHeight="1" x14ac:dyDescent="0.3">
      <c r="A81" s="622">
        <f>'Unit Data from Audit Worksheet'!A90</f>
        <v>147</v>
      </c>
      <c r="B81" s="117" t="str">
        <f>'Unit Data from Audit Worksheet'!C90</f>
        <v>General Fund-Rev, Exp. Change in Fund Balance or General Fund Budget Actual</v>
      </c>
      <c r="C81" s="338"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9"/>
      <c r="E81" s="155">
        <f>'Unit Data from Audit Worksheet'!F90</f>
        <v>0</v>
      </c>
      <c r="F81" s="362"/>
      <c r="G81" s="370"/>
      <c r="H81" s="362"/>
      <c r="I81" s="38"/>
      <c r="J81" s="371">
        <v>147</v>
      </c>
      <c r="K81" s="363" t="s">
        <v>372</v>
      </c>
      <c r="L81" s="610">
        <f t="shared" si="9"/>
        <v>0</v>
      </c>
      <c r="N81" s="619"/>
      <c r="O81" s="618"/>
      <c r="P81" s="337"/>
      <c r="W81" s="3" t="b">
        <f t="shared" si="10"/>
        <v>1</v>
      </c>
      <c r="X81" s="607"/>
      <c r="Y81" s="607"/>
    </row>
    <row r="82" spans="1:26" ht="123" customHeight="1" x14ac:dyDescent="0.3">
      <c r="A82" s="622">
        <f>'Unit Data from Audit Worksheet'!A91</f>
        <v>585</v>
      </c>
      <c r="B82" s="117" t="str">
        <f>'Unit Data from Audit Worksheet'!C91</f>
        <v>General Fund-Rev, Exp. Change in Fund Balance or General Fund Budget Actual</v>
      </c>
      <c r="C82" s="612" t="str">
        <f>'Unit Data from Audit Worksheet'!D91</f>
        <v xml:space="preserve">How much of the above number in account 147 is from Timber Receipts sent to the schools </v>
      </c>
      <c r="D82" s="369"/>
      <c r="E82" s="155">
        <f>'Unit Data from Audit Worksheet'!F91</f>
        <v>0</v>
      </c>
      <c r="F82" s="362"/>
      <c r="G82" s="370"/>
      <c r="H82" s="362"/>
      <c r="I82" s="38"/>
      <c r="J82" s="371">
        <v>585</v>
      </c>
      <c r="K82" s="374" t="s">
        <v>640</v>
      </c>
      <c r="L82" s="610">
        <f t="shared" si="9"/>
        <v>0</v>
      </c>
      <c r="N82" s="619"/>
      <c r="O82" s="618"/>
      <c r="P82" s="337"/>
      <c r="W82" s="3" t="b">
        <f t="shared" si="10"/>
        <v>1</v>
      </c>
      <c r="X82" s="607"/>
      <c r="Y82" s="607"/>
    </row>
    <row r="83" spans="1:26" ht="123" customHeight="1" x14ac:dyDescent="0.3">
      <c r="A83" s="622">
        <f>'Unit Data from Audit Worksheet'!A92</f>
        <v>546</v>
      </c>
      <c r="B83" s="117" t="str">
        <f>'Unit Data from Audit Worksheet'!C92</f>
        <v>General Fund-Rev, Exp. Change in Fund Balance or General Fund Budget Actual</v>
      </c>
      <c r="C83" s="612" t="str">
        <f>'Unit Data from Audit Worksheet'!D92</f>
        <v>Amount of Supplemental School Tax revenue recorded in the governmental funds.</v>
      </c>
      <c r="D83" s="369"/>
      <c r="E83" s="155">
        <f>'Unit Data from Audit Worksheet'!F92</f>
        <v>0</v>
      </c>
      <c r="F83" s="362"/>
      <c r="G83" s="370"/>
      <c r="H83" s="362"/>
      <c r="I83" s="38"/>
      <c r="J83" s="371">
        <v>546</v>
      </c>
      <c r="K83" s="374" t="s">
        <v>846</v>
      </c>
      <c r="L83" s="610">
        <f t="shared" si="9"/>
        <v>0</v>
      </c>
      <c r="N83" s="619"/>
      <c r="O83" s="618"/>
      <c r="P83" s="337"/>
      <c r="W83" s="3" t="b">
        <f t="shared" si="10"/>
        <v>1</v>
      </c>
      <c r="X83" s="607"/>
      <c r="Y83" s="607"/>
    </row>
    <row r="84" spans="1:26" ht="123" customHeight="1" x14ac:dyDescent="0.3">
      <c r="A84" s="622">
        <f>'Unit Data from Audit Worksheet'!A93</f>
        <v>589</v>
      </c>
      <c r="B84" s="117" t="str">
        <f>'Unit Data from Audit Worksheet'!C93</f>
        <v>General Fund-Rev, Exp. Change in Fund Balance or General Fund Budget Actual</v>
      </c>
      <c r="C84" s="612" t="str">
        <f>'Unit Data from Audit Worksheet'!D93</f>
        <v>Amount of Supplemental School Tax revenue recorded in agency funds.</v>
      </c>
      <c r="D84" s="369"/>
      <c r="E84" s="155">
        <f>'Unit Data from Audit Worksheet'!F93</f>
        <v>0</v>
      </c>
      <c r="F84" s="362"/>
      <c r="G84" s="370"/>
      <c r="H84" s="362"/>
      <c r="I84" s="38"/>
      <c r="J84" s="371">
        <v>589</v>
      </c>
      <c r="K84" s="124" t="s">
        <v>1297</v>
      </c>
      <c r="L84" s="610">
        <f t="shared" si="9"/>
        <v>0</v>
      </c>
      <c r="N84" s="619"/>
      <c r="O84" s="618"/>
      <c r="P84" s="337"/>
      <c r="W84" s="3" t="b">
        <f t="shared" si="10"/>
        <v>1</v>
      </c>
      <c r="X84" s="607"/>
      <c r="Y84" s="607"/>
    </row>
    <row r="85" spans="1:26" ht="123" customHeight="1" x14ac:dyDescent="0.3">
      <c r="A85" s="622">
        <f>'Unit Data from Audit Worksheet'!A94</f>
        <v>149</v>
      </c>
      <c r="B85" s="117" t="str">
        <f>'Unit Data from Audit Worksheet'!C94</f>
        <v>General Fund-Rev, Exp. Change in Fund Balance or General Fund Budget Actual</v>
      </c>
      <c r="C85" s="612"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9"/>
      <c r="E85" s="155">
        <f>'Unit Data from Audit Worksheet'!F94</f>
        <v>0</v>
      </c>
      <c r="F85" s="362"/>
      <c r="G85" s="370"/>
      <c r="H85" s="362"/>
      <c r="I85" s="38"/>
      <c r="J85" s="371">
        <v>149</v>
      </c>
      <c r="K85" s="257" t="s">
        <v>376</v>
      </c>
      <c r="L85" s="610">
        <f t="shared" si="9"/>
        <v>0</v>
      </c>
      <c r="N85" s="619"/>
      <c r="O85" s="618"/>
      <c r="P85" s="337"/>
      <c r="W85" s="3" t="b">
        <f t="shared" si="10"/>
        <v>1</v>
      </c>
      <c r="X85" s="607"/>
      <c r="Y85" s="607"/>
      <c r="Z85" s="3" t="s">
        <v>1387</v>
      </c>
    </row>
    <row r="86" spans="1:26" ht="123" customHeight="1" x14ac:dyDescent="0.3">
      <c r="A86" s="622">
        <f>'Unit Data from Audit Worksheet'!A95</f>
        <v>150</v>
      </c>
      <c r="B86" s="117" t="str">
        <f>'Unit Data from Audit Worksheet'!C95</f>
        <v>General Fund-Rev, Exp. Change in Fund Balance or General Fund Budget Actual</v>
      </c>
      <c r="C86" s="612"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9"/>
      <c r="E86" s="155">
        <f>'Unit Data from Audit Worksheet'!F95</f>
        <v>0</v>
      </c>
      <c r="F86" s="362"/>
      <c r="G86" s="370"/>
      <c r="H86" s="362"/>
      <c r="I86" s="38"/>
      <c r="J86" s="371">
        <v>150</v>
      </c>
      <c r="K86" s="257" t="s">
        <v>846</v>
      </c>
      <c r="L86" s="610">
        <f t="shared" si="9"/>
        <v>0</v>
      </c>
      <c r="N86" s="619"/>
      <c r="O86" s="618"/>
      <c r="P86" s="337"/>
      <c r="W86" s="3" t="b">
        <f t="shared" si="10"/>
        <v>1</v>
      </c>
      <c r="X86" s="607"/>
      <c r="Y86" s="607"/>
      <c r="Z86" s="3" t="s">
        <v>1387</v>
      </c>
    </row>
    <row r="87" spans="1:26" ht="123" customHeight="1" x14ac:dyDescent="0.3">
      <c r="A87" s="622">
        <f>'Unit Data from Audit Worksheet'!A96</f>
        <v>587</v>
      </c>
      <c r="B87" s="117" t="str">
        <f>'Unit Data from Audit Worksheet'!C96</f>
        <v xml:space="preserve">Fund 8 Rev, Exp. Change in Fund Balance Rpt. </v>
      </c>
      <c r="C87" s="612" t="str">
        <f>'Unit Data from Audit Worksheet'!D96</f>
        <v>Amount of Local Current Expense Funds received from the County transferred to Fund 8 this year.</v>
      </c>
      <c r="D87" s="369"/>
      <c r="E87" s="155">
        <f>'Unit Data from Audit Worksheet'!F96</f>
        <v>0</v>
      </c>
      <c r="F87" s="362"/>
      <c r="G87" s="370"/>
      <c r="H87" s="362"/>
      <c r="I87" s="38"/>
      <c r="J87" s="371">
        <v>587</v>
      </c>
      <c r="K87" s="257" t="s">
        <v>644</v>
      </c>
      <c r="L87" s="610">
        <f t="shared" si="9"/>
        <v>0</v>
      </c>
      <c r="N87" s="619"/>
      <c r="O87" s="618"/>
      <c r="P87" s="337"/>
      <c r="W87" s="3" t="b">
        <f t="shared" si="10"/>
        <v>1</v>
      </c>
      <c r="X87" s="607"/>
      <c r="Y87" s="607"/>
      <c r="Z87" s="3" t="s">
        <v>1387</v>
      </c>
    </row>
    <row r="88" spans="1:26" ht="123" customHeight="1" x14ac:dyDescent="0.3">
      <c r="A88" s="622">
        <f>'Unit Data from Audit Worksheet'!A97</f>
        <v>588</v>
      </c>
      <c r="B88" s="117" t="str">
        <f>'Unit Data from Audit Worksheet'!C97</f>
        <v xml:space="preserve">Fund 8 Rev, Exp. Change in Fund Balance Rpt. </v>
      </c>
      <c r="C88" s="612" t="str">
        <f>'Unit Data from Audit Worksheet'!D97</f>
        <v>Amount of Capital Outlay Funds received from the County transferred to Fund 8 this year.</v>
      </c>
      <c r="D88" s="369"/>
      <c r="E88" s="155">
        <f>'Unit Data from Audit Worksheet'!F97</f>
        <v>0</v>
      </c>
      <c r="F88" s="362"/>
      <c r="G88" s="370"/>
      <c r="H88" s="362"/>
      <c r="I88" s="38"/>
      <c r="J88" s="371">
        <v>588</v>
      </c>
      <c r="K88" s="257" t="s">
        <v>646</v>
      </c>
      <c r="L88" s="610">
        <f t="shared" si="9"/>
        <v>0</v>
      </c>
      <c r="N88" s="619"/>
      <c r="O88" s="618"/>
      <c r="P88" s="337"/>
      <c r="W88" s="3" t="b">
        <f t="shared" si="10"/>
        <v>1</v>
      </c>
      <c r="X88" s="607"/>
      <c r="Y88" s="607"/>
      <c r="Z88" s="3" t="s">
        <v>1387</v>
      </c>
    </row>
    <row r="89" spans="1:26" s="18" customFormat="1" ht="40.5" customHeight="1" x14ac:dyDescent="0.3">
      <c r="A89" s="318">
        <f>'Unit Data from Audit Worksheet'!A98</f>
        <v>647</v>
      </c>
      <c r="B89" s="373" t="str">
        <f>'Unit Data from Audit Worksheet'!C98</f>
        <v>Debt Service Fund</v>
      </c>
      <c r="C89" s="318" t="str">
        <f>'Unit Data from Audit Worksheet'!D98</f>
        <v>Please enter the Total Fund Balance for any Debt Service Funds</v>
      </c>
      <c r="D89" s="116"/>
      <c r="E89" s="372">
        <f>'Unit Data from Audit Worksheet'!F98</f>
        <v>0</v>
      </c>
      <c r="F89" s="354"/>
      <c r="G89" s="349"/>
      <c r="H89" s="354">
        <f>'Unit Data from Audit Worksheet'!I98</f>
        <v>0</v>
      </c>
      <c r="I89" s="623"/>
      <c r="J89" s="353">
        <v>647</v>
      </c>
      <c r="K89" s="321" t="s">
        <v>1600</v>
      </c>
      <c r="L89" s="624">
        <f>IF(D89="",E89,D89)</f>
        <v>0</v>
      </c>
      <c r="M89" s="614"/>
      <c r="N89" s="614"/>
      <c r="O89" s="630"/>
      <c r="P89" s="330"/>
      <c r="Q89" s="615"/>
      <c r="R89" s="3"/>
      <c r="S89" s="614"/>
      <c r="T89" s="614"/>
      <c r="U89" s="614"/>
      <c r="V89" s="614"/>
      <c r="W89" s="18" t="b">
        <f t="shared" si="10"/>
        <v>1</v>
      </c>
      <c r="X89" s="616">
        <f t="shared" si="1"/>
        <v>0</v>
      </c>
      <c r="Y89" s="616">
        <f t="shared" si="2"/>
        <v>0</v>
      </c>
    </row>
    <row r="90" spans="1:26" s="18" customFormat="1" ht="66" customHeight="1" x14ac:dyDescent="0.3">
      <c r="A90" s="318">
        <f>'Unit Data from Audit Worksheet'!A100</f>
        <v>148</v>
      </c>
      <c r="B90" s="373" t="str">
        <f>'Unit Data from Audit Worksheet'!C100</f>
        <v>All Gov. Funds Rev, Exp. Change in Fund Balance</v>
      </c>
      <c r="C90" s="352" t="str">
        <f>'Unit Data from Audit Worksheet'!D100</f>
        <v>Capital Outlay contributions to the BOEs (include amounts from general fund, capital project funds and any other fund sent to the BOE as part of capital outlay)</v>
      </c>
      <c r="D90" s="369"/>
      <c r="E90" s="372">
        <f>'Unit Data from Audit Worksheet'!F100</f>
        <v>0</v>
      </c>
      <c r="F90" s="362"/>
      <c r="G90" s="370"/>
      <c r="H90" s="362"/>
      <c r="I90" s="38"/>
      <c r="J90" s="371">
        <v>148</v>
      </c>
      <c r="K90" s="363" t="s">
        <v>374</v>
      </c>
      <c r="L90" s="610">
        <f t="shared" si="9"/>
        <v>0</v>
      </c>
      <c r="M90" s="631"/>
      <c r="N90" s="631"/>
      <c r="O90" s="632"/>
      <c r="P90" s="337"/>
      <c r="Q90" s="633"/>
      <c r="R90" s="3"/>
      <c r="S90" s="631"/>
      <c r="T90" s="631"/>
      <c r="U90" s="631"/>
      <c r="V90" s="631"/>
      <c r="W90" s="631" t="b">
        <f t="shared" si="10"/>
        <v>1</v>
      </c>
      <c r="X90" s="616"/>
      <c r="Y90" s="616"/>
    </row>
    <row r="91" spans="1:26" ht="60" customHeight="1" x14ac:dyDescent="0.3">
      <c r="A91" s="608">
        <f>'Unit Data from Audit Worksheet'!A101</f>
        <v>171</v>
      </c>
      <c r="B91" s="54" t="str">
        <f>'Unit Data from Audit Worksheet'!C101</f>
        <v>Fund Statements - all Governmental Funds</v>
      </c>
      <c r="C91" s="609" t="str">
        <f>'Unit Data from Audit Worksheet'!D101</f>
        <v>Debt service expenditures from all governmental funds.  Include principal, interest paid, and debt issuance costs on long-term debt.</v>
      </c>
      <c r="D91" s="365"/>
      <c r="E91" s="152">
        <f>'Unit Data from Audit Worksheet'!F101</f>
        <v>0</v>
      </c>
      <c r="F91" s="47">
        <f>IF(L91&lt;0,"Error: Enter as a positive.",)</f>
        <v>0</v>
      </c>
      <c r="G91" s="72"/>
      <c r="H91" s="358">
        <f>'Unit Data from Audit Worksheet'!I101</f>
        <v>0</v>
      </c>
      <c r="I91" s="38"/>
      <c r="J91" s="42">
        <v>171</v>
      </c>
      <c r="K91" s="51" t="s">
        <v>217</v>
      </c>
      <c r="L91" s="610">
        <f t="shared" si="9"/>
        <v>0</v>
      </c>
      <c r="P91" s="327"/>
      <c r="W91" s="3" t="b">
        <f t="shared" si="10"/>
        <v>1</v>
      </c>
      <c r="X91" s="607">
        <f t="shared" si="1"/>
        <v>0</v>
      </c>
      <c r="Y91" s="607">
        <f t="shared" si="2"/>
        <v>0</v>
      </c>
    </row>
    <row r="92" spans="1:26" s="750" customFormat="1" ht="60" customHeight="1" x14ac:dyDescent="0.3">
      <c r="A92" s="608">
        <f>'Unit Data from Audit Worksheet'!A103</f>
        <v>36</v>
      </c>
      <c r="B92" s="54" t="str">
        <f>'Unit Data from Audit Worksheet'!C103</f>
        <v>Net Position</v>
      </c>
      <c r="C92" s="609" t="str">
        <f>'Unit Data from Audit Worksheet'!D103</f>
        <v>Total Gross Capital Assets - without accumulated depreciation</v>
      </c>
      <c r="D92" s="365"/>
      <c r="E92" s="152">
        <f>'Unit Data from Audit Worksheet'!F103</f>
        <v>0</v>
      </c>
      <c r="F92" s="47"/>
      <c r="G92" s="72"/>
      <c r="H92" s="358"/>
      <c r="I92" s="752"/>
      <c r="J92" s="42">
        <v>36</v>
      </c>
      <c r="K92" s="51" t="s">
        <v>1444</v>
      </c>
      <c r="L92" s="610">
        <f t="shared" si="9"/>
        <v>0</v>
      </c>
      <c r="P92" s="327"/>
      <c r="Q92" s="600"/>
      <c r="W92" s="631" t="b">
        <f t="shared" si="10"/>
        <v>1</v>
      </c>
      <c r="X92" s="607"/>
      <c r="Y92" s="607"/>
    </row>
    <row r="93" spans="1:26" s="750" customFormat="1" ht="60" customHeight="1" x14ac:dyDescent="0.3">
      <c r="A93" s="608">
        <f>'Unit Data from Audit Worksheet'!A104</f>
        <v>534</v>
      </c>
      <c r="B93" s="54" t="str">
        <f>'Unit Data from Audit Worksheet'!C104</f>
        <v>Net Position</v>
      </c>
      <c r="C93" s="609" t="str">
        <f>'Unit Data from Audit Worksheet'!D104</f>
        <v>Combined Totals of all Proprietary Funds - Amount of Inventories and Prepaids in current assets</v>
      </c>
      <c r="D93" s="365"/>
      <c r="E93" s="152">
        <f>'Unit Data from Audit Worksheet'!F104</f>
        <v>0</v>
      </c>
      <c r="F93" s="47"/>
      <c r="G93" s="72"/>
      <c r="H93" s="358"/>
      <c r="I93" s="752"/>
      <c r="J93" s="42">
        <v>534</v>
      </c>
      <c r="K93" s="51" t="s">
        <v>275</v>
      </c>
      <c r="L93" s="610">
        <f t="shared" si="9"/>
        <v>0</v>
      </c>
      <c r="P93" s="327"/>
      <c r="Q93" s="600"/>
      <c r="W93" s="631" t="b">
        <f t="shared" si="10"/>
        <v>1</v>
      </c>
      <c r="X93" s="607"/>
      <c r="Y93" s="607"/>
    </row>
    <row r="94" spans="1:26" ht="60" customHeight="1" x14ac:dyDescent="0.3">
      <c r="A94" s="608">
        <f>'Unit Data from Audit Worksheet'!A105</f>
        <v>13</v>
      </c>
      <c r="B94" s="54" t="str">
        <f>'Unit Data from Audit Worksheet'!C105</f>
        <v>Combined Proprietary Funds - Net Position</v>
      </c>
      <c r="C94" s="609" t="str">
        <f>'Unit Data from Audit Worksheet'!D105</f>
        <v>Comb-Proprietary Funds-Current Assets 
Exclude: any restricted assets
                  deferred outflows</v>
      </c>
      <c r="D94" s="365"/>
      <c r="E94" s="152">
        <f>'Unit Data from Audit Worksheet'!F105</f>
        <v>0</v>
      </c>
      <c r="F94" s="47"/>
      <c r="G94" s="72"/>
      <c r="H94" s="358"/>
      <c r="I94" s="38"/>
      <c r="J94" s="42">
        <v>13</v>
      </c>
      <c r="K94" s="51" t="s">
        <v>1376</v>
      </c>
      <c r="L94" s="610">
        <f t="shared" si="9"/>
        <v>0</v>
      </c>
      <c r="P94" s="327"/>
      <c r="X94" s="607"/>
      <c r="Y94" s="607"/>
    </row>
    <row r="95" spans="1:26" ht="60" customHeight="1" x14ac:dyDescent="0.3">
      <c r="A95" s="608">
        <f>'Unit Data from Audit Worksheet'!A106</f>
        <v>14</v>
      </c>
      <c r="B95" s="54" t="str">
        <f>'Unit Data from Audit Worksheet'!C106</f>
        <v>Combined Proprietary Funds - Net Position</v>
      </c>
      <c r="C95" s="609"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65"/>
      <c r="E95" s="152">
        <f>'Unit Data from Audit Worksheet'!F106</f>
        <v>0</v>
      </c>
      <c r="F95" s="47"/>
      <c r="G95" s="72"/>
      <c r="H95" s="358"/>
      <c r="I95" s="38"/>
      <c r="J95" s="42">
        <v>14</v>
      </c>
      <c r="K95" s="51" t="s">
        <v>1377</v>
      </c>
      <c r="L95" s="610">
        <f t="shared" si="9"/>
        <v>0</v>
      </c>
      <c r="P95" s="327"/>
      <c r="X95" s="607"/>
      <c r="Y95" s="607"/>
    </row>
    <row r="96" spans="1:26" s="750" customFormat="1" ht="60" customHeight="1" x14ac:dyDescent="0.3">
      <c r="A96" s="608">
        <f>'Unit Data from Audit Worksheet'!A107</f>
        <v>571</v>
      </c>
      <c r="B96" s="54" t="str">
        <f>'Unit Data from Audit Worksheet'!C107</f>
        <v>Statement of Net Position - combined totals from all Proprietary Funds</v>
      </c>
      <c r="C96" s="609" t="str">
        <f>'Unit Data from Audit Worksheet'!D107</f>
        <v>Mental Health Net Position - Net Investment in Capital Assets</v>
      </c>
      <c r="D96" s="365"/>
      <c r="E96" s="152">
        <f>'Unit Data from Audit Worksheet'!F107</f>
        <v>0</v>
      </c>
      <c r="F96" s="47"/>
      <c r="G96" s="72"/>
      <c r="H96" s="358"/>
      <c r="I96" s="752"/>
      <c r="J96" s="42">
        <v>571</v>
      </c>
      <c r="K96" s="51" t="s">
        <v>1415</v>
      </c>
      <c r="L96" s="610">
        <f t="shared" si="9"/>
        <v>0</v>
      </c>
      <c r="P96" s="327"/>
      <c r="Q96" s="600"/>
      <c r="X96" s="607"/>
      <c r="Y96" s="607"/>
    </row>
    <row r="97" spans="1:26" s="750" customFormat="1" ht="60" customHeight="1" x14ac:dyDescent="0.3">
      <c r="A97" s="608">
        <f>'Unit Data from Audit Worksheet'!A108</f>
        <v>572</v>
      </c>
      <c r="B97" s="54" t="str">
        <f>'Unit Data from Audit Worksheet'!C108</f>
        <v>Statement of Net Position - combined totals from all Proprietary Funds</v>
      </c>
      <c r="C97" s="609" t="str">
        <f>'Unit Data from Audit Worksheet'!D108</f>
        <v>Mental Health Net Position - Restricted Net Position</v>
      </c>
      <c r="D97" s="365"/>
      <c r="E97" s="152">
        <f>'Unit Data from Audit Worksheet'!F108</f>
        <v>0</v>
      </c>
      <c r="F97" s="47"/>
      <c r="G97" s="72"/>
      <c r="H97" s="358"/>
      <c r="I97" s="752"/>
      <c r="J97" s="42">
        <v>572</v>
      </c>
      <c r="K97" s="51" t="s">
        <v>1416</v>
      </c>
      <c r="L97" s="610">
        <f t="shared" si="9"/>
        <v>0</v>
      </c>
      <c r="P97" s="327"/>
      <c r="Q97" s="600"/>
      <c r="X97" s="607"/>
      <c r="Y97" s="607"/>
    </row>
    <row r="98" spans="1:26" s="750" customFormat="1" ht="60" customHeight="1" x14ac:dyDescent="0.3">
      <c r="A98" s="608">
        <f>'Unit Data from Audit Worksheet'!A109</f>
        <v>573</v>
      </c>
      <c r="B98" s="54" t="str">
        <f>'Unit Data from Audit Worksheet'!C109</f>
        <v>Statement of Net Position - combined totals from all Proprietary Funds</v>
      </c>
      <c r="C98" s="609" t="str">
        <f>'Unit Data from Audit Worksheet'!D109</f>
        <v>Mental Health Net Position - Unrestricted Net Position</v>
      </c>
      <c r="D98" s="365"/>
      <c r="E98" s="152">
        <f>'Unit Data from Audit Worksheet'!F109</f>
        <v>0</v>
      </c>
      <c r="F98" s="47"/>
      <c r="G98" s="72"/>
      <c r="H98" s="358"/>
      <c r="I98" s="752"/>
      <c r="J98" s="42">
        <v>573</v>
      </c>
      <c r="K98" s="51" t="s">
        <v>1574</v>
      </c>
      <c r="L98" s="610">
        <f t="shared" si="9"/>
        <v>0</v>
      </c>
      <c r="P98" s="327"/>
      <c r="Q98" s="600"/>
      <c r="X98" s="607"/>
      <c r="Y98" s="607"/>
    </row>
    <row r="99" spans="1:26" ht="60" customHeight="1" x14ac:dyDescent="0.3">
      <c r="A99" s="608">
        <f>'Unit Data from Audit Worksheet'!A110</f>
        <v>34</v>
      </c>
      <c r="B99" s="54" t="str">
        <f>'Unit Data from Audit Worksheet'!C110</f>
        <v>Net Position</v>
      </c>
      <c r="C99" s="609" t="str">
        <f>'Unit Data from Audit Worksheet'!D110</f>
        <v>Hospital-EF- Unrestricted Cash &amp; Invest. [Incl.all but Held by Trustee or 3rd party restricted](BS)</v>
      </c>
      <c r="D99" s="365"/>
      <c r="E99" s="152">
        <f>'Unit Data from Audit Worksheet'!F110</f>
        <v>0</v>
      </c>
      <c r="F99" s="47"/>
      <c r="G99" s="72"/>
      <c r="H99" s="358"/>
      <c r="I99" s="38"/>
      <c r="J99" s="42">
        <v>34</v>
      </c>
      <c r="K99" s="51" t="s">
        <v>1390</v>
      </c>
      <c r="L99" s="610">
        <f t="shared" si="9"/>
        <v>0</v>
      </c>
      <c r="P99" s="327"/>
      <c r="X99" s="607"/>
      <c r="Y99" s="607"/>
      <c r="Z99" s="3" t="s">
        <v>1388</v>
      </c>
    </row>
    <row r="100" spans="1:26" ht="60" customHeight="1" x14ac:dyDescent="0.3">
      <c r="A100" s="608">
        <f>'Unit Data from Audit Worksheet'!A111</f>
        <v>35</v>
      </c>
      <c r="B100" s="54" t="str">
        <f>'Unit Data from Audit Worksheet'!C111</f>
        <v>Net Position</v>
      </c>
      <c r="C100" s="609" t="str">
        <f>'Unit Data from Audit Worksheet'!D111</f>
        <v>Mental Health or Hospital-EF- Patient Accounts Receivable, Net of Allowance for Bad Debt</v>
      </c>
      <c r="D100" s="365"/>
      <c r="E100" s="152">
        <f>'Unit Data from Audit Worksheet'!F111</f>
        <v>0</v>
      </c>
      <c r="F100" s="47"/>
      <c r="G100" s="72"/>
      <c r="H100" s="358"/>
      <c r="I100" s="38"/>
      <c r="J100" s="42">
        <v>35</v>
      </c>
      <c r="K100" s="51" t="s">
        <v>1391</v>
      </c>
      <c r="L100" s="610">
        <f t="shared" si="9"/>
        <v>0</v>
      </c>
      <c r="P100" s="327"/>
      <c r="X100" s="607"/>
      <c r="Y100" s="607"/>
      <c r="Z100" s="3" t="s">
        <v>1388</v>
      </c>
    </row>
    <row r="101" spans="1:26" ht="60" customHeight="1" x14ac:dyDescent="0.3">
      <c r="A101" s="608">
        <f>'Unit Data from Audit Worksheet'!A112</f>
        <v>37</v>
      </c>
      <c r="B101" s="54" t="str">
        <f>'Unit Data from Audit Worksheet'!C112</f>
        <v>Net Position</v>
      </c>
      <c r="C101" s="609" t="str">
        <f>'Unit Data from Audit Worksheet'!D112</f>
        <v>Total Long-term debt (non current portion only) - enter as a positive</v>
      </c>
      <c r="D101" s="365"/>
      <c r="E101" s="152">
        <f>'Unit Data from Audit Worksheet'!F112</f>
        <v>0</v>
      </c>
      <c r="F101" s="47"/>
      <c r="G101" s="72"/>
      <c r="H101" s="358"/>
      <c r="I101" s="38"/>
      <c r="J101" s="42">
        <v>37</v>
      </c>
      <c r="K101" s="51" t="s">
        <v>1401</v>
      </c>
      <c r="L101" s="610">
        <f t="shared" si="9"/>
        <v>0</v>
      </c>
      <c r="P101" s="327"/>
      <c r="X101" s="607"/>
      <c r="Y101" s="607"/>
      <c r="Z101" s="3" t="s">
        <v>1388</v>
      </c>
    </row>
    <row r="102" spans="1:26" ht="60" customHeight="1" x14ac:dyDescent="0.3">
      <c r="A102" s="608">
        <f>'Unit Data from Audit Worksheet'!A113</f>
        <v>38</v>
      </c>
      <c r="B102" s="54" t="str">
        <f>'Unit Data from Audit Worksheet'!C113</f>
        <v>Net Position</v>
      </c>
      <c r="C102" s="609" t="str">
        <f>'Unit Data from Audit Worksheet'!D113</f>
        <v>Unrestricted fund equity or net position</v>
      </c>
      <c r="D102" s="365"/>
      <c r="E102" s="152">
        <f>'Unit Data from Audit Worksheet'!F113</f>
        <v>0</v>
      </c>
      <c r="F102" s="47"/>
      <c r="G102" s="72"/>
      <c r="H102" s="358"/>
      <c r="I102" s="38"/>
      <c r="J102" s="42">
        <v>38</v>
      </c>
      <c r="K102" s="51" t="s">
        <v>1392</v>
      </c>
      <c r="L102" s="610">
        <f t="shared" si="9"/>
        <v>0</v>
      </c>
      <c r="P102" s="327"/>
      <c r="X102" s="607"/>
      <c r="Y102" s="607"/>
      <c r="Z102" s="3" t="s">
        <v>1388</v>
      </c>
    </row>
    <row r="103" spans="1:26" ht="60" customHeight="1" x14ac:dyDescent="0.3">
      <c r="A103" s="608">
        <f>'Unit Data from Audit Worksheet'!A114</f>
        <v>32</v>
      </c>
      <c r="B103" s="54" t="str">
        <f>'Unit Data from Audit Worksheet'!C114</f>
        <v>Combined Totals of all Proprietary Funds - Revenue, Expenses, Changes in Net Position</v>
      </c>
      <c r="C103" s="609" t="str">
        <f>'Unit Data from Audit Worksheet'!D114</f>
        <v>Combined Totals of all proprietary Funds - Depreciation &amp; Amortization Expense</v>
      </c>
      <c r="D103" s="365"/>
      <c r="E103" s="152">
        <f>'Unit Data from Audit Worksheet'!F114</f>
        <v>0</v>
      </c>
      <c r="F103" s="47"/>
      <c r="G103" s="72"/>
      <c r="H103" s="358"/>
      <c r="I103" s="38"/>
      <c r="J103" s="42">
        <v>32</v>
      </c>
      <c r="K103" s="51" t="s">
        <v>1379</v>
      </c>
      <c r="L103" s="610">
        <f t="shared" si="9"/>
        <v>0</v>
      </c>
      <c r="P103" s="327"/>
      <c r="X103" s="607"/>
      <c r="Y103" s="607"/>
      <c r="Z103" s="3" t="s">
        <v>1388</v>
      </c>
    </row>
    <row r="104" spans="1:26" ht="60" customHeight="1" x14ac:dyDescent="0.3">
      <c r="A104" s="608">
        <f>'Unit Data from Audit Worksheet'!A115</f>
        <v>40</v>
      </c>
      <c r="B104" s="54" t="str">
        <f>'Unit Data from Audit Worksheet'!C115</f>
        <v>Revenue, Expenses, Changes in Net Position</v>
      </c>
      <c r="C104" s="609" t="str">
        <f>'Unit Data from Audit Worksheet'!D115</f>
        <v>Net Patient Revenues</v>
      </c>
      <c r="D104" s="365"/>
      <c r="E104" s="152">
        <f>'Unit Data from Audit Worksheet'!F115</f>
        <v>0</v>
      </c>
      <c r="F104" s="47"/>
      <c r="G104" s="72"/>
      <c r="H104" s="358"/>
      <c r="I104" s="38"/>
      <c r="J104" s="42">
        <v>40</v>
      </c>
      <c r="K104" s="51" t="s">
        <v>1394</v>
      </c>
      <c r="L104" s="610">
        <f t="shared" si="9"/>
        <v>0</v>
      </c>
      <c r="P104" s="327"/>
      <c r="X104" s="607"/>
      <c r="Y104" s="607"/>
      <c r="Z104" s="3" t="s">
        <v>1388</v>
      </c>
    </row>
    <row r="105" spans="1:26" ht="60" customHeight="1" x14ac:dyDescent="0.3">
      <c r="A105" s="608">
        <f>'Unit Data from Audit Worksheet'!A116</f>
        <v>107</v>
      </c>
      <c r="B105" s="54" t="str">
        <f>'Unit Data from Audit Worksheet'!C116</f>
        <v>Revenue, Expenses, Changes in Net Position</v>
      </c>
      <c r="C105" s="609" t="str">
        <f>'Unit Data from Audit Worksheet'!D116</f>
        <v>Total Operating Revenues</v>
      </c>
      <c r="D105" s="365"/>
      <c r="E105" s="152">
        <f>'Unit Data from Audit Worksheet'!F116</f>
        <v>0</v>
      </c>
      <c r="F105" s="47"/>
      <c r="G105" s="72"/>
      <c r="H105" s="358"/>
      <c r="I105" s="38"/>
      <c r="J105" s="42">
        <v>107</v>
      </c>
      <c r="K105" s="51" t="s">
        <v>1395</v>
      </c>
      <c r="L105" s="610">
        <f t="shared" si="9"/>
        <v>0</v>
      </c>
      <c r="P105" s="327"/>
      <c r="X105" s="607"/>
      <c r="Y105" s="607"/>
      <c r="Z105" s="3" t="s">
        <v>1388</v>
      </c>
    </row>
    <row r="106" spans="1:26" ht="60" customHeight="1" x14ac:dyDescent="0.3">
      <c r="A106" s="608">
        <f>'Unit Data from Audit Worksheet'!A117</f>
        <v>108</v>
      </c>
      <c r="B106" s="54" t="str">
        <f>'Unit Data from Audit Worksheet'!C117</f>
        <v>Revenue, Expenses, Changes in Net Position</v>
      </c>
      <c r="C106" s="609" t="str">
        <f>'Unit Data from Audit Worksheet'!D117</f>
        <v>Total Operating Expenses. May include Interest Expense - Enter as a positive</v>
      </c>
      <c r="D106" s="365"/>
      <c r="E106" s="152">
        <f>'Unit Data from Audit Worksheet'!F117</f>
        <v>0</v>
      </c>
      <c r="F106" s="47"/>
      <c r="G106" s="72"/>
      <c r="H106" s="358"/>
      <c r="I106" s="38"/>
      <c r="J106" s="42">
        <v>108</v>
      </c>
      <c r="K106" s="51" t="s">
        <v>1402</v>
      </c>
      <c r="L106" s="610">
        <f t="shared" si="9"/>
        <v>0</v>
      </c>
      <c r="P106" s="327"/>
      <c r="X106" s="607"/>
      <c r="Y106" s="607"/>
      <c r="Z106" s="3" t="s">
        <v>1388</v>
      </c>
    </row>
    <row r="107" spans="1:26" ht="60" customHeight="1" x14ac:dyDescent="0.3">
      <c r="A107" s="608">
        <f>'Unit Data from Audit Worksheet'!A118</f>
        <v>41</v>
      </c>
      <c r="B107" s="54" t="str">
        <f>'Unit Data from Audit Worksheet'!C118</f>
        <v>Revenue, Expenses, Changes in Net Position</v>
      </c>
      <c r="C107" s="609" t="str">
        <f>'Unit Data from Audit Worksheet'!D118</f>
        <v xml:space="preserve">Interest Expense - Enter as a positive </v>
      </c>
      <c r="D107" s="365"/>
      <c r="E107" s="152">
        <f>'Unit Data from Audit Worksheet'!F118</f>
        <v>0</v>
      </c>
      <c r="F107" s="47"/>
      <c r="G107" s="72"/>
      <c r="H107" s="358"/>
      <c r="I107" s="38"/>
      <c r="J107" s="42">
        <v>41</v>
      </c>
      <c r="K107" s="51" t="s">
        <v>1403</v>
      </c>
      <c r="L107" s="610">
        <f t="shared" si="9"/>
        <v>0</v>
      </c>
      <c r="P107" s="327"/>
      <c r="X107" s="607"/>
      <c r="Y107" s="607"/>
      <c r="Z107" s="3" t="s">
        <v>1388</v>
      </c>
    </row>
    <row r="108" spans="1:26" ht="60" customHeight="1" x14ac:dyDescent="0.3">
      <c r="A108" s="608">
        <f>'Unit Data from Audit Worksheet'!A119</f>
        <v>194</v>
      </c>
      <c r="B108" s="54" t="str">
        <f>'Unit Data from Audit Worksheet'!C119</f>
        <v>Revenue, Expenses, Changes in Net Position</v>
      </c>
      <c r="C108" s="609" t="str">
        <f>'Unit Data from Audit Worksheet'!D119</f>
        <v xml:space="preserve">Capital Contributions </v>
      </c>
      <c r="D108" s="365"/>
      <c r="E108" s="152">
        <f>'Unit Data from Audit Worksheet'!F119</f>
        <v>0</v>
      </c>
      <c r="F108" s="47"/>
      <c r="G108" s="72"/>
      <c r="H108" s="358"/>
      <c r="I108" s="38"/>
      <c r="J108" s="42">
        <v>194</v>
      </c>
      <c r="K108" s="51" t="s">
        <v>1396</v>
      </c>
      <c r="L108" s="610">
        <f t="shared" si="9"/>
        <v>0</v>
      </c>
      <c r="P108" s="327"/>
      <c r="X108" s="607"/>
      <c r="Y108" s="607"/>
      <c r="Z108" s="3" t="s">
        <v>1388</v>
      </c>
    </row>
    <row r="109" spans="1:26" ht="60" customHeight="1" x14ac:dyDescent="0.3">
      <c r="A109" s="608">
        <f>'Unit Data from Audit Worksheet'!A120</f>
        <v>294</v>
      </c>
      <c r="B109" s="54" t="str">
        <f>'Unit Data from Audit Worksheet'!C120</f>
        <v>Revenue, Expenses, Changes in Net Position</v>
      </c>
      <c r="C109" s="609" t="str">
        <f>'Unit Data from Audit Worksheet'!D120</f>
        <v>Change in Net Position</v>
      </c>
      <c r="D109" s="365"/>
      <c r="E109" s="152">
        <f>'Unit Data from Audit Worksheet'!F120</f>
        <v>0</v>
      </c>
      <c r="F109" s="47"/>
      <c r="G109" s="72"/>
      <c r="H109" s="358"/>
      <c r="I109" s="38"/>
      <c r="J109" s="42">
        <v>294</v>
      </c>
      <c r="K109" s="51" t="s">
        <v>1397</v>
      </c>
      <c r="L109" s="610">
        <f t="shared" si="9"/>
        <v>0</v>
      </c>
      <c r="P109" s="327"/>
      <c r="X109" s="607"/>
      <c r="Y109" s="607"/>
      <c r="Z109" s="3" t="s">
        <v>1388</v>
      </c>
    </row>
    <row r="110" spans="1:26" ht="60" customHeight="1" x14ac:dyDescent="0.3">
      <c r="A110" s="608">
        <f>'Unit Data from Audit Worksheet'!A123</f>
        <v>31</v>
      </c>
      <c r="B110" s="54" t="str">
        <f>'Unit Data from Audit Worksheet'!C123</f>
        <v>Combined Totals of all Proprietary Funds - Revenue, Expenses, Changes in Net Position</v>
      </c>
      <c r="C110" s="609" t="str">
        <f>'Unit Data from Audit Worksheet'!D123</f>
        <v>Combined Totals of all Proprietary Funds - Change in net position - (increase in net position is recorded as a positive and a decrease in net position is recorded as a negative)</v>
      </c>
      <c r="D110" s="365"/>
      <c r="E110" s="152">
        <f>'Unit Data from Audit Worksheet'!F121</f>
        <v>0</v>
      </c>
      <c r="F110" s="47"/>
      <c r="G110" s="72"/>
      <c r="H110" s="358"/>
      <c r="I110" s="38"/>
      <c r="J110" s="42">
        <v>31</v>
      </c>
      <c r="K110" s="51" t="s">
        <v>1380</v>
      </c>
      <c r="L110" s="610">
        <f t="shared" si="9"/>
        <v>0</v>
      </c>
      <c r="P110" s="327"/>
      <c r="X110" s="607"/>
      <c r="Y110" s="607"/>
    </row>
    <row r="111" spans="1:26" ht="60" customHeight="1" x14ac:dyDescent="0.3">
      <c r="A111" s="608" t="str">
        <f>'Unit Data from Audit Worksheet'!A124</f>
        <v>193</v>
      </c>
      <c r="B111" s="54" t="str">
        <f>'Unit Data from Audit Worksheet'!C124</f>
        <v>Combined Proprietary Funds - Change in Cash Flow Statement</v>
      </c>
      <c r="C111" s="609" t="str">
        <f>'Unit Data from Audit Worksheet'!D124</f>
        <v>Combined Totals of all Proprietary Funds - Capital Contributions</v>
      </c>
      <c r="D111" s="365"/>
      <c r="E111" s="152">
        <f>'Unit Data from Audit Worksheet'!F124</f>
        <v>0</v>
      </c>
      <c r="F111" s="47"/>
      <c r="G111" s="72"/>
      <c r="H111" s="358"/>
      <c r="I111" s="38"/>
      <c r="J111" s="42">
        <v>193</v>
      </c>
      <c r="K111" s="51" t="s">
        <v>383</v>
      </c>
      <c r="L111" s="610">
        <f t="shared" si="9"/>
        <v>0</v>
      </c>
      <c r="P111" s="327"/>
      <c r="X111" s="607"/>
      <c r="Y111" s="607"/>
    </row>
    <row r="112" spans="1:26" ht="60" customHeight="1" x14ac:dyDescent="0.3">
      <c r="A112" s="608">
        <f>'Unit Data from Audit Worksheet'!A125</f>
        <v>33</v>
      </c>
      <c r="B112" s="54" t="str">
        <f>'Unit Data from Audit Worksheet'!C125</f>
        <v>Combined Proprietary Funds - Change in Cash Flow Statement</v>
      </c>
      <c r="C112" s="609" t="str">
        <f>'Unit Data from Audit Worksheet'!D125</f>
        <v>Combined Totals of all Proprietary Funds - Cash Flow from Operating</v>
      </c>
      <c r="D112" s="365"/>
      <c r="E112" s="152">
        <f>'Unit Data from Audit Worksheet'!F125</f>
        <v>0</v>
      </c>
      <c r="F112" s="47"/>
      <c r="G112" s="72"/>
      <c r="H112" s="358"/>
      <c r="I112" s="38"/>
      <c r="J112" s="42">
        <v>33</v>
      </c>
      <c r="K112" s="51" t="s">
        <v>318</v>
      </c>
      <c r="L112" s="610">
        <f t="shared" si="9"/>
        <v>0</v>
      </c>
      <c r="P112" s="327"/>
      <c r="X112" s="607"/>
      <c r="Y112" s="607"/>
    </row>
    <row r="113" spans="1:26" ht="60" customHeight="1" x14ac:dyDescent="0.3">
      <c r="A113" s="608">
        <f>'Unit Data from Audit Worksheet'!A126</f>
        <v>104</v>
      </c>
      <c r="B113" s="54" t="str">
        <f>'Unit Data from Audit Worksheet'!C126</f>
        <v>Cash Flows</v>
      </c>
      <c r="C113" s="609" t="str">
        <f>'Unit Data from Audit Worksheet'!D126</f>
        <v>Capital Outlays</v>
      </c>
      <c r="D113" s="144"/>
      <c r="E113" s="152">
        <f>'Unit Data from Audit Worksheet'!F126</f>
        <v>0</v>
      </c>
      <c r="F113" s="47"/>
      <c r="G113" s="72"/>
      <c r="H113" s="358"/>
      <c r="I113" s="38"/>
      <c r="J113" s="42">
        <v>104</v>
      </c>
      <c r="K113" s="51" t="s">
        <v>1399</v>
      </c>
      <c r="L113" s="610">
        <f t="shared" si="9"/>
        <v>0</v>
      </c>
      <c r="P113" s="327"/>
      <c r="X113" s="607"/>
      <c r="Y113" s="607"/>
      <c r="Z113" s="3" t="s">
        <v>1388</v>
      </c>
    </row>
    <row r="114" spans="1:26" ht="60" customHeight="1" x14ac:dyDescent="0.3">
      <c r="A114" s="608">
        <f>'Unit Data from Audit Worksheet'!A127</f>
        <v>39</v>
      </c>
      <c r="B114" s="54" t="str">
        <f>'Unit Data from Audit Worksheet'!C127</f>
        <v>Cash Flows</v>
      </c>
      <c r="C114" s="609" t="str">
        <f>'Unit Data from Audit Worksheet'!D127</f>
        <v>Principal Paid - Long-term Debt</v>
      </c>
      <c r="D114" s="144"/>
      <c r="E114" s="152">
        <f>'Unit Data from Audit Worksheet'!F127</f>
        <v>0</v>
      </c>
      <c r="F114" s="47"/>
      <c r="G114" s="72"/>
      <c r="H114" s="358"/>
      <c r="I114" s="38"/>
      <c r="J114" s="42">
        <v>39</v>
      </c>
      <c r="K114" s="51" t="s">
        <v>1400</v>
      </c>
      <c r="L114" s="610">
        <f t="shared" si="9"/>
        <v>0</v>
      </c>
      <c r="P114" s="327"/>
      <c r="X114" s="607"/>
      <c r="Y114" s="607"/>
      <c r="Z114" s="3" t="s">
        <v>1388</v>
      </c>
    </row>
    <row r="115" spans="1:26" ht="60" customHeight="1" x14ac:dyDescent="0.3">
      <c r="A115" s="346">
        <f>'Unit Data from Audit Worksheet'!A131</f>
        <v>596</v>
      </c>
      <c r="B115" s="360"/>
      <c r="C115" s="345" t="str">
        <f>'Unit Data from Audit Worksheet'!D131</f>
        <v>Indicate if your water/sewer system:
50 - Became Operational
51 - Ceased Operations
52 - No Change</v>
      </c>
      <c r="D115" s="144"/>
      <c r="E115" s="366">
        <f>'Unit Data from Audit Worksheet'!F131</f>
        <v>0</v>
      </c>
      <c r="F115" s="359"/>
      <c r="G115" s="359"/>
      <c r="H115" s="358">
        <f>'Unit Data from Audit Worksheet'!I131</f>
        <v>0</v>
      </c>
      <c r="I115" s="38"/>
      <c r="J115" s="357">
        <v>596</v>
      </c>
      <c r="K115" s="356" t="s">
        <v>616</v>
      </c>
      <c r="L115" s="610">
        <f t="shared" si="9"/>
        <v>0</v>
      </c>
      <c r="P115" s="328"/>
      <c r="W115" s="3" t="b">
        <f t="shared" si="10"/>
        <v>1</v>
      </c>
      <c r="X115" s="607">
        <f t="shared" si="1"/>
        <v>0</v>
      </c>
      <c r="Y115" s="607">
        <f t="shared" si="2"/>
        <v>0</v>
      </c>
    </row>
    <row r="116" spans="1:26" ht="43.2" x14ac:dyDescent="0.3">
      <c r="A116" s="346">
        <f>'Unit Data from Audit Worksheet'!A132</f>
        <v>80</v>
      </c>
      <c r="B116" s="360" t="str">
        <f>'Unit Data from Audit Worksheet'!C132</f>
        <v>Water Sewer Net Position Statement</v>
      </c>
      <c r="C116" s="345" t="str">
        <f>'Unit Data from Audit Worksheet'!D132</f>
        <v>Unrestricted Cash and investments 
Exclude restricted cash and/or restricted investments.</v>
      </c>
      <c r="D116" s="144"/>
      <c r="E116" s="366">
        <f>'Unit Data from Audit Worksheet'!F132</f>
        <v>0</v>
      </c>
      <c r="F116" s="359">
        <f>IF(L116&lt;0,"Error: Number is normally positive.",)</f>
        <v>0</v>
      </c>
      <c r="G116" s="359" t="e">
        <f>'Unit Data from Audit Worksheet'!G132</f>
        <v>#N/A</v>
      </c>
      <c r="H116" s="358">
        <f>'Unit Data from Audit Worksheet'!I132</f>
        <v>0</v>
      </c>
      <c r="I116" s="38"/>
      <c r="J116" s="357">
        <v>80</v>
      </c>
      <c r="K116" s="356" t="s">
        <v>218</v>
      </c>
      <c r="L116" s="610">
        <f t="shared" si="9"/>
        <v>0</v>
      </c>
      <c r="P116" s="328"/>
      <c r="W116" s="3" t="b">
        <f t="shared" si="10"/>
        <v>1</v>
      </c>
      <c r="X116" s="607">
        <f t="shared" si="1"/>
        <v>0</v>
      </c>
      <c r="Y116" s="607">
        <f t="shared" si="2"/>
        <v>0</v>
      </c>
    </row>
    <row r="117" spans="1:26" ht="43.2" x14ac:dyDescent="0.3">
      <c r="A117" s="346">
        <f>'Unit Data from Audit Worksheet'!A133</f>
        <v>81</v>
      </c>
      <c r="B117" s="360" t="str">
        <f>'Unit Data from Audit Worksheet'!C133</f>
        <v>Water Sewer Net Position Statement</v>
      </c>
      <c r="C117" s="345" t="str">
        <f>'Unit Data from Audit Worksheet'!D133</f>
        <v>Customer accounts receivable (net of allowance accounts). 
Include both billed and unbilled amounts.</v>
      </c>
      <c r="D117" s="144"/>
      <c r="E117" s="366">
        <f>'Unit Data from Audit Worksheet'!F133</f>
        <v>0</v>
      </c>
      <c r="F117" s="359">
        <f>IF(L117&lt;0,"Error: Number is normally positive.",)</f>
        <v>0</v>
      </c>
      <c r="G117" s="361"/>
      <c r="H117" s="358">
        <f>'Unit Data from Audit Worksheet'!I133</f>
        <v>0</v>
      </c>
      <c r="I117" s="38"/>
      <c r="J117" s="357">
        <v>81</v>
      </c>
      <c r="K117" s="356" t="s">
        <v>219</v>
      </c>
      <c r="L117" s="610">
        <f t="shared" si="9"/>
        <v>0</v>
      </c>
      <c r="P117" s="328"/>
      <c r="W117" s="3" t="b">
        <f t="shared" si="10"/>
        <v>1</v>
      </c>
      <c r="X117" s="607">
        <f t="shared" ref="X117:X181" si="12">E117-L117</f>
        <v>0</v>
      </c>
      <c r="Y117" s="607">
        <f t="shared" ref="Y117:Y181" si="13">D117-L117</f>
        <v>0</v>
      </c>
    </row>
    <row r="118" spans="1:26" ht="68.25" customHeight="1" x14ac:dyDescent="0.3">
      <c r="A118" s="346">
        <f>'Unit Data from Audit Worksheet'!A134</f>
        <v>579</v>
      </c>
      <c r="B118" s="360" t="str">
        <f>'Unit Data from Audit Worksheet'!C134</f>
        <v>Water Sewer Net Position Statement</v>
      </c>
      <c r="C118" s="345" t="str">
        <f>'Unit Data from Audit Worksheet'!D134</f>
        <v>Water Sewer - Advance To:
Interfund loan receivable-portion of repayment plan longer than 12 months</v>
      </c>
      <c r="D118" s="144"/>
      <c r="E118" s="366">
        <f>'Unit Data from Audit Worksheet'!F134</f>
        <v>0</v>
      </c>
      <c r="F118" s="359"/>
      <c r="G118" s="361"/>
      <c r="H118" s="358"/>
      <c r="I118" s="38"/>
      <c r="J118" s="357">
        <v>579</v>
      </c>
      <c r="K118" s="356" t="s">
        <v>563</v>
      </c>
      <c r="L118" s="610">
        <f t="shared" si="9"/>
        <v>0</v>
      </c>
      <c r="N118" s="634"/>
      <c r="P118" s="328"/>
      <c r="W118" s="3" t="b">
        <f t="shared" si="10"/>
        <v>1</v>
      </c>
      <c r="X118" s="607">
        <f t="shared" si="12"/>
        <v>0</v>
      </c>
      <c r="Y118" s="607">
        <f t="shared" si="13"/>
        <v>0</v>
      </c>
    </row>
    <row r="119" spans="1:26" ht="47.25" customHeight="1" x14ac:dyDescent="0.3">
      <c r="A119" s="346">
        <f>'Unit Data from Audit Worksheet'!A135</f>
        <v>510</v>
      </c>
      <c r="B119" s="360" t="str">
        <f>'Unit Data from Audit Worksheet'!C135</f>
        <v>Water Sewer Net Position Statement</v>
      </c>
      <c r="C119" s="345" t="str">
        <f>'Unit Data from Audit Worksheet'!D135</f>
        <v>Amount of Inventories and Prepaid expenses in current assets</v>
      </c>
      <c r="D119" s="144"/>
      <c r="E119" s="366">
        <f>'Unit Data from Audit Worksheet'!F135</f>
        <v>0</v>
      </c>
      <c r="F119" s="359"/>
      <c r="G119" s="361"/>
      <c r="H119" s="358">
        <f>'Unit Data from Audit Worksheet'!I135</f>
        <v>0</v>
      </c>
      <c r="I119" s="38"/>
      <c r="J119" s="357">
        <v>510</v>
      </c>
      <c r="K119" s="356" t="s">
        <v>220</v>
      </c>
      <c r="L119" s="610">
        <f t="shared" si="9"/>
        <v>0</v>
      </c>
      <c r="P119" s="328"/>
      <c r="W119" s="3" t="b">
        <f t="shared" si="10"/>
        <v>1</v>
      </c>
      <c r="X119" s="607">
        <f t="shared" si="12"/>
        <v>0</v>
      </c>
      <c r="Y119" s="607">
        <f t="shared" si="13"/>
        <v>0</v>
      </c>
    </row>
    <row r="120" spans="1:26" ht="43.2" x14ac:dyDescent="0.3">
      <c r="A120" s="346">
        <f>'Unit Data from Audit Worksheet'!A136</f>
        <v>654</v>
      </c>
      <c r="B120" s="360" t="str">
        <f>'Unit Data from Audit Worksheet'!C136</f>
        <v>Water Sewer Net Position Statement</v>
      </c>
      <c r="C120" s="345" t="str">
        <f>'Unit Data from Audit Worksheet'!D136</f>
        <v xml:space="preserve">Total Current assets as listed on the WS Net Position Statement.  
</v>
      </c>
      <c r="D120" s="144"/>
      <c r="E120" s="366">
        <f>'Unit Data from Audit Worksheet'!F136</f>
        <v>0</v>
      </c>
      <c r="F120" s="359">
        <f>IF((+L116+L117+L119)&gt;L120,"Please review components of current assets above Acct. (80+81+510&gt;654",)</f>
        <v>0</v>
      </c>
      <c r="G120" s="361" t="str">
        <f>IF(Q120=1," Included in error count"," ")</f>
        <v xml:space="preserve"> </v>
      </c>
      <c r="H120" s="358">
        <f>'Unit Data from Audit Worksheet'!I136</f>
        <v>0</v>
      </c>
      <c r="I120" s="38"/>
      <c r="J120" s="357">
        <v>654</v>
      </c>
      <c r="K120" s="363" t="s">
        <v>781</v>
      </c>
      <c r="L120" s="610">
        <f t="shared" si="9"/>
        <v>0</v>
      </c>
      <c r="P120" s="328"/>
      <c r="Q120" s="600">
        <f>IF((+L116+L117+L119)&gt;L120,1,0)</f>
        <v>0</v>
      </c>
      <c r="W120" s="3" t="b">
        <f t="shared" si="10"/>
        <v>1</v>
      </c>
      <c r="X120" s="607">
        <f t="shared" si="12"/>
        <v>0</v>
      </c>
      <c r="Y120" s="607">
        <f t="shared" si="13"/>
        <v>0</v>
      </c>
    </row>
    <row r="121" spans="1:26" ht="43.2" x14ac:dyDescent="0.3">
      <c r="A121" s="346">
        <f>'Unit Data from Audit Worksheet'!A137</f>
        <v>655</v>
      </c>
      <c r="B121" s="360" t="str">
        <f>'Unit Data from Audit Worksheet'!C137</f>
        <v>Water Sewer Net Position Statement</v>
      </c>
      <c r="C121" s="345" t="str">
        <f>'Unit Data from Audit Worksheet'!D137</f>
        <v>WS-Any current assets that are restricted (Cash, Accounts Rec., etc..) and included in account 654 above</v>
      </c>
      <c r="D121" s="144"/>
      <c r="E121" s="366">
        <f>'Unit Data from Audit Worksheet'!F137</f>
        <v>0</v>
      </c>
      <c r="F121" s="359"/>
      <c r="G121" s="361"/>
      <c r="H121" s="358"/>
      <c r="I121" s="38"/>
      <c r="J121" s="357">
        <v>655</v>
      </c>
      <c r="K121" s="363" t="s">
        <v>854</v>
      </c>
      <c r="L121" s="610">
        <f t="shared" si="9"/>
        <v>0</v>
      </c>
      <c r="P121" s="328"/>
      <c r="W121" s="3" t="b">
        <f t="shared" si="10"/>
        <v>1</v>
      </c>
      <c r="X121" s="607">
        <f t="shared" si="12"/>
        <v>0</v>
      </c>
      <c r="Y121" s="607">
        <f t="shared" si="13"/>
        <v>0</v>
      </c>
    </row>
    <row r="122" spans="1:26" ht="42.75" customHeight="1" x14ac:dyDescent="0.3">
      <c r="A122" s="346">
        <f>'Unit Data from Audit Worksheet'!A138</f>
        <v>381</v>
      </c>
      <c r="B122" s="360" t="str">
        <f>'Unit Data from Audit Worksheet'!C138</f>
        <v>Water Sewer Net Position Statement</v>
      </c>
      <c r="C122" s="345" t="str">
        <f>'Unit Data from Audit Worksheet'!D138</f>
        <v>Total Assets and deferred outflows</v>
      </c>
      <c r="D122" s="144"/>
      <c r="E122" s="366">
        <f>'Unit Data from Audit Worksheet'!F138</f>
        <v>0</v>
      </c>
      <c r="F122" s="359" t="str">
        <f>IF(L122&lt;L120,"Please review components of current assets above acct. 381&lt;654"," ")</f>
        <v xml:space="preserve"> </v>
      </c>
      <c r="G122" s="361" t="str">
        <f>IF(Q122=1," Included in error count"," ")</f>
        <v xml:space="preserve"> </v>
      </c>
      <c r="H122" s="358">
        <f>'Unit Data from Audit Worksheet'!I138</f>
        <v>0</v>
      </c>
      <c r="I122" s="38"/>
      <c r="J122" s="357">
        <v>381</v>
      </c>
      <c r="K122" s="356" t="s">
        <v>113</v>
      </c>
      <c r="L122" s="610">
        <f t="shared" si="9"/>
        <v>0</v>
      </c>
      <c r="P122" s="328"/>
      <c r="Q122" s="600">
        <f>IF(L122&lt;L120,1,0)</f>
        <v>0</v>
      </c>
      <c r="W122" s="3" t="b">
        <f t="shared" si="10"/>
        <v>1</v>
      </c>
      <c r="X122" s="607">
        <f t="shared" si="12"/>
        <v>0</v>
      </c>
      <c r="Y122" s="607">
        <f t="shared" si="13"/>
        <v>0</v>
      </c>
    </row>
    <row r="123" spans="1:26" ht="60.75" customHeight="1" x14ac:dyDescent="0.3">
      <c r="A123" s="622">
        <f>'Unit Data from Audit Worksheet'!A139</f>
        <v>578</v>
      </c>
      <c r="B123" s="117" t="str">
        <f>'Unit Data from Audit Worksheet'!C139</f>
        <v>Water Sewer Net Position Statement</v>
      </c>
      <c r="C123" s="612"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564</v>
      </c>
      <c r="L123" s="610">
        <f t="shared" si="9"/>
        <v>0</v>
      </c>
      <c r="P123" s="329"/>
      <c r="Q123" s="362"/>
      <c r="W123" s="3" t="b">
        <f t="shared" si="10"/>
        <v>1</v>
      </c>
      <c r="X123" s="607">
        <f t="shared" si="12"/>
        <v>0</v>
      </c>
      <c r="Y123" s="607">
        <f t="shared" si="13"/>
        <v>0</v>
      </c>
    </row>
    <row r="124" spans="1:26" s="18" customFormat="1" ht="104.25" customHeight="1" x14ac:dyDescent="0.3">
      <c r="A124" s="318">
        <v>633</v>
      </c>
      <c r="B124" s="373" t="str">
        <f>'Unit Data from Audit Worksheet'!C140</f>
        <v>Water Sewer Net Position Statement</v>
      </c>
      <c r="C124" s="318"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72">
        <f>'Unit Data from Audit Worksheet'!F140</f>
        <v>0</v>
      </c>
      <c r="F124" s="354" t="str">
        <f>IF(L124&gt;=(L125+L126+L127+L128+L129+L130),"","Account 633 is less than the total sum of accounts 634 through 638 + 383")</f>
        <v/>
      </c>
      <c r="G124" s="339">
        <f>L124-(L125+L126+L127+L128+L129+L130)</f>
        <v>0</v>
      </c>
      <c r="H124" s="354"/>
      <c r="I124" s="623"/>
      <c r="J124" s="353">
        <v>633</v>
      </c>
      <c r="K124" s="321" t="s">
        <v>715</v>
      </c>
      <c r="L124" s="624">
        <f>IF(D124="",E124,D124)</f>
        <v>0</v>
      </c>
      <c r="M124" s="614"/>
      <c r="N124" s="614"/>
      <c r="O124" s="614"/>
      <c r="P124" s="330"/>
      <c r="Q124" s="615"/>
      <c r="R124" s="3"/>
      <c r="S124" s="614"/>
      <c r="T124" s="614"/>
      <c r="U124" s="614"/>
      <c r="V124" s="614"/>
      <c r="W124" s="18" t="b">
        <f t="shared" si="10"/>
        <v>1</v>
      </c>
      <c r="X124" s="616">
        <f t="shared" si="12"/>
        <v>0</v>
      </c>
      <c r="Y124" s="616">
        <f t="shared" si="13"/>
        <v>0</v>
      </c>
    </row>
    <row r="125" spans="1:26" s="18" customFormat="1" ht="130.5" customHeight="1" x14ac:dyDescent="0.3">
      <c r="A125" s="318">
        <v>634</v>
      </c>
      <c r="B125" s="373" t="str">
        <f>'Unit Data from Audit Worksheet'!C141</f>
        <v>Water Sewer Net Position Statement</v>
      </c>
      <c r="C125" s="318"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72">
        <f>'Unit Data from Audit Worksheet'!F141</f>
        <v>0</v>
      </c>
      <c r="F125" s="354"/>
      <c r="G125" s="339"/>
      <c r="H125" s="354"/>
      <c r="I125" s="623"/>
      <c r="J125" s="353">
        <v>634</v>
      </c>
      <c r="K125" s="321" t="s">
        <v>716</v>
      </c>
      <c r="L125" s="624">
        <f>IF(D125="",E125,D125)</f>
        <v>0</v>
      </c>
      <c r="M125" s="614"/>
      <c r="N125" s="614"/>
      <c r="O125" s="614"/>
      <c r="P125" s="330"/>
      <c r="Q125" s="615"/>
      <c r="R125" s="3"/>
      <c r="S125" s="614"/>
      <c r="T125" s="614"/>
      <c r="U125" s="614"/>
      <c r="V125" s="614"/>
      <c r="W125" s="18" t="b">
        <f t="shared" si="10"/>
        <v>1</v>
      </c>
      <c r="X125" s="616">
        <f t="shared" si="12"/>
        <v>0</v>
      </c>
      <c r="Y125" s="616">
        <f t="shared" si="13"/>
        <v>0</v>
      </c>
    </row>
    <row r="126" spans="1:26" s="18" customFormat="1" ht="105.75" customHeight="1" x14ac:dyDescent="0.3">
      <c r="A126" s="318">
        <v>635</v>
      </c>
      <c r="B126" s="373" t="str">
        <f>'Unit Data from Audit Worksheet'!C142</f>
        <v>Water Sewer Net Position Statement</v>
      </c>
      <c r="C126" s="318"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72">
        <f>'Unit Data from Audit Worksheet'!F142</f>
        <v>0</v>
      </c>
      <c r="F126" s="354"/>
      <c r="G126" s="339"/>
      <c r="H126" s="354"/>
      <c r="I126" s="623"/>
      <c r="J126" s="353">
        <v>635</v>
      </c>
      <c r="K126" s="321" t="s">
        <v>717</v>
      </c>
      <c r="L126" s="624">
        <f>IF(D126="",E126,D126)</f>
        <v>0</v>
      </c>
      <c r="M126" s="614"/>
      <c r="N126" s="614"/>
      <c r="O126" s="614"/>
      <c r="P126" s="330"/>
      <c r="Q126" s="615"/>
      <c r="R126" s="3"/>
      <c r="S126" s="614"/>
      <c r="T126" s="614"/>
      <c r="U126" s="614"/>
      <c r="V126" s="614"/>
      <c r="W126" s="18" t="b">
        <f t="shared" si="10"/>
        <v>1</v>
      </c>
      <c r="X126" s="616">
        <f t="shared" si="12"/>
        <v>0</v>
      </c>
      <c r="Y126" s="616">
        <f t="shared" si="13"/>
        <v>0</v>
      </c>
    </row>
    <row r="127" spans="1:26" s="18" customFormat="1" ht="105.75" customHeight="1" x14ac:dyDescent="0.3">
      <c r="A127" s="318">
        <v>636</v>
      </c>
      <c r="B127" s="373" t="str">
        <f>'Unit Data from Audit Worksheet'!C143</f>
        <v>Water Sewer Net Position Statement</v>
      </c>
      <c r="C127" s="318"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72">
        <f>'Unit Data from Audit Worksheet'!F143</f>
        <v>0</v>
      </c>
      <c r="F127" s="354"/>
      <c r="G127" s="339"/>
      <c r="H127" s="354"/>
      <c r="I127" s="623"/>
      <c r="J127" s="353">
        <v>636</v>
      </c>
      <c r="K127" s="321" t="s">
        <v>712</v>
      </c>
      <c r="L127" s="624">
        <f t="shared" ref="L127:L137" si="14">IF(D127="",E127,D127)</f>
        <v>0</v>
      </c>
      <c r="M127" s="614"/>
      <c r="N127" s="614"/>
      <c r="O127" s="614"/>
      <c r="P127" s="330"/>
      <c r="Q127" s="615"/>
      <c r="R127" s="3"/>
      <c r="S127" s="614"/>
      <c r="T127" s="614"/>
      <c r="U127" s="614"/>
      <c r="V127" s="614"/>
      <c r="W127" s="18" t="b">
        <f t="shared" si="10"/>
        <v>1</v>
      </c>
      <c r="X127" s="616">
        <f t="shared" si="12"/>
        <v>0</v>
      </c>
      <c r="Y127" s="616">
        <f t="shared" si="13"/>
        <v>0</v>
      </c>
    </row>
    <row r="128" spans="1:26" s="18" customFormat="1" ht="59.25" customHeight="1" x14ac:dyDescent="0.3">
      <c r="A128" s="318">
        <v>637</v>
      </c>
      <c r="B128" s="373" t="str">
        <f>'Unit Data from Audit Worksheet'!C144</f>
        <v>Water Sewer Net Position Statement</v>
      </c>
      <c r="C128" s="318" t="str">
        <f>'Unit Data from Audit Worksheet'!D144</f>
        <v>Please enter any current liabilities that are payable from restricted assets and included in account 633 above.
Enter as positive</v>
      </c>
      <c r="D128" s="110"/>
      <c r="E128" s="372">
        <f>'Unit Data from Audit Worksheet'!F144</f>
        <v>0</v>
      </c>
      <c r="F128" s="354"/>
      <c r="G128" s="339"/>
      <c r="H128" s="354"/>
      <c r="I128" s="623"/>
      <c r="J128" s="353">
        <v>637</v>
      </c>
      <c r="K128" s="321" t="s">
        <v>713</v>
      </c>
      <c r="L128" s="624">
        <f t="shared" si="14"/>
        <v>0</v>
      </c>
      <c r="M128" s="614"/>
      <c r="N128" s="614"/>
      <c r="O128" s="614"/>
      <c r="P128" s="330"/>
      <c r="Q128" s="615"/>
      <c r="R128" s="3"/>
      <c r="S128" s="614"/>
      <c r="T128" s="614"/>
      <c r="U128" s="614"/>
      <c r="V128" s="614"/>
      <c r="W128" s="18" t="b">
        <f t="shared" si="10"/>
        <v>1</v>
      </c>
      <c r="X128" s="616">
        <f t="shared" si="12"/>
        <v>0</v>
      </c>
      <c r="Y128" s="616">
        <f t="shared" si="13"/>
        <v>0</v>
      </c>
    </row>
    <row r="129" spans="1:25" s="18" customFormat="1" ht="103.5" customHeight="1" x14ac:dyDescent="0.3">
      <c r="A129" s="318">
        <v>638</v>
      </c>
      <c r="B129" s="373" t="str">
        <f>'Unit Data from Audit Worksheet'!C145</f>
        <v>Water Sewer Net Position Statement</v>
      </c>
      <c r="C129" s="318"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72">
        <f>'Unit Data from Audit Worksheet'!F145</f>
        <v>0</v>
      </c>
      <c r="F129" s="354"/>
      <c r="G129" s="339"/>
      <c r="H129" s="354"/>
      <c r="I129" s="623"/>
      <c r="J129" s="353">
        <v>638</v>
      </c>
      <c r="K129" s="321" t="s">
        <v>718</v>
      </c>
      <c r="L129" s="624">
        <f t="shared" si="14"/>
        <v>0</v>
      </c>
      <c r="M129" s="614"/>
      <c r="N129" s="614"/>
      <c r="O129" s="614"/>
      <c r="P129" s="330"/>
      <c r="Q129" s="615"/>
      <c r="R129" s="3"/>
      <c r="S129" s="614"/>
      <c r="T129" s="614"/>
      <c r="U129" s="614"/>
      <c r="V129" s="614"/>
      <c r="W129" s="18" t="b">
        <f t="shared" si="10"/>
        <v>1</v>
      </c>
      <c r="X129" s="616">
        <f t="shared" si="12"/>
        <v>0</v>
      </c>
      <c r="Y129" s="616">
        <f t="shared" si="13"/>
        <v>0</v>
      </c>
    </row>
    <row r="130" spans="1:25" ht="76.5" customHeight="1" x14ac:dyDescent="0.3">
      <c r="A130" s="608">
        <f>'Unit Data from Audit Worksheet'!A146</f>
        <v>383</v>
      </c>
      <c r="B130" s="54" t="str">
        <f>'Unit Data from Audit Worksheet'!C146</f>
        <v>Water Sewer Net Position Statement</v>
      </c>
      <c r="C130" s="609"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58">
        <f>'Unit Data from Audit Worksheet'!I146</f>
        <v>0</v>
      </c>
      <c r="I130" s="38"/>
      <c r="J130" s="42">
        <v>383</v>
      </c>
      <c r="K130" s="51" t="s">
        <v>221</v>
      </c>
      <c r="L130" s="610">
        <f t="shared" si="14"/>
        <v>0</v>
      </c>
      <c r="P130" s="327"/>
      <c r="W130" s="3" t="b">
        <f t="shared" si="10"/>
        <v>1</v>
      </c>
      <c r="X130" s="607">
        <f t="shared" si="12"/>
        <v>0</v>
      </c>
      <c r="Y130" s="607">
        <f t="shared" si="13"/>
        <v>0</v>
      </c>
    </row>
    <row r="131" spans="1:25" ht="54" customHeight="1" x14ac:dyDescent="0.3">
      <c r="A131" s="346">
        <f>'Unit Data from Audit Worksheet'!A147</f>
        <v>349</v>
      </c>
      <c r="B131" s="360" t="str">
        <f>'Unit Data from Audit Worksheet'!C147</f>
        <v>Water Sewer Net Position Statement</v>
      </c>
      <c r="C131" s="345" t="str">
        <f>'Unit Data from Audit Worksheet'!D147</f>
        <v>Total Liabilities and deferred inflows</v>
      </c>
      <c r="D131" s="144"/>
      <c r="E131" s="366">
        <f>'Unit Data from Audit Worksheet'!F147</f>
        <v>0</v>
      </c>
      <c r="F131" s="359">
        <f>IF(L124&gt;L131,"Error: Please review accts 633&gt;349",)</f>
        <v>0</v>
      </c>
      <c r="G131" s="361" t="str">
        <f>IF(Q131=1," Included in error count"," ")</f>
        <v xml:space="preserve"> </v>
      </c>
      <c r="H131" s="358">
        <f>'Unit Data from Audit Worksheet'!I147</f>
        <v>0</v>
      </c>
      <c r="I131" s="38"/>
      <c r="J131" s="357">
        <v>349</v>
      </c>
      <c r="K131" s="356" t="s">
        <v>122</v>
      </c>
      <c r="L131" s="610">
        <f t="shared" si="14"/>
        <v>0</v>
      </c>
      <c r="P131" s="328"/>
      <c r="Q131" s="600">
        <f>IF(L124&gt;L131,1,0)</f>
        <v>0</v>
      </c>
      <c r="W131" s="3" t="b">
        <f t="shared" si="10"/>
        <v>1</v>
      </c>
      <c r="X131" s="607">
        <f t="shared" si="12"/>
        <v>0</v>
      </c>
      <c r="Y131" s="607">
        <f t="shared" si="13"/>
        <v>0</v>
      </c>
    </row>
    <row r="132" spans="1:25" ht="56.25" customHeight="1" x14ac:dyDescent="0.3">
      <c r="A132" s="346">
        <f>'Unit Data from Audit Worksheet'!A148</f>
        <v>375</v>
      </c>
      <c r="B132" s="360" t="str">
        <f>'Unit Data from Audit Worksheet'!C148</f>
        <v>Water Sewer Net Position Statement</v>
      </c>
      <c r="C132" s="345" t="str">
        <f>'Unit Data from Audit Worksheet'!D148</f>
        <v>Total Net position, Unrestricted - enter negative unrestricted net position as a negative</v>
      </c>
      <c r="D132" s="144"/>
      <c r="E132" s="366">
        <f>'Unit Data from Audit Worksheet'!F148</f>
        <v>0</v>
      </c>
      <c r="F132" s="359"/>
      <c r="G132" s="361"/>
      <c r="H132" s="358">
        <f>'Unit Data from Audit Worksheet'!I148</f>
        <v>0</v>
      </c>
      <c r="I132" s="38"/>
      <c r="J132" s="357">
        <v>375</v>
      </c>
      <c r="K132" s="356" t="s">
        <v>222</v>
      </c>
      <c r="L132" s="610">
        <f t="shared" si="14"/>
        <v>0</v>
      </c>
      <c r="P132" s="328"/>
      <c r="W132" s="3" t="b">
        <f t="shared" si="10"/>
        <v>1</v>
      </c>
      <c r="X132" s="607">
        <f t="shared" si="12"/>
        <v>0</v>
      </c>
      <c r="Y132" s="607">
        <f t="shared" si="13"/>
        <v>0</v>
      </c>
    </row>
    <row r="133" spans="1:25" ht="56.25" customHeight="1" x14ac:dyDescent="0.3">
      <c r="A133" s="346">
        <f>'Unit Data from Audit Worksheet'!A149</f>
        <v>83</v>
      </c>
      <c r="B133" s="360" t="str">
        <f>'Unit Data from Audit Worksheet'!C149</f>
        <v>Water Sewer Net Position Statement</v>
      </c>
      <c r="C133" s="345" t="str">
        <f>'Unit Data from Audit Worksheet'!D149</f>
        <v>Total Net position</v>
      </c>
      <c r="D133" s="144"/>
      <c r="E133" s="366">
        <f>'Unit Data from Audit Worksheet'!F149</f>
        <v>0</v>
      </c>
      <c r="F133" s="359">
        <f>IF(+L122-L131-L133=0,,"Error: Total assets less total liabilities do not equal net position acct 381-349-83=0")</f>
        <v>0</v>
      </c>
      <c r="G133" s="91">
        <f>L122-L131-L133</f>
        <v>0</v>
      </c>
      <c r="H133" s="358">
        <f>'Unit Data from Audit Worksheet'!I149</f>
        <v>0</v>
      </c>
      <c r="I133" s="38"/>
      <c r="J133" s="357">
        <v>83</v>
      </c>
      <c r="K133" s="356" t="s">
        <v>102</v>
      </c>
      <c r="L133" s="610">
        <f t="shared" si="14"/>
        <v>0</v>
      </c>
      <c r="O133" s="618" t="e">
        <f>'Unit Data from Audit Worksheet'!E149</f>
        <v>#N/A</v>
      </c>
      <c r="P133" s="328"/>
      <c r="Q133" s="600">
        <f>IF(G133&lt;&gt;0,1,0)</f>
        <v>0</v>
      </c>
      <c r="W133" s="3" t="b">
        <f t="shared" ref="W133:W164" si="15">EXACT(A133,J133)</f>
        <v>1</v>
      </c>
      <c r="X133" s="607">
        <f t="shared" si="12"/>
        <v>0</v>
      </c>
      <c r="Y133" s="607">
        <f t="shared" si="13"/>
        <v>0</v>
      </c>
    </row>
    <row r="134" spans="1:25" ht="56.25" customHeight="1" x14ac:dyDescent="0.3">
      <c r="A134" s="346">
        <f>'Unit Data from Audit Worksheet'!A151</f>
        <v>90</v>
      </c>
      <c r="B134" s="360" t="str">
        <f>'Unit Data from Audit Worksheet'!C151</f>
        <v>Electric Fund Net Position Statement</v>
      </c>
      <c r="C134" s="345" t="str">
        <f>'Unit Data from Audit Worksheet'!D151</f>
        <v>All Unrestricted Cash and Investments.  
Exclude any restricted cash and investments.</v>
      </c>
      <c r="D134" s="144"/>
      <c r="E134" s="366">
        <f>'Unit Data from Audit Worksheet'!F151</f>
        <v>0</v>
      </c>
      <c r="F134" s="359">
        <f>IF(L134&lt;0,"Error: Number is normally positive.",)</f>
        <v>0</v>
      </c>
      <c r="G134" s="361"/>
      <c r="H134" s="358">
        <f>'Unit Data from Audit Worksheet'!I151</f>
        <v>0</v>
      </c>
      <c r="I134" s="38"/>
      <c r="J134" s="357">
        <v>90</v>
      </c>
      <c r="K134" s="356" t="s">
        <v>223</v>
      </c>
      <c r="L134" s="610">
        <f t="shared" si="14"/>
        <v>0</v>
      </c>
      <c r="P134" s="328"/>
      <c r="W134" s="3" t="b">
        <f t="shared" si="15"/>
        <v>1</v>
      </c>
      <c r="X134" s="607">
        <f t="shared" si="12"/>
        <v>0</v>
      </c>
      <c r="Y134" s="607">
        <f t="shared" si="13"/>
        <v>0</v>
      </c>
    </row>
    <row r="135" spans="1:25" ht="56.25" customHeight="1" x14ac:dyDescent="0.3">
      <c r="A135" s="346">
        <f>'Unit Data from Audit Worksheet'!A152</f>
        <v>91</v>
      </c>
      <c r="B135" s="360" t="str">
        <f>'Unit Data from Audit Worksheet'!C152</f>
        <v>Electric Fund Net Position Statement</v>
      </c>
      <c r="C135" s="345" t="str">
        <f>'Unit Data from Audit Worksheet'!D152</f>
        <v xml:space="preserve">Customer accounts receivable (net of allowance accounts)
Include billed and unbilled amounts </v>
      </c>
      <c r="D135" s="144"/>
      <c r="E135" s="366">
        <f>'Unit Data from Audit Worksheet'!F152</f>
        <v>0</v>
      </c>
      <c r="F135" s="359">
        <f>IF(L135&lt;0,"Error: Number is normally positive.",)</f>
        <v>0</v>
      </c>
      <c r="G135" s="361"/>
      <c r="H135" s="358">
        <f>'Unit Data from Audit Worksheet'!I152</f>
        <v>0</v>
      </c>
      <c r="I135" s="38"/>
      <c r="J135" s="357">
        <v>91</v>
      </c>
      <c r="K135" s="356" t="s">
        <v>224</v>
      </c>
      <c r="L135" s="610">
        <f t="shared" si="14"/>
        <v>0</v>
      </c>
      <c r="P135" s="328"/>
      <c r="W135" s="3" t="b">
        <f t="shared" si="15"/>
        <v>1</v>
      </c>
      <c r="X135" s="607">
        <f t="shared" si="12"/>
        <v>0</v>
      </c>
      <c r="Y135" s="607">
        <f t="shared" si="13"/>
        <v>0</v>
      </c>
    </row>
    <row r="136" spans="1:25" ht="56.25" customHeight="1" x14ac:dyDescent="0.3">
      <c r="A136" s="346">
        <f>'Unit Data from Audit Worksheet'!A153</f>
        <v>581</v>
      </c>
      <c r="B136" s="360" t="str">
        <f>'Unit Data from Audit Worksheet'!C153</f>
        <v>Electric Fund Net Position Statement</v>
      </c>
      <c r="C136" s="345" t="str">
        <f>'Unit Data from Audit Worksheet'!D153</f>
        <v>Electric Fund - Advance To:
Interfund loan receivable-portion of repayment plan longer than 12 months</v>
      </c>
      <c r="D136" s="144"/>
      <c r="E136" s="366">
        <f>'Unit Data from Audit Worksheet'!F153</f>
        <v>0</v>
      </c>
      <c r="F136" s="359"/>
      <c r="G136" s="361"/>
      <c r="H136" s="358"/>
      <c r="I136" s="38"/>
      <c r="J136" s="357">
        <v>581</v>
      </c>
      <c r="K136" s="356" t="s">
        <v>565</v>
      </c>
      <c r="L136" s="610">
        <f t="shared" si="14"/>
        <v>0</v>
      </c>
      <c r="P136" s="328"/>
      <c r="W136" s="3" t="b">
        <f t="shared" si="15"/>
        <v>1</v>
      </c>
      <c r="X136" s="607">
        <f t="shared" si="12"/>
        <v>0</v>
      </c>
      <c r="Y136" s="607">
        <f t="shared" si="13"/>
        <v>0</v>
      </c>
    </row>
    <row r="137" spans="1:25" ht="56.25" customHeight="1" x14ac:dyDescent="0.3">
      <c r="A137" s="346">
        <f>'Unit Data from Audit Worksheet'!A154</f>
        <v>511</v>
      </c>
      <c r="B137" s="360" t="str">
        <f>'Unit Data from Audit Worksheet'!C154</f>
        <v>Electric Fund Net Position Statement</v>
      </c>
      <c r="C137" s="345" t="str">
        <f>'Unit Data from Audit Worksheet'!D154</f>
        <v>Amount of inventories and prepaids</v>
      </c>
      <c r="D137" s="144"/>
      <c r="E137" s="366">
        <f>'Unit Data from Audit Worksheet'!F154</f>
        <v>0</v>
      </c>
      <c r="F137" s="359">
        <f t="shared" ref="F137:F142" si="16">IF(L137&lt;0,"Error: Number is normally positive.",)</f>
        <v>0</v>
      </c>
      <c r="G137" s="361"/>
      <c r="H137" s="358">
        <f>'Unit Data from Audit Worksheet'!I154</f>
        <v>0</v>
      </c>
      <c r="I137" s="38"/>
      <c r="J137" s="357">
        <v>511</v>
      </c>
      <c r="K137" s="356" t="s">
        <v>225</v>
      </c>
      <c r="L137" s="610">
        <f t="shared" si="14"/>
        <v>0</v>
      </c>
      <c r="P137" s="328"/>
      <c r="W137" s="3" t="b">
        <f t="shared" si="15"/>
        <v>1</v>
      </c>
      <c r="X137" s="607">
        <f t="shared" si="12"/>
        <v>0</v>
      </c>
      <c r="Y137" s="607">
        <f t="shared" si="13"/>
        <v>0</v>
      </c>
    </row>
    <row r="138" spans="1:25" ht="62.25" customHeight="1" x14ac:dyDescent="0.3">
      <c r="A138" s="346">
        <f>'Unit Data from Audit Worksheet'!A155</f>
        <v>657</v>
      </c>
      <c r="B138" s="360" t="str">
        <f>'Unit Data from Audit Worksheet'!C155</f>
        <v>Electric Fund Net Position Statement</v>
      </c>
      <c r="C138" s="345" t="str">
        <f>'Unit Data from Audit Worksheet'!D155</f>
        <v xml:space="preserve">Total Current assets as listed on the Electric Net Position Statement.  
</v>
      </c>
      <c r="D138" s="144"/>
      <c r="E138" s="366">
        <f>'Unit Data from Audit Worksheet'!F155</f>
        <v>0</v>
      </c>
      <c r="F138" s="359">
        <f t="shared" si="16"/>
        <v>0</v>
      </c>
      <c r="G138" s="361"/>
      <c r="H138" s="358">
        <f>'Unit Data from Audit Worksheet'!I155</f>
        <v>0</v>
      </c>
      <c r="I138" s="38"/>
      <c r="J138" s="357">
        <v>657</v>
      </c>
      <c r="K138" s="356" t="s">
        <v>786</v>
      </c>
      <c r="L138" s="624">
        <f>IF(D138="",E138,D138)</f>
        <v>0</v>
      </c>
      <c r="P138" s="328"/>
      <c r="Q138" s="600">
        <f>IF((L134+L135+L137)&gt;L140,1,0)</f>
        <v>0</v>
      </c>
      <c r="W138" s="3" t="b">
        <f t="shared" si="15"/>
        <v>1</v>
      </c>
      <c r="X138" s="607">
        <f t="shared" si="12"/>
        <v>0</v>
      </c>
      <c r="Y138" s="607">
        <f t="shared" si="13"/>
        <v>0</v>
      </c>
    </row>
    <row r="139" spans="1:25" ht="62.25" customHeight="1" x14ac:dyDescent="0.3">
      <c r="A139" s="346">
        <f>'Unit Data from Audit Worksheet'!A156</f>
        <v>658</v>
      </c>
      <c r="B139" s="360" t="str">
        <f>'Unit Data from Audit Worksheet'!C156</f>
        <v>Electric Fund Net Position Statement</v>
      </c>
      <c r="C139" s="345" t="str">
        <f>'Unit Data from Audit Worksheet'!D156</f>
        <v>Electric-Any current assets that are restricted (Cash, Accounts Rec., etc..) and included in account 657 above</v>
      </c>
      <c r="D139" s="144"/>
      <c r="E139" s="366">
        <f>'Unit Data from Audit Worksheet'!F156</f>
        <v>0</v>
      </c>
      <c r="F139" s="359">
        <f t="shared" si="16"/>
        <v>0</v>
      </c>
      <c r="G139" s="361"/>
      <c r="H139" s="358"/>
      <c r="I139" s="38"/>
      <c r="J139" s="357">
        <v>658</v>
      </c>
      <c r="K139" s="356" t="s">
        <v>853</v>
      </c>
      <c r="L139" s="624">
        <f>IF(D139="",E139,D139)</f>
        <v>0</v>
      </c>
      <c r="P139" s="328"/>
      <c r="W139" s="3" t="b">
        <f t="shared" si="15"/>
        <v>1</v>
      </c>
      <c r="X139" s="607">
        <f t="shared" si="12"/>
        <v>0</v>
      </c>
      <c r="Y139" s="607">
        <f t="shared" si="13"/>
        <v>0</v>
      </c>
    </row>
    <row r="140" spans="1:25" ht="39.75" customHeight="1" x14ac:dyDescent="0.3">
      <c r="A140" s="346">
        <f>'Unit Data from Audit Worksheet'!A157</f>
        <v>382</v>
      </c>
      <c r="B140" s="360" t="str">
        <f>'Unit Data from Audit Worksheet'!C157</f>
        <v>Electric Fund Net Position Statement</v>
      </c>
      <c r="C140" s="345" t="str">
        <f>'Unit Data from Audit Worksheet'!D157</f>
        <v>Total Assets and deferred outflows</v>
      </c>
      <c r="D140" s="144"/>
      <c r="E140" s="366">
        <f>'Unit Data from Audit Worksheet'!F157</f>
        <v>0</v>
      </c>
      <c r="F140" s="359">
        <f t="shared" si="16"/>
        <v>0</v>
      </c>
      <c r="G140" s="361"/>
      <c r="H140" s="358">
        <f>'Unit Data from Audit Worksheet'!I157</f>
        <v>0</v>
      </c>
      <c r="I140" s="38"/>
      <c r="J140" s="357">
        <v>382</v>
      </c>
      <c r="K140" s="356" t="s">
        <v>114</v>
      </c>
      <c r="L140" s="610">
        <f>IF(D140="",E140,D140)</f>
        <v>0</v>
      </c>
      <c r="P140" s="328"/>
      <c r="W140" s="3" t="b">
        <f t="shared" si="15"/>
        <v>1</v>
      </c>
      <c r="X140" s="607">
        <f t="shared" si="12"/>
        <v>0</v>
      </c>
      <c r="Y140" s="607">
        <f t="shared" si="13"/>
        <v>0</v>
      </c>
    </row>
    <row r="141" spans="1:25" ht="39.75" customHeight="1" x14ac:dyDescent="0.3">
      <c r="A141" s="346">
        <f>'Unit Data from Audit Worksheet'!A158</f>
        <v>360</v>
      </c>
      <c r="B141" s="360" t="str">
        <f>'Unit Data from Audit Worksheet'!C158</f>
        <v>Electric Fund Net Position Statement</v>
      </c>
      <c r="C141" s="345" t="str">
        <f>'Unit Data from Audit Worksheet'!D158</f>
        <v>Total liabilities and total deferred inflows</v>
      </c>
      <c r="D141" s="144"/>
      <c r="E141" s="366">
        <f>'Unit Data from Audit Worksheet'!F158</f>
        <v>0</v>
      </c>
      <c r="F141" s="359">
        <f t="shared" si="16"/>
        <v>0</v>
      </c>
      <c r="G141" s="361"/>
      <c r="H141" s="358">
        <f>'Unit Data from Audit Worksheet'!I158</f>
        <v>0</v>
      </c>
      <c r="I141" s="38"/>
      <c r="J141" s="357">
        <v>360</v>
      </c>
      <c r="K141" s="109" t="s">
        <v>125</v>
      </c>
      <c r="L141" s="610">
        <f>IF(D141="",E141,D141)</f>
        <v>0</v>
      </c>
      <c r="P141" s="328"/>
      <c r="W141" s="3" t="b">
        <f t="shared" si="15"/>
        <v>1</v>
      </c>
      <c r="X141" s="607">
        <f t="shared" si="12"/>
        <v>0</v>
      </c>
      <c r="Y141" s="607">
        <f t="shared" si="13"/>
        <v>0</v>
      </c>
    </row>
    <row r="142" spans="1:25" ht="58.5" customHeight="1" x14ac:dyDescent="0.3">
      <c r="A142" s="346">
        <f>'Unit Data from Audit Worksheet'!A159</f>
        <v>580</v>
      </c>
      <c r="B142" s="360" t="str">
        <f>'Unit Data from Audit Worksheet'!C159</f>
        <v>Electric Fund Net Position Statement</v>
      </c>
      <c r="C142" s="345" t="str">
        <f>'Unit Data from Audit Worksheet'!D159</f>
        <v>Electric Fund - Advance From:
Interfund loans payable-portion of repayment plan longer than 12 months</v>
      </c>
      <c r="D142" s="144"/>
      <c r="E142" s="366">
        <f>'Unit Data from Audit Worksheet'!F159</f>
        <v>0</v>
      </c>
      <c r="F142" s="359">
        <f t="shared" si="16"/>
        <v>0</v>
      </c>
      <c r="G142" s="361"/>
      <c r="H142" s="358">
        <f>'Unit Data from Audit Worksheet'!I159</f>
        <v>0</v>
      </c>
      <c r="I142" s="38"/>
      <c r="J142" s="357">
        <v>580</v>
      </c>
      <c r="K142" s="109" t="s">
        <v>566</v>
      </c>
      <c r="L142" s="610">
        <f>IF(D142="",E142,D142)</f>
        <v>0</v>
      </c>
      <c r="N142" s="619"/>
      <c r="P142" s="328"/>
      <c r="W142" s="3" t="b">
        <f t="shared" si="15"/>
        <v>1</v>
      </c>
      <c r="X142" s="607">
        <f t="shared" si="12"/>
        <v>0</v>
      </c>
      <c r="Y142" s="607">
        <f t="shared" si="13"/>
        <v>0</v>
      </c>
    </row>
    <row r="143" spans="1:25" s="18" customFormat="1" ht="104.25" customHeight="1" x14ac:dyDescent="0.3">
      <c r="A143" s="346">
        <f>'Unit Data from Audit Worksheet'!A160</f>
        <v>639</v>
      </c>
      <c r="B143" s="360" t="str">
        <f>'Unit Data from Audit Worksheet'!C160</f>
        <v>Electric Fund Net Position Statement</v>
      </c>
      <c r="C143" s="345"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66">
        <f>'Unit Data from Audit Worksheet'!F160</f>
        <v>0</v>
      </c>
      <c r="F143" s="359" t="str">
        <f>IF(L143&gt;=(L144+L145+L146+L147+L148+L149),"","Account 639 is less than the total sum of accounts 640 through 644 + 384")</f>
        <v/>
      </c>
      <c r="G143" s="361">
        <f>L143-(L144+L145+L146+L147+L148+L149)</f>
        <v>0</v>
      </c>
      <c r="H143" s="358">
        <f>'Unit Data from Audit Worksheet'!I160</f>
        <v>0</v>
      </c>
      <c r="I143" s="38"/>
      <c r="J143" s="357">
        <v>639</v>
      </c>
      <c r="K143" s="356" t="s">
        <v>719</v>
      </c>
      <c r="L143" s="624">
        <f t="shared" ref="L143:L164" si="17">IF(D143="",E143,D143)</f>
        <v>0</v>
      </c>
      <c r="P143" s="328"/>
      <c r="Q143" s="600"/>
      <c r="R143" s="3"/>
      <c r="W143" s="18" t="b">
        <f t="shared" si="15"/>
        <v>1</v>
      </c>
      <c r="X143" s="616">
        <f t="shared" si="12"/>
        <v>0</v>
      </c>
      <c r="Y143" s="616">
        <f t="shared" si="13"/>
        <v>0</v>
      </c>
    </row>
    <row r="144" spans="1:25" s="18" customFormat="1" ht="104.25" customHeight="1" x14ac:dyDescent="0.3">
      <c r="A144" s="346">
        <f>'Unit Data from Audit Worksheet'!A161</f>
        <v>640</v>
      </c>
      <c r="B144" s="360" t="str">
        <f>'Unit Data from Audit Worksheet'!C161</f>
        <v>Electric Fund Net Position Statement</v>
      </c>
      <c r="C144" s="345"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66">
        <f>'Unit Data from Audit Worksheet'!F161</f>
        <v>0</v>
      </c>
      <c r="F144" s="359">
        <f t="shared" ref="F144:F149" si="18">IF(L144&lt;0,"Error: Number is normally positive.",)</f>
        <v>0</v>
      </c>
      <c r="G144" s="361"/>
      <c r="H144" s="358">
        <f>'Unit Data from Audit Worksheet'!I161</f>
        <v>0</v>
      </c>
      <c r="I144" s="38"/>
      <c r="J144" s="357">
        <v>640</v>
      </c>
      <c r="K144" s="356" t="s">
        <v>720</v>
      </c>
      <c r="L144" s="624">
        <f t="shared" si="17"/>
        <v>0</v>
      </c>
      <c r="P144" s="328"/>
      <c r="Q144" s="600"/>
      <c r="R144" s="3"/>
      <c r="W144" s="18" t="b">
        <f t="shared" si="15"/>
        <v>1</v>
      </c>
      <c r="X144" s="616">
        <f t="shared" si="12"/>
        <v>0</v>
      </c>
      <c r="Y144" s="616">
        <f t="shared" si="13"/>
        <v>0</v>
      </c>
    </row>
    <row r="145" spans="1:25" s="18" customFormat="1" ht="104.25" customHeight="1" x14ac:dyDescent="0.3">
      <c r="A145" s="346">
        <f>'Unit Data from Audit Worksheet'!A162</f>
        <v>641</v>
      </c>
      <c r="B145" s="360" t="str">
        <f>'Unit Data from Audit Worksheet'!C162</f>
        <v>Electric Fund Net Position Statement</v>
      </c>
      <c r="C145" s="345"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66">
        <f>'Unit Data from Audit Worksheet'!F162</f>
        <v>0</v>
      </c>
      <c r="F145" s="359">
        <f t="shared" si="18"/>
        <v>0</v>
      </c>
      <c r="G145" s="361"/>
      <c r="H145" s="358">
        <f>'Unit Data from Audit Worksheet'!I162</f>
        <v>0</v>
      </c>
      <c r="I145" s="38"/>
      <c r="J145" s="357">
        <v>641</v>
      </c>
      <c r="K145" s="356" t="s">
        <v>721</v>
      </c>
      <c r="L145" s="624">
        <f t="shared" si="17"/>
        <v>0</v>
      </c>
      <c r="P145" s="328"/>
      <c r="Q145" s="600"/>
      <c r="R145" s="3"/>
      <c r="W145" s="18" t="b">
        <f t="shared" si="15"/>
        <v>1</v>
      </c>
      <c r="X145" s="616">
        <f t="shared" si="12"/>
        <v>0</v>
      </c>
      <c r="Y145" s="616">
        <f t="shared" si="13"/>
        <v>0</v>
      </c>
    </row>
    <row r="146" spans="1:25" s="18" customFormat="1" ht="104.25" customHeight="1" x14ac:dyDescent="0.3">
      <c r="A146" s="346">
        <f>'Unit Data from Audit Worksheet'!A163</f>
        <v>642</v>
      </c>
      <c r="B146" s="360" t="str">
        <f>'Unit Data from Audit Worksheet'!C163</f>
        <v>Electric Fund Net Position Statement</v>
      </c>
      <c r="C146" s="345"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66">
        <f>'Unit Data from Audit Worksheet'!F163</f>
        <v>0</v>
      </c>
      <c r="F146" s="359">
        <f t="shared" si="18"/>
        <v>0</v>
      </c>
      <c r="G146" s="361"/>
      <c r="H146" s="358">
        <f>'Unit Data from Audit Worksheet'!I163</f>
        <v>0</v>
      </c>
      <c r="I146" s="38"/>
      <c r="J146" s="357">
        <v>642</v>
      </c>
      <c r="K146" s="356" t="s">
        <v>722</v>
      </c>
      <c r="L146" s="624">
        <f t="shared" si="17"/>
        <v>0</v>
      </c>
      <c r="P146" s="328"/>
      <c r="Q146" s="600"/>
      <c r="R146" s="3"/>
      <c r="W146" s="18" t="b">
        <f t="shared" si="15"/>
        <v>1</v>
      </c>
      <c r="X146" s="616">
        <f t="shared" si="12"/>
        <v>0</v>
      </c>
      <c r="Y146" s="616">
        <f t="shared" si="13"/>
        <v>0</v>
      </c>
    </row>
    <row r="147" spans="1:25" s="18" customFormat="1" ht="60.75" customHeight="1" x14ac:dyDescent="0.3">
      <c r="A147" s="346">
        <f>'Unit Data from Audit Worksheet'!A164</f>
        <v>643</v>
      </c>
      <c r="B147" s="360" t="str">
        <f>'Unit Data from Audit Worksheet'!C164</f>
        <v>Electric Fund Net Position Statement</v>
      </c>
      <c r="C147" s="345" t="str">
        <f>'Unit Data from Audit Worksheet'!D164</f>
        <v>Please enter any current liabilities that are payable from restricted assets and included in account 639 above. 
Enter as a positive</v>
      </c>
      <c r="D147" s="144"/>
      <c r="E147" s="366">
        <f>'Unit Data from Audit Worksheet'!F164</f>
        <v>0</v>
      </c>
      <c r="F147" s="359">
        <f t="shared" si="18"/>
        <v>0</v>
      </c>
      <c r="G147" s="361"/>
      <c r="H147" s="358">
        <f>'Unit Data from Audit Worksheet'!I164</f>
        <v>0</v>
      </c>
      <c r="I147" s="38"/>
      <c r="J147" s="357">
        <v>643</v>
      </c>
      <c r="K147" s="356" t="s">
        <v>723</v>
      </c>
      <c r="L147" s="624">
        <f t="shared" si="17"/>
        <v>0</v>
      </c>
      <c r="P147" s="328"/>
      <c r="Q147" s="600"/>
      <c r="R147" s="3"/>
      <c r="W147" s="18" t="b">
        <f t="shared" si="15"/>
        <v>1</v>
      </c>
      <c r="X147" s="616">
        <f t="shared" si="12"/>
        <v>0</v>
      </c>
      <c r="Y147" s="616">
        <f t="shared" si="13"/>
        <v>0</v>
      </c>
    </row>
    <row r="148" spans="1:25" s="18" customFormat="1" ht="102" customHeight="1" x14ac:dyDescent="0.3">
      <c r="A148" s="346">
        <f>'Unit Data from Audit Worksheet'!A165</f>
        <v>644</v>
      </c>
      <c r="B148" s="360" t="str">
        <f>'Unit Data from Audit Worksheet'!C165</f>
        <v>Electric Fund Net Position Statement</v>
      </c>
      <c r="C148" s="345"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66">
        <f>'Unit Data from Audit Worksheet'!F165</f>
        <v>0</v>
      </c>
      <c r="F148" s="359">
        <f t="shared" si="18"/>
        <v>0</v>
      </c>
      <c r="G148" s="361"/>
      <c r="H148" s="358">
        <f>'Unit Data from Audit Worksheet'!I165</f>
        <v>0</v>
      </c>
      <c r="I148" s="38"/>
      <c r="J148" s="281">
        <v>644</v>
      </c>
      <c r="K148" s="356" t="s">
        <v>724</v>
      </c>
      <c r="L148" s="624">
        <f t="shared" si="17"/>
        <v>0</v>
      </c>
      <c r="P148" s="331"/>
      <c r="Q148" s="600"/>
      <c r="R148" s="3"/>
      <c r="W148" s="18" t="b">
        <f t="shared" si="15"/>
        <v>1</v>
      </c>
      <c r="X148" s="616">
        <f t="shared" si="12"/>
        <v>0</v>
      </c>
      <c r="Y148" s="616">
        <f t="shared" si="13"/>
        <v>0</v>
      </c>
    </row>
    <row r="149" spans="1:25" ht="63.75" customHeight="1" x14ac:dyDescent="0.3">
      <c r="A149" s="346">
        <f>+'Unit Data from Audit Worksheet'!A166</f>
        <v>384</v>
      </c>
      <c r="B149" s="346" t="str">
        <f>+'Unit Data from Audit Worksheet'!C166</f>
        <v>Electric Fund Net Position Statement</v>
      </c>
      <c r="C149" s="346" t="str">
        <f>+'Unit Data from Audit Worksheet'!D166</f>
        <v>Unearned revenue (arising from cash receipts) that were included in Current Liabilities in account 639 above.
Enter as a positive</v>
      </c>
      <c r="D149" s="144"/>
      <c r="E149" s="366">
        <f>+'Unit Data from Audit Worksheet'!F166</f>
        <v>0</v>
      </c>
      <c r="F149" s="359">
        <f t="shared" si="18"/>
        <v>0</v>
      </c>
      <c r="G149" s="361"/>
      <c r="H149" s="358">
        <f>'Unit Data from Audit Worksheet'!I166</f>
        <v>0</v>
      </c>
      <c r="I149" s="38"/>
      <c r="J149" s="357">
        <v>384</v>
      </c>
      <c r="K149" s="58" t="s">
        <v>124</v>
      </c>
      <c r="L149" s="610">
        <f t="shared" si="17"/>
        <v>0</v>
      </c>
      <c r="P149" s="328"/>
      <c r="W149" s="3" t="b">
        <f t="shared" si="15"/>
        <v>1</v>
      </c>
      <c r="X149" s="607">
        <f t="shared" si="12"/>
        <v>0</v>
      </c>
      <c r="Y149" s="607">
        <f t="shared" si="13"/>
        <v>0</v>
      </c>
    </row>
    <row r="150" spans="1:25" ht="86.4" x14ac:dyDescent="0.3">
      <c r="A150" s="346">
        <f>+'Unit Data from Audit Worksheet'!A167</f>
        <v>361</v>
      </c>
      <c r="B150" s="346" t="str">
        <f>+'Unit Data from Audit Worksheet'!C167</f>
        <v>Electric Fund Net Position Statement</v>
      </c>
      <c r="C150" s="346" t="str">
        <f>+'Unit Data from Audit Worksheet'!D167</f>
        <v>Total net position, unrestricted - Amount of negative unrestricted net position should be entered as a negative amount and the amount of positive unrestricted net position should be entered as a positive amount.</v>
      </c>
      <c r="D150" s="144"/>
      <c r="E150" s="366">
        <f>+'Unit Data from Audit Worksheet'!F167</f>
        <v>0</v>
      </c>
      <c r="F150" s="359"/>
      <c r="G150" s="361"/>
      <c r="H150" s="358">
        <f>'Unit Data from Audit Worksheet'!I167</f>
        <v>0</v>
      </c>
      <c r="I150" s="38"/>
      <c r="J150" s="357">
        <v>361</v>
      </c>
      <c r="K150" s="356" t="s">
        <v>106</v>
      </c>
      <c r="L150" s="610">
        <f t="shared" si="17"/>
        <v>0</v>
      </c>
      <c r="P150" s="328"/>
      <c r="W150" s="3" t="b">
        <f t="shared" si="15"/>
        <v>1</v>
      </c>
      <c r="X150" s="607">
        <f t="shared" si="12"/>
        <v>0</v>
      </c>
      <c r="Y150" s="607">
        <f t="shared" si="13"/>
        <v>0</v>
      </c>
    </row>
    <row r="151" spans="1:25" ht="46.5" customHeight="1" x14ac:dyDescent="0.3">
      <c r="A151" s="346">
        <f>'Unit Data from Audit Worksheet'!A168</f>
        <v>362</v>
      </c>
      <c r="B151" s="360" t="str">
        <f>'Unit Data from Audit Worksheet'!C168</f>
        <v>Electric Fund Net Position Statement</v>
      </c>
      <c r="C151" s="345" t="str">
        <f>'Unit Data from Audit Worksheet'!D168</f>
        <v>Total net position</v>
      </c>
      <c r="D151" s="144"/>
      <c r="E151" s="366">
        <f>'Unit Data from Audit Worksheet'!F168</f>
        <v>0</v>
      </c>
      <c r="F151" s="359">
        <f>IF(L140-L141-L151=0,,"Error: Total assets less total liabilities do not equal net position acct 382-360-362=0")</f>
        <v>0</v>
      </c>
      <c r="G151" s="91">
        <f>+L140-L141-L151</f>
        <v>0</v>
      </c>
      <c r="H151" s="358">
        <f>'Unit Data from Audit Worksheet'!I168</f>
        <v>0</v>
      </c>
      <c r="I151" s="38"/>
      <c r="J151" s="357">
        <v>362</v>
      </c>
      <c r="K151" s="356" t="s">
        <v>107</v>
      </c>
      <c r="L151" s="610">
        <f t="shared" si="17"/>
        <v>0</v>
      </c>
      <c r="O151" s="618" t="e">
        <f>'Unit Data from Audit Worksheet'!E168</f>
        <v>#N/A</v>
      </c>
      <c r="P151" s="328"/>
      <c r="Q151" s="600">
        <f>IF(+L140-L141-L151=0,0,1)</f>
        <v>0</v>
      </c>
      <c r="W151" s="3" t="b">
        <f t="shared" si="15"/>
        <v>1</v>
      </c>
      <c r="X151" s="607">
        <f t="shared" si="12"/>
        <v>0</v>
      </c>
      <c r="Y151" s="607">
        <f t="shared" si="13"/>
        <v>0</v>
      </c>
    </row>
    <row r="152" spans="1:25" ht="61.5" customHeight="1" x14ac:dyDescent="0.3">
      <c r="A152" s="346">
        <f>'Unit Data from Audit Worksheet'!A171</f>
        <v>88</v>
      </c>
      <c r="B152" s="360" t="str">
        <f>'Unit Data from Audit Worksheet'!C171</f>
        <v>Water Sewer Revenue, Expenses &amp; Changes in Fund Net Position</v>
      </c>
      <c r="C152" s="345" t="str">
        <f>'Unit Data from Audit Worksheet'!D171</f>
        <v>Charges for services. 
Exclude tap, capacity fees and other misc. income .</v>
      </c>
      <c r="D152" s="144"/>
      <c r="E152" s="366">
        <f>'Unit Data from Audit Worksheet'!F171</f>
        <v>0</v>
      </c>
      <c r="F152" s="359"/>
      <c r="G152" s="361"/>
      <c r="H152" s="358">
        <f>'Unit Data from Audit Worksheet'!I171</f>
        <v>0</v>
      </c>
      <c r="I152" s="38"/>
      <c r="J152" s="357">
        <v>88</v>
      </c>
      <c r="K152" s="356" t="s">
        <v>226</v>
      </c>
      <c r="L152" s="610">
        <f t="shared" si="17"/>
        <v>0</v>
      </c>
      <c r="P152" s="328"/>
      <c r="Q152" s="362"/>
      <c r="W152" s="3" t="b">
        <f t="shared" si="15"/>
        <v>1</v>
      </c>
      <c r="X152" s="607">
        <f t="shared" si="12"/>
        <v>0</v>
      </c>
      <c r="Y152" s="607">
        <f t="shared" si="13"/>
        <v>0</v>
      </c>
    </row>
    <row r="153" spans="1:25" ht="72" customHeight="1" x14ac:dyDescent="0.3">
      <c r="A153" s="346">
        <f>'Unit Data from Audit Worksheet'!A172</f>
        <v>84</v>
      </c>
      <c r="B153" s="360" t="str">
        <f>'Unit Data from Audit Worksheet'!C172</f>
        <v>Water Sewer Revenue, Expenses &amp; Changes in Fund Net Position</v>
      </c>
      <c r="C153" s="345" t="str">
        <f>'Unit Data from Audit Worksheet'!D172</f>
        <v>Total Operating revenues</v>
      </c>
      <c r="D153" s="144"/>
      <c r="E153" s="366">
        <f>'Unit Data from Audit Worksheet'!F172</f>
        <v>0</v>
      </c>
      <c r="F153" s="359" t="str">
        <f>IF(L152&gt;L153,"Error: Charges for services exceed total operating revenues. Acct # 88&gt;84"," ")</f>
        <v xml:space="preserve"> </v>
      </c>
      <c r="G153" s="361" t="str">
        <f>IF(Q153=1," Included in error count"," ")</f>
        <v xml:space="preserve"> </v>
      </c>
      <c r="H153" s="358">
        <f>'Unit Data from Audit Worksheet'!I172</f>
        <v>0</v>
      </c>
      <c r="I153" s="38"/>
      <c r="J153" s="357">
        <v>84</v>
      </c>
      <c r="K153" s="356" t="s">
        <v>227</v>
      </c>
      <c r="L153" s="610">
        <f t="shared" si="17"/>
        <v>0</v>
      </c>
      <c r="P153" s="328"/>
      <c r="Q153" s="600">
        <f>IF(L152&gt;L153,1,0)</f>
        <v>0</v>
      </c>
      <c r="W153" s="3" t="b">
        <f t="shared" si="15"/>
        <v>1</v>
      </c>
      <c r="X153" s="607">
        <f t="shared" si="12"/>
        <v>0</v>
      </c>
      <c r="Y153" s="607">
        <f t="shared" si="13"/>
        <v>0</v>
      </c>
    </row>
    <row r="154" spans="1:25" ht="72" customHeight="1" x14ac:dyDescent="0.3">
      <c r="A154" s="346">
        <f>'Unit Data from Audit Worksheet'!A173</f>
        <v>49</v>
      </c>
      <c r="B154" s="360" t="str">
        <f>'Unit Data from Audit Worksheet'!C173</f>
        <v>Water Sewer Revenue, Expenses &amp; Changes in Fund Net Position</v>
      </c>
      <c r="C154" s="345" t="str">
        <f>'Unit Data from Audit Worksheet'!D173</f>
        <v>Depreciation and amortization expense</v>
      </c>
      <c r="D154" s="144"/>
      <c r="E154" s="366">
        <f>'Unit Data from Audit Worksheet'!F173</f>
        <v>0</v>
      </c>
      <c r="F154" s="359">
        <f>IF(L154&lt;0,"Error: Number is normally positive.",)</f>
        <v>0</v>
      </c>
      <c r="G154" s="361"/>
      <c r="H154" s="358">
        <f>'Unit Data from Audit Worksheet'!I173</f>
        <v>0</v>
      </c>
      <c r="I154" s="38"/>
      <c r="J154" s="357">
        <v>49</v>
      </c>
      <c r="K154" s="356" t="s">
        <v>228</v>
      </c>
      <c r="L154" s="610">
        <f t="shared" si="17"/>
        <v>0</v>
      </c>
      <c r="O154" s="618"/>
      <c r="P154" s="328"/>
      <c r="W154" s="3" t="b">
        <f t="shared" si="15"/>
        <v>1</v>
      </c>
      <c r="X154" s="607">
        <f t="shared" si="12"/>
        <v>0</v>
      </c>
      <c r="Y154" s="607">
        <f t="shared" si="13"/>
        <v>0</v>
      </c>
    </row>
    <row r="155" spans="1:25" ht="48" customHeight="1" x14ac:dyDescent="0.3">
      <c r="A155" s="346">
        <f>'Unit Data from Audit Worksheet'!A174</f>
        <v>85</v>
      </c>
      <c r="B155" s="360" t="str">
        <f>'Unit Data from Audit Worksheet'!C174</f>
        <v>Water Sewer Revenue, Expenses &amp; Changes in Fund Net Position</v>
      </c>
      <c r="C155" s="345" t="str">
        <f>'Unit Data from Audit Worksheet'!D174</f>
        <v>Total Operating expenses</v>
      </c>
      <c r="D155" s="144"/>
      <c r="E155" s="366">
        <f>'Unit Data from Audit Worksheet'!F174</f>
        <v>0</v>
      </c>
      <c r="F155" s="359"/>
      <c r="G155" s="361"/>
      <c r="H155" s="358">
        <f>'Unit Data from Audit Worksheet'!I174</f>
        <v>0</v>
      </c>
      <c r="I155" s="38"/>
      <c r="J155" s="357">
        <v>85</v>
      </c>
      <c r="K155" s="356" t="s">
        <v>229</v>
      </c>
      <c r="L155" s="610">
        <f t="shared" si="17"/>
        <v>0</v>
      </c>
      <c r="P155" s="328"/>
      <c r="W155" s="3" t="b">
        <f t="shared" si="15"/>
        <v>1</v>
      </c>
      <c r="X155" s="607">
        <f t="shared" si="12"/>
        <v>0</v>
      </c>
      <c r="Y155" s="607">
        <f t="shared" si="13"/>
        <v>0</v>
      </c>
    </row>
    <row r="156" spans="1:25" ht="48" customHeight="1" x14ac:dyDescent="0.3">
      <c r="A156" s="346">
        <f>'Unit Data from Audit Worksheet'!A175</f>
        <v>89</v>
      </c>
      <c r="B156" s="360" t="str">
        <f>'Unit Data from Audit Worksheet'!C175</f>
        <v>Water Sewer Revenue, Expenses &amp; Changes in Fund Net Position</v>
      </c>
      <c r="C156" s="345" t="str">
        <f>'Unit Data from Audit Worksheet'!D175</f>
        <v>Interest expense</v>
      </c>
      <c r="D156" s="144"/>
      <c r="E156" s="366">
        <f>'Unit Data from Audit Worksheet'!F175</f>
        <v>0</v>
      </c>
      <c r="F156" s="359"/>
      <c r="G156" s="361"/>
      <c r="H156" s="358">
        <f>'Unit Data from Audit Worksheet'!I175</f>
        <v>0</v>
      </c>
      <c r="I156" s="38"/>
      <c r="J156" s="357">
        <v>89</v>
      </c>
      <c r="K156" s="356" t="s">
        <v>230</v>
      </c>
      <c r="L156" s="610">
        <f t="shared" si="17"/>
        <v>0</v>
      </c>
      <c r="P156" s="328"/>
      <c r="W156" s="3" t="b">
        <f t="shared" si="15"/>
        <v>1</v>
      </c>
      <c r="X156" s="607">
        <f t="shared" si="12"/>
        <v>0</v>
      </c>
      <c r="Y156" s="607">
        <f t="shared" si="13"/>
        <v>0</v>
      </c>
    </row>
    <row r="157" spans="1:25" ht="48" customHeight="1" x14ac:dyDescent="0.3">
      <c r="A157" s="346">
        <f>'Unit Data from Audit Worksheet'!A176</f>
        <v>350</v>
      </c>
      <c r="B157" s="360" t="str">
        <f>'Unit Data from Audit Worksheet'!C176</f>
        <v>Water Sewer Revenue, Expenses &amp; Changes in Fund Net Position</v>
      </c>
      <c r="C157" s="345" t="str">
        <f>'Unit Data from Audit Worksheet'!D176</f>
        <v>Total all non-operating revenues  
Exclude Capital contributions.</v>
      </c>
      <c r="D157" s="144"/>
      <c r="E157" s="366">
        <f>'Unit Data from Audit Worksheet'!F176</f>
        <v>0</v>
      </c>
      <c r="F157" s="359"/>
      <c r="G157" s="361"/>
      <c r="H157" s="358">
        <f>'Unit Data from Audit Worksheet'!I176</f>
        <v>0</v>
      </c>
      <c r="I157" s="38"/>
      <c r="J157" s="357">
        <v>350</v>
      </c>
      <c r="K157" s="356" t="s">
        <v>231</v>
      </c>
      <c r="L157" s="610">
        <f t="shared" si="17"/>
        <v>0</v>
      </c>
      <c r="P157" s="328"/>
      <c r="W157" s="3" t="b">
        <f t="shared" si="15"/>
        <v>1</v>
      </c>
      <c r="X157" s="607">
        <f t="shared" si="12"/>
        <v>0</v>
      </c>
      <c r="Y157" s="607">
        <f t="shared" si="13"/>
        <v>0</v>
      </c>
    </row>
    <row r="158" spans="1:25" ht="48" customHeight="1" x14ac:dyDescent="0.3">
      <c r="A158" s="346">
        <f>'Unit Data from Audit Worksheet'!A177</f>
        <v>351</v>
      </c>
      <c r="B158" s="360" t="str">
        <f>'Unit Data from Audit Worksheet'!C177</f>
        <v>Water Sewer Revenue, Expenses &amp; Changes in Fund Net Position</v>
      </c>
      <c r="C158" s="345" t="str">
        <f>'Unit Data from Audit Worksheet'!D177</f>
        <v>Total all non-operating expenses.  
Include any negative special, extraordinary, or capital contribution.</v>
      </c>
      <c r="D158" s="144"/>
      <c r="E158" s="366">
        <f>'Unit Data from Audit Worksheet'!F177</f>
        <v>0</v>
      </c>
      <c r="F158" s="359"/>
      <c r="G158" s="361"/>
      <c r="H158" s="358">
        <f>'Unit Data from Audit Worksheet'!I177</f>
        <v>0</v>
      </c>
      <c r="I158" s="38"/>
      <c r="J158" s="357">
        <v>351</v>
      </c>
      <c r="K158" s="356" t="s">
        <v>232</v>
      </c>
      <c r="L158" s="610">
        <f t="shared" si="17"/>
        <v>0</v>
      </c>
      <c r="P158" s="328"/>
      <c r="W158" s="3" t="b">
        <f t="shared" si="15"/>
        <v>1</v>
      </c>
      <c r="X158" s="607">
        <f t="shared" si="12"/>
        <v>0</v>
      </c>
      <c r="Y158" s="607">
        <f t="shared" si="13"/>
        <v>0</v>
      </c>
    </row>
    <row r="159" spans="1:25" ht="57.6" x14ac:dyDescent="0.3">
      <c r="A159" s="346">
        <f>'Unit Data from Audit Worksheet'!A178</f>
        <v>191</v>
      </c>
      <c r="B159" s="360" t="str">
        <f>'Unit Data from Audit Worksheet'!C178</f>
        <v>Water Sewer Revenue, Expenses &amp; Changes in Fund Net Position</v>
      </c>
      <c r="C159" s="345" t="str">
        <f>'Unit Data from Audit Worksheet'!D178</f>
        <v>Capital contributions. Only include positive capital contributions.  Negative capital contributions should be included with 'Total all non-operating expenses.'</v>
      </c>
      <c r="D159" s="144"/>
      <c r="E159" s="366">
        <f>'Unit Data from Audit Worksheet'!F178</f>
        <v>0</v>
      </c>
      <c r="F159" s="359">
        <f>IF(L159&lt;0,"Error: Enter as a positive.",)</f>
        <v>0</v>
      </c>
      <c r="G159" s="361"/>
      <c r="H159" s="358">
        <f>'Unit Data from Audit Worksheet'!I178</f>
        <v>0</v>
      </c>
      <c r="I159" s="38"/>
      <c r="J159" s="357">
        <v>191</v>
      </c>
      <c r="K159" s="356" t="s">
        <v>233</v>
      </c>
      <c r="L159" s="610">
        <f t="shared" si="17"/>
        <v>0</v>
      </c>
      <c r="P159" s="328"/>
      <c r="W159" s="3" t="b">
        <f t="shared" si="15"/>
        <v>1</v>
      </c>
      <c r="X159" s="607">
        <f t="shared" si="12"/>
        <v>0</v>
      </c>
      <c r="Y159" s="607">
        <f t="shared" si="13"/>
        <v>0</v>
      </c>
    </row>
    <row r="160" spans="1:25" ht="47.25" customHeight="1" x14ac:dyDescent="0.3">
      <c r="A160" s="346">
        <f>'Unit Data from Audit Worksheet'!A179</f>
        <v>352</v>
      </c>
      <c r="B160" s="360" t="str">
        <f>'Unit Data from Audit Worksheet'!C179</f>
        <v>Water Sewer Revenue, Expenses &amp; Changes in Fund Net Position</v>
      </c>
      <c r="C160" s="345" t="str">
        <f>'Unit Data from Audit Worksheet'!D179</f>
        <v>Total Transfers in - all funds (operating and capital)</v>
      </c>
      <c r="D160" s="144"/>
      <c r="E160" s="366">
        <f>'Unit Data from Audit Worksheet'!F179</f>
        <v>0</v>
      </c>
      <c r="F160" s="359"/>
      <c r="G160" s="361"/>
      <c r="H160" s="358">
        <f>'Unit Data from Audit Worksheet'!I179</f>
        <v>0</v>
      </c>
      <c r="I160" s="38"/>
      <c r="J160" s="357">
        <v>352</v>
      </c>
      <c r="K160" s="356" t="s">
        <v>234</v>
      </c>
      <c r="L160" s="610">
        <f t="shared" si="17"/>
        <v>0</v>
      </c>
      <c r="P160" s="328"/>
      <c r="W160" s="3" t="b">
        <f t="shared" si="15"/>
        <v>1</v>
      </c>
      <c r="X160" s="607">
        <f t="shared" si="12"/>
        <v>0</v>
      </c>
      <c r="Y160" s="607">
        <f t="shared" si="13"/>
        <v>0</v>
      </c>
    </row>
    <row r="161" spans="1:25" ht="70.5" customHeight="1" x14ac:dyDescent="0.3">
      <c r="A161" s="626">
        <f>'Unit Data from Audit Worksheet'!A180</f>
        <v>986</v>
      </c>
      <c r="B161" s="364" t="str">
        <f>'Unit Data from Audit Worksheet'!C180</f>
        <v>Water Sewer Revenue, Expenses &amp; Changes in Fund Net Position</v>
      </c>
      <c r="C161" s="627" t="str">
        <f>'Unit Data from Audit Worksheet'!D180</f>
        <v>Of the transfers-in above in acct # 352, list amount of transfers-in that were used to support Water Sewer operations  (exclude capital transfers)</v>
      </c>
      <c r="D161" s="144"/>
      <c r="E161" s="366">
        <f>'Unit Data from Audit Worksheet'!F180</f>
        <v>0</v>
      </c>
      <c r="F161" s="359"/>
      <c r="G161" s="361"/>
      <c r="H161" s="358"/>
      <c r="I161" s="38"/>
      <c r="J161" s="375">
        <v>986</v>
      </c>
      <c r="K161" s="627" t="s">
        <v>1088</v>
      </c>
      <c r="L161" s="628">
        <f t="shared" si="17"/>
        <v>0</v>
      </c>
      <c r="P161" s="328"/>
      <c r="W161" s="3" t="b">
        <f t="shared" si="15"/>
        <v>1</v>
      </c>
      <c r="X161" s="607"/>
      <c r="Y161" s="607"/>
    </row>
    <row r="162" spans="1:25" ht="47.25" customHeight="1" x14ac:dyDescent="0.3">
      <c r="A162" s="346">
        <f>'Unit Data from Audit Worksheet'!A181</f>
        <v>353</v>
      </c>
      <c r="B162" s="360" t="str">
        <f>'Unit Data from Audit Worksheet'!C181</f>
        <v>Water Sewer Revenue, Expenses &amp; Changes in Fund Net Position</v>
      </c>
      <c r="C162" s="345" t="str">
        <f>'Unit Data from Audit Worksheet'!D181</f>
        <v>Total Transfers out</v>
      </c>
      <c r="D162" s="144"/>
      <c r="E162" s="366">
        <f>'Unit Data from Audit Worksheet'!F181</f>
        <v>0</v>
      </c>
      <c r="F162" s="359">
        <f>IF(L162&lt;0,"Error: Enter as a positive.",)</f>
        <v>0</v>
      </c>
      <c r="G162" s="361"/>
      <c r="H162" s="358">
        <f>'Unit Data from Audit Worksheet'!I181</f>
        <v>0</v>
      </c>
      <c r="I162" s="38"/>
      <c r="J162" s="40">
        <v>353</v>
      </c>
      <c r="K162" s="356" t="s">
        <v>235</v>
      </c>
      <c r="L162" s="610">
        <f t="shared" si="17"/>
        <v>0</v>
      </c>
      <c r="P162" s="332"/>
      <c r="W162" s="3" t="b">
        <f t="shared" si="15"/>
        <v>1</v>
      </c>
      <c r="X162" s="607">
        <f t="shared" si="12"/>
        <v>0</v>
      </c>
      <c r="Y162" s="607">
        <f t="shared" si="13"/>
        <v>0</v>
      </c>
    </row>
    <row r="163" spans="1:25" ht="72.75" customHeight="1" x14ac:dyDescent="0.3">
      <c r="A163" s="346">
        <f>'Unit Data from Audit Worksheet'!A182</f>
        <v>50</v>
      </c>
      <c r="B163" s="360" t="str">
        <f>'Unit Data from Audit Worksheet'!C182</f>
        <v>Water Sewer Revenue, Expenses &amp; Changes in Fund Net Position</v>
      </c>
      <c r="C163" s="345" t="str">
        <f>'Unit Data from Audit Worksheet'!D182</f>
        <v>Change in net position - Increase in net position is recorded as a positive and a (Decrease) in net position is recorded as a negative.</v>
      </c>
      <c r="D163" s="144"/>
      <c r="E163" s="149">
        <f>'Unit Data from Audit Worksheet'!F182</f>
        <v>0</v>
      </c>
      <c r="F163" s="359">
        <f>IF(L153-L155+L157-L158+L160+L159-L162-L163=0,,"Error:Total revenues less total expenses do not equal total change in net position. Acct # 84-85+350-351+191+352-353-50")</f>
        <v>0</v>
      </c>
      <c r="G163" s="91">
        <f>+L153-L155+L157-L158+L160+L159-L162-L163</f>
        <v>0</v>
      </c>
      <c r="H163" s="358">
        <f>'Unit Data from Audit Worksheet'!I182</f>
        <v>0</v>
      </c>
      <c r="I163" s="38"/>
      <c r="J163" s="357">
        <v>50</v>
      </c>
      <c r="K163" s="356" t="s">
        <v>100</v>
      </c>
      <c r="L163" s="610">
        <f t="shared" si="17"/>
        <v>0</v>
      </c>
      <c r="P163" s="328"/>
      <c r="Q163" s="600">
        <f>IF(G163&lt;&gt;0,1,0)</f>
        <v>0</v>
      </c>
      <c r="W163" s="3" t="b">
        <f t="shared" si="15"/>
        <v>1</v>
      </c>
      <c r="X163" s="607">
        <f t="shared" si="12"/>
        <v>0</v>
      </c>
      <c r="Y163" s="607">
        <f t="shared" si="13"/>
        <v>0</v>
      </c>
    </row>
    <row r="164" spans="1:25" ht="144" customHeight="1" x14ac:dyDescent="0.3">
      <c r="A164" s="346">
        <f>'Unit Data from Audit Worksheet'!A183</f>
        <v>377</v>
      </c>
      <c r="B164" s="360" t="str">
        <f>'Unit Data from Audit Worksheet'!C183</f>
        <v>Water Sewer Revenue, Expenses &amp; Changes in Fund Net Position</v>
      </c>
      <c r="C164" s="345"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58">
        <f>'Unit Data from Audit Worksheet'!I183</f>
        <v>0</v>
      </c>
      <c r="I164" s="38"/>
      <c r="J164" s="357">
        <v>377</v>
      </c>
      <c r="K164" s="356" t="s">
        <v>109</v>
      </c>
      <c r="L164" s="610">
        <f t="shared" si="17"/>
        <v>0</v>
      </c>
      <c r="P164" s="328"/>
      <c r="Q164" s="600" t="e">
        <f>IF(G164&lt;&gt;0,1,0)</f>
        <v>#N/A</v>
      </c>
      <c r="W164" s="3" t="b">
        <f t="shared" si="15"/>
        <v>1</v>
      </c>
      <c r="X164" s="607">
        <f t="shared" si="12"/>
        <v>0</v>
      </c>
      <c r="Y164" s="607">
        <f t="shared" si="13"/>
        <v>0</v>
      </c>
    </row>
    <row r="165" spans="1:25" ht="63" customHeight="1" x14ac:dyDescent="0.3">
      <c r="A165" s="635">
        <f>'Unit Data from Audit Worksheet'!A184</f>
        <v>537</v>
      </c>
      <c r="B165" s="360" t="str">
        <f>'Unit Data from Audit Worksheet'!C184</f>
        <v>Water Sewer Revenue, Expenses &amp; Changes in Fund Net Position</v>
      </c>
      <c r="C165" s="345" t="str">
        <f>'Unit Data from Audit Worksheet'!D184</f>
        <v>Did unit raise Water Sewer rates during the audited fiscal period? - answer Yes or No</v>
      </c>
      <c r="D165" s="139"/>
      <c r="E165" s="366">
        <f>'Unit Data from Audit Worksheet'!F184</f>
        <v>0</v>
      </c>
      <c r="F165" s="359" t="s">
        <v>556</v>
      </c>
      <c r="G165" s="361"/>
      <c r="H165" s="358">
        <f>'Unit Data from Audit Worksheet'!I184</f>
        <v>0</v>
      </c>
      <c r="I165" s="38"/>
      <c r="J165" s="67">
        <v>537</v>
      </c>
      <c r="K165" s="65" t="s">
        <v>295</v>
      </c>
      <c r="L165" s="636">
        <f>IF(E165="Yes",1,IF(E165="No",2,0))</f>
        <v>0</v>
      </c>
      <c r="N165" s="61" t="s">
        <v>546</v>
      </c>
      <c r="P165" s="333"/>
      <c r="W165" s="3" t="b">
        <f t="shared" ref="W165:W196" si="19">EXACT(A165,J165)</f>
        <v>1</v>
      </c>
      <c r="X165" s="607">
        <f t="shared" si="12"/>
        <v>0</v>
      </c>
      <c r="Y165" s="607">
        <f t="shared" si="13"/>
        <v>0</v>
      </c>
    </row>
    <row r="166" spans="1:25" ht="63.75" customHeight="1" x14ac:dyDescent="0.3">
      <c r="A166" s="635">
        <f>'Unit Data from Audit Worksheet'!A185</f>
        <v>538</v>
      </c>
      <c r="B166" s="360" t="str">
        <f>'Unit Data from Audit Worksheet'!C185</f>
        <v>Water Sewer Revenue, Expenses &amp; Changes in Fund Net Position</v>
      </c>
      <c r="C166" s="345" t="str">
        <f>'Unit Data from Audit Worksheet'!D185</f>
        <v>Did unit raise Water Sewer rates during the budget year following the audited fiscal year? - answer Yes or No</v>
      </c>
      <c r="D166" s="139"/>
      <c r="E166" s="366">
        <f>'Unit Data from Audit Worksheet'!F185</f>
        <v>0</v>
      </c>
      <c r="F166" s="359" t="s">
        <v>556</v>
      </c>
      <c r="G166" s="361"/>
      <c r="H166" s="358">
        <f>'Unit Data from Audit Worksheet'!I185</f>
        <v>0</v>
      </c>
      <c r="I166" s="38"/>
      <c r="J166" s="67">
        <v>538</v>
      </c>
      <c r="K166" s="65" t="s">
        <v>294</v>
      </c>
      <c r="L166" s="636">
        <f>IF(E166="Yes",1,IF(E166="No",2,0))</f>
        <v>0</v>
      </c>
      <c r="N166" s="61" t="s">
        <v>546</v>
      </c>
      <c r="P166" s="333"/>
      <c r="W166" s="3" t="b">
        <f t="shared" si="19"/>
        <v>1</v>
      </c>
      <c r="X166" s="607">
        <f t="shared" si="12"/>
        <v>0</v>
      </c>
      <c r="Y166" s="607">
        <f t="shared" si="13"/>
        <v>0</v>
      </c>
    </row>
    <row r="167" spans="1:25" ht="47.25" customHeight="1" x14ac:dyDescent="0.3">
      <c r="A167" s="346">
        <f>'Unit Data from Audit Worksheet'!A187</f>
        <v>97</v>
      </c>
      <c r="B167" s="360" t="str">
        <f>'Unit Data from Audit Worksheet'!C187</f>
        <v>Electric Fund Revenue, Expenses &amp; Changes in Fund Net Position</v>
      </c>
      <c r="C167" s="345" t="str">
        <f>'Unit Data from Audit Worksheet'!D187</f>
        <v>Charges for services</v>
      </c>
      <c r="D167" s="365"/>
      <c r="E167" s="366">
        <f>'Unit Data from Audit Worksheet'!F187</f>
        <v>0</v>
      </c>
      <c r="F167" s="359">
        <f>IF(L167&lt;0,"Error: Enter as a positive.",)</f>
        <v>0</v>
      </c>
      <c r="G167" s="361"/>
      <c r="H167" s="358">
        <f>'Unit Data from Audit Worksheet'!I187</f>
        <v>0</v>
      </c>
      <c r="I167" s="38"/>
      <c r="J167" s="357">
        <v>97</v>
      </c>
      <c r="K167" s="356" t="s">
        <v>236</v>
      </c>
      <c r="L167" s="610">
        <f t="shared" ref="L167:L234" si="20">IF(D167="",E167,D167)</f>
        <v>0</v>
      </c>
      <c r="P167" s="328"/>
      <c r="W167" s="3" t="b">
        <f t="shared" si="19"/>
        <v>1</v>
      </c>
      <c r="X167" s="607">
        <f t="shared" si="12"/>
        <v>0</v>
      </c>
      <c r="Y167" s="607">
        <f t="shared" si="13"/>
        <v>0</v>
      </c>
    </row>
    <row r="168" spans="1:25" ht="45.75" customHeight="1" x14ac:dyDescent="0.3">
      <c r="A168" s="346">
        <f>'Unit Data from Audit Worksheet'!A188</f>
        <v>93</v>
      </c>
      <c r="B168" s="360" t="str">
        <f>'Unit Data from Audit Worksheet'!C188</f>
        <v>Electric Fund Revenue, Expenses &amp; Changes in Fund Net Position</v>
      </c>
      <c r="C168" s="345" t="str">
        <f>'Unit Data from Audit Worksheet'!D188</f>
        <v>Total Operating revenues</v>
      </c>
      <c r="D168" s="365"/>
      <c r="E168" s="366">
        <f>'Unit Data from Audit Worksheet'!F188</f>
        <v>0</v>
      </c>
      <c r="F168" s="359" t="str">
        <f>IF(L167&gt;L168,"Error: Charges for services exceeds total operating revenues Acct 97&gt;=93"," ")</f>
        <v xml:space="preserve"> </v>
      </c>
      <c r="G168" s="361" t="str">
        <f>IF(Q168=1," Included in error count"," ")</f>
        <v xml:space="preserve"> </v>
      </c>
      <c r="H168" s="358">
        <f>'Unit Data from Audit Worksheet'!I188</f>
        <v>0</v>
      </c>
      <c r="I168" s="38"/>
      <c r="J168" s="357">
        <v>93</v>
      </c>
      <c r="K168" s="356" t="s">
        <v>237</v>
      </c>
      <c r="L168" s="610">
        <f t="shared" si="20"/>
        <v>0</v>
      </c>
      <c r="P168" s="328"/>
      <c r="Q168" s="600">
        <f>IF(L167&gt;L168,1,0)</f>
        <v>0</v>
      </c>
      <c r="W168" s="3" t="b">
        <f t="shared" si="19"/>
        <v>1</v>
      </c>
      <c r="X168" s="607">
        <f t="shared" si="12"/>
        <v>0</v>
      </c>
      <c r="Y168" s="607">
        <f t="shared" si="13"/>
        <v>0</v>
      </c>
    </row>
    <row r="169" spans="1:25" ht="45.75" customHeight="1" x14ac:dyDescent="0.3">
      <c r="A169" s="346">
        <f>'Unit Data from Audit Worksheet'!A189</f>
        <v>99</v>
      </c>
      <c r="B169" s="360" t="str">
        <f>'Unit Data from Audit Worksheet'!C189</f>
        <v>Electric Fund Revenue, Expenses &amp; Changes in Fund Net Position</v>
      </c>
      <c r="C169" s="345" t="str">
        <f>'Unit Data from Audit Worksheet'!D189</f>
        <v>Electrical power purchases</v>
      </c>
      <c r="D169" s="365"/>
      <c r="E169" s="366">
        <f>'Unit Data from Audit Worksheet'!F189</f>
        <v>0</v>
      </c>
      <c r="F169" s="359">
        <f>IF(L169&lt;0,"Error: Enter as a positive.",)</f>
        <v>0</v>
      </c>
      <c r="G169" s="361"/>
      <c r="H169" s="358">
        <f>'Unit Data from Audit Worksheet'!I189</f>
        <v>0</v>
      </c>
      <c r="I169" s="38"/>
      <c r="J169" s="357">
        <v>99</v>
      </c>
      <c r="K169" s="356" t="s">
        <v>238</v>
      </c>
      <c r="L169" s="610">
        <f t="shared" si="20"/>
        <v>0</v>
      </c>
      <c r="P169" s="328"/>
      <c r="W169" s="3" t="b">
        <f t="shared" si="19"/>
        <v>1</v>
      </c>
      <c r="X169" s="607">
        <f t="shared" si="12"/>
        <v>0</v>
      </c>
      <c r="Y169" s="607">
        <f t="shared" si="13"/>
        <v>0</v>
      </c>
    </row>
    <row r="170" spans="1:25" ht="45.75" customHeight="1" x14ac:dyDescent="0.3">
      <c r="A170" s="346">
        <f>'Unit Data from Audit Worksheet'!A190</f>
        <v>52</v>
      </c>
      <c r="B170" s="360" t="str">
        <f>'Unit Data from Audit Worksheet'!C190</f>
        <v>Electric Fund Revenue, Expenses &amp; Changes in Fund Net Position</v>
      </c>
      <c r="C170" s="345" t="str">
        <f>'Unit Data from Audit Worksheet'!D190</f>
        <v>Depreciation and amortization expense</v>
      </c>
      <c r="D170" s="365"/>
      <c r="E170" s="366">
        <f>'Unit Data from Audit Worksheet'!F190</f>
        <v>0</v>
      </c>
      <c r="F170" s="359">
        <f>IF(L170&lt;0,"Error: Enter as a positive.",)</f>
        <v>0</v>
      </c>
      <c r="G170" s="361"/>
      <c r="H170" s="358">
        <f>'Unit Data from Audit Worksheet'!I190</f>
        <v>0</v>
      </c>
      <c r="I170" s="38"/>
      <c r="J170" s="357">
        <v>52</v>
      </c>
      <c r="K170" s="356" t="s">
        <v>239</v>
      </c>
      <c r="L170" s="610">
        <f t="shared" si="20"/>
        <v>0</v>
      </c>
      <c r="P170" s="328"/>
      <c r="W170" s="3" t="b">
        <f t="shared" si="19"/>
        <v>1</v>
      </c>
      <c r="X170" s="607">
        <f t="shared" si="12"/>
        <v>0</v>
      </c>
      <c r="Y170" s="607">
        <f t="shared" si="13"/>
        <v>0</v>
      </c>
    </row>
    <row r="171" spans="1:25" ht="45.75" customHeight="1" x14ac:dyDescent="0.3">
      <c r="A171" s="346">
        <f>'Unit Data from Audit Worksheet'!A191</f>
        <v>94</v>
      </c>
      <c r="B171" s="360" t="str">
        <f>'Unit Data from Audit Worksheet'!C191</f>
        <v>Electric Fund Revenue, Expenses &amp; Changes in Fund Net Position</v>
      </c>
      <c r="C171" s="345" t="str">
        <f>'Unit Data from Audit Worksheet'!D191</f>
        <v>Total Operating expenses</v>
      </c>
      <c r="D171" s="365"/>
      <c r="E171" s="366">
        <f>'Unit Data from Audit Worksheet'!F191</f>
        <v>0</v>
      </c>
      <c r="F171" s="359">
        <f>IF(L171&lt;0,"Error: Enter as a positive.",)</f>
        <v>0</v>
      </c>
      <c r="G171" s="361"/>
      <c r="H171" s="358">
        <f>'Unit Data from Audit Worksheet'!I191</f>
        <v>0</v>
      </c>
      <c r="I171" s="38"/>
      <c r="J171" s="357">
        <v>94</v>
      </c>
      <c r="K171" s="356" t="s">
        <v>240</v>
      </c>
      <c r="L171" s="610">
        <f t="shared" si="20"/>
        <v>0</v>
      </c>
      <c r="P171" s="328"/>
      <c r="W171" s="3" t="b">
        <f t="shared" si="19"/>
        <v>1</v>
      </c>
      <c r="X171" s="607">
        <f t="shared" si="12"/>
        <v>0</v>
      </c>
      <c r="Y171" s="607">
        <f t="shared" si="13"/>
        <v>0</v>
      </c>
    </row>
    <row r="172" spans="1:25" ht="46.5" customHeight="1" x14ac:dyDescent="0.3">
      <c r="A172" s="346">
        <f>'Unit Data from Audit Worksheet'!A192</f>
        <v>98</v>
      </c>
      <c r="B172" s="360" t="str">
        <f>'Unit Data from Audit Worksheet'!C192</f>
        <v>Electric Fund Revenue, Expenses &amp; Changes in Fund Net Position</v>
      </c>
      <c r="C172" s="345" t="str">
        <f>'Unit Data from Audit Worksheet'!D192</f>
        <v>Interest expense</v>
      </c>
      <c r="D172" s="365"/>
      <c r="E172" s="366">
        <f>'Unit Data from Audit Worksheet'!F192</f>
        <v>0</v>
      </c>
      <c r="F172" s="359">
        <f>IF(L172&lt;0,"Error: Enter as a positive.",)</f>
        <v>0</v>
      </c>
      <c r="G172" s="361"/>
      <c r="H172" s="358">
        <f>'Unit Data from Audit Worksheet'!I192</f>
        <v>0</v>
      </c>
      <c r="I172" s="38"/>
      <c r="J172" s="357">
        <v>98</v>
      </c>
      <c r="K172" s="356" t="s">
        <v>241</v>
      </c>
      <c r="L172" s="610">
        <f t="shared" si="20"/>
        <v>0</v>
      </c>
      <c r="P172" s="328"/>
      <c r="W172" s="3" t="b">
        <f t="shared" si="19"/>
        <v>1</v>
      </c>
      <c r="X172" s="607">
        <f t="shared" si="12"/>
        <v>0</v>
      </c>
      <c r="Y172" s="607">
        <f t="shared" si="13"/>
        <v>0</v>
      </c>
    </row>
    <row r="173" spans="1:25" ht="51" customHeight="1" x14ac:dyDescent="0.3">
      <c r="A173" s="346">
        <f>'Unit Data from Audit Worksheet'!A193</f>
        <v>363</v>
      </c>
      <c r="B173" s="360" t="str">
        <f>'Unit Data from Audit Worksheet'!C193</f>
        <v>Electric Fund Revenue, Expenses &amp; Changes in Fund Net Position</v>
      </c>
      <c r="C173" s="345" t="str">
        <f>'Unit Data from Audit Worksheet'!D193</f>
        <v>Total all the non-operating revenues  
Exclude Capital Contributions.</v>
      </c>
      <c r="D173" s="365"/>
      <c r="E173" s="366">
        <f>'Unit Data from Audit Worksheet'!F193</f>
        <v>0</v>
      </c>
      <c r="F173" s="359"/>
      <c r="G173" s="361"/>
      <c r="H173" s="358">
        <f>'Unit Data from Audit Worksheet'!I193</f>
        <v>0</v>
      </c>
      <c r="I173" s="38"/>
      <c r="J173" s="357">
        <v>363</v>
      </c>
      <c r="K173" s="356" t="s">
        <v>242</v>
      </c>
      <c r="L173" s="610">
        <f t="shared" si="20"/>
        <v>0</v>
      </c>
      <c r="P173" s="328"/>
      <c r="W173" s="3" t="b">
        <f t="shared" si="19"/>
        <v>1</v>
      </c>
      <c r="X173" s="607">
        <f t="shared" si="12"/>
        <v>0</v>
      </c>
      <c r="Y173" s="607">
        <f t="shared" si="13"/>
        <v>0</v>
      </c>
    </row>
    <row r="174" spans="1:25" ht="60" customHeight="1" x14ac:dyDescent="0.3">
      <c r="A174" s="346">
        <f>'Unit Data from Audit Worksheet'!A194</f>
        <v>364</v>
      </c>
      <c r="B174" s="360" t="str">
        <f>'Unit Data from Audit Worksheet'!C194</f>
        <v>Electric Fund Revenue, Expenses &amp; Changes in Fund Net Position</v>
      </c>
      <c r="C174" s="345" t="str">
        <f>'Unit Data from Audit Worksheet'!D194</f>
        <v>Total all non-operating expenses.  
Include negative special, extraordinary, or capital contribution.</v>
      </c>
      <c r="D174" s="365"/>
      <c r="E174" s="366">
        <f>'Unit Data from Audit Worksheet'!F194</f>
        <v>0</v>
      </c>
      <c r="F174" s="359">
        <f>IF(L174&lt;0,"Error: Enter as a positive.",)</f>
        <v>0</v>
      </c>
      <c r="G174" s="361"/>
      <c r="H174" s="358">
        <f>'Unit Data from Audit Worksheet'!I194</f>
        <v>0</v>
      </c>
      <c r="I174" s="38"/>
      <c r="J174" s="357">
        <v>364</v>
      </c>
      <c r="K174" s="356" t="s">
        <v>243</v>
      </c>
      <c r="L174" s="610">
        <f t="shared" si="20"/>
        <v>0</v>
      </c>
      <c r="P174" s="328"/>
      <c r="W174" s="3" t="b">
        <f t="shared" si="19"/>
        <v>1</v>
      </c>
      <c r="X174" s="607">
        <f t="shared" si="12"/>
        <v>0</v>
      </c>
      <c r="Y174" s="607">
        <f t="shared" si="13"/>
        <v>0</v>
      </c>
    </row>
    <row r="175" spans="1:25" ht="89.25" customHeight="1" x14ac:dyDescent="0.3">
      <c r="A175" s="346">
        <f>'Unit Data from Audit Worksheet'!A195</f>
        <v>192</v>
      </c>
      <c r="B175" s="360" t="str">
        <f>'Unit Data from Audit Worksheet'!C195</f>
        <v>Electric Fund Revenue, Expenses &amp; Changes in Fund Net Position</v>
      </c>
      <c r="C175" s="345" t="str">
        <f>'Unit Data from Audit Worksheet'!D195</f>
        <v>Capital Contributions.  
Include only positive capital Contributions.  Negative capital contributions should be included with 'Total all non-operating expenses.'</v>
      </c>
      <c r="D175" s="365"/>
      <c r="E175" s="366">
        <f>'Unit Data from Audit Worksheet'!F195</f>
        <v>0</v>
      </c>
      <c r="F175" s="359">
        <f>IF(L175&lt;0,"Error: Enter as a positive.",)</f>
        <v>0</v>
      </c>
      <c r="G175" s="361"/>
      <c r="H175" s="358">
        <f>'Unit Data from Audit Worksheet'!I195</f>
        <v>0</v>
      </c>
      <c r="I175" s="38"/>
      <c r="J175" s="357">
        <v>192</v>
      </c>
      <c r="K175" s="356" t="s">
        <v>244</v>
      </c>
      <c r="L175" s="610">
        <f t="shared" si="20"/>
        <v>0</v>
      </c>
      <c r="P175" s="328"/>
      <c r="W175" s="3" t="b">
        <f t="shared" si="19"/>
        <v>1</v>
      </c>
      <c r="X175" s="607">
        <f t="shared" si="12"/>
        <v>0</v>
      </c>
      <c r="Y175" s="607">
        <f t="shared" si="13"/>
        <v>0</v>
      </c>
    </row>
    <row r="176" spans="1:25" ht="42.75" customHeight="1" x14ac:dyDescent="0.3">
      <c r="A176" s="346">
        <f>'Unit Data from Audit Worksheet'!A196</f>
        <v>365</v>
      </c>
      <c r="B176" s="360" t="str">
        <f>'Unit Data from Audit Worksheet'!C196</f>
        <v>Electric Fund Revenue, Expenses &amp; Changes in Fund Net Position</v>
      </c>
      <c r="C176" s="345" t="str">
        <f>'Unit Data from Audit Worksheet'!D196</f>
        <v>Total Transfers In (From all Funds)</v>
      </c>
      <c r="D176" s="365"/>
      <c r="E176" s="366">
        <f>'Unit Data from Audit Worksheet'!F196</f>
        <v>0</v>
      </c>
      <c r="F176" s="359"/>
      <c r="G176" s="361"/>
      <c r="H176" s="358">
        <f>'Unit Data from Audit Worksheet'!I196</f>
        <v>0</v>
      </c>
      <c r="I176" s="38"/>
      <c r="J176" s="357">
        <v>365</v>
      </c>
      <c r="K176" s="356" t="s">
        <v>245</v>
      </c>
      <c r="L176" s="610">
        <f t="shared" si="20"/>
        <v>0</v>
      </c>
      <c r="P176" s="328"/>
      <c r="W176" s="3" t="b">
        <f t="shared" si="19"/>
        <v>1</v>
      </c>
      <c r="X176" s="607">
        <f t="shared" si="12"/>
        <v>0</v>
      </c>
      <c r="Y176" s="607">
        <f t="shared" si="13"/>
        <v>0</v>
      </c>
    </row>
    <row r="177" spans="1:25" ht="42.75" customHeight="1" x14ac:dyDescent="0.3">
      <c r="A177" s="346">
        <f>'Unit Data from Audit Worksheet'!A197</f>
        <v>366</v>
      </c>
      <c r="B177" s="360" t="str">
        <f>'Unit Data from Audit Worksheet'!C197</f>
        <v>Electric Fund Revenue, Expenses &amp; Changes in Fund Net Position</v>
      </c>
      <c r="C177" s="345" t="str">
        <f>'Unit Data from Audit Worksheet'!D197</f>
        <v>Total Transfers Out (To all funds)</v>
      </c>
      <c r="D177" s="365"/>
      <c r="E177" s="366">
        <f>'Unit Data from Audit Worksheet'!F197</f>
        <v>0</v>
      </c>
      <c r="F177" s="359">
        <f>IF(L177&lt;0,"Error: Enter as a positive.",)</f>
        <v>0</v>
      </c>
      <c r="G177" s="361"/>
      <c r="H177" s="358">
        <f>'Unit Data from Audit Worksheet'!I197</f>
        <v>0</v>
      </c>
      <c r="I177" s="38"/>
      <c r="J177" s="357">
        <v>366</v>
      </c>
      <c r="K177" s="356" t="s">
        <v>536</v>
      </c>
      <c r="L177" s="610">
        <f t="shared" si="20"/>
        <v>0</v>
      </c>
      <c r="P177" s="328"/>
      <c r="W177" s="3" t="b">
        <f t="shared" si="19"/>
        <v>1</v>
      </c>
      <c r="X177" s="607">
        <f t="shared" si="12"/>
        <v>0</v>
      </c>
      <c r="Y177" s="607">
        <f t="shared" si="13"/>
        <v>0</v>
      </c>
    </row>
    <row r="178" spans="1:25" s="18" customFormat="1" ht="76.5" customHeight="1" x14ac:dyDescent="0.3">
      <c r="A178" s="346">
        <f>'Unit Data from Audit Worksheet'!A198</f>
        <v>53</v>
      </c>
      <c r="B178" s="360" t="str">
        <f>'Unit Data from Audit Worksheet'!C198</f>
        <v>Electric Fund Revenue, Expenses &amp; Changes in Fund Net Position</v>
      </c>
      <c r="C178" s="345" t="str">
        <f>'Unit Data from Audit Worksheet'!D198</f>
        <v>Change in net position - Increase in net position is recorded as a positive and a (decrease) in net position is recorded as a negative.</v>
      </c>
      <c r="D178" s="365"/>
      <c r="E178" s="366">
        <f>'Unit Data from Audit Worksheet'!F198</f>
        <v>0</v>
      </c>
      <c r="F178" s="359">
        <f>IF(L168-L171+L173-L174+L175+L176-L177-L178=0,,"Error: Total revenues less total exp. does not equal change in net position Acct 93-94+363-364+192+365-366-53=0")</f>
        <v>0</v>
      </c>
      <c r="G178" s="91">
        <f>+L168-L171+L173-L174+L175+L176-L177-L178</f>
        <v>0</v>
      </c>
      <c r="H178" s="358">
        <f>'Unit Data from Audit Worksheet'!I198</f>
        <v>0</v>
      </c>
      <c r="I178" s="38"/>
      <c r="J178" s="357">
        <v>53</v>
      </c>
      <c r="K178" s="356" t="s">
        <v>101</v>
      </c>
      <c r="L178" s="610">
        <f t="shared" si="20"/>
        <v>0</v>
      </c>
      <c r="P178" s="328"/>
      <c r="Q178" s="600">
        <f>IF(G178&lt;&gt;0,1,0)</f>
        <v>0</v>
      </c>
      <c r="R178" s="3"/>
      <c r="W178" s="3" t="b">
        <f t="shared" si="19"/>
        <v>1</v>
      </c>
      <c r="X178" s="607">
        <f t="shared" si="12"/>
        <v>0</v>
      </c>
      <c r="Y178" s="607">
        <f t="shared" si="13"/>
        <v>0</v>
      </c>
    </row>
    <row r="179" spans="1:25" ht="140.25" customHeight="1" x14ac:dyDescent="0.3">
      <c r="A179" s="346">
        <f>'Unit Data from Audit Worksheet'!A199</f>
        <v>378</v>
      </c>
      <c r="B179" s="360" t="str">
        <f>'Unit Data from Audit Worksheet'!C199</f>
        <v>Electric Fund Revenue, Expenses &amp; Changes in Fund Net Position</v>
      </c>
      <c r="C179" s="345"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65"/>
      <c r="E179" s="366">
        <f>+'Unit Data from Audit Worksheet'!F199</f>
        <v>0</v>
      </c>
      <c r="F179" s="359" t="e">
        <f>IF(L151-L178-L179=O151,,"Error: Beg. Bal does not agree with our records Acct 362-53-378= pr yr 362")</f>
        <v>#N/A</v>
      </c>
      <c r="G179" s="91" t="e">
        <f>L151-L178-L179-O151</f>
        <v>#N/A</v>
      </c>
      <c r="H179" s="358">
        <f>'Unit Data from Audit Worksheet'!I199</f>
        <v>0</v>
      </c>
      <c r="I179" s="38"/>
      <c r="J179" s="357">
        <v>378</v>
      </c>
      <c r="K179" s="356" t="s">
        <v>110</v>
      </c>
      <c r="L179" s="610">
        <f t="shared" si="20"/>
        <v>0</v>
      </c>
      <c r="P179" s="328"/>
      <c r="Q179" s="600" t="e">
        <f>IF(G179&lt;&gt;0,1,0)</f>
        <v>#N/A</v>
      </c>
      <c r="W179" s="3" t="b">
        <f t="shared" si="19"/>
        <v>1</v>
      </c>
      <c r="X179" s="607">
        <f t="shared" si="12"/>
        <v>0</v>
      </c>
      <c r="Y179" s="607">
        <f t="shared" si="13"/>
        <v>0</v>
      </c>
    </row>
    <row r="180" spans="1:25" ht="28.8" x14ac:dyDescent="0.3">
      <c r="A180" s="346">
        <f>'Unit Data from Audit Worksheet'!A204</f>
        <v>51</v>
      </c>
      <c r="B180" s="360" t="str">
        <f>'Unit Data from Audit Worksheet'!C204</f>
        <v>Water Sewer Cash Flow Statement</v>
      </c>
      <c r="C180" s="345" t="str">
        <f>'Unit Data from Audit Worksheet'!D204</f>
        <v>Total Cash flow from operating activities  - (Enter negative cash flows as negative)</v>
      </c>
      <c r="D180" s="365"/>
      <c r="E180" s="366">
        <f>'Unit Data from Audit Worksheet'!F204</f>
        <v>0</v>
      </c>
      <c r="F180" s="359"/>
      <c r="G180" s="361"/>
      <c r="H180" s="358">
        <f>'Unit Data from Audit Worksheet'!I204</f>
        <v>0</v>
      </c>
      <c r="I180" s="38"/>
      <c r="J180" s="357">
        <v>51</v>
      </c>
      <c r="K180" s="356" t="s">
        <v>246</v>
      </c>
      <c r="L180" s="610">
        <f t="shared" si="20"/>
        <v>0</v>
      </c>
      <c r="P180" s="328"/>
      <c r="W180" s="3" t="b">
        <f t="shared" si="19"/>
        <v>1</v>
      </c>
      <c r="X180" s="607">
        <f t="shared" si="12"/>
        <v>0</v>
      </c>
      <c r="Y180" s="607">
        <f t="shared" si="13"/>
        <v>0</v>
      </c>
    </row>
    <row r="181" spans="1:25" ht="64.5" customHeight="1" x14ac:dyDescent="0.3">
      <c r="A181" s="346">
        <f>'Unit Data from Audit Worksheet'!A205</f>
        <v>332</v>
      </c>
      <c r="B181" s="360" t="str">
        <f>'Unit Data from Audit Worksheet'!C205</f>
        <v>Water Sewer Cash Flow Statement</v>
      </c>
      <c r="C181" s="345" t="str">
        <f>'Unit Data from Audit Worksheet'!D205</f>
        <v>Total Capital outlay. 
Include acquisition and construction of capital assets.</v>
      </c>
      <c r="D181" s="365"/>
      <c r="E181" s="366">
        <f>'Unit Data from Audit Worksheet'!F205</f>
        <v>0</v>
      </c>
      <c r="F181" s="359">
        <f>IF(L181&lt;0,"Error: Enter as a positive.",)</f>
        <v>0</v>
      </c>
      <c r="G181" s="361"/>
      <c r="H181" s="358">
        <f>'Unit Data from Audit Worksheet'!I205</f>
        <v>0</v>
      </c>
      <c r="I181" s="38"/>
      <c r="J181" s="357">
        <v>332</v>
      </c>
      <c r="K181" s="356" t="s">
        <v>248</v>
      </c>
      <c r="L181" s="610">
        <f t="shared" si="20"/>
        <v>0</v>
      </c>
      <c r="O181" s="618"/>
      <c r="P181" s="328"/>
      <c r="W181" s="3" t="b">
        <f t="shared" si="19"/>
        <v>1</v>
      </c>
      <c r="X181" s="607">
        <f t="shared" si="12"/>
        <v>0</v>
      </c>
      <c r="Y181" s="607">
        <f t="shared" si="13"/>
        <v>0</v>
      </c>
    </row>
    <row r="182" spans="1:25" ht="58.5" customHeight="1" x14ac:dyDescent="0.3">
      <c r="A182" s="346">
        <f>'Unit Data from Audit Worksheet'!A206</f>
        <v>331</v>
      </c>
      <c r="B182" s="360" t="str">
        <f>'Unit Data from Audit Worksheet'!C206</f>
        <v>Water Sewer Cash Flow Statement</v>
      </c>
      <c r="C182" s="345" t="str">
        <f>'Unit Data from Audit Worksheet'!D206</f>
        <v>Principal paid on long-term debt.  Amount should be reduced by principal payments for debt refunding.</v>
      </c>
      <c r="D182" s="365"/>
      <c r="E182" s="366">
        <f>'Unit Data from Audit Worksheet'!F206</f>
        <v>0</v>
      </c>
      <c r="F182" s="359">
        <f>IF(L182&lt;0,"Error: Enter as a positive.",)</f>
        <v>0</v>
      </c>
      <c r="G182" s="361"/>
      <c r="H182" s="358">
        <f>'Unit Data from Audit Worksheet'!I206</f>
        <v>0</v>
      </c>
      <c r="I182" s="38"/>
      <c r="J182" s="357">
        <v>331</v>
      </c>
      <c r="K182" s="356" t="s">
        <v>247</v>
      </c>
      <c r="L182" s="610">
        <f t="shared" si="20"/>
        <v>0</v>
      </c>
      <c r="O182" s="618"/>
      <c r="P182" s="328"/>
      <c r="W182" s="3" t="b">
        <f t="shared" si="19"/>
        <v>1</v>
      </c>
      <c r="X182" s="607">
        <f t="shared" ref="X182:X276" si="21">E182-L182</f>
        <v>0</v>
      </c>
      <c r="Y182" s="607">
        <f t="shared" ref="Y182:Y276" si="22">D182-L182</f>
        <v>0</v>
      </c>
    </row>
    <row r="183" spans="1:25" ht="51.75" customHeight="1" x14ac:dyDescent="0.3">
      <c r="A183" s="346">
        <f>'Unit Data from Audit Worksheet'!A208</f>
        <v>55</v>
      </c>
      <c r="B183" s="360" t="str">
        <f>'Unit Data from Audit Worksheet'!C208</f>
        <v>Electric Fund Cash Flow Statement</v>
      </c>
      <c r="C183" s="345" t="str">
        <f>'Unit Data from Audit Worksheet'!D208</f>
        <v>Cash flow from operating activities - (enter negative cash flows as negative)</v>
      </c>
      <c r="D183" s="365"/>
      <c r="E183" s="366">
        <f>'Unit Data from Audit Worksheet'!F208</f>
        <v>0</v>
      </c>
      <c r="F183" s="359"/>
      <c r="G183" s="361"/>
      <c r="H183" s="358">
        <f>'Unit Data from Audit Worksheet'!I208</f>
        <v>0</v>
      </c>
      <c r="I183" s="38"/>
      <c r="J183" s="357">
        <v>55</v>
      </c>
      <c r="K183" s="356" t="s">
        <v>249</v>
      </c>
      <c r="L183" s="610">
        <f t="shared" si="20"/>
        <v>0</v>
      </c>
      <c r="P183" s="328"/>
      <c r="W183" s="3" t="b">
        <f t="shared" si="19"/>
        <v>1</v>
      </c>
      <c r="X183" s="607">
        <f t="shared" si="21"/>
        <v>0</v>
      </c>
      <c r="Y183" s="607">
        <f t="shared" si="22"/>
        <v>0</v>
      </c>
    </row>
    <row r="184" spans="1:25" ht="58.5" customHeight="1" x14ac:dyDescent="0.3">
      <c r="A184" s="346">
        <f>'Unit Data from Audit Worksheet'!A209</f>
        <v>101</v>
      </c>
      <c r="B184" s="360" t="str">
        <f>'Unit Data from Audit Worksheet'!C209</f>
        <v>Electric Fund Cash Flow Statement</v>
      </c>
      <c r="C184" s="345" t="str">
        <f>'Unit Data from Audit Worksheet'!D209</f>
        <v>Total Capital outlay.  
Include acquisition and construction of capital assets.</v>
      </c>
      <c r="D184" s="365"/>
      <c r="E184" s="366">
        <f>'Unit Data from Audit Worksheet'!F209</f>
        <v>0</v>
      </c>
      <c r="F184" s="359">
        <f>IF(L184&lt;0,"Error: Enter as a positive.",)</f>
        <v>0</v>
      </c>
      <c r="G184" s="361"/>
      <c r="H184" s="358">
        <f>'Unit Data from Audit Worksheet'!I209</f>
        <v>0</v>
      </c>
      <c r="I184" s="38"/>
      <c r="J184" s="357">
        <v>101</v>
      </c>
      <c r="K184" s="356" t="s">
        <v>250</v>
      </c>
      <c r="L184" s="610">
        <f t="shared" si="20"/>
        <v>0</v>
      </c>
      <c r="P184" s="328"/>
      <c r="W184" s="3" t="b">
        <f t="shared" si="19"/>
        <v>1</v>
      </c>
      <c r="X184" s="607">
        <f t="shared" si="21"/>
        <v>0</v>
      </c>
      <c r="Y184" s="607">
        <f t="shared" si="22"/>
        <v>0</v>
      </c>
    </row>
    <row r="185" spans="1:25" ht="60.75" customHeight="1" x14ac:dyDescent="0.3">
      <c r="A185" s="346">
        <f>'Unit Data from Audit Worksheet'!A210</f>
        <v>100</v>
      </c>
      <c r="B185" s="360" t="str">
        <f>'Unit Data from Audit Worksheet'!C210</f>
        <v>Electric Fund Cash Flow Statement</v>
      </c>
      <c r="C185" s="345" t="str">
        <f>'Unit Data from Audit Worksheet'!D210</f>
        <v>Principal paid on long-term debt.  Amount should be reduced by principal payments for debt refunding.</v>
      </c>
      <c r="D185" s="365"/>
      <c r="E185" s="366">
        <f>'Unit Data from Audit Worksheet'!F210</f>
        <v>0</v>
      </c>
      <c r="F185" s="359">
        <f>IF(L185&lt;0,"Error: Enter as a positive.",)</f>
        <v>0</v>
      </c>
      <c r="G185" s="361"/>
      <c r="H185" s="358">
        <f>'Unit Data from Audit Worksheet'!I210</f>
        <v>0</v>
      </c>
      <c r="I185" s="38"/>
      <c r="J185" s="357">
        <v>100</v>
      </c>
      <c r="K185" s="356" t="s">
        <v>251</v>
      </c>
      <c r="L185" s="610">
        <f t="shared" si="20"/>
        <v>0</v>
      </c>
      <c r="P185" s="328"/>
      <c r="W185" s="3" t="b">
        <f t="shared" si="19"/>
        <v>1</v>
      </c>
      <c r="X185" s="607">
        <f t="shared" si="21"/>
        <v>0</v>
      </c>
      <c r="Y185" s="607">
        <f t="shared" si="22"/>
        <v>0</v>
      </c>
    </row>
    <row r="186" spans="1:25" ht="71.25" customHeight="1" x14ac:dyDescent="0.3">
      <c r="A186" s="346">
        <f>'Unit Data from Audit Worksheet'!A212</f>
        <v>512</v>
      </c>
      <c r="B186" s="360" t="str">
        <f>'Unit Data from Audit Worksheet'!C212</f>
        <v>Fiduciary Statements</v>
      </c>
      <c r="C186" s="345" t="str">
        <f>'Unit Data from Audit Worksheet'!D212</f>
        <v>Cash and investments.  
Include:  unrestricted and restricted.  
                   cash and investments held 
                   by a third party</v>
      </c>
      <c r="D186" s="365"/>
      <c r="E186" s="366">
        <f>'Unit Data from Audit Worksheet'!F212</f>
        <v>0</v>
      </c>
      <c r="F186" s="359">
        <f>IF(L186&lt;0,"Error: Number is normally positive.",)</f>
        <v>0</v>
      </c>
      <c r="G186" s="361"/>
      <c r="H186" s="358">
        <f>'Unit Data from Audit Worksheet'!I212</f>
        <v>0</v>
      </c>
      <c r="I186" s="38"/>
      <c r="J186" s="357">
        <v>512</v>
      </c>
      <c r="K186" s="356" t="s">
        <v>252</v>
      </c>
      <c r="L186" s="610">
        <f t="shared" si="20"/>
        <v>0</v>
      </c>
      <c r="P186" s="328"/>
      <c r="W186" s="3" t="b">
        <f t="shared" si="19"/>
        <v>1</v>
      </c>
      <c r="X186" s="607">
        <f t="shared" si="21"/>
        <v>0</v>
      </c>
      <c r="Y186" s="607">
        <f t="shared" si="22"/>
        <v>0</v>
      </c>
    </row>
    <row r="187" spans="1:25" ht="62.25" customHeight="1" x14ac:dyDescent="0.3">
      <c r="A187" s="346">
        <f>'Unit Data from Audit Worksheet'!A214</f>
        <v>656</v>
      </c>
      <c r="B187" s="360">
        <f>'Unit Data from Audit Worksheet'!C214</f>
        <v>0</v>
      </c>
      <c r="C187" s="345" t="str">
        <f>'Unit Data from Audit Worksheet'!D214</f>
        <v>Do you use prepared food/occupancy tax revenue stream to support debt?  Select "1" for Yes and "2" for No</v>
      </c>
      <c r="D187" s="139"/>
      <c r="E187" s="366">
        <f>'Unit Data from Audit Worksheet'!F214</f>
        <v>0</v>
      </c>
      <c r="F187" s="359"/>
      <c r="G187" s="361"/>
      <c r="H187" s="358"/>
      <c r="I187" s="38"/>
      <c r="J187" s="357">
        <v>656</v>
      </c>
      <c r="K187" s="363" t="s">
        <v>789</v>
      </c>
      <c r="L187" s="636">
        <f>E187</f>
        <v>0</v>
      </c>
      <c r="M187" s="18"/>
      <c r="N187" s="18"/>
      <c r="O187" s="18"/>
      <c r="P187" s="328"/>
      <c r="W187" s="3" t="b">
        <f t="shared" si="19"/>
        <v>1</v>
      </c>
      <c r="X187" s="607">
        <f t="shared" si="21"/>
        <v>0</v>
      </c>
      <c r="Y187" s="607">
        <f t="shared" si="22"/>
        <v>0</v>
      </c>
    </row>
    <row r="188" spans="1:25" s="18" customFormat="1" ht="102.75" customHeight="1" x14ac:dyDescent="0.3">
      <c r="A188" s="346">
        <f>'Unit Data from Audit Worksheet'!A216</f>
        <v>535</v>
      </c>
      <c r="B188" s="360" t="str">
        <f>'Unit Data from Audit Worksheet'!C216</f>
        <v>Cash and Investment Note</v>
      </c>
      <c r="C188" s="345" t="str">
        <f>'Unit Data from Audit Worksheet'!D216</f>
        <v>Cash and Investment - Please list the book value of any unspent debt proceeds (bonds, installment, etc.) in any funds as of June 30.  This information may be on the face of your statements or in the notes</v>
      </c>
      <c r="D188" s="365"/>
      <c r="E188" s="366">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61"/>
      <c r="H188" s="358">
        <f>'Unit Data from Audit Worksheet'!I216</f>
        <v>0</v>
      </c>
      <c r="I188" s="38"/>
      <c r="J188" s="357">
        <v>535</v>
      </c>
      <c r="K188" s="62" t="s">
        <v>253</v>
      </c>
      <c r="L188" s="610">
        <f t="shared" si="20"/>
        <v>0</v>
      </c>
      <c r="P188" s="328"/>
      <c r="Q188" s="600"/>
      <c r="R188" s="3"/>
      <c r="W188" s="3" t="b">
        <f t="shared" si="19"/>
        <v>1</v>
      </c>
      <c r="X188" s="607">
        <f t="shared" si="21"/>
        <v>0</v>
      </c>
      <c r="Y188" s="607">
        <f t="shared" si="22"/>
        <v>0</v>
      </c>
    </row>
    <row r="189" spans="1:25" ht="45.75" customHeight="1" x14ac:dyDescent="0.3">
      <c r="A189" s="346">
        <f>'Unit Data from Audit Worksheet'!A220</f>
        <v>334</v>
      </c>
      <c r="B189" s="360" t="str">
        <f>'Unit Data from Audit Worksheet'!C220</f>
        <v>Gov.-Capital Assets Schedule in the Notes</v>
      </c>
      <c r="C189" s="345" t="str">
        <f>'Unit Data from Audit Worksheet'!D220</f>
        <v>Gross value.  
Exclude non-depreciable.</v>
      </c>
      <c r="D189" s="365"/>
      <c r="E189" s="366">
        <f>'Unit Data from Audit Worksheet'!F220</f>
        <v>0</v>
      </c>
      <c r="F189" s="87"/>
      <c r="G189" s="361"/>
      <c r="H189" s="358">
        <f>'Unit Data from Audit Worksheet'!I220</f>
        <v>0</v>
      </c>
      <c r="I189" s="38"/>
      <c r="J189" s="357">
        <v>334</v>
      </c>
      <c r="K189" s="62" t="s">
        <v>276</v>
      </c>
      <c r="L189" s="610">
        <f t="shared" si="20"/>
        <v>0</v>
      </c>
      <c r="P189" s="328"/>
      <c r="W189" s="3" t="b">
        <f t="shared" si="19"/>
        <v>1</v>
      </c>
      <c r="X189" s="607">
        <f t="shared" si="21"/>
        <v>0</v>
      </c>
      <c r="Y189" s="607">
        <f t="shared" si="22"/>
        <v>0</v>
      </c>
    </row>
    <row r="190" spans="1:25" ht="57" customHeight="1" x14ac:dyDescent="0.3">
      <c r="A190" s="346">
        <f>'Unit Data from Audit Worksheet'!A221</f>
        <v>373</v>
      </c>
      <c r="B190" s="360" t="str">
        <f>'Unit Data from Audit Worksheet'!C221</f>
        <v>Gov.-Capital Assets Schedule in the Notes</v>
      </c>
      <c r="C190" s="345" t="str">
        <f>'Unit Data from Audit Worksheet'!D221</f>
        <v>Accumulated depreciation</v>
      </c>
      <c r="D190" s="365"/>
      <c r="E190" s="366">
        <f>'Unit Data from Audit Worksheet'!F221</f>
        <v>0</v>
      </c>
      <c r="F190" s="87"/>
      <c r="G190" s="361"/>
      <c r="H190" s="358">
        <f>'Unit Data from Audit Worksheet'!I221</f>
        <v>0</v>
      </c>
      <c r="I190" s="38"/>
      <c r="J190" s="357">
        <v>373</v>
      </c>
      <c r="K190" s="58" t="s">
        <v>549</v>
      </c>
      <c r="L190" s="610">
        <f t="shared" si="20"/>
        <v>0</v>
      </c>
      <c r="P190" s="328"/>
      <c r="W190" s="3" t="b">
        <f t="shared" si="19"/>
        <v>1</v>
      </c>
      <c r="X190" s="607">
        <f t="shared" si="21"/>
        <v>0</v>
      </c>
      <c r="Y190" s="607">
        <f t="shared" si="22"/>
        <v>0</v>
      </c>
    </row>
    <row r="191" spans="1:25" ht="102.75" customHeight="1" x14ac:dyDescent="0.3">
      <c r="A191" s="626">
        <f>'Unit Data from Audit Worksheet'!A222</f>
        <v>987</v>
      </c>
      <c r="B191" s="364">
        <f>'Unit Data from Audit Worksheet'!C222</f>
        <v>0</v>
      </c>
      <c r="C191" s="627" t="str">
        <f>'Unit Data from Audit Worksheet'!D222</f>
        <v xml:space="preserve">Estimated cost not yet budgeted of any mandate placed on unit by DEQ, a court order or some similar requirement (that has no realistic appeal path). </v>
      </c>
      <c r="D191" s="365"/>
      <c r="E191" s="366">
        <f>'Unit Data from Audit Worksheet'!F222</f>
        <v>0</v>
      </c>
      <c r="F191" s="87"/>
      <c r="G191" s="361"/>
      <c r="H191" s="358">
        <f>'Unit Data from Audit Worksheet'!I222</f>
        <v>0</v>
      </c>
      <c r="I191" s="38"/>
      <c r="J191" s="375">
        <v>987</v>
      </c>
      <c r="K191" s="637" t="s">
        <v>1332</v>
      </c>
      <c r="L191" s="628">
        <f t="shared" si="20"/>
        <v>0</v>
      </c>
      <c r="P191" s="328"/>
      <c r="W191" s="3" t="b">
        <f t="shared" si="19"/>
        <v>1</v>
      </c>
      <c r="X191" s="607"/>
      <c r="Y191" s="607"/>
    </row>
    <row r="192" spans="1:25" ht="69" customHeight="1" x14ac:dyDescent="0.3">
      <c r="A192" s="626">
        <f>'Unit Data from Audit Worksheet'!A223</f>
        <v>988</v>
      </c>
      <c r="B192" s="364">
        <f>'Unit Data from Audit Worksheet'!C223</f>
        <v>0</v>
      </c>
      <c r="C192" s="627" t="str">
        <f>'Unit Data from Audit Worksheet'!D223</f>
        <v>Do you operate a landfill that will be closing  or have a significant portion closing within the next 5 years?  Select "1" for Yes and "2" for No</v>
      </c>
      <c r="D192" s="365"/>
      <c r="E192" s="366">
        <f>'Unit Data from Audit Worksheet'!F223</f>
        <v>0</v>
      </c>
      <c r="F192" s="87"/>
      <c r="G192" s="361"/>
      <c r="H192" s="358">
        <f>'Unit Data from Audit Worksheet'!I223</f>
        <v>0</v>
      </c>
      <c r="I192" s="38"/>
      <c r="J192" s="375">
        <v>988</v>
      </c>
      <c r="K192" s="637" t="s">
        <v>1881</v>
      </c>
      <c r="L192" s="628">
        <f t="shared" si="20"/>
        <v>0</v>
      </c>
      <c r="P192" s="328"/>
      <c r="W192" s="3" t="b">
        <f t="shared" si="19"/>
        <v>1</v>
      </c>
      <c r="X192" s="607"/>
      <c r="Y192" s="607"/>
    </row>
    <row r="193" spans="1:25" ht="95.25" customHeight="1" x14ac:dyDescent="0.3">
      <c r="A193" s="626">
        <f>'Unit Data from Audit Worksheet'!A224</f>
        <v>989</v>
      </c>
      <c r="B193" s="364">
        <f>'Unit Data from Audit Worksheet'!C224</f>
        <v>0</v>
      </c>
      <c r="C193" s="627" t="str">
        <f>'Unit Data from Audit Worksheet'!D224</f>
        <v>If you answered "yes" to question #988 above, will you have the closure/postclosure cost fully funded by the date of closure?  Select "1" for Yes,  "2" for No, or "3" for N/A.</v>
      </c>
      <c r="D193" s="365"/>
      <c r="E193" s="366">
        <f>'Unit Data from Audit Worksheet'!F224</f>
        <v>0</v>
      </c>
      <c r="F193" s="87"/>
      <c r="G193" s="361"/>
      <c r="H193" s="358">
        <f>'Unit Data from Audit Worksheet'!I224</f>
        <v>0</v>
      </c>
      <c r="I193" s="38"/>
      <c r="J193" s="375">
        <v>989</v>
      </c>
      <c r="K193" s="637" t="s">
        <v>1605</v>
      </c>
      <c r="L193" s="628">
        <f t="shared" si="20"/>
        <v>0</v>
      </c>
      <c r="P193" s="328"/>
      <c r="W193" s="3" t="b">
        <f t="shared" si="19"/>
        <v>1</v>
      </c>
      <c r="X193" s="607"/>
      <c r="Y193" s="607"/>
    </row>
    <row r="194" spans="1:25" ht="57" customHeight="1" x14ac:dyDescent="0.3">
      <c r="A194" s="346">
        <f>'Unit Data from Audit Worksheet'!A228</f>
        <v>327</v>
      </c>
      <c r="B194" s="360" t="str">
        <f>'Unit Data from Audit Worksheet'!C228</f>
        <v>WS-Capital Assets Schedule in the Notes</v>
      </c>
      <c r="C194" s="345" t="str">
        <f>'Unit Data from Audit Worksheet'!D228</f>
        <v>Land and all other non depreciable capital assets 
Exclude construction in progress</v>
      </c>
      <c r="D194" s="365"/>
      <c r="E194" s="366">
        <f>'Unit Data from Audit Worksheet'!F228</f>
        <v>0</v>
      </c>
      <c r="F194" s="87"/>
      <c r="G194" s="361"/>
      <c r="H194" s="358">
        <f>'Unit Data from Audit Worksheet'!I228</f>
        <v>0</v>
      </c>
      <c r="I194" s="38"/>
      <c r="J194" s="357">
        <v>327</v>
      </c>
      <c r="K194" s="58" t="s">
        <v>550</v>
      </c>
      <c r="L194" s="610">
        <f t="shared" si="20"/>
        <v>0</v>
      </c>
      <c r="P194" s="328"/>
      <c r="W194" s="3" t="b">
        <f t="shared" si="19"/>
        <v>1</v>
      </c>
      <c r="X194" s="607">
        <f t="shared" si="21"/>
        <v>0</v>
      </c>
      <c r="Y194" s="607">
        <f t="shared" si="22"/>
        <v>0</v>
      </c>
    </row>
    <row r="195" spans="1:25" ht="57" customHeight="1" x14ac:dyDescent="0.3">
      <c r="A195" s="346">
        <f>'Unit Data from Audit Worksheet'!A229</f>
        <v>328</v>
      </c>
      <c r="B195" s="360" t="str">
        <f>'Unit Data from Audit Worksheet'!C229</f>
        <v>WS-Capital Assets Schedule in the Notes</v>
      </c>
      <c r="C195" s="345" t="str">
        <f>'Unit Data from Audit Worksheet'!D229</f>
        <v>Construction in progress</v>
      </c>
      <c r="D195" s="365"/>
      <c r="E195" s="366">
        <f>'Unit Data from Audit Worksheet'!F229</f>
        <v>0</v>
      </c>
      <c r="F195" s="87"/>
      <c r="G195" s="361"/>
      <c r="H195" s="358">
        <f>'Unit Data from Audit Worksheet'!I229</f>
        <v>0</v>
      </c>
      <c r="I195" s="38"/>
      <c r="J195" s="357">
        <v>328</v>
      </c>
      <c r="K195" s="58" t="s">
        <v>551</v>
      </c>
      <c r="L195" s="610">
        <f t="shared" si="20"/>
        <v>0</v>
      </c>
      <c r="P195" s="328"/>
      <c r="W195" s="3" t="b">
        <f t="shared" si="19"/>
        <v>1</v>
      </c>
      <c r="X195" s="607">
        <f t="shared" si="21"/>
        <v>0</v>
      </c>
      <c r="Y195" s="607">
        <f t="shared" si="22"/>
        <v>0</v>
      </c>
    </row>
    <row r="196" spans="1:25" ht="46.5" customHeight="1" x14ac:dyDescent="0.3">
      <c r="A196" s="346">
        <f>'Unit Data from Audit Worksheet'!A233</f>
        <v>515</v>
      </c>
      <c r="B196" s="360" t="str">
        <f>'Unit Data from Audit Worksheet'!C233</f>
        <v>WS Capital Assets Schedule-Gross Value</v>
      </c>
      <c r="C196" s="345" t="str">
        <f>'Unit Data from Audit Worksheet'!D233</f>
        <v>Buildings</v>
      </c>
      <c r="D196" s="365"/>
      <c r="E196" s="366">
        <f>'Unit Data from Audit Worksheet'!F233</f>
        <v>0</v>
      </c>
      <c r="F196" s="87"/>
      <c r="G196" s="361"/>
      <c r="H196" s="358">
        <f>'Unit Data from Audit Worksheet'!I233</f>
        <v>0</v>
      </c>
      <c r="I196" s="38"/>
      <c r="J196" s="357">
        <v>515</v>
      </c>
      <c r="K196" s="58" t="s">
        <v>277</v>
      </c>
      <c r="L196" s="610">
        <f t="shared" si="20"/>
        <v>0</v>
      </c>
      <c r="P196" s="328"/>
      <c r="W196" s="3" t="b">
        <f t="shared" si="19"/>
        <v>1</v>
      </c>
      <c r="X196" s="607">
        <f t="shared" si="21"/>
        <v>0</v>
      </c>
      <c r="Y196" s="607">
        <f t="shared" si="22"/>
        <v>0</v>
      </c>
    </row>
    <row r="197" spans="1:25" ht="46.5" customHeight="1" x14ac:dyDescent="0.3">
      <c r="A197" s="346">
        <f>'Unit Data from Audit Worksheet'!A234</f>
        <v>516</v>
      </c>
      <c r="B197" s="360" t="str">
        <f>'Unit Data from Audit Worksheet'!C234</f>
        <v>WS Capital Assets Schedule-Gross Value</v>
      </c>
      <c r="C197" s="345" t="str">
        <f>'Unit Data from Audit Worksheet'!D234</f>
        <v>Plant / distributions systems / water lines</v>
      </c>
      <c r="D197" s="365"/>
      <c r="E197" s="366">
        <f>'Unit Data from Audit Worksheet'!F234</f>
        <v>0</v>
      </c>
      <c r="F197" s="87"/>
      <c r="G197" s="361"/>
      <c r="H197" s="358">
        <f>'Unit Data from Audit Worksheet'!I234</f>
        <v>0</v>
      </c>
      <c r="I197" s="38"/>
      <c r="J197" s="357">
        <v>516</v>
      </c>
      <c r="K197" s="58" t="s">
        <v>278</v>
      </c>
      <c r="L197" s="610">
        <f t="shared" si="20"/>
        <v>0</v>
      </c>
      <c r="P197" s="328"/>
      <c r="W197" s="3" t="b">
        <f t="shared" ref="W197:W228" si="23">EXACT(A197,J197)</f>
        <v>1</v>
      </c>
      <c r="X197" s="607">
        <f t="shared" si="21"/>
        <v>0</v>
      </c>
      <c r="Y197" s="607">
        <f t="shared" si="22"/>
        <v>0</v>
      </c>
    </row>
    <row r="198" spans="1:25" ht="46.5" customHeight="1" x14ac:dyDescent="0.3">
      <c r="A198" s="346">
        <f>'Unit Data from Audit Worksheet'!A235</f>
        <v>517</v>
      </c>
      <c r="B198" s="360" t="str">
        <f>'Unit Data from Audit Worksheet'!C235</f>
        <v>WS Capital Assets Schedule-Gross Value</v>
      </c>
      <c r="C198" s="345" t="str">
        <f>'Unit Data from Audit Worksheet'!D235</f>
        <v>Infrastructure(other infrastructure)</v>
      </c>
      <c r="D198" s="365"/>
      <c r="E198" s="366">
        <f>'Unit Data from Audit Worksheet'!F235</f>
        <v>0</v>
      </c>
      <c r="F198" s="87"/>
      <c r="G198" s="361"/>
      <c r="H198" s="358">
        <f>'Unit Data from Audit Worksheet'!I235</f>
        <v>0</v>
      </c>
      <c r="I198" s="38"/>
      <c r="J198" s="357">
        <v>517</v>
      </c>
      <c r="K198" s="638" t="s">
        <v>279</v>
      </c>
      <c r="L198" s="610">
        <f t="shared" si="20"/>
        <v>0</v>
      </c>
      <c r="P198" s="328"/>
      <c r="W198" s="3" t="b">
        <f t="shared" si="23"/>
        <v>1</v>
      </c>
      <c r="X198" s="607">
        <f t="shared" si="21"/>
        <v>0</v>
      </c>
      <c r="Y198" s="607">
        <f t="shared" si="22"/>
        <v>0</v>
      </c>
    </row>
    <row r="199" spans="1:25" ht="46.5" customHeight="1" x14ac:dyDescent="0.3">
      <c r="A199" s="346">
        <f>'Unit Data from Audit Worksheet'!A236</f>
        <v>518</v>
      </c>
      <c r="B199" s="360" t="str">
        <f>'Unit Data from Audit Worksheet'!C236</f>
        <v>WS Capital Assets Schedule-Gross Value</v>
      </c>
      <c r="C199" s="345" t="str">
        <f>'Unit Data from Audit Worksheet'!D236</f>
        <v>All other depreciable capital assets</v>
      </c>
      <c r="D199" s="365"/>
      <c r="E199" s="366">
        <f>'Unit Data from Audit Worksheet'!F236</f>
        <v>0</v>
      </c>
      <c r="F199" s="87"/>
      <c r="G199" s="361"/>
      <c r="H199" s="358">
        <f>'Unit Data from Audit Worksheet'!I236</f>
        <v>0</v>
      </c>
      <c r="I199" s="38"/>
      <c r="J199" s="357">
        <v>518</v>
      </c>
      <c r="K199" s="638" t="s">
        <v>280</v>
      </c>
      <c r="L199" s="610">
        <f t="shared" si="20"/>
        <v>0</v>
      </c>
      <c r="P199" s="328"/>
      <c r="W199" s="3" t="b">
        <f t="shared" si="23"/>
        <v>1</v>
      </c>
      <c r="X199" s="607">
        <f t="shared" si="21"/>
        <v>0</v>
      </c>
      <c r="Y199" s="607">
        <f t="shared" si="22"/>
        <v>0</v>
      </c>
    </row>
    <row r="200" spans="1:25" ht="52.5" customHeight="1" x14ac:dyDescent="0.3">
      <c r="A200" s="346">
        <f>'Unit Data from Audit Worksheet'!A239</f>
        <v>519</v>
      </c>
      <c r="B200" s="360" t="str">
        <f>'Unit Data from Audit Worksheet'!C239</f>
        <v>WS Capital Assets Schedule-Annual Depreciation</v>
      </c>
      <c r="C200" s="345" t="str">
        <f>'Unit Data from Audit Worksheet'!D239</f>
        <v>Buildings annual depreciation</v>
      </c>
      <c r="D200" s="365"/>
      <c r="E200" s="366">
        <f>'Unit Data from Audit Worksheet'!F239</f>
        <v>0</v>
      </c>
      <c r="F200" s="87"/>
      <c r="G200" s="361"/>
      <c r="H200" s="358">
        <f>'Unit Data from Audit Worksheet'!I239</f>
        <v>0</v>
      </c>
      <c r="I200" s="38"/>
      <c r="J200" s="357">
        <v>519</v>
      </c>
      <c r="K200" s="638" t="s">
        <v>281</v>
      </c>
      <c r="L200" s="610">
        <f t="shared" si="20"/>
        <v>0</v>
      </c>
      <c r="P200" s="328"/>
      <c r="W200" s="3" t="b">
        <f t="shared" si="23"/>
        <v>1</v>
      </c>
      <c r="X200" s="607">
        <f t="shared" si="21"/>
        <v>0</v>
      </c>
      <c r="Y200" s="607">
        <f t="shared" si="22"/>
        <v>0</v>
      </c>
    </row>
    <row r="201" spans="1:25" ht="52.5" customHeight="1" x14ac:dyDescent="0.3">
      <c r="A201" s="346">
        <f>'Unit Data from Audit Worksheet'!A240</f>
        <v>520</v>
      </c>
      <c r="B201" s="360" t="str">
        <f>'Unit Data from Audit Worksheet'!C240</f>
        <v>WS Capital Assets Schedule-Annual Depreciation</v>
      </c>
      <c r="C201" s="345" t="str">
        <f>'Unit Data from Audit Worksheet'!D240</f>
        <v>Plant / distributions systems / water lines annual depreciation</v>
      </c>
      <c r="D201" s="365"/>
      <c r="E201" s="366">
        <f>'Unit Data from Audit Worksheet'!F240</f>
        <v>0</v>
      </c>
      <c r="F201" s="87"/>
      <c r="G201" s="361"/>
      <c r="H201" s="358">
        <f>'Unit Data from Audit Worksheet'!I240</f>
        <v>0</v>
      </c>
      <c r="I201" s="38"/>
      <c r="J201" s="357">
        <v>520</v>
      </c>
      <c r="K201" s="638" t="s">
        <v>282</v>
      </c>
      <c r="L201" s="610">
        <f t="shared" si="20"/>
        <v>0</v>
      </c>
      <c r="P201" s="328"/>
      <c r="W201" s="3" t="b">
        <f t="shared" si="23"/>
        <v>1</v>
      </c>
      <c r="X201" s="607">
        <f t="shared" si="21"/>
        <v>0</v>
      </c>
      <c r="Y201" s="607">
        <f t="shared" si="22"/>
        <v>0</v>
      </c>
    </row>
    <row r="202" spans="1:25" ht="52.5" customHeight="1" x14ac:dyDescent="0.3">
      <c r="A202" s="346">
        <f>'Unit Data from Audit Worksheet'!A241</f>
        <v>521</v>
      </c>
      <c r="B202" s="360" t="str">
        <f>'Unit Data from Audit Worksheet'!C241</f>
        <v>WS Capital Assets Schedule-Annual Depreciation</v>
      </c>
      <c r="C202" s="345" t="str">
        <f>'Unit Data from Audit Worksheet'!D241</f>
        <v>Infrastructure(other infrastructure) annual depreciation</v>
      </c>
      <c r="D202" s="365"/>
      <c r="E202" s="366">
        <f>'Unit Data from Audit Worksheet'!F241</f>
        <v>0</v>
      </c>
      <c r="F202" s="87"/>
      <c r="G202" s="361"/>
      <c r="H202" s="358">
        <f>'Unit Data from Audit Worksheet'!I241</f>
        <v>0</v>
      </c>
      <c r="I202" s="38"/>
      <c r="J202" s="357">
        <v>521</v>
      </c>
      <c r="K202" s="58" t="s">
        <v>283</v>
      </c>
      <c r="L202" s="610">
        <f t="shared" si="20"/>
        <v>0</v>
      </c>
      <c r="P202" s="328"/>
      <c r="W202" s="3" t="b">
        <f t="shared" si="23"/>
        <v>1</v>
      </c>
      <c r="X202" s="607">
        <f t="shared" si="21"/>
        <v>0</v>
      </c>
      <c r="Y202" s="607">
        <f t="shared" si="22"/>
        <v>0</v>
      </c>
    </row>
    <row r="203" spans="1:25" ht="42.75" customHeight="1" x14ac:dyDescent="0.3">
      <c r="A203" s="346">
        <f>'Unit Data from Audit Worksheet'!A242</f>
        <v>522</v>
      </c>
      <c r="B203" s="360" t="str">
        <f>'Unit Data from Audit Worksheet'!C242</f>
        <v>WS Capital Assets Schedule-Annual Depreciation</v>
      </c>
      <c r="C203" s="345" t="str">
        <f>'Unit Data from Audit Worksheet'!D242</f>
        <v>All other depreciable capital assets annual depreciation</v>
      </c>
      <c r="D203" s="365"/>
      <c r="E203" s="366">
        <f>'Unit Data from Audit Worksheet'!F242</f>
        <v>0</v>
      </c>
      <c r="F203" s="87"/>
      <c r="G203" s="361"/>
      <c r="H203" s="358">
        <f>'Unit Data from Audit Worksheet'!I242</f>
        <v>0</v>
      </c>
      <c r="I203" s="38"/>
      <c r="J203" s="357">
        <v>522</v>
      </c>
      <c r="K203" s="58" t="s">
        <v>284</v>
      </c>
      <c r="L203" s="610">
        <f t="shared" si="20"/>
        <v>0</v>
      </c>
      <c r="P203" s="328"/>
      <c r="W203" s="3" t="b">
        <f t="shared" si="23"/>
        <v>1</v>
      </c>
      <c r="X203" s="607">
        <f t="shared" si="21"/>
        <v>0</v>
      </c>
      <c r="Y203" s="607">
        <f t="shared" si="22"/>
        <v>0</v>
      </c>
    </row>
    <row r="204" spans="1:25" ht="42.75" customHeight="1" x14ac:dyDescent="0.3">
      <c r="A204" s="346">
        <f>'Unit Data from Audit Worksheet'!A245</f>
        <v>523</v>
      </c>
      <c r="B204" s="360" t="str">
        <f>'Unit Data from Audit Worksheet'!C245</f>
        <v>WS Capital Assets Schedule-Accumulated Depreciation</v>
      </c>
      <c r="C204" s="345" t="str">
        <f>'Unit Data from Audit Worksheet'!D245</f>
        <v>Building accumulated depreciation</v>
      </c>
      <c r="D204" s="365"/>
      <c r="E204" s="366">
        <f>'Unit Data from Audit Worksheet'!F245</f>
        <v>0</v>
      </c>
      <c r="F204" s="87"/>
      <c r="G204" s="361"/>
      <c r="H204" s="358">
        <f>'Unit Data from Audit Worksheet'!I245</f>
        <v>0</v>
      </c>
      <c r="I204" s="38"/>
      <c r="J204" s="357">
        <v>523</v>
      </c>
      <c r="K204" s="58" t="s">
        <v>285</v>
      </c>
      <c r="L204" s="610">
        <f t="shared" si="20"/>
        <v>0</v>
      </c>
      <c r="P204" s="328"/>
      <c r="W204" s="3" t="b">
        <f t="shared" si="23"/>
        <v>1</v>
      </c>
      <c r="X204" s="607">
        <f t="shared" si="21"/>
        <v>0</v>
      </c>
      <c r="Y204" s="607">
        <f t="shared" si="22"/>
        <v>0</v>
      </c>
    </row>
    <row r="205" spans="1:25" ht="51" customHeight="1" x14ac:dyDescent="0.3">
      <c r="A205" s="346">
        <f>'Unit Data from Audit Worksheet'!A246</f>
        <v>524</v>
      </c>
      <c r="B205" s="360" t="str">
        <f>'Unit Data from Audit Worksheet'!C246</f>
        <v>WS Capital Assets Schedule-Accumulated Depreciation</v>
      </c>
      <c r="C205" s="345" t="str">
        <f>'Unit Data from Audit Worksheet'!D246</f>
        <v>Plant / distributions systems / water lines accumulated depreciation</v>
      </c>
      <c r="D205" s="365"/>
      <c r="E205" s="366">
        <f>'Unit Data from Audit Worksheet'!F246</f>
        <v>0</v>
      </c>
      <c r="F205" s="87"/>
      <c r="G205" s="361"/>
      <c r="H205" s="358">
        <f>'Unit Data from Audit Worksheet'!I246</f>
        <v>0</v>
      </c>
      <c r="I205" s="38"/>
      <c r="J205" s="357">
        <v>524</v>
      </c>
      <c r="K205" s="58" t="s">
        <v>286</v>
      </c>
      <c r="L205" s="610">
        <f t="shared" si="20"/>
        <v>0</v>
      </c>
      <c r="P205" s="328"/>
      <c r="W205" s="3" t="b">
        <f t="shared" si="23"/>
        <v>1</v>
      </c>
      <c r="X205" s="607">
        <f t="shared" si="21"/>
        <v>0</v>
      </c>
      <c r="Y205" s="607">
        <f t="shared" si="22"/>
        <v>0</v>
      </c>
    </row>
    <row r="206" spans="1:25" ht="57.75" customHeight="1" x14ac:dyDescent="0.3">
      <c r="A206" s="346">
        <f>'Unit Data from Audit Worksheet'!A247</f>
        <v>525</v>
      </c>
      <c r="B206" s="360" t="str">
        <f>'Unit Data from Audit Worksheet'!C247</f>
        <v>WS Capital Assets Schedule-Accumulated Depreciation</v>
      </c>
      <c r="C206" s="345" t="str">
        <f>'Unit Data from Audit Worksheet'!D247</f>
        <v>Infrastructure(other infrastructure) accumulated depreciation</v>
      </c>
      <c r="D206" s="365"/>
      <c r="E206" s="366">
        <f>'Unit Data from Audit Worksheet'!F247</f>
        <v>0</v>
      </c>
      <c r="F206" s="87"/>
      <c r="G206" s="361"/>
      <c r="H206" s="358">
        <f>'Unit Data from Audit Worksheet'!I247</f>
        <v>0</v>
      </c>
      <c r="I206" s="38"/>
      <c r="J206" s="357">
        <v>525</v>
      </c>
      <c r="K206" s="58" t="s">
        <v>287</v>
      </c>
      <c r="L206" s="610">
        <f t="shared" si="20"/>
        <v>0</v>
      </c>
      <c r="P206" s="328"/>
      <c r="W206" s="3" t="b">
        <f t="shared" si="23"/>
        <v>1</v>
      </c>
      <c r="X206" s="607">
        <f t="shared" si="21"/>
        <v>0</v>
      </c>
      <c r="Y206" s="607">
        <f t="shared" si="22"/>
        <v>0</v>
      </c>
    </row>
    <row r="207" spans="1:25" ht="48" customHeight="1" x14ac:dyDescent="0.3">
      <c r="A207" s="346">
        <f>'Unit Data from Audit Worksheet'!A248</f>
        <v>526</v>
      </c>
      <c r="B207" s="360" t="str">
        <f>'Unit Data from Audit Worksheet'!C248</f>
        <v>WS Capital Assets Schedule-Accumulated Depreciation</v>
      </c>
      <c r="C207" s="345" t="str">
        <f>'Unit Data from Audit Worksheet'!D248</f>
        <v>All other depreciable capital assets accumulated depreciation</v>
      </c>
      <c r="D207" s="365"/>
      <c r="E207" s="366">
        <f>'Unit Data from Audit Worksheet'!F248</f>
        <v>0</v>
      </c>
      <c r="F207" s="87"/>
      <c r="G207" s="361"/>
      <c r="H207" s="358">
        <f>'Unit Data from Audit Worksheet'!I248</f>
        <v>0</v>
      </c>
      <c r="I207" s="38"/>
      <c r="J207" s="357">
        <v>526</v>
      </c>
      <c r="K207" s="58" t="s">
        <v>288</v>
      </c>
      <c r="L207" s="610">
        <f t="shared" si="20"/>
        <v>0</v>
      </c>
      <c r="P207" s="328"/>
      <c r="W207" s="3" t="b">
        <f t="shared" si="23"/>
        <v>1</v>
      </c>
      <c r="X207" s="607">
        <f t="shared" si="21"/>
        <v>0</v>
      </c>
      <c r="Y207" s="607">
        <f t="shared" si="22"/>
        <v>0</v>
      </c>
    </row>
    <row r="208" spans="1:25" ht="50.25" customHeight="1" x14ac:dyDescent="0.3">
      <c r="A208" s="346">
        <f>'Unit Data from Audit Worksheet'!A253</f>
        <v>527</v>
      </c>
      <c r="B208" s="360" t="str">
        <f>'Unit Data from Audit Worksheet'!C253</f>
        <v>Electric Assets</v>
      </c>
      <c r="C208" s="345" t="str">
        <f>'Unit Data from Audit Worksheet'!D253</f>
        <v>Total Assets Gross value not being depreciated for Electric Fund</v>
      </c>
      <c r="D208" s="365"/>
      <c r="E208" s="366">
        <f>'Unit Data from Audit Worksheet'!F253</f>
        <v>0</v>
      </c>
      <c r="F208" s="87"/>
      <c r="G208" s="361"/>
      <c r="H208" s="358">
        <f>'Unit Data from Audit Worksheet'!I253</f>
        <v>0</v>
      </c>
      <c r="I208" s="38"/>
      <c r="J208" s="357">
        <v>527</v>
      </c>
      <c r="K208" s="58" t="s">
        <v>289</v>
      </c>
      <c r="L208" s="610">
        <f t="shared" si="20"/>
        <v>0</v>
      </c>
      <c r="P208" s="328"/>
      <c r="W208" s="3" t="b">
        <f t="shared" si="23"/>
        <v>1</v>
      </c>
      <c r="X208" s="607">
        <f t="shared" si="21"/>
        <v>0</v>
      </c>
      <c r="Y208" s="607">
        <f t="shared" si="22"/>
        <v>0</v>
      </c>
    </row>
    <row r="209" spans="1:27" ht="54.75" customHeight="1" x14ac:dyDescent="0.3">
      <c r="A209" s="346">
        <f>'Unit Data from Audit Worksheet'!A254</f>
        <v>356</v>
      </c>
      <c r="B209" s="360" t="str">
        <f>'Unit Data from Audit Worksheet'!C254</f>
        <v>Electric Assets</v>
      </c>
      <c r="C209" s="345" t="str">
        <f>'Unit Data from Audit Worksheet'!D254</f>
        <v>Total Assets Gross value of assets being depreciated for Electric Fund</v>
      </c>
      <c r="D209" s="365"/>
      <c r="E209" s="366">
        <f>'Unit Data from Audit Worksheet'!F254</f>
        <v>0</v>
      </c>
      <c r="F209" s="87"/>
      <c r="G209" s="361"/>
      <c r="H209" s="358">
        <f>'Unit Data from Audit Worksheet'!I254</f>
        <v>0</v>
      </c>
      <c r="I209" s="38"/>
      <c r="J209" s="357">
        <v>356</v>
      </c>
      <c r="K209" s="58" t="s">
        <v>552</v>
      </c>
      <c r="L209" s="610">
        <f t="shared" si="20"/>
        <v>0</v>
      </c>
      <c r="P209" s="328"/>
      <c r="W209" s="3" t="b">
        <f t="shared" si="23"/>
        <v>1</v>
      </c>
      <c r="X209" s="607">
        <f t="shared" si="21"/>
        <v>0</v>
      </c>
      <c r="Y209" s="607">
        <f t="shared" si="22"/>
        <v>0</v>
      </c>
    </row>
    <row r="210" spans="1:27" ht="54.75" customHeight="1" x14ac:dyDescent="0.3">
      <c r="A210" s="346">
        <f>'Unit Data from Audit Worksheet'!A255</f>
        <v>357</v>
      </c>
      <c r="B210" s="360" t="str">
        <f>'Unit Data from Audit Worksheet'!C255</f>
        <v>Electric Accumulated Depreciation</v>
      </c>
      <c r="C210" s="345" t="str">
        <f>'Unit Data from Audit Worksheet'!D255</f>
        <v>Total accumulated depreciation for Electric Fund assets</v>
      </c>
      <c r="D210" s="365"/>
      <c r="E210" s="366">
        <f>'Unit Data from Audit Worksheet'!F255</f>
        <v>0</v>
      </c>
      <c r="F210" s="87"/>
      <c r="G210" s="361"/>
      <c r="H210" s="358">
        <f>'Unit Data from Audit Worksheet'!I255</f>
        <v>0</v>
      </c>
      <c r="I210" s="38"/>
      <c r="J210" s="357">
        <v>357</v>
      </c>
      <c r="K210" s="58" t="s">
        <v>553</v>
      </c>
      <c r="L210" s="610">
        <f t="shared" si="20"/>
        <v>0</v>
      </c>
      <c r="P210" s="328"/>
      <c r="W210" s="3" t="b">
        <f t="shared" si="23"/>
        <v>1</v>
      </c>
      <c r="X210" s="607">
        <f t="shared" si="21"/>
        <v>0</v>
      </c>
      <c r="Y210" s="607">
        <f t="shared" si="22"/>
        <v>0</v>
      </c>
    </row>
    <row r="211" spans="1:27" ht="191.25" customHeight="1" x14ac:dyDescent="0.3">
      <c r="A211" s="346">
        <f>'Unit Data from Audit Worksheet'!A257</f>
        <v>337</v>
      </c>
      <c r="B211" s="360" t="str">
        <f>'Unit Data from Audit Worksheet'!C257</f>
        <v>Long-Term Liability Note - Governmental Activities</v>
      </c>
      <c r="C211" s="360"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65"/>
      <c r="E211" s="366">
        <f>'Unit Data from Audit Worksheet'!F257</f>
        <v>0</v>
      </c>
      <c r="F211" s="359">
        <f>IF(L211&lt;0,"Error: Enter as a positive.",)</f>
        <v>0</v>
      </c>
      <c r="G211" s="361"/>
      <c r="H211" s="358">
        <f>'Unit Data from Audit Worksheet'!I257</f>
        <v>0</v>
      </c>
      <c r="I211" s="38"/>
      <c r="J211" s="357">
        <v>337</v>
      </c>
      <c r="K211" s="356" t="s">
        <v>254</v>
      </c>
      <c r="L211" s="610">
        <f t="shared" si="20"/>
        <v>0</v>
      </c>
      <c r="P211" s="328"/>
      <c r="W211" s="3" t="b">
        <f t="shared" si="23"/>
        <v>1</v>
      </c>
      <c r="X211" s="607">
        <f t="shared" si="21"/>
        <v>0</v>
      </c>
      <c r="Y211" s="607">
        <f t="shared" si="22"/>
        <v>0</v>
      </c>
    </row>
    <row r="212" spans="1:27" ht="76.5" customHeight="1" x14ac:dyDescent="0.3">
      <c r="A212" s="346">
        <f>'Unit Data from Audit Worksheet'!A258</f>
        <v>343</v>
      </c>
      <c r="B212" s="360" t="str">
        <f>'Unit Data from Audit Worksheet'!C258</f>
        <v>Long-Term Liability Note - Governmental Activities</v>
      </c>
      <c r="C212" s="345" t="str">
        <f>'Unit Data from Audit Worksheet'!D258</f>
        <v>Decreases made (principal paid) on Long-Term Debt in current fiscal year.  Reduce for debt refunding.</v>
      </c>
      <c r="D212" s="365"/>
      <c r="E212" s="366">
        <f>'Unit Data from Audit Worksheet'!F258</f>
        <v>0</v>
      </c>
      <c r="F212" s="359">
        <f>IF(L212&lt;0,"Error: Enter as a positive.",)</f>
        <v>0</v>
      </c>
      <c r="G212" s="361"/>
      <c r="H212" s="358">
        <f>'Unit Data from Audit Worksheet'!I258</f>
        <v>0</v>
      </c>
      <c r="I212" s="38"/>
      <c r="J212" s="357">
        <v>343</v>
      </c>
      <c r="K212" s="356" t="s">
        <v>255</v>
      </c>
      <c r="L212" s="610">
        <f t="shared" si="20"/>
        <v>0</v>
      </c>
      <c r="P212" s="328"/>
      <c r="W212" s="3" t="b">
        <f t="shared" si="23"/>
        <v>1</v>
      </c>
      <c r="X212" s="607">
        <f t="shared" si="21"/>
        <v>0</v>
      </c>
      <c r="Y212" s="607">
        <f t="shared" si="22"/>
        <v>0</v>
      </c>
    </row>
    <row r="213" spans="1:27" ht="193.5" customHeight="1" x14ac:dyDescent="0.3">
      <c r="A213" s="346">
        <f>'Unit Data from Audit Worksheet'!A259</f>
        <v>82</v>
      </c>
      <c r="B213" s="360" t="str">
        <f>'Unit Data from Audit Worksheet'!C259</f>
        <v>Long-Term Liability Note - Water Sewer Activities</v>
      </c>
      <c r="C213" s="360"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65"/>
      <c r="E213" s="366">
        <f>'Unit Data from Audit Worksheet'!F259</f>
        <v>0</v>
      </c>
      <c r="F213" s="359">
        <f>IF(L213&lt;0,"Error: Enter as a positive.",)</f>
        <v>0</v>
      </c>
      <c r="G213" s="361"/>
      <c r="H213" s="358">
        <f>'Unit Data from Audit Worksheet'!I259</f>
        <v>0</v>
      </c>
      <c r="I213" s="38"/>
      <c r="J213" s="357">
        <v>82</v>
      </c>
      <c r="K213" s="69" t="s">
        <v>554</v>
      </c>
      <c r="L213" s="610">
        <f t="shared" si="20"/>
        <v>0</v>
      </c>
      <c r="P213" s="328"/>
      <c r="W213" s="3" t="b">
        <f t="shared" si="23"/>
        <v>1</v>
      </c>
      <c r="X213" s="607">
        <f t="shared" si="21"/>
        <v>0</v>
      </c>
      <c r="Y213" s="607">
        <f t="shared" si="22"/>
        <v>0</v>
      </c>
    </row>
    <row r="214" spans="1:27" ht="206.25" customHeight="1" x14ac:dyDescent="0.3">
      <c r="A214" s="346">
        <f>'Unit Data from Audit Worksheet'!A260</f>
        <v>359</v>
      </c>
      <c r="B214" s="360" t="str">
        <f>'Unit Data from Audit Worksheet'!C260</f>
        <v>Long-Term Liability Note - Electric Activities</v>
      </c>
      <c r="C214" s="360"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65"/>
      <c r="E214" s="366">
        <f>'Unit Data from Audit Worksheet'!F260</f>
        <v>0</v>
      </c>
      <c r="F214" s="359">
        <f>IF(L214&lt;0,"Error: Enter as a positive.",)</f>
        <v>0</v>
      </c>
      <c r="G214" s="361"/>
      <c r="H214" s="358">
        <f>'Unit Data from Audit Worksheet'!I260</f>
        <v>0</v>
      </c>
      <c r="I214" s="38"/>
      <c r="J214" s="357">
        <v>359</v>
      </c>
      <c r="K214" s="356" t="s">
        <v>256</v>
      </c>
      <c r="L214" s="610">
        <f t="shared" si="20"/>
        <v>0</v>
      </c>
      <c r="P214" s="328"/>
      <c r="W214" s="3" t="b">
        <f t="shared" si="23"/>
        <v>1</v>
      </c>
      <c r="X214" s="607">
        <f t="shared" si="21"/>
        <v>0</v>
      </c>
      <c r="Y214" s="607">
        <f t="shared" si="22"/>
        <v>0</v>
      </c>
    </row>
    <row r="215" spans="1:27" ht="76.5" customHeight="1" x14ac:dyDescent="0.3">
      <c r="A215" s="346">
        <f>'Unit Data from Audit Worksheet'!A262</f>
        <v>622</v>
      </c>
      <c r="B215" s="360" t="str">
        <f>'Unit Data from Audit Worksheet'!C262</f>
        <v>FS., Pension note or RSI</v>
      </c>
      <c r="C215" s="360"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65"/>
      <c r="E215" s="366">
        <f>'Unit Data from Audit Worksheet'!F262</f>
        <v>0</v>
      </c>
      <c r="F215" s="359"/>
      <c r="G215" s="361"/>
      <c r="H215" s="358"/>
      <c r="I215" s="38"/>
      <c r="J215" s="357">
        <v>622</v>
      </c>
      <c r="K215" s="363" t="s">
        <v>695</v>
      </c>
      <c r="L215" s="610">
        <f t="shared" si="20"/>
        <v>0</v>
      </c>
      <c r="P215" s="328"/>
      <c r="W215" s="3" t="b">
        <f t="shared" si="23"/>
        <v>1</v>
      </c>
      <c r="X215" s="607">
        <f t="shared" si="21"/>
        <v>0</v>
      </c>
      <c r="Y215" s="607">
        <f t="shared" si="22"/>
        <v>0</v>
      </c>
    </row>
    <row r="216" spans="1:27" ht="138.75" customHeight="1" x14ac:dyDescent="0.3">
      <c r="A216" s="346">
        <f>'Unit Data from Audit Worksheet'!A263</f>
        <v>577</v>
      </c>
      <c r="B216" s="360" t="str">
        <f>'Unit Data from Audit Worksheet'!C263</f>
        <v>Pension Notes</v>
      </c>
      <c r="C216" s="360"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65"/>
      <c r="E216" s="366" t="str">
        <f>IF('Unit Data from Audit Worksheet'!F263="Yes",1,IF('Unit Data from Audit Worksheet'!F263="No",2,IF('Unit Data from Audit Worksheet'!F263&lt;1,"",IF('Unit Data from Audit Worksheet'!F263=0&gt;2,""))))</f>
        <v/>
      </c>
      <c r="F216" s="359"/>
      <c r="G216" s="361"/>
      <c r="H216" s="358"/>
      <c r="I216" s="38"/>
      <c r="J216" s="357">
        <v>577</v>
      </c>
      <c r="K216" s="363" t="s">
        <v>611</v>
      </c>
      <c r="L216" s="610" t="str">
        <f t="shared" si="20"/>
        <v/>
      </c>
      <c r="P216" s="328"/>
      <c r="W216" s="3" t="b">
        <f t="shared" si="23"/>
        <v>1</v>
      </c>
      <c r="X216" s="607" t="e">
        <f t="shared" si="21"/>
        <v>#VALUE!</v>
      </c>
      <c r="Y216" s="607" t="e">
        <f t="shared" si="22"/>
        <v>#VALUE!</v>
      </c>
    </row>
    <row r="217" spans="1:27" ht="115.5" customHeight="1" x14ac:dyDescent="0.3">
      <c r="A217" s="639">
        <f>'Unit Data from Audit Worksheet'!A265</f>
        <v>598</v>
      </c>
      <c r="B217" s="360" t="str">
        <f>'Unit Data from Audit Worksheet'!C265</f>
        <v>LEO Note</v>
      </c>
      <c r="C217" s="345" t="str">
        <f>'Unit Data from Audit Worksheet'!D265</f>
        <v>Amount the unit paid out in benefits under LEO special separation allowance to retired law enforcement officers this fiscal year if you report under GASB 68 or GASB 73.</v>
      </c>
      <c r="D217" s="365"/>
      <c r="E217" s="366">
        <f>'Unit Data from Audit Worksheet'!F265</f>
        <v>0</v>
      </c>
      <c r="F217" s="359">
        <f>IF(L217&lt;0,"Error: Enter as a positive.",)</f>
        <v>0</v>
      </c>
      <c r="G217" s="361"/>
      <c r="H217" s="358">
        <f>'Unit Data from Audit Worksheet'!I265</f>
        <v>0</v>
      </c>
      <c r="I217" s="38"/>
      <c r="J217" s="357">
        <v>598</v>
      </c>
      <c r="K217" s="94" t="s">
        <v>660</v>
      </c>
      <c r="L217" s="610">
        <f t="shared" si="20"/>
        <v>0</v>
      </c>
      <c r="P217" s="328"/>
      <c r="W217" s="3" t="b">
        <f t="shared" si="23"/>
        <v>1</v>
      </c>
      <c r="X217" s="607">
        <f t="shared" si="21"/>
        <v>0</v>
      </c>
      <c r="Y217" s="607">
        <f t="shared" si="22"/>
        <v>0</v>
      </c>
    </row>
    <row r="218" spans="1:27" ht="84" customHeight="1" x14ac:dyDescent="0.3">
      <c r="A218" s="346">
        <f>'Unit Data from Audit Worksheet'!A266</f>
        <v>599</v>
      </c>
      <c r="B218" s="360" t="str">
        <f>'Unit Data from Audit Worksheet'!C266</f>
        <v>LEO Note</v>
      </c>
      <c r="C218" s="345" t="str">
        <f>'Unit Data from Audit Worksheet'!D266</f>
        <v>The total LEO pension liability if you report under GASB 68 or GASB 73.</v>
      </c>
      <c r="D218" s="365"/>
      <c r="E218" s="366">
        <f>'Unit Data from Audit Worksheet'!F266</f>
        <v>0</v>
      </c>
      <c r="F218" s="359">
        <f>IF(L218&lt;0,"Error: Enter as a positive.",)</f>
        <v>0</v>
      </c>
      <c r="G218" s="361"/>
      <c r="H218" s="358">
        <f>'Unit Data from Audit Worksheet'!I266</f>
        <v>0</v>
      </c>
      <c r="I218" s="38"/>
      <c r="J218" s="357">
        <v>599</v>
      </c>
      <c r="K218" s="93" t="s">
        <v>659</v>
      </c>
      <c r="L218" s="610">
        <f t="shared" si="20"/>
        <v>0</v>
      </c>
      <c r="M218" s="640"/>
      <c r="P218" s="328"/>
      <c r="W218" s="3" t="b">
        <f t="shared" si="23"/>
        <v>1</v>
      </c>
      <c r="X218" s="607">
        <f t="shared" si="21"/>
        <v>0</v>
      </c>
      <c r="Y218" s="607">
        <f t="shared" si="22"/>
        <v>0</v>
      </c>
    </row>
    <row r="219" spans="1:27" ht="102.75" customHeight="1" x14ac:dyDescent="0.3">
      <c r="A219" s="346">
        <f>'Unit Data from Audit Worksheet'!A267</f>
        <v>602</v>
      </c>
      <c r="B219" s="360" t="str">
        <f>'Unit Data from Audit Worksheet'!C267</f>
        <v>LEO Note</v>
      </c>
      <c r="C219" s="345" t="str">
        <f>'Unit Data from Audit Worksheet'!D267</f>
        <v>If you have LEO pension assets and are reporting under GASB 68 please enter "Plan Fiduciary Net Position" which can be found on your RSI schedules and the Notes.</v>
      </c>
      <c r="D219" s="365"/>
      <c r="E219" s="366">
        <f>'Unit Data from Audit Worksheet'!F267</f>
        <v>0</v>
      </c>
      <c r="F219" s="359">
        <f>IF(L219&lt;0,"Error: Enter as a positive.",)</f>
        <v>0</v>
      </c>
      <c r="G219" s="361"/>
      <c r="H219" s="358">
        <f>'Unit Data from Audit Worksheet'!I267</f>
        <v>0</v>
      </c>
      <c r="I219" s="38"/>
      <c r="J219" s="357">
        <v>602</v>
      </c>
      <c r="K219" s="26" t="s">
        <v>661</v>
      </c>
      <c r="L219" s="610">
        <f t="shared" si="20"/>
        <v>0</v>
      </c>
      <c r="M219" s="640"/>
      <c r="P219" s="328"/>
      <c r="W219" s="3" t="b">
        <f t="shared" si="23"/>
        <v>1</v>
      </c>
      <c r="X219" s="607">
        <f t="shared" si="21"/>
        <v>0</v>
      </c>
      <c r="Y219" s="607">
        <f t="shared" si="22"/>
        <v>0</v>
      </c>
    </row>
    <row r="220" spans="1:27" ht="123" customHeight="1" x14ac:dyDescent="0.3">
      <c r="A220" s="346">
        <f>'Unit Data from Audit Worksheet'!A268</f>
        <v>619</v>
      </c>
      <c r="B220" s="360"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59" t="str">
        <f>IF(H220=L220,"","Column L does not equal Column H")</f>
        <v/>
      </c>
      <c r="G220" s="361"/>
      <c r="H220" s="103">
        <f>ROUND(IFERROR((L219/L218)*100,0),1)</f>
        <v>0</v>
      </c>
      <c r="I220" s="38"/>
      <c r="J220" s="348">
        <v>619</v>
      </c>
      <c r="K220" s="102" t="s">
        <v>855</v>
      </c>
      <c r="L220" s="949">
        <f t="shared" si="20"/>
        <v>0</v>
      </c>
      <c r="M220" s="640"/>
      <c r="P220" s="641"/>
      <c r="Q220" s="642">
        <f>IF(H220=L220,0,1)</f>
        <v>0</v>
      </c>
      <c r="W220" s="3" t="b">
        <f t="shared" si="23"/>
        <v>1</v>
      </c>
      <c r="X220" s="607">
        <f t="shared" si="21"/>
        <v>0</v>
      </c>
      <c r="Y220" s="607">
        <f t="shared" si="22"/>
        <v>0</v>
      </c>
    </row>
    <row r="221" spans="1:27" ht="113.25" customHeight="1" x14ac:dyDescent="0.3">
      <c r="A221" s="346">
        <v>621</v>
      </c>
      <c r="B221" s="57" t="s">
        <v>687</v>
      </c>
      <c r="C221" s="643" t="str">
        <f>'Unit Data from Audit Worksheet'!D270</f>
        <v xml:space="preserve">Unit's share of Retirement Health Benefit Fund Net OPEB Liability ($s)
- unit of government is a participating employer in the State's RHBF </v>
      </c>
      <c r="D221" s="95"/>
      <c r="E221" s="366">
        <f>'Unit Data from Audit Worksheet'!F270</f>
        <v>0</v>
      </c>
      <c r="F221" s="359">
        <f>IF(L221&lt;0,"Error: Enter as a positive.",)</f>
        <v>0</v>
      </c>
      <c r="G221" s="128"/>
      <c r="H221" s="358"/>
      <c r="I221" s="38"/>
      <c r="J221" s="644">
        <v>621</v>
      </c>
      <c r="K221" s="129" t="s">
        <v>860</v>
      </c>
      <c r="L221" s="610">
        <f t="shared" si="20"/>
        <v>0</v>
      </c>
      <c r="M221" s="640"/>
      <c r="P221" s="644"/>
      <c r="Q221" s="308"/>
      <c r="W221" s="3" t="b">
        <f t="shared" si="23"/>
        <v>1</v>
      </c>
      <c r="X221" s="607">
        <f t="shared" si="21"/>
        <v>0</v>
      </c>
      <c r="Y221" s="607">
        <f t="shared" si="22"/>
        <v>0</v>
      </c>
    </row>
    <row r="222" spans="1:27" s="18" customFormat="1" ht="127.5" customHeight="1" x14ac:dyDescent="0.3">
      <c r="A222" s="639">
        <f>'Unit Data from Audit Worksheet'!A271</f>
        <v>547</v>
      </c>
      <c r="B222" s="360" t="str">
        <f>'Unit Data from Audit Worksheet'!C271</f>
        <v>OPEB Note</v>
      </c>
      <c r="C222" s="360"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65"/>
      <c r="E222" s="366">
        <f>'Unit Data from Audit Worksheet'!F271</f>
        <v>0</v>
      </c>
      <c r="F222" s="359" t="str">
        <f>IF(L225&lt;1,"Please answer this question","")</f>
        <v>Please answer this question</v>
      </c>
      <c r="G222" s="361"/>
      <c r="H222" s="358">
        <f>'Unit Data from Audit Worksheet'!I271</f>
        <v>0</v>
      </c>
      <c r="I222" s="38"/>
      <c r="J222" s="357">
        <v>547</v>
      </c>
      <c r="K222" s="645" t="s">
        <v>541</v>
      </c>
      <c r="L222" s="610">
        <f t="shared" si="20"/>
        <v>0</v>
      </c>
      <c r="M222" s="631"/>
      <c r="P222" s="328"/>
      <c r="Q222" s="600"/>
      <c r="R222" s="3"/>
      <c r="W222" s="3" t="b">
        <f t="shared" si="23"/>
        <v>1</v>
      </c>
      <c r="X222" s="607">
        <f t="shared" si="21"/>
        <v>0</v>
      </c>
      <c r="Y222" s="607">
        <f t="shared" si="22"/>
        <v>0</v>
      </c>
      <c r="AA222" s="3"/>
    </row>
    <row r="223" spans="1:27" s="18" customFormat="1" ht="99" customHeight="1" x14ac:dyDescent="0.3">
      <c r="A223" s="346">
        <f>'Unit Data from Audit Worksheet'!A272</f>
        <v>659</v>
      </c>
      <c r="B223" s="360" t="str">
        <f>'Unit Data from Audit Worksheet'!C272</f>
        <v>OPEB
 Note or RSI</v>
      </c>
      <c r="C223" s="345" t="str">
        <f>'Unit Data from Audit Worksheet'!D272</f>
        <v>Total OPEB benefits - total OPEB liability
If you do not provide benefit, please enter 0</v>
      </c>
      <c r="D223" s="365"/>
      <c r="E223" s="366">
        <f>'Unit Data from Audit Worksheet'!F272</f>
        <v>0</v>
      </c>
      <c r="F223" s="359">
        <f>IF(L223&lt;0,"Error: Enter as a positive.",)</f>
        <v>0</v>
      </c>
      <c r="G223" s="646" t="s">
        <v>1343</v>
      </c>
      <c r="H223" s="358">
        <f>'Unit Data from Audit Worksheet'!I272</f>
        <v>0</v>
      </c>
      <c r="I223" s="38"/>
      <c r="J223" s="348">
        <v>659</v>
      </c>
      <c r="K223" s="347" t="s">
        <v>784</v>
      </c>
      <c r="L223" s="624">
        <f t="shared" si="20"/>
        <v>0</v>
      </c>
      <c r="M223" s="631"/>
      <c r="P223" s="641"/>
      <c r="Q223" s="600"/>
      <c r="R223" s="3"/>
      <c r="W223" s="3" t="b">
        <f t="shared" si="23"/>
        <v>1</v>
      </c>
      <c r="X223" s="607">
        <f t="shared" si="21"/>
        <v>0</v>
      </c>
      <c r="Y223" s="607">
        <f t="shared" si="22"/>
        <v>0</v>
      </c>
      <c r="AA223" s="3"/>
    </row>
    <row r="224" spans="1:27" s="18" customFormat="1" ht="131.25" customHeight="1" x14ac:dyDescent="0.3">
      <c r="A224" s="346">
        <f>'Unit Data from Audit Worksheet'!A273</f>
        <v>660</v>
      </c>
      <c r="B224" s="360" t="str">
        <f>'Unit Data from Audit Worksheet'!C273</f>
        <v>OPEB
 Note or RSI</v>
      </c>
      <c r="C224" s="345" t="str">
        <f>'Unit Data from Audit Worksheet'!D273</f>
        <v>Total OPEB benefits- OPEB plan fiduciary net position
If no fiduciary net position, enter 0</v>
      </c>
      <c r="D224" s="365"/>
      <c r="E224" s="366">
        <f>'Unit Data from Audit Worksheet'!F273</f>
        <v>0</v>
      </c>
      <c r="F224" s="355">
        <f>IF(L224&lt;0,"Note: Number is normally positive.",)</f>
        <v>0</v>
      </c>
      <c r="G224" s="646" t="s">
        <v>1343</v>
      </c>
      <c r="H224" s="358">
        <f>'Unit Data from Audit Worksheet'!I273</f>
        <v>0</v>
      </c>
      <c r="I224" s="38"/>
      <c r="J224" s="348">
        <v>660</v>
      </c>
      <c r="K224" s="347" t="s">
        <v>785</v>
      </c>
      <c r="L224" s="624">
        <f t="shared" si="20"/>
        <v>0</v>
      </c>
      <c r="M224" s="631"/>
      <c r="P224" s="641"/>
      <c r="Q224" s="600"/>
      <c r="R224" s="3"/>
      <c r="W224" s="3" t="b">
        <f t="shared" si="23"/>
        <v>1</v>
      </c>
      <c r="X224" s="607">
        <f t="shared" si="21"/>
        <v>0</v>
      </c>
      <c r="Y224" s="607">
        <f t="shared" si="22"/>
        <v>0</v>
      </c>
      <c r="AA224" s="3"/>
    </row>
    <row r="225" spans="1:27" ht="134.25" customHeight="1" x14ac:dyDescent="0.3">
      <c r="A225" s="346">
        <f>'Unit Data from Audit Worksheet'!A274</f>
        <v>661</v>
      </c>
      <c r="B225" s="360" t="str">
        <f>'Unit Data from Audit Worksheet'!C274</f>
        <v>OPEB
RSI</v>
      </c>
      <c r="C225" s="345"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44">
        <f>'Unit Data from Audit Worksheet'!F274</f>
        <v>0</v>
      </c>
      <c r="F225" s="359" t="str">
        <f>IF(H225=L225,"","Column L does not equal Column H")</f>
        <v/>
      </c>
      <c r="G225" s="646" t="s">
        <v>1343</v>
      </c>
      <c r="H225" s="175">
        <f>ROUND(IFERROR((L224/L223)*100,0),1)</f>
        <v>0</v>
      </c>
      <c r="I225" s="38"/>
      <c r="J225" s="348">
        <v>661</v>
      </c>
      <c r="K225" s="363" t="s">
        <v>788</v>
      </c>
      <c r="L225" s="647">
        <f>IF(D225="",E225,D225)</f>
        <v>0</v>
      </c>
      <c r="P225" s="641"/>
      <c r="Q225" s="642">
        <f>IF(H225=L225,0,1)</f>
        <v>0</v>
      </c>
      <c r="W225" s="3" t="b">
        <f t="shared" si="23"/>
        <v>1</v>
      </c>
      <c r="X225" s="607">
        <f t="shared" si="21"/>
        <v>0</v>
      </c>
      <c r="Y225" s="607">
        <f t="shared" si="22"/>
        <v>0</v>
      </c>
    </row>
    <row r="226" spans="1:27" ht="65.25" customHeight="1" x14ac:dyDescent="0.3">
      <c r="A226" s="346">
        <f>'Unit Data from Audit Worksheet'!A277</f>
        <v>371</v>
      </c>
      <c r="B226" s="360" t="str">
        <f>'Unit Data from Audit Worksheet'!C277</f>
        <v>Transfer Note</v>
      </c>
      <c r="C226" s="345" t="str">
        <f>'Unit Data from Audit Worksheet'!D277</f>
        <v>Amount of Transfers from the General Fund to the Debt Service Fund (Enter as positive)</v>
      </c>
      <c r="D226" s="365"/>
      <c r="E226" s="366">
        <f>'Unit Data from Audit Worksheet'!F277</f>
        <v>0</v>
      </c>
      <c r="F226" s="359">
        <f>IF(L226&lt;0,"Error: Enter as a positive.",)</f>
        <v>0</v>
      </c>
      <c r="G226" s="361"/>
      <c r="H226" s="358">
        <f>'Unit Data from Audit Worksheet'!I277</f>
        <v>0</v>
      </c>
      <c r="I226" s="38"/>
      <c r="J226" s="39">
        <v>371</v>
      </c>
      <c r="K226" s="356" t="s">
        <v>262</v>
      </c>
      <c r="L226" s="610">
        <f t="shared" si="20"/>
        <v>0</v>
      </c>
      <c r="P226" s="334"/>
      <c r="Q226" s="3"/>
      <c r="W226" s="3" t="b">
        <f t="shared" si="23"/>
        <v>1</v>
      </c>
      <c r="X226" s="607">
        <f t="shared" si="21"/>
        <v>0</v>
      </c>
      <c r="Y226" s="607">
        <f t="shared" si="22"/>
        <v>0</v>
      </c>
    </row>
    <row r="227" spans="1:27" ht="63" customHeight="1" x14ac:dyDescent="0.3">
      <c r="A227" s="346">
        <f>'Unit Data from Audit Worksheet'!A278</f>
        <v>513</v>
      </c>
      <c r="B227" s="360" t="str">
        <f>'Unit Data from Audit Worksheet'!C278</f>
        <v>Transfer Note</v>
      </c>
      <c r="C227" s="345" t="str">
        <f>'Unit Data from Audit Worksheet'!D278</f>
        <v>Amount of Transfers from the General Fund to the Electric Fund  (Enter as positive)</v>
      </c>
      <c r="D227" s="365"/>
      <c r="E227" s="366">
        <f>'Unit Data from Audit Worksheet'!F278</f>
        <v>0</v>
      </c>
      <c r="F227" s="359">
        <f>IF(L227&lt;0,"Error: Enter as a positive.",)</f>
        <v>0</v>
      </c>
      <c r="G227" s="361"/>
      <c r="H227" s="358">
        <f>'Unit Data from Audit Worksheet'!I278</f>
        <v>0</v>
      </c>
      <c r="I227" s="38"/>
      <c r="J227" s="357">
        <v>513</v>
      </c>
      <c r="K227" s="356" t="s">
        <v>263</v>
      </c>
      <c r="L227" s="610">
        <f t="shared" si="20"/>
        <v>0</v>
      </c>
      <c r="P227" s="328"/>
      <c r="W227" s="3" t="b">
        <f t="shared" si="23"/>
        <v>1</v>
      </c>
      <c r="X227" s="607">
        <f t="shared" si="21"/>
        <v>0</v>
      </c>
      <c r="Y227" s="607">
        <f t="shared" si="22"/>
        <v>0</v>
      </c>
    </row>
    <row r="228" spans="1:27" ht="89.25" customHeight="1" x14ac:dyDescent="0.3">
      <c r="A228" s="346">
        <f>'Unit Data from Audit Worksheet'!A279</f>
        <v>514</v>
      </c>
      <c r="B228" s="360" t="str">
        <f>'Unit Data from Audit Worksheet'!C279</f>
        <v>Transfer Note</v>
      </c>
      <c r="C228" s="345" t="str">
        <f>'Unit Data from Audit Worksheet'!D279</f>
        <v>Amount of Transfers from the Electric Fund to the General Fund  (Enter as positive)
Include:  Payment in Lieu of Taxes (PILOT)</v>
      </c>
      <c r="D228" s="365"/>
      <c r="E228" s="366">
        <f>'Unit Data from Audit Worksheet'!F279</f>
        <v>0</v>
      </c>
      <c r="F228" s="359">
        <f>IF(L228&lt;0,"Error: Enter as a positive.",)</f>
        <v>0</v>
      </c>
      <c r="G228" s="361"/>
      <c r="H228" s="358">
        <f>'Unit Data from Audit Worksheet'!I279</f>
        <v>0</v>
      </c>
      <c r="I228" s="38"/>
      <c r="J228" s="357">
        <v>514</v>
      </c>
      <c r="K228" s="356" t="s">
        <v>264</v>
      </c>
      <c r="L228" s="610">
        <f t="shared" si="20"/>
        <v>0</v>
      </c>
      <c r="P228" s="328"/>
      <c r="W228" s="3" t="b">
        <f t="shared" si="23"/>
        <v>1</v>
      </c>
      <c r="X228" s="607">
        <f t="shared" si="21"/>
        <v>0</v>
      </c>
      <c r="Y228" s="607">
        <f t="shared" si="22"/>
        <v>0</v>
      </c>
    </row>
    <row r="229" spans="1:27" ht="89.25" customHeight="1" x14ac:dyDescent="0.3">
      <c r="A229" s="626">
        <f>'Unit Data from Audit Worksheet'!A280</f>
        <v>990</v>
      </c>
      <c r="B229" s="364" t="str">
        <f>'Unit Data from Audit Worksheet'!C280</f>
        <v>Transfer Note</v>
      </c>
      <c r="C229" s="627" t="str">
        <f>'Unit Data from Audit Worksheet'!D280</f>
        <v>Amount of transfer out to the General Fund that is for Payment in Lieu of Taxes (PILOT)</v>
      </c>
      <c r="D229" s="365"/>
      <c r="E229" s="366">
        <f>'Unit Data from Audit Worksheet'!F280</f>
        <v>0</v>
      </c>
      <c r="F229" s="359"/>
      <c r="G229" s="361"/>
      <c r="H229" s="358">
        <f>'Unit Data from Audit Worksheet'!I280</f>
        <v>0</v>
      </c>
      <c r="I229" s="38"/>
      <c r="J229" s="375">
        <v>990</v>
      </c>
      <c r="K229" s="126" t="s">
        <v>1049</v>
      </c>
      <c r="L229" s="610">
        <f t="shared" si="20"/>
        <v>0</v>
      </c>
      <c r="P229" s="328"/>
      <c r="X229" s="607"/>
      <c r="Y229" s="607"/>
    </row>
    <row r="230" spans="1:27" ht="84.75" customHeight="1" x14ac:dyDescent="0.3">
      <c r="A230" s="648">
        <f>'Unit Data from Audit Worksheet'!A282</f>
        <v>6</v>
      </c>
      <c r="B230" s="53" t="str">
        <f>'Unit Data from Audit Worksheet'!C282</f>
        <v>Fund Balance Note</v>
      </c>
      <c r="C230" s="620" t="str">
        <f>'Unit Data from Audit Worksheet'!D282</f>
        <v>General Fund -  Total Encumbrances.  You will probably have to refer to the note disclosure where the amount of encumbrances is listed.</v>
      </c>
      <c r="D230" s="365"/>
      <c r="E230" s="154">
        <f>'Unit Data from Audit Worksheet'!F282</f>
        <v>0</v>
      </c>
      <c r="F230" s="37">
        <f>IF(L230&lt;0,"Error: Enter as a positive.",)</f>
        <v>0</v>
      </c>
      <c r="G230" s="73"/>
      <c r="H230" s="358">
        <f>'Unit Data from Audit Worksheet'!I282</f>
        <v>0</v>
      </c>
      <c r="I230" s="38"/>
      <c r="J230" s="41">
        <v>6</v>
      </c>
      <c r="K230" s="133" t="s">
        <v>265</v>
      </c>
      <c r="L230" s="610">
        <f t="shared" si="20"/>
        <v>0</v>
      </c>
      <c r="P230" s="328"/>
      <c r="W230" s="3" t="b">
        <f t="shared" ref="W230:W258" si="24">EXACT(A230,J230)</f>
        <v>1</v>
      </c>
      <c r="X230" s="607">
        <f t="shared" si="21"/>
        <v>0</v>
      </c>
      <c r="Y230" s="607">
        <f t="shared" si="22"/>
        <v>0</v>
      </c>
    </row>
    <row r="231" spans="1:27" ht="117.75" customHeight="1" x14ac:dyDescent="0.3">
      <c r="A231" s="346">
        <f>'Unit Data from Audit Worksheet'!A284</f>
        <v>541</v>
      </c>
      <c r="B231" s="360" t="str">
        <f>'Unit Data from Audit Worksheet'!C284</f>
        <v>Water Sewer - Budget Actual Statement</v>
      </c>
      <c r="C231" s="360"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65"/>
      <c r="E231" s="366">
        <f>'Unit Data from Audit Worksheet'!F284</f>
        <v>0</v>
      </c>
      <c r="F231" s="359"/>
      <c r="G231" s="361"/>
      <c r="H231" s="358">
        <f>'Unit Data from Audit Worksheet'!I284</f>
        <v>0</v>
      </c>
      <c r="I231" s="38"/>
      <c r="J231" s="357">
        <v>541</v>
      </c>
      <c r="K231" s="88" t="s">
        <v>555</v>
      </c>
      <c r="L231" s="610">
        <f t="shared" si="20"/>
        <v>0</v>
      </c>
      <c r="P231" s="328"/>
      <c r="W231" s="3" t="b">
        <f t="shared" si="24"/>
        <v>1</v>
      </c>
      <c r="X231" s="607">
        <f t="shared" si="21"/>
        <v>0</v>
      </c>
      <c r="Y231" s="607">
        <f t="shared" si="22"/>
        <v>0</v>
      </c>
    </row>
    <row r="232" spans="1:27" ht="94.5" customHeight="1" x14ac:dyDescent="0.3">
      <c r="A232" s="346">
        <f>'Unit Data from Audit Worksheet'!A286</f>
        <v>542</v>
      </c>
      <c r="B232" s="360" t="str">
        <f>'Unit Data from Audit Worksheet'!C286</f>
        <v>Water Sewer - Disclosed in the Notes or in the recently approved Budget for next year.</v>
      </c>
      <c r="C232" s="345" t="str">
        <f>'Unit Data from Audit Worksheet'!D286</f>
        <v>Amount of the Water Sewer Fund Balance appropriated in next year's budget?</v>
      </c>
      <c r="D232" s="365"/>
      <c r="E232" s="366">
        <f>'Unit Data from Audit Worksheet'!F286</f>
        <v>0</v>
      </c>
      <c r="F232" s="359"/>
      <c r="G232" s="361"/>
      <c r="H232" s="358">
        <f>'Unit Data from Audit Worksheet'!I286</f>
        <v>0</v>
      </c>
      <c r="I232" s="38"/>
      <c r="J232" s="357">
        <v>542</v>
      </c>
      <c r="K232" s="356" t="s">
        <v>266</v>
      </c>
      <c r="L232" s="610">
        <f t="shared" si="20"/>
        <v>0</v>
      </c>
      <c r="N232" s="61" t="s">
        <v>546</v>
      </c>
      <c r="P232" s="328"/>
      <c r="W232" s="3" t="b">
        <f t="shared" si="24"/>
        <v>1</v>
      </c>
      <c r="X232" s="607">
        <f t="shared" si="21"/>
        <v>0</v>
      </c>
      <c r="Y232" s="607">
        <f t="shared" si="22"/>
        <v>0</v>
      </c>
    </row>
    <row r="233" spans="1:27" ht="93.75" customHeight="1" x14ac:dyDescent="0.3">
      <c r="A233" s="346">
        <f>'Unit Data from Audit Worksheet'!A289</f>
        <v>528</v>
      </c>
      <c r="B233" s="360" t="str">
        <f>'Unit Data from Audit Worksheet'!C289</f>
        <v>Analysis of Current Tax Levy Schedule</v>
      </c>
      <c r="C233" s="345" t="str">
        <f>'Unit Data from Audit Worksheet'!D289</f>
        <v>Please enter the Net Current year's levy for property excluding registered motor vehicles-- (after adjusting for discoveries and abatements)
Exclude Supplemental Taxes</v>
      </c>
      <c r="D233" s="365"/>
      <c r="E233" s="366">
        <f>'Unit Data from Audit Worksheet'!F289</f>
        <v>0</v>
      </c>
      <c r="F233" s="82" t="str">
        <f>IF(L233=0,"Must be completed if unit levys taxes","")</f>
        <v>Must be completed if unit levys taxes</v>
      </c>
      <c r="G233" s="361"/>
      <c r="H233" s="358"/>
      <c r="I233" s="38"/>
      <c r="J233" s="357">
        <v>528</v>
      </c>
      <c r="K233" s="649" t="s">
        <v>271</v>
      </c>
      <c r="L233" s="610">
        <f t="shared" si="20"/>
        <v>0</v>
      </c>
      <c r="N233" s="83"/>
      <c r="P233" s="328"/>
      <c r="W233" s="3" t="b">
        <f t="shared" si="24"/>
        <v>1</v>
      </c>
      <c r="X233" s="607">
        <f t="shared" si="21"/>
        <v>0</v>
      </c>
      <c r="Y233" s="607">
        <f t="shared" si="22"/>
        <v>0</v>
      </c>
    </row>
    <row r="234" spans="1:27" s="18" customFormat="1" ht="79.5" customHeight="1" x14ac:dyDescent="0.3">
      <c r="A234" s="346">
        <f>'Unit Data from Audit Worksheet'!A290</f>
        <v>529</v>
      </c>
      <c r="B234" s="360" t="str">
        <f>'Unit Data from Audit Worksheet'!C290</f>
        <v>Analysis of Current Tax Levy Schedule</v>
      </c>
      <c r="C234" s="345" t="str">
        <f>'Unit Data from Audit Worksheet'!D290</f>
        <v>Please enter the Net Current year's levy -- Motor vehicles (only) (after adjusting for discoveries and abatements)
Exclude supplemental taxes</v>
      </c>
      <c r="D234" s="365"/>
      <c r="E234" s="366">
        <f>'Unit Data from Audit Worksheet'!F290</f>
        <v>0</v>
      </c>
      <c r="F234" s="82" t="str">
        <f>IF(L234=0,"Must be completed if unit levys taxes","")</f>
        <v>Must be completed if unit levys taxes</v>
      </c>
      <c r="G234" s="361"/>
      <c r="H234" s="358"/>
      <c r="I234" s="38"/>
      <c r="J234" s="357">
        <v>529</v>
      </c>
      <c r="K234" s="649" t="s">
        <v>272</v>
      </c>
      <c r="L234" s="610">
        <f t="shared" si="20"/>
        <v>0</v>
      </c>
      <c r="N234" s="83"/>
      <c r="P234" s="328"/>
      <c r="Q234" s="600"/>
      <c r="R234" s="3"/>
      <c r="W234" s="3" t="b">
        <f t="shared" si="24"/>
        <v>1</v>
      </c>
      <c r="X234" s="607">
        <f t="shared" si="21"/>
        <v>0</v>
      </c>
      <c r="Y234" s="607">
        <f t="shared" si="22"/>
        <v>0</v>
      </c>
      <c r="AA234" s="3"/>
    </row>
    <row r="235" spans="1:27" s="18" customFormat="1" ht="75" customHeight="1" x14ac:dyDescent="0.3">
      <c r="A235" s="346">
        <f>'Unit Data from Audit Worksheet'!A291</f>
        <v>530</v>
      </c>
      <c r="B235" s="360" t="str">
        <f>'Unit Data from Audit Worksheet'!C291</f>
        <v>Analysis of Current Tax Levy Schedule</v>
      </c>
      <c r="C235" s="345" t="str">
        <f>'Unit Data from Audit Worksheet'!D291</f>
        <v>Uncollected Taxes - Curr Year's Levy Exclude Motor Vehicles
Exclude supplemental taxes</v>
      </c>
      <c r="D235" s="365"/>
      <c r="E235" s="366">
        <f>'Unit Data from Audit Worksheet'!F291</f>
        <v>0</v>
      </c>
      <c r="F235" s="82" t="str">
        <f>IF(L235=0,"Must be completed if unit levys taxes","")</f>
        <v>Must be completed if unit levys taxes</v>
      </c>
      <c r="G235" s="361"/>
      <c r="H235" s="358"/>
      <c r="I235" s="38"/>
      <c r="J235" s="357">
        <v>530</v>
      </c>
      <c r="K235" s="649" t="s">
        <v>273</v>
      </c>
      <c r="L235" s="610">
        <f t="shared" ref="L235:L241" si="25">IF(D235="",E235,D235)</f>
        <v>0</v>
      </c>
      <c r="N235" s="83"/>
      <c r="P235" s="328"/>
      <c r="Q235" s="600"/>
      <c r="R235" s="3"/>
      <c r="W235" s="3" t="b">
        <f t="shared" si="24"/>
        <v>1</v>
      </c>
      <c r="X235" s="607">
        <f t="shared" si="21"/>
        <v>0</v>
      </c>
      <c r="Y235" s="607">
        <f t="shared" si="22"/>
        <v>0</v>
      </c>
      <c r="AA235" s="3"/>
    </row>
    <row r="236" spans="1:27" s="18" customFormat="1" ht="68.25" customHeight="1" x14ac:dyDescent="0.3">
      <c r="A236" s="346">
        <f>'Unit Data from Audit Worksheet'!A292</f>
        <v>531</v>
      </c>
      <c r="B236" s="360" t="str">
        <f>'Unit Data from Audit Worksheet'!C292</f>
        <v>Analysis of Current Tax Levy Schedule</v>
      </c>
      <c r="C236" s="345" t="str">
        <f>'Unit Data from Audit Worksheet'!D292</f>
        <v>Uncollected Taxes - Curr Year's Levy Motor Vehicles
Exclude supplemental taxes</v>
      </c>
      <c r="D236" s="365"/>
      <c r="E236" s="366">
        <f>'Unit Data from Audit Worksheet'!F292</f>
        <v>0</v>
      </c>
      <c r="F236" s="82" t="str">
        <f>IF(L236=0,"Must be completed if unit levys taxes","")</f>
        <v>Must be completed if unit levys taxes</v>
      </c>
      <c r="G236" s="361"/>
      <c r="H236" s="358"/>
      <c r="I236" s="38"/>
      <c r="J236" s="357">
        <v>531</v>
      </c>
      <c r="K236" s="649" t="s">
        <v>274</v>
      </c>
      <c r="L236" s="610">
        <f t="shared" si="25"/>
        <v>0</v>
      </c>
      <c r="N236" s="83" t="str">
        <f>IF(T240=0,"Must be completed if unit levys taxes, zero acceptable if Motor Vehicle collection rate is 100%","")</f>
        <v>Must be completed if unit levys taxes, zero acceptable if Motor Vehicle collection rate is 100%</v>
      </c>
      <c r="P236" s="328"/>
      <c r="Q236" s="600"/>
      <c r="R236" s="3"/>
      <c r="W236" s="3" t="b">
        <f t="shared" si="24"/>
        <v>1</v>
      </c>
      <c r="X236" s="607">
        <f t="shared" si="21"/>
        <v>0</v>
      </c>
      <c r="Y236" s="607">
        <f t="shared" si="22"/>
        <v>0</v>
      </c>
      <c r="AA236" s="3"/>
    </row>
    <row r="237" spans="1:27" ht="90.75" customHeight="1" x14ac:dyDescent="0.3">
      <c r="A237" s="346">
        <f>'Unit Data from Audit Worksheet'!A293</f>
        <v>61</v>
      </c>
      <c r="B237" s="360" t="str">
        <f>'Unit Data from Audit Worksheet'!C293</f>
        <v>Analysis of Current Tax Levy Schedule</v>
      </c>
      <c r="C237" s="345"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61" t="str">
        <f>IF(Q237=1," Included in error count"," ")</f>
        <v xml:space="preserve"> </v>
      </c>
      <c r="H237" s="361">
        <f>ROUND(IFERROR(((L233+L234)-(L235+L236))/(L233+L234)*100,0),2)</f>
        <v>0</v>
      </c>
      <c r="I237" s="38"/>
      <c r="J237" s="357">
        <v>61</v>
      </c>
      <c r="K237" s="58" t="s">
        <v>268</v>
      </c>
      <c r="L237" s="650">
        <f t="shared" si="25"/>
        <v>0</v>
      </c>
      <c r="N237" s="83"/>
      <c r="P237" s="328"/>
      <c r="Q237" s="600">
        <f>IF(L237-H237&lt;&gt;0,1,0)</f>
        <v>0</v>
      </c>
      <c r="W237" s="3" t="b">
        <f t="shared" si="24"/>
        <v>1</v>
      </c>
      <c r="X237" s="607">
        <f t="shared" si="21"/>
        <v>0</v>
      </c>
      <c r="Y237" s="607">
        <f t="shared" si="22"/>
        <v>0</v>
      </c>
    </row>
    <row r="238" spans="1:27" ht="89.25" customHeight="1" x14ac:dyDescent="0.3">
      <c r="A238" s="346">
        <f>'Unit Data from Audit Worksheet'!A294</f>
        <v>102</v>
      </c>
      <c r="B238" s="360" t="str">
        <f>'Unit Data from Audit Worksheet'!C294</f>
        <v>Analysis of Current Tax Levy Schedule</v>
      </c>
      <c r="C238" s="345"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61" t="str">
        <f>IF(Q238=1," Included in error count"," ")</f>
        <v xml:space="preserve"> </v>
      </c>
      <c r="H238" s="361">
        <f>ROUND(IFERROR(((L233)-(L235))/(L233)*100,0),2)</f>
        <v>0</v>
      </c>
      <c r="I238" s="38"/>
      <c r="J238" s="357">
        <v>102</v>
      </c>
      <c r="K238" s="58" t="s">
        <v>269</v>
      </c>
      <c r="L238" s="650">
        <f t="shared" si="25"/>
        <v>0</v>
      </c>
      <c r="N238" s="83"/>
      <c r="P238" s="328"/>
      <c r="Q238" s="600">
        <f>IF(L238-H238&lt;&gt;0,1,0)</f>
        <v>0</v>
      </c>
      <c r="W238" s="3" t="b">
        <f t="shared" si="24"/>
        <v>1</v>
      </c>
      <c r="X238" s="607">
        <f t="shared" si="21"/>
        <v>0</v>
      </c>
      <c r="Y238" s="607">
        <f t="shared" si="22"/>
        <v>0</v>
      </c>
    </row>
    <row r="239" spans="1:27" ht="87.75" customHeight="1" x14ac:dyDescent="0.3">
      <c r="A239" s="346">
        <f>'Unit Data from Audit Worksheet'!A295</f>
        <v>103</v>
      </c>
      <c r="B239" s="360" t="str">
        <f>'Unit Data from Audit Worksheet'!C295</f>
        <v>Analysis of Current Tax Levy Schedule</v>
      </c>
      <c r="C239" s="345"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61" t="str">
        <f>IF(Q239=1," Included in error count"," ")</f>
        <v xml:space="preserve"> </v>
      </c>
      <c r="H239" s="361">
        <f>ROUND(IFERROR(((L234)-(L236))/(L234)*100,0),2)</f>
        <v>0</v>
      </c>
      <c r="I239" s="38"/>
      <c r="J239" s="357">
        <v>103</v>
      </c>
      <c r="K239" s="58" t="s">
        <v>270</v>
      </c>
      <c r="L239" s="650">
        <f t="shared" si="25"/>
        <v>0</v>
      </c>
      <c r="N239" s="83"/>
      <c r="P239" s="328"/>
      <c r="Q239" s="600">
        <f>IF(L239-H239&lt;&gt;0,1,0)</f>
        <v>0</v>
      </c>
      <c r="W239" s="3" t="b">
        <f t="shared" si="24"/>
        <v>1</v>
      </c>
      <c r="X239" s="607">
        <f t="shared" si="21"/>
        <v>0</v>
      </c>
      <c r="Y239" s="607">
        <f t="shared" si="22"/>
        <v>0</v>
      </c>
    </row>
    <row r="240" spans="1:27" ht="86.25" customHeight="1" x14ac:dyDescent="0.3">
      <c r="A240" s="346">
        <f>'Unit Data from Audit Worksheet'!A296</f>
        <v>544</v>
      </c>
      <c r="B240" s="360" t="str">
        <f>'Unit Data from Audit Worksheet'!C296</f>
        <v>Analysis of Current Tax Levy Schedule</v>
      </c>
      <c r="C240" s="345" t="str">
        <f>'Unit Data from Audit Worksheet'!D296</f>
        <v>Property Tax Increase for Year Audited- enter amount of  increase in cents per $100 - leave blank if no increase 
Exclude supplemental taxes</v>
      </c>
      <c r="D240" s="365"/>
      <c r="E240" s="148">
        <f>'Unit Data from Audit Worksheet'!F296</f>
        <v>0</v>
      </c>
      <c r="F240" s="104"/>
      <c r="G240" s="361"/>
      <c r="H240" s="358">
        <f>'Unit Data from Audit Worksheet'!I296</f>
        <v>0</v>
      </c>
      <c r="I240" s="38"/>
      <c r="J240" s="357">
        <v>544</v>
      </c>
      <c r="K240" s="58" t="s">
        <v>53</v>
      </c>
      <c r="L240" s="651">
        <f t="shared" si="25"/>
        <v>0</v>
      </c>
      <c r="N240" s="61" t="s">
        <v>546</v>
      </c>
      <c r="P240" s="328"/>
      <c r="W240" s="3" t="b">
        <f t="shared" si="24"/>
        <v>1</v>
      </c>
      <c r="X240" s="607">
        <f t="shared" si="21"/>
        <v>0</v>
      </c>
      <c r="Y240" s="607">
        <f t="shared" si="22"/>
        <v>0</v>
      </c>
    </row>
    <row r="241" spans="1:25" ht="93.75" customHeight="1" x14ac:dyDescent="0.3">
      <c r="A241" s="346">
        <f>'Unit Data from Audit Worksheet'!A297</f>
        <v>545</v>
      </c>
      <c r="B241" s="360" t="str">
        <f>'Unit Data from Audit Worksheet'!C297</f>
        <v>Analysis of Current Tax Levy Schedule</v>
      </c>
      <c r="C241" s="345" t="str">
        <f>'Unit Data from Audit Worksheet'!D297</f>
        <v>Property Tax Increase for budget year after fiscal year being reported - enter amount of increase in cents per $100- leave blank if no increase
Exclude supplemental taxes</v>
      </c>
      <c r="D241" s="365"/>
      <c r="E241" s="148">
        <f>'Unit Data from Audit Worksheet'!F297</f>
        <v>0</v>
      </c>
      <c r="F241" s="359"/>
      <c r="G241" s="361"/>
      <c r="H241" s="358">
        <f>'Unit Data from Audit Worksheet'!I297</f>
        <v>0</v>
      </c>
      <c r="I241" s="38"/>
      <c r="J241" s="105">
        <v>545</v>
      </c>
      <c r="K241" s="58" t="s">
        <v>54</v>
      </c>
      <c r="L241" s="651">
        <f t="shared" si="25"/>
        <v>0</v>
      </c>
      <c r="N241" s="61" t="s">
        <v>546</v>
      </c>
      <c r="O241" s="619"/>
      <c r="P241" s="329"/>
      <c r="W241" s="3" t="b">
        <f t="shared" si="24"/>
        <v>1</v>
      </c>
      <c r="X241" s="607">
        <f t="shared" si="21"/>
        <v>0</v>
      </c>
      <c r="Y241" s="607">
        <f t="shared" si="22"/>
        <v>0</v>
      </c>
    </row>
    <row r="242" spans="1:25" ht="72.75" customHeight="1" x14ac:dyDescent="0.3">
      <c r="A242" s="346">
        <f>'Unit Data from Audit Worksheet'!A298</f>
        <v>624</v>
      </c>
      <c r="B242" s="360"/>
      <c r="C242" s="345" t="str">
        <f>'Unit Data from Audit Worksheet'!D298</f>
        <v>Does the County collect real estate property taxes on your behalf? Select "1" for "yes and "2" for "No"</v>
      </c>
      <c r="D242" s="365"/>
      <c r="E242" s="156">
        <f>'Unit Data from Audit Worksheet'!F298</f>
        <v>0</v>
      </c>
      <c r="F242" s="359"/>
      <c r="G242" s="361"/>
      <c r="H242" s="358"/>
      <c r="I242" s="38"/>
      <c r="J242" s="105">
        <v>624</v>
      </c>
      <c r="K242" s="58" t="s">
        <v>694</v>
      </c>
      <c r="L242" s="610">
        <f t="shared" ref="L242:L258" si="26">IF(D242="",E242,D242)</f>
        <v>0</v>
      </c>
      <c r="P242" s="329"/>
      <c r="W242" s="3" t="b">
        <f t="shared" si="24"/>
        <v>1</v>
      </c>
      <c r="X242" s="607">
        <f t="shared" si="21"/>
        <v>0</v>
      </c>
      <c r="Y242" s="607">
        <f t="shared" si="22"/>
        <v>0</v>
      </c>
    </row>
    <row r="243" spans="1:25" ht="72.75" customHeight="1" x14ac:dyDescent="0.3">
      <c r="A243" s="346">
        <f>'Unit Data from Audit Worksheet'!A299</f>
        <v>648</v>
      </c>
      <c r="B243" s="360"/>
      <c r="C243" s="345" t="str">
        <f>'Unit Data from Audit Worksheet'!D299</f>
        <v>Please enter your tax rate for ad valorem in effect for fiscal year audited.  Example 60 cents per 100 would be entered as .60</v>
      </c>
      <c r="D243" s="365"/>
      <c r="E243" s="156">
        <f>'Unit Data from Audit Worksheet'!F299</f>
        <v>0</v>
      </c>
      <c r="F243" s="359"/>
      <c r="G243" s="361"/>
      <c r="H243" s="358"/>
      <c r="I243" s="38"/>
      <c r="J243" s="105">
        <v>648</v>
      </c>
      <c r="K243" s="652" t="s">
        <v>1142</v>
      </c>
      <c r="L243" s="653">
        <f t="shared" si="26"/>
        <v>0</v>
      </c>
      <c r="P243" s="329"/>
      <c r="W243" s="3" t="b">
        <f t="shared" si="24"/>
        <v>1</v>
      </c>
      <c r="X243" s="607"/>
      <c r="Y243" s="607"/>
    </row>
    <row r="244" spans="1:25" ht="161.25" customHeight="1" x14ac:dyDescent="0.3">
      <c r="A244" s="626">
        <f>'Unit Data from Audit Worksheet'!A300</f>
        <v>991</v>
      </c>
      <c r="B244" s="364"/>
      <c r="C244" s="627"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65"/>
      <c r="E244" s="156">
        <f>'Unit Data from Audit Worksheet'!F300</f>
        <v>0</v>
      </c>
      <c r="F244" s="359"/>
      <c r="G244" s="361"/>
      <c r="H244" s="358" t="str">
        <f>'Unit Data from Audit Worksheet'!H300</f>
        <v>Avery, Bladen, Chowan, Craven, Duplin, Guilford, Harnett, Hoke, Jones, Mitchell, Onslow, Pasquotank, Watauga</v>
      </c>
      <c r="I244" s="38"/>
      <c r="J244" s="343">
        <v>991</v>
      </c>
      <c r="K244" s="637" t="s">
        <v>1874</v>
      </c>
      <c r="L244" s="610">
        <f t="shared" si="26"/>
        <v>0</v>
      </c>
      <c r="P244" s="329"/>
      <c r="W244" s="3" t="b">
        <f t="shared" si="24"/>
        <v>1</v>
      </c>
      <c r="X244" s="607"/>
      <c r="Y244" s="607"/>
    </row>
    <row r="245" spans="1:25" ht="87.75" customHeight="1" x14ac:dyDescent="0.3">
      <c r="A245" s="346">
        <f>'Unit Data from Audit Worksheet'!A302</f>
        <v>620</v>
      </c>
      <c r="B245" s="360"/>
      <c r="C245" s="345" t="str">
        <f>'Unit Data from Audit Worksheet'!D302</f>
        <v>Do you expect to issue debt requiring LGC approval within 12 months from the date that the audit is submitted - select "1" for yes and "2" for no</v>
      </c>
      <c r="D245" s="365"/>
      <c r="E245" s="156">
        <f>'Unit Data from Audit Worksheet'!F302</f>
        <v>0</v>
      </c>
      <c r="F245" s="359"/>
      <c r="G245" s="361"/>
      <c r="H245" s="358">
        <f>'Unit Data from Audit Worksheet'!I302</f>
        <v>0</v>
      </c>
      <c r="I245" s="38"/>
      <c r="J245" s="105">
        <v>620</v>
      </c>
      <c r="K245" s="58" t="s">
        <v>1128</v>
      </c>
      <c r="L245" s="610">
        <f t="shared" si="26"/>
        <v>0</v>
      </c>
      <c r="N245" s="138"/>
      <c r="P245" s="329"/>
      <c r="W245" s="3" t="b">
        <f t="shared" si="24"/>
        <v>1</v>
      </c>
      <c r="X245" s="607">
        <f t="shared" si="21"/>
        <v>0</v>
      </c>
      <c r="Y245" s="607">
        <f t="shared" si="22"/>
        <v>0</v>
      </c>
    </row>
    <row r="246" spans="1:25" ht="87.75" customHeight="1" x14ac:dyDescent="0.3">
      <c r="A246" s="626">
        <f>+'TD Info Completed by Auditor'!D41</f>
        <v>906</v>
      </c>
      <c r="B246" s="342" t="s">
        <v>1125</v>
      </c>
      <c r="C246" s="626" t="str">
        <f>+'TD Info Completed by Auditor'!E41</f>
        <v>Is the Independent Auditor's Report Opinion Unmodified?</v>
      </c>
      <c r="D246" s="365"/>
      <c r="E246" s="348">
        <f>IF(+'TD Info Completed by Auditor'!G41="Yes",1,IF(+'TD Info Completed by Auditor'!G41="No",2,IF(+'TD Info Completed by Auditor'!G41="N/A",3,0)))</f>
        <v>0</v>
      </c>
      <c r="F246" s="359"/>
      <c r="G246" s="361"/>
      <c r="H246" s="358"/>
      <c r="I246" s="38"/>
      <c r="J246" s="127">
        <v>906</v>
      </c>
      <c r="K246" s="637" t="s">
        <v>917</v>
      </c>
      <c r="L246" s="610">
        <f t="shared" si="26"/>
        <v>0</v>
      </c>
      <c r="N246" s="138" t="s">
        <v>1344</v>
      </c>
      <c r="P246" s="331"/>
      <c r="W246" s="3" t="b">
        <f t="shared" si="24"/>
        <v>1</v>
      </c>
      <c r="X246" s="607"/>
      <c r="Y246" s="607"/>
    </row>
    <row r="247" spans="1:25" ht="87.75" customHeight="1" x14ac:dyDescent="0.3">
      <c r="A247" s="626">
        <f>+'TD Info Completed by Auditor'!D43</f>
        <v>907</v>
      </c>
      <c r="B247" s="342" t="s">
        <v>1125</v>
      </c>
      <c r="C247" s="626" t="str">
        <f>+'TD Info Completed by Auditor'!E43</f>
        <v xml:space="preserve">Is there a finding for lack of segregation of duties at this unit? </v>
      </c>
      <c r="D247" s="365"/>
      <c r="E247" s="348">
        <f>IF(+'TD Info Completed by Auditor'!G43="Yes",1,IF(+'TD Info Completed by Auditor'!G43="No",2,IF(+'TD Info Completed by Auditor'!G43="N/A",3,0)))</f>
        <v>0</v>
      </c>
      <c r="F247" s="359"/>
      <c r="G247" s="361"/>
      <c r="H247" s="358"/>
      <c r="I247" s="38"/>
      <c r="J247" s="127">
        <v>907</v>
      </c>
      <c r="K247" s="637" t="s">
        <v>918</v>
      </c>
      <c r="L247" s="610">
        <f t="shared" si="26"/>
        <v>0</v>
      </c>
      <c r="N247" s="138" t="s">
        <v>1344</v>
      </c>
      <c r="P247" s="331"/>
      <c r="W247" s="3" t="b">
        <f t="shared" si="24"/>
        <v>1</v>
      </c>
      <c r="X247" s="607"/>
      <c r="Y247" s="607"/>
    </row>
    <row r="248" spans="1:25" ht="87.75" customHeight="1" x14ac:dyDescent="0.3">
      <c r="A248" s="626">
        <f>+'TD Info Completed by Auditor'!D45</f>
        <v>951</v>
      </c>
      <c r="B248" s="342" t="s">
        <v>1125</v>
      </c>
      <c r="C248" s="627" t="str">
        <f>+'TD Info Completed by Auditor'!E45</f>
        <v>Is there a finding for lack of technical skills, knowledge and experience (SKE) at this unit?</v>
      </c>
      <c r="D248" s="365"/>
      <c r="E248" s="348">
        <f>IF(+'TD Info Completed by Auditor'!G45="Yes",1,IF(+'TD Info Completed by Auditor'!G45="No",2,IF(+'TD Info Completed by Auditor'!G45="N/A",3,0)))</f>
        <v>0</v>
      </c>
      <c r="F248" s="359"/>
      <c r="G248" s="361"/>
      <c r="H248" s="358"/>
      <c r="I248" s="38"/>
      <c r="J248" s="127">
        <v>951</v>
      </c>
      <c r="K248" s="637" t="s">
        <v>919</v>
      </c>
      <c r="L248" s="610">
        <f t="shared" si="26"/>
        <v>0</v>
      </c>
      <c r="N248" s="138" t="s">
        <v>1344</v>
      </c>
      <c r="P248" s="331"/>
      <c r="W248" s="3" t="b">
        <f t="shared" si="24"/>
        <v>1</v>
      </c>
      <c r="X248" s="607"/>
      <c r="Y248" s="607"/>
    </row>
    <row r="249" spans="1:25" ht="87.75" customHeight="1" x14ac:dyDescent="0.3">
      <c r="A249" s="626">
        <f>+'TD Info Completed by Auditor'!D47</f>
        <v>953</v>
      </c>
      <c r="B249" s="342" t="s">
        <v>1125</v>
      </c>
      <c r="C249" s="627" t="str">
        <f>+'TD Info Completed by Auditor'!E47</f>
        <v xml:space="preserve">Is there is a going concern finding noted in the audit report? </v>
      </c>
      <c r="D249" s="365"/>
      <c r="E249" s="348">
        <f>IF(+'TD Info Completed by Auditor'!G47="Yes",1,IF(+'TD Info Completed by Auditor'!G47="No",2,IF(+'TD Info Completed by Auditor'!G47="N/A",3,0)))</f>
        <v>0</v>
      </c>
      <c r="F249" s="359"/>
      <c r="G249" s="361"/>
      <c r="H249" s="358"/>
      <c r="I249" s="38"/>
      <c r="J249" s="127">
        <v>953</v>
      </c>
      <c r="K249" s="637" t="s">
        <v>1601</v>
      </c>
      <c r="L249" s="610">
        <f t="shared" si="26"/>
        <v>0</v>
      </c>
      <c r="N249" s="138" t="s">
        <v>1344</v>
      </c>
      <c r="P249" s="331"/>
      <c r="W249" s="3" t="b">
        <f t="shared" si="24"/>
        <v>1</v>
      </c>
      <c r="X249" s="607"/>
      <c r="Y249" s="607"/>
    </row>
    <row r="250" spans="1:25" ht="87.75" customHeight="1" x14ac:dyDescent="0.3">
      <c r="A250" s="626">
        <f>+'TD Info Completed by Auditor'!D49</f>
        <v>955</v>
      </c>
      <c r="B250" s="342" t="s">
        <v>1125</v>
      </c>
      <c r="C250" s="627" t="str">
        <f>+'TD Info Completed by Auditor'!E49</f>
        <v>Number of significant deficiency findings (other than in Questions 15-18 )</v>
      </c>
      <c r="D250" s="365"/>
      <c r="E250" s="1156" t="str">
        <f>IF(ISBLANK('TD Info Completed by Auditor'!G49),"",'TD Info Completed by Auditor'!G49)</f>
        <v/>
      </c>
      <c r="F250" s="359"/>
      <c r="G250" s="361"/>
      <c r="H250" s="1155" t="s">
        <v>2075</v>
      </c>
      <c r="I250" s="38"/>
      <c r="J250" s="127">
        <v>955</v>
      </c>
      <c r="K250" s="637" t="s">
        <v>1129</v>
      </c>
      <c r="L250" s="610" t="str">
        <f t="shared" si="26"/>
        <v/>
      </c>
      <c r="N250" s="138" t="s">
        <v>1344</v>
      </c>
      <c r="P250" s="331"/>
      <c r="W250" s="3" t="b">
        <f t="shared" si="24"/>
        <v>1</v>
      </c>
      <c r="X250" s="607"/>
      <c r="Y250" s="607"/>
    </row>
    <row r="251" spans="1:25" ht="87.75" customHeight="1" x14ac:dyDescent="0.3">
      <c r="A251" s="626">
        <f>+'TD Info Completed by Auditor'!D51</f>
        <v>957</v>
      </c>
      <c r="B251" s="342" t="s">
        <v>1125</v>
      </c>
      <c r="C251" s="627" t="str">
        <f>+'TD Info Completed by Auditor'!E51</f>
        <v>Number of material weaknesses findings (other than in Questions 15-18)</v>
      </c>
      <c r="D251" s="365"/>
      <c r="E251" s="1156" t="str">
        <f>IF(ISBLANK('TD Info Completed by Auditor'!G51),"",'TD Info Completed by Auditor'!G51)</f>
        <v/>
      </c>
      <c r="F251" s="359"/>
      <c r="G251" s="361"/>
      <c r="H251" s="1155" t="s">
        <v>2076</v>
      </c>
      <c r="I251" s="38"/>
      <c r="J251" s="127">
        <v>957</v>
      </c>
      <c r="K251" s="637" t="s">
        <v>1130</v>
      </c>
      <c r="L251" s="610" t="str">
        <f t="shared" si="26"/>
        <v/>
      </c>
      <c r="N251" s="138" t="s">
        <v>1344</v>
      </c>
      <c r="P251" s="331"/>
      <c r="W251" s="3" t="b">
        <f t="shared" si="24"/>
        <v>1</v>
      </c>
      <c r="X251" s="607"/>
      <c r="Y251" s="607"/>
    </row>
    <row r="252" spans="1:25" ht="87.75" customHeight="1" x14ac:dyDescent="0.3">
      <c r="A252" s="626">
        <f>+'TD Info Completed by Auditor'!D53</f>
        <v>959</v>
      </c>
      <c r="B252" s="342" t="s">
        <v>1125</v>
      </c>
      <c r="C252" s="627" t="str">
        <f>+'TD Info Completed by Auditor'!E53</f>
        <v>Did the Unit have debt service payments deferred or restructured in this fiscal year? (does not include refinancings designed to take advantage of lower interest rates)  Select Yes, No, or NA</v>
      </c>
      <c r="D252" s="365"/>
      <c r="E252" s="348">
        <f>IF(+'TD Info Completed by Auditor'!G53="Yes",1,IF(+'TD Info Completed by Auditor'!G53="No",2,IF(+'TD Info Completed by Auditor'!G53="N/A",3,0)))</f>
        <v>0</v>
      </c>
      <c r="F252" s="359"/>
      <c r="G252" s="361"/>
      <c r="H252" s="358"/>
      <c r="I252" s="38"/>
      <c r="J252" s="127">
        <v>959</v>
      </c>
      <c r="K252" s="637" t="s">
        <v>1346</v>
      </c>
      <c r="L252" s="610">
        <f t="shared" si="26"/>
        <v>0</v>
      </c>
      <c r="N252" s="138" t="s">
        <v>1344</v>
      </c>
      <c r="P252" s="331"/>
      <c r="W252" s="3" t="b">
        <f t="shared" si="24"/>
        <v>1</v>
      </c>
      <c r="X252" s="607"/>
      <c r="Y252" s="607"/>
    </row>
    <row r="253" spans="1:25" ht="222" customHeight="1" x14ac:dyDescent="0.3">
      <c r="A253" s="626">
        <f>+'TD Info Completed by Auditor'!D57</f>
        <v>974</v>
      </c>
      <c r="B253" s="342" t="s">
        <v>1125</v>
      </c>
      <c r="C253" s="627"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65"/>
      <c r="E253" s="348">
        <f>IF(+'TD Info Completed by Auditor'!G57="Yes",1,IF(+'TD Info Completed by Auditor'!G57="No",2,IF(+'TD Info Completed by Auditor'!G57="N/A",3,0)))</f>
        <v>0</v>
      </c>
      <c r="F253" s="359"/>
      <c r="G253" s="361"/>
      <c r="H253" s="358"/>
      <c r="I253" s="38"/>
      <c r="J253" s="127">
        <v>974</v>
      </c>
      <c r="K253" s="637" t="s">
        <v>1602</v>
      </c>
      <c r="L253" s="610">
        <f t="shared" si="26"/>
        <v>0</v>
      </c>
      <c r="N253" s="138" t="s">
        <v>1344</v>
      </c>
      <c r="P253" s="331"/>
      <c r="W253" s="3" t="b">
        <f t="shared" si="24"/>
        <v>1</v>
      </c>
      <c r="X253" s="607"/>
      <c r="Y253" s="607"/>
    </row>
    <row r="254" spans="1:25" ht="177.75" customHeight="1" x14ac:dyDescent="0.3">
      <c r="A254" s="626">
        <f>+'TD Info Completed by Auditor'!D55</f>
        <v>973</v>
      </c>
      <c r="B254" s="342" t="s">
        <v>1125</v>
      </c>
      <c r="C254" s="341"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65"/>
      <c r="E254" s="348">
        <f>+'TD Info Completed by Auditor'!G55</f>
        <v>0</v>
      </c>
      <c r="F254" s="359"/>
      <c r="G254" s="361"/>
      <c r="H254" s="358"/>
      <c r="I254" s="38"/>
      <c r="J254" s="127">
        <v>973</v>
      </c>
      <c r="K254" s="637" t="s">
        <v>1298</v>
      </c>
      <c r="L254" s="610">
        <f t="shared" si="26"/>
        <v>0</v>
      </c>
      <c r="N254" s="138" t="s">
        <v>1344</v>
      </c>
      <c r="P254" s="331"/>
      <c r="W254" s="3" t="b">
        <f t="shared" si="24"/>
        <v>1</v>
      </c>
      <c r="X254" s="607"/>
      <c r="Y254" s="607"/>
    </row>
    <row r="255" spans="1:25" ht="87.75" customHeight="1" x14ac:dyDescent="0.3">
      <c r="A255" s="626">
        <f>+'TD Info Completed by Auditor'!D60</f>
        <v>965</v>
      </c>
      <c r="B255" s="342" t="s">
        <v>1125</v>
      </c>
      <c r="C255" s="627" t="str">
        <f>+'TD Info Completed by Auditor'!E60</f>
        <v xml:space="preserve">Is the Finance Officer bonded for at least $50,000? (GS 159-42(h) </v>
      </c>
      <c r="D255" s="365"/>
      <c r="E255" s="348">
        <f>IF(+'TD Info Completed by Auditor'!G60="Yes",1,IF(+'TD Info Completed by Auditor'!G60="No",2,IF(+'TD Info Completed by Auditor'!G60="N/A",3,0)))</f>
        <v>0</v>
      </c>
      <c r="F255" s="359"/>
      <c r="G255" s="361"/>
      <c r="H255" s="358"/>
      <c r="I255" s="38"/>
      <c r="J255" s="127">
        <v>965</v>
      </c>
      <c r="K255" s="637" t="s">
        <v>924</v>
      </c>
      <c r="L255" s="610">
        <f t="shared" si="26"/>
        <v>0</v>
      </c>
      <c r="N255" s="1127"/>
      <c r="P255" s="331"/>
      <c r="W255" s="3" t="b">
        <f t="shared" si="24"/>
        <v>1</v>
      </c>
      <c r="X255" s="607"/>
      <c r="Y255" s="607"/>
    </row>
    <row r="256" spans="1:25" ht="87.75" customHeight="1" x14ac:dyDescent="0.3">
      <c r="A256" s="626">
        <f>+'TD Info Completed by Auditor'!D68</f>
        <v>977</v>
      </c>
      <c r="B256" s="342" t="s">
        <v>1125</v>
      </c>
      <c r="C256" s="627" t="str">
        <f>+'TD Info Completed by Auditor'!E68</f>
        <v>Does the entity have an  effective pre-audit process to ensure that pervasive budgetary over- expenditures do not occur at the budget ordinance level? Select Yes or No</v>
      </c>
      <c r="D256" s="365"/>
      <c r="E256" s="348">
        <f>IF(+'TD Info Completed by Auditor'!G68="Yes",1,IF(+'TD Info Completed by Auditor'!G68="No",2,0))</f>
        <v>0</v>
      </c>
      <c r="F256" s="359"/>
      <c r="G256" s="361"/>
      <c r="H256" s="358"/>
      <c r="I256" s="38"/>
      <c r="J256" s="127">
        <v>977</v>
      </c>
      <c r="K256" s="637" t="s">
        <v>1604</v>
      </c>
      <c r="L256" s="610">
        <f t="shared" si="26"/>
        <v>0</v>
      </c>
      <c r="N256" s="138" t="s">
        <v>1344</v>
      </c>
      <c r="P256" s="331"/>
      <c r="W256" s="3" t="b">
        <f t="shared" si="24"/>
        <v>1</v>
      </c>
      <c r="X256" s="607"/>
      <c r="Y256" s="607"/>
    </row>
    <row r="257" spans="1:25" ht="87.75" customHeight="1" x14ac:dyDescent="0.3">
      <c r="A257" s="626">
        <f>+'TD Info Completed by Auditor'!D70</f>
        <v>978</v>
      </c>
      <c r="B257" s="342" t="s">
        <v>1125</v>
      </c>
      <c r="C257" s="627" t="str">
        <f>+'TD Info Completed by Auditor'!E70</f>
        <v>Did the audit disclose any statutory violations in the notes that were not covered by findings?  Select Yes or No</v>
      </c>
      <c r="D257" s="365"/>
      <c r="E257" s="348" t="str">
        <f>IF(+'TD Info Completed by Auditor'!G70="Yes",1,IF(+'TD Info Completed by Auditor'!G70="No",2,IF(+'TD Info Completed by Auditor'!G70="","0")))</f>
        <v>0</v>
      </c>
      <c r="F257" s="359"/>
      <c r="G257" s="361"/>
      <c r="H257" s="358"/>
      <c r="I257" s="38"/>
      <c r="J257" s="127">
        <v>978</v>
      </c>
      <c r="K257" s="637" t="s">
        <v>1603</v>
      </c>
      <c r="L257" s="610" t="str">
        <f t="shared" si="26"/>
        <v>0</v>
      </c>
      <c r="N257" s="138" t="s">
        <v>1344</v>
      </c>
      <c r="P257" s="331"/>
      <c r="W257" s="3" t="b">
        <f t="shared" si="24"/>
        <v>1</v>
      </c>
      <c r="X257" s="607"/>
      <c r="Y257" s="607"/>
    </row>
    <row r="258" spans="1:25" ht="87.75" customHeight="1" x14ac:dyDescent="0.3">
      <c r="A258" s="626">
        <f>+'TD Info Completed by Auditor'!D72</f>
        <v>979</v>
      </c>
      <c r="B258" s="342" t="s">
        <v>1125</v>
      </c>
      <c r="C258" s="627" t="str">
        <f>+'TD Info Completed by Auditor'!E72</f>
        <v>The Auditor will submit the Audit Report to the LGC within five months plus one day after the fiscal year end.  (for units with a June 30th fiscal year-end this would be December 1)   Select Yes or No</v>
      </c>
      <c r="D258" s="365"/>
      <c r="E258" s="348">
        <f>IF(+'TD Info Completed by Auditor'!G72="Yes",1,IF(+'TD Info Completed by Auditor'!G72="No",2,IF(+'TD Info Completed by Auditor'!G72="N/A",3,0)))</f>
        <v>0</v>
      </c>
      <c r="F258" s="359"/>
      <c r="G258" s="361"/>
      <c r="H258" s="358"/>
      <c r="I258" s="38"/>
      <c r="J258" s="127">
        <v>979</v>
      </c>
      <c r="K258" s="637" t="s">
        <v>1083</v>
      </c>
      <c r="L258" s="610">
        <f t="shared" si="26"/>
        <v>0</v>
      </c>
      <c r="N258" s="138" t="s">
        <v>1344</v>
      </c>
      <c r="P258" s="331"/>
      <c r="W258" s="3" t="b">
        <f t="shared" si="24"/>
        <v>1</v>
      </c>
      <c r="X258" s="607"/>
      <c r="Y258" s="607"/>
    </row>
    <row r="259" spans="1:25" ht="87.75" customHeight="1" x14ac:dyDescent="0.3">
      <c r="A259" s="626">
        <f>+'TD Info Completed by Auditor'!D76</f>
        <v>975</v>
      </c>
      <c r="B259" s="342" t="s">
        <v>1125</v>
      </c>
      <c r="C259" s="627" t="str">
        <f>+'TD Info Completed by Auditor'!E76</f>
        <v>The Performance Indicator Tab in this worksheet has at least one performance indicator of concern (indicated by a red shaded cell)</v>
      </c>
      <c r="D259" s="365"/>
      <c r="E259" s="348">
        <f>IF(+'TD Info Completed by Auditor'!G76="Yes",1,IF(+'TD Info Completed by Auditor'!G76="No",2,IF(+'TD Info Completed by Auditor'!G76="N/A",3,0)))</f>
        <v>0</v>
      </c>
      <c r="F259" s="359"/>
      <c r="G259" s="361"/>
      <c r="H259" s="358"/>
      <c r="I259" s="38"/>
      <c r="J259" s="127">
        <v>975</v>
      </c>
      <c r="K259" s="637" t="s">
        <v>1131</v>
      </c>
      <c r="L259" s="610">
        <f>IF(D259="",E259,D259)</f>
        <v>0</v>
      </c>
      <c r="N259" s="138" t="s">
        <v>1344</v>
      </c>
      <c r="P259" s="331"/>
      <c r="W259" s="3" t="b">
        <f>EXACT(A259,J259)</f>
        <v>1</v>
      </c>
      <c r="X259" s="607"/>
      <c r="Y259" s="607"/>
    </row>
    <row r="260" spans="1:25" ht="112.5" customHeight="1" x14ac:dyDescent="0.3">
      <c r="A260" s="626">
        <f>+'TD Info Completed by Auditor'!D78</f>
        <v>976</v>
      </c>
      <c r="B260" s="342" t="s">
        <v>1125</v>
      </c>
      <c r="C260" s="341"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65"/>
      <c r="E260" s="348">
        <f>IF(+'TD Info Completed by Auditor'!G78="Yes",1,IF(+'TD Info Completed by Auditor'!G78="No",2,IF(+'TD Info Completed by Auditor'!G78="N/A",3,0)))</f>
        <v>0</v>
      </c>
      <c r="F260" s="359"/>
      <c r="G260" s="361"/>
      <c r="H260" s="358"/>
      <c r="I260" s="38"/>
      <c r="J260" s="127">
        <v>976</v>
      </c>
      <c r="K260" s="637" t="s">
        <v>1300</v>
      </c>
      <c r="L260" s="610">
        <f>IF(D260="",E260,D260)</f>
        <v>0</v>
      </c>
      <c r="N260" s="138" t="s">
        <v>1344</v>
      </c>
      <c r="P260" s="331"/>
      <c r="W260" s="3" t="b">
        <f>EXACT(A260,J260)</f>
        <v>1</v>
      </c>
      <c r="X260" s="607"/>
      <c r="Y260" s="607"/>
    </row>
    <row r="261" spans="1:25" ht="109.95" customHeight="1" x14ac:dyDescent="0.3">
      <c r="A261" s="654">
        <v>336</v>
      </c>
      <c r="B261" s="378"/>
      <c r="C261" s="655" t="s">
        <v>1409</v>
      </c>
      <c r="D261" s="656" t="s">
        <v>1311</v>
      </c>
      <c r="E261" s="657" t="s">
        <v>1312</v>
      </c>
      <c r="F261" s="379" t="s">
        <v>1310</v>
      </c>
      <c r="G261" s="361"/>
      <c r="H261" s="358"/>
      <c r="I261" s="38"/>
      <c r="J261" s="380">
        <v>336</v>
      </c>
      <c r="K261" s="658" t="s">
        <v>1315</v>
      </c>
      <c r="L261" s="659">
        <f>L10-L11-L12-L13-L14-L15-L16</f>
        <v>0</v>
      </c>
      <c r="M261" s="660"/>
      <c r="N261" s="394" t="s">
        <v>1313</v>
      </c>
      <c r="P261" s="331"/>
      <c r="X261" s="607"/>
      <c r="Y261" s="607"/>
    </row>
    <row r="262" spans="1:25" ht="129" customHeight="1" x14ac:dyDescent="0.3">
      <c r="A262" s="654">
        <v>44</v>
      </c>
      <c r="B262" s="378"/>
      <c r="C262" s="661" t="s">
        <v>1410</v>
      </c>
      <c r="D262" s="656" t="s">
        <v>1302</v>
      </c>
      <c r="E262" s="662" t="s">
        <v>1303</v>
      </c>
      <c r="F262" s="379" t="s">
        <v>1310</v>
      </c>
      <c r="G262" s="361"/>
      <c r="H262" s="358"/>
      <c r="I262" s="38"/>
      <c r="J262" s="380">
        <v>44</v>
      </c>
      <c r="K262" s="658" t="s">
        <v>1316</v>
      </c>
      <c r="L262" s="659">
        <f>L120-L121-L118</f>
        <v>0</v>
      </c>
      <c r="M262" s="660"/>
      <c r="N262" s="394" t="s">
        <v>1314</v>
      </c>
      <c r="P262" s="331"/>
      <c r="X262" s="607"/>
      <c r="Y262" s="607"/>
    </row>
    <row r="263" spans="1:25" ht="169.5" customHeight="1" x14ac:dyDescent="0.3">
      <c r="A263" s="654">
        <v>45</v>
      </c>
      <c r="B263" s="378"/>
      <c r="C263" s="663" t="s">
        <v>1411</v>
      </c>
      <c r="D263" s="656" t="s">
        <v>1304</v>
      </c>
      <c r="E263" s="657" t="s">
        <v>1305</v>
      </c>
      <c r="F263" s="379" t="s">
        <v>1310</v>
      </c>
      <c r="G263" s="361"/>
      <c r="H263" s="358"/>
      <c r="I263" s="38"/>
      <c r="J263" s="380">
        <v>45</v>
      </c>
      <c r="K263" s="658" t="s">
        <v>1317</v>
      </c>
      <c r="L263" s="659">
        <f>L124-L125-L126-L127-L128-L129-L123</f>
        <v>0</v>
      </c>
      <c r="M263" s="660"/>
      <c r="N263" s="394" t="s">
        <v>1335</v>
      </c>
      <c r="P263" s="331"/>
      <c r="X263" s="607"/>
      <c r="Y263" s="607"/>
    </row>
    <row r="264" spans="1:25" ht="87.75" customHeight="1" x14ac:dyDescent="0.3">
      <c r="A264" s="654">
        <v>47</v>
      </c>
      <c r="B264" s="378"/>
      <c r="C264" s="379" t="s">
        <v>1319</v>
      </c>
      <c r="D264" s="656" t="s">
        <v>1306</v>
      </c>
      <c r="E264" s="657" t="s">
        <v>1308</v>
      </c>
      <c r="F264" s="379" t="s">
        <v>1310</v>
      </c>
      <c r="G264" s="361"/>
      <c r="H264" s="358"/>
      <c r="I264" s="38"/>
      <c r="J264" s="380">
        <v>47</v>
      </c>
      <c r="K264" s="658" t="s">
        <v>1318</v>
      </c>
      <c r="L264" s="659">
        <f>L138-L139-L137</f>
        <v>0</v>
      </c>
      <c r="M264" s="660"/>
      <c r="N264" s="394" t="s">
        <v>1336</v>
      </c>
      <c r="P264" s="331"/>
      <c r="X264" s="607"/>
      <c r="Y264" s="607"/>
    </row>
    <row r="265" spans="1:25" ht="152.25" customHeight="1" x14ac:dyDescent="0.3">
      <c r="A265" s="654">
        <v>48</v>
      </c>
      <c r="B265" s="378"/>
      <c r="C265" s="379" t="s">
        <v>1320</v>
      </c>
      <c r="D265" s="656" t="s">
        <v>1307</v>
      </c>
      <c r="E265" s="657" t="s">
        <v>1309</v>
      </c>
      <c r="F265" s="379" t="s">
        <v>1310</v>
      </c>
      <c r="G265" s="361"/>
      <c r="H265" s="358"/>
      <c r="I265" s="38"/>
      <c r="J265" s="380">
        <v>48</v>
      </c>
      <c r="K265" s="658" t="s">
        <v>123</v>
      </c>
      <c r="L265" s="659">
        <f>L143-L144-L145-L146-L147-L148-L142</f>
        <v>0</v>
      </c>
      <c r="M265" s="660"/>
      <c r="N265" s="394" t="s">
        <v>1337</v>
      </c>
      <c r="P265" s="331"/>
      <c r="X265" s="607"/>
      <c r="Y265" s="607"/>
    </row>
    <row r="266" spans="1:25" ht="113.4" customHeight="1" x14ac:dyDescent="0.3">
      <c r="A266" s="664"/>
      <c r="B266" s="97"/>
      <c r="C266" s="665"/>
      <c r="D266" s="139"/>
      <c r="E266" s="147"/>
      <c r="F266" s="66"/>
      <c r="G266" s="141"/>
      <c r="H266" s="142"/>
      <c r="I266" s="38"/>
      <c r="J266" s="381">
        <v>998</v>
      </c>
      <c r="K266" s="382" t="s">
        <v>292</v>
      </c>
      <c r="L266" s="666" t="e">
        <f>HLOOKUP('Unit Data from Audit Worksheet'!$D$2,'2020 Data(H)'!A1:CZ406,247,FALSE)</f>
        <v>#N/A</v>
      </c>
      <c r="M266" s="660"/>
      <c r="N266" s="394" t="s">
        <v>1321</v>
      </c>
      <c r="P266" s="327"/>
      <c r="W266" s="3" t="b">
        <f>EXACT(A266,J266)</f>
        <v>0</v>
      </c>
      <c r="X266" s="607" t="e">
        <f t="shared" si="21"/>
        <v>#N/A</v>
      </c>
      <c r="Y266" s="607" t="e">
        <f t="shared" si="22"/>
        <v>#N/A</v>
      </c>
    </row>
    <row r="267" spans="1:25" ht="119.4" customHeight="1" x14ac:dyDescent="0.3">
      <c r="A267" s="664"/>
      <c r="B267" s="97"/>
      <c r="C267" s="665"/>
      <c r="D267" s="667"/>
      <c r="E267" s="668"/>
      <c r="F267" s="669"/>
      <c r="G267" s="670"/>
      <c r="H267" s="671"/>
      <c r="I267" s="38"/>
      <c r="J267" s="383">
        <v>992</v>
      </c>
      <c r="K267" s="384" t="s">
        <v>290</v>
      </c>
      <c r="L267" s="672" t="e">
        <f>HLOOKUP('Unit Data from Audit Worksheet'!$D$2,'2020 Data(H)'!A1:CZ406,244,FALSE)</f>
        <v>#N/A</v>
      </c>
      <c r="M267" s="660"/>
      <c r="N267" s="394" t="s">
        <v>1338</v>
      </c>
      <c r="P267" s="328"/>
      <c r="W267" s="3" t="b">
        <f>EXACT(A267,J267)</f>
        <v>0</v>
      </c>
      <c r="X267" s="673" t="e">
        <f t="shared" si="21"/>
        <v>#N/A</v>
      </c>
      <c r="Y267" s="607" t="e">
        <f t="shared" si="22"/>
        <v>#N/A</v>
      </c>
    </row>
    <row r="268" spans="1:25" ht="104.4" customHeight="1" x14ac:dyDescent="0.3">
      <c r="A268" s="664"/>
      <c r="B268" s="97"/>
      <c r="C268" s="665"/>
      <c r="D268" s="667"/>
      <c r="E268" s="668"/>
      <c r="F268" s="669"/>
      <c r="G268" s="670"/>
      <c r="H268" s="671"/>
      <c r="I268" s="38"/>
      <c r="J268" s="383">
        <v>996</v>
      </c>
      <c r="K268" s="384" t="s">
        <v>291</v>
      </c>
      <c r="L268" s="672" t="e">
        <f>HLOOKUP('Unit Data from Audit Worksheet'!$D$2,'2020 Data(H)'!A1:CZ406,245,FALSE)</f>
        <v>#N/A</v>
      </c>
      <c r="M268" s="660"/>
      <c r="N268" s="394" t="s">
        <v>1339</v>
      </c>
      <c r="P268" s="328"/>
      <c r="W268" s="3" t="b">
        <f>EXACT(A268,J268)</f>
        <v>0</v>
      </c>
      <c r="X268" s="673" t="e">
        <f t="shared" si="21"/>
        <v>#N/A</v>
      </c>
      <c r="Y268" s="607" t="e">
        <f t="shared" si="22"/>
        <v>#N/A</v>
      </c>
    </row>
    <row r="269" spans="1:25" ht="43.2" x14ac:dyDescent="0.3">
      <c r="A269" s="664"/>
      <c r="B269" s="97"/>
      <c r="C269" s="665"/>
      <c r="D269" s="667"/>
      <c r="E269" s="668"/>
      <c r="F269" s="669"/>
      <c r="G269" s="670"/>
      <c r="H269" s="674"/>
      <c r="I269" s="38"/>
      <c r="J269" s="172">
        <v>554</v>
      </c>
      <c r="K269" s="675" t="s">
        <v>577</v>
      </c>
      <c r="L269" s="636"/>
      <c r="N269" s="676"/>
      <c r="P269" s="329"/>
      <c r="X269" s="673"/>
      <c r="Y269" s="607"/>
    </row>
    <row r="270" spans="1:25" ht="43.2" x14ac:dyDescent="0.3">
      <c r="A270" s="664"/>
      <c r="B270" s="97"/>
      <c r="C270" s="665"/>
      <c r="D270" s="667"/>
      <c r="E270" s="668"/>
      <c r="F270" s="669"/>
      <c r="G270" s="670"/>
      <c r="H270" s="674"/>
      <c r="I270" s="38"/>
      <c r="J270" s="172">
        <v>555</v>
      </c>
      <c r="K270" s="675" t="s">
        <v>579</v>
      </c>
      <c r="L270" s="636"/>
      <c r="N270" s="676"/>
      <c r="P270" s="329"/>
      <c r="X270" s="673"/>
      <c r="Y270" s="607"/>
    </row>
    <row r="271" spans="1:25" ht="43.2" x14ac:dyDescent="0.3">
      <c r="A271" s="664"/>
      <c r="B271" s="97"/>
      <c r="C271" s="665"/>
      <c r="D271" s="667"/>
      <c r="E271" s="668"/>
      <c r="F271" s="669"/>
      <c r="G271" s="670"/>
      <c r="H271" s="674"/>
      <c r="I271" s="38"/>
      <c r="J271" s="172">
        <v>556</v>
      </c>
      <c r="K271" s="675" t="s">
        <v>581</v>
      </c>
      <c r="L271" s="636"/>
      <c r="N271" s="676"/>
      <c r="P271" s="329"/>
      <c r="X271" s="673"/>
      <c r="Y271" s="607"/>
    </row>
    <row r="272" spans="1:25" ht="43.2" x14ac:dyDescent="0.3">
      <c r="A272" s="664"/>
      <c r="B272" s="97"/>
      <c r="C272" s="665"/>
      <c r="D272" s="667"/>
      <c r="E272" s="668"/>
      <c r="F272" s="669"/>
      <c r="G272" s="670"/>
      <c r="H272" s="674"/>
      <c r="I272" s="38"/>
      <c r="J272" s="172">
        <v>557</v>
      </c>
      <c r="K272" s="675" t="s">
        <v>583</v>
      </c>
      <c r="L272" s="636"/>
      <c r="N272" s="676"/>
      <c r="P272" s="329"/>
      <c r="X272" s="673"/>
      <c r="Y272" s="607"/>
    </row>
    <row r="273" spans="1:25" ht="43.2" x14ac:dyDescent="0.3">
      <c r="A273" s="664"/>
      <c r="B273" s="97"/>
      <c r="C273" s="665"/>
      <c r="D273" s="667"/>
      <c r="E273" s="668"/>
      <c r="F273" s="669"/>
      <c r="G273" s="670"/>
      <c r="H273" s="674"/>
      <c r="I273" s="38"/>
      <c r="J273" s="172">
        <v>606</v>
      </c>
      <c r="K273" s="675" t="s">
        <v>856</v>
      </c>
      <c r="L273" s="636"/>
      <c r="N273" s="676"/>
      <c r="P273" s="329"/>
      <c r="X273" s="673"/>
      <c r="Y273" s="607"/>
    </row>
    <row r="274" spans="1:25" ht="39.75" customHeight="1" x14ac:dyDescent="0.3">
      <c r="A274" s="664"/>
      <c r="B274" s="97"/>
      <c r="C274" s="665"/>
      <c r="D274" s="667"/>
      <c r="E274" s="668"/>
      <c r="F274" s="669"/>
      <c r="G274" s="670"/>
      <c r="H274" s="674"/>
      <c r="I274" s="38"/>
      <c r="J274" s="335">
        <v>662</v>
      </c>
      <c r="K274" s="677" t="s">
        <v>857</v>
      </c>
      <c r="L274" s="678"/>
      <c r="N274" s="676"/>
      <c r="P274" s="335"/>
      <c r="X274" s="673"/>
      <c r="Y274" s="607"/>
    </row>
    <row r="275" spans="1:25" ht="39" customHeight="1" x14ac:dyDescent="0.3">
      <c r="A275" s="664"/>
      <c r="B275" s="97"/>
      <c r="C275" s="665"/>
      <c r="D275" s="667"/>
      <c r="E275" s="668"/>
      <c r="F275" s="669"/>
      <c r="G275" s="670"/>
      <c r="H275" s="674"/>
      <c r="I275" s="38"/>
      <c r="J275" s="335">
        <v>663</v>
      </c>
      <c r="K275" s="679" t="s">
        <v>858</v>
      </c>
      <c r="L275" s="678"/>
      <c r="N275" s="676"/>
      <c r="P275" s="335"/>
      <c r="X275" s="673"/>
      <c r="Y275" s="607"/>
    </row>
    <row r="276" spans="1:25" s="18" customFormat="1" ht="22.5" customHeight="1" x14ac:dyDescent="0.3">
      <c r="A276" s="664"/>
      <c r="B276" s="97"/>
      <c r="C276" s="665"/>
      <c r="D276" s="139"/>
      <c r="E276" s="140"/>
      <c r="F276" s="66"/>
      <c r="G276" s="141"/>
      <c r="H276" s="142"/>
      <c r="I276" s="38"/>
      <c r="J276" s="143"/>
      <c r="K276" s="680"/>
      <c r="L276" s="681"/>
      <c r="N276" s="392"/>
      <c r="P276" s="329"/>
      <c r="Q276" s="600"/>
      <c r="W276" s="18" t="b">
        <f t="shared" ref="W276:W284" si="27">EXACT(A276,J276)</f>
        <v>1</v>
      </c>
      <c r="X276" s="616">
        <f t="shared" si="21"/>
        <v>0</v>
      </c>
      <c r="Y276" s="616">
        <f t="shared" si="22"/>
        <v>0</v>
      </c>
    </row>
    <row r="277" spans="1:25" ht="99" customHeight="1" x14ac:dyDescent="0.3">
      <c r="A277" s="346">
        <f>'Unit Data from Audit Worksheet'!A304</f>
        <v>947</v>
      </c>
      <c r="B277" s="132"/>
      <c r="C277" s="345" t="str">
        <f>'Unit Data from Audit Worksheet'!D304</f>
        <v>First name of finance officer or interim finance officer (please enter “vacant” for first name if the position is currently vacant)</v>
      </c>
      <c r="D277" s="368"/>
      <c r="E277" s="187">
        <f>'Unit Data from Audit Worksheet'!F304</f>
        <v>0</v>
      </c>
      <c r="F277" s="359" t="str">
        <f>'Unit Data from Audit Worksheet'!G304</f>
        <v>Please do not leave blank</v>
      </c>
      <c r="G277" s="361"/>
      <c r="H277" s="358"/>
      <c r="I277" s="38"/>
      <c r="J277" s="176">
        <v>947</v>
      </c>
      <c r="K277" s="682" t="s">
        <v>773</v>
      </c>
      <c r="L277" s="683">
        <f t="shared" ref="L277:L290" si="28">IF(D277="",E277,D277)</f>
        <v>0</v>
      </c>
      <c r="N277" s="676"/>
      <c r="P277" s="335"/>
      <c r="Q277" s="642">
        <f t="shared" ref="Q277:Q284" si="29">IF(L277=0,1,0)</f>
        <v>1</v>
      </c>
      <c r="W277" s="3" t="b">
        <f t="shared" si="27"/>
        <v>1</v>
      </c>
      <c r="X277" s="607">
        <f t="shared" ref="X277:X291" si="30">E277-L277</f>
        <v>0</v>
      </c>
      <c r="Y277" s="607">
        <f t="shared" ref="Y277:Y291" si="31">D277-L277</f>
        <v>0</v>
      </c>
    </row>
    <row r="278" spans="1:25" ht="128.25" customHeight="1" x14ac:dyDescent="0.3">
      <c r="A278" s="346">
        <f>'Unit Data from Audit Worksheet'!A305</f>
        <v>948</v>
      </c>
      <c r="B278" s="132"/>
      <c r="C278" s="345" t="str">
        <f>'Unit Data from Audit Worksheet'!D305</f>
        <v>Last name of finance officer or interim finance officer (please enter “vacant” for last name if the position is currently vacant)</v>
      </c>
      <c r="D278" s="368"/>
      <c r="E278" s="684">
        <f>'Unit Data from Audit Worksheet'!F305</f>
        <v>0</v>
      </c>
      <c r="F278" s="359" t="str">
        <f>'Unit Data from Audit Worksheet'!G305</f>
        <v>Please do not leave blank</v>
      </c>
      <c r="G278" s="361"/>
      <c r="H278" s="358"/>
      <c r="I278" s="38"/>
      <c r="J278" s="176">
        <v>948</v>
      </c>
      <c r="K278" s="682" t="s">
        <v>774</v>
      </c>
      <c r="L278" s="683">
        <f t="shared" si="28"/>
        <v>0</v>
      </c>
      <c r="N278" s="676"/>
      <c r="P278" s="335"/>
      <c r="Q278" s="642">
        <f t="shared" si="29"/>
        <v>1</v>
      </c>
      <c r="W278" s="3" t="b">
        <f t="shared" si="27"/>
        <v>1</v>
      </c>
      <c r="X278" s="607">
        <f t="shared" si="30"/>
        <v>0</v>
      </c>
      <c r="Y278" s="607">
        <f t="shared" si="31"/>
        <v>0</v>
      </c>
    </row>
    <row r="279" spans="1:25" ht="61.5" customHeight="1" x14ac:dyDescent="0.3">
      <c r="A279" s="346">
        <f>'Unit Data from Audit Worksheet'!A306</f>
        <v>949</v>
      </c>
      <c r="B279" s="132"/>
      <c r="C279" s="345" t="str">
        <f>'Unit Data from Audit Worksheet'!D306</f>
        <v>Is the finance officer serving in a permanent role or an interim role? (select permanent/interim/vacant)</v>
      </c>
      <c r="D279" s="368"/>
      <c r="E279" s="187">
        <f>'Unit Data from Audit Worksheet'!F306</f>
        <v>0</v>
      </c>
      <c r="F279" s="359" t="str">
        <f>'Unit Data from Audit Worksheet'!G306</f>
        <v>Please do not leave blank</v>
      </c>
      <c r="G279" s="361"/>
      <c r="H279" s="358"/>
      <c r="I279" s="38"/>
      <c r="J279" s="176">
        <v>949</v>
      </c>
      <c r="K279" s="682" t="s">
        <v>802</v>
      </c>
      <c r="L279" s="683">
        <f t="shared" si="28"/>
        <v>0</v>
      </c>
      <c r="N279" s="676"/>
      <c r="P279" s="335"/>
      <c r="Q279" s="642">
        <f t="shared" si="29"/>
        <v>1</v>
      </c>
      <c r="W279" s="3" t="b">
        <f t="shared" si="27"/>
        <v>1</v>
      </c>
      <c r="X279" s="607">
        <f t="shared" si="30"/>
        <v>0</v>
      </c>
      <c r="Y279" s="607">
        <f t="shared" si="31"/>
        <v>0</v>
      </c>
    </row>
    <row r="280" spans="1:25" ht="93.75" customHeight="1" x14ac:dyDescent="0.3">
      <c r="A280" s="346">
        <f>'Unit Data from Audit Worksheet'!A307</f>
        <v>950</v>
      </c>
      <c r="B280" s="132"/>
      <c r="C280" s="345" t="str">
        <f>'Unit Data from Audit Worksheet'!D307</f>
        <v>Has the finance officer been formally appointed by the local government, public authority, or designated official?  (Y/N)</v>
      </c>
      <c r="D280" s="368"/>
      <c r="E280" s="187">
        <f>'Unit Data from Audit Worksheet'!F307</f>
        <v>0</v>
      </c>
      <c r="F280" s="359" t="str">
        <f>'Unit Data from Audit Worksheet'!G307</f>
        <v>Please do not leave blank</v>
      </c>
      <c r="G280" s="361"/>
      <c r="H280" s="358"/>
      <c r="I280" s="38"/>
      <c r="J280" s="176">
        <v>950</v>
      </c>
      <c r="K280" s="682" t="s">
        <v>803</v>
      </c>
      <c r="L280" s="683">
        <f t="shared" si="28"/>
        <v>0</v>
      </c>
      <c r="N280" s="676"/>
      <c r="P280" s="335"/>
      <c r="Q280" s="642">
        <f t="shared" si="29"/>
        <v>1</v>
      </c>
      <c r="W280" s="3" t="b">
        <f t="shared" si="27"/>
        <v>1</v>
      </c>
      <c r="X280" s="607">
        <f t="shared" si="30"/>
        <v>0</v>
      </c>
      <c r="Y280" s="607">
        <f t="shared" si="31"/>
        <v>0</v>
      </c>
    </row>
    <row r="281" spans="1:25" ht="153.75" customHeight="1" x14ac:dyDescent="0.3">
      <c r="A281" s="346">
        <f>'Unit Data from Audit Worksheet'!A308</f>
        <v>952</v>
      </c>
      <c r="B281" s="132"/>
      <c r="C281" s="345"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68"/>
      <c r="E281" s="136" t="str">
        <f>IF('Unit Data from Audit Worksheet'!F308&gt;0,'Unit Data from Audit Worksheet'!F308," ")</f>
        <v xml:space="preserve"> </v>
      </c>
      <c r="F281" s="359" t="str">
        <f>'Unit Data from Audit Worksheet'!G308</f>
        <v>Leave blank if data not available</v>
      </c>
      <c r="G281" s="361"/>
      <c r="H281" s="358"/>
      <c r="I281" s="38"/>
      <c r="J281" s="176">
        <v>952</v>
      </c>
      <c r="K281" s="682" t="s">
        <v>804</v>
      </c>
      <c r="L281" s="685" t="str">
        <f t="shared" si="28"/>
        <v xml:space="preserve"> </v>
      </c>
      <c r="N281" s="676"/>
      <c r="P281" s="335"/>
      <c r="Q281" s="642">
        <f t="shared" si="29"/>
        <v>0</v>
      </c>
      <c r="W281" s="3" t="b">
        <f t="shared" si="27"/>
        <v>1</v>
      </c>
      <c r="X281" s="607" t="e">
        <f t="shared" si="30"/>
        <v>#VALUE!</v>
      </c>
      <c r="Y281" s="607" t="e">
        <f t="shared" si="31"/>
        <v>#VALUE!</v>
      </c>
    </row>
    <row r="282" spans="1:25" ht="153.75" customHeight="1" x14ac:dyDescent="0.3">
      <c r="A282" s="346">
        <f>'Unit Data from Audit Worksheet'!A309</f>
        <v>954</v>
      </c>
      <c r="B282" s="132"/>
      <c r="C282" s="345" t="str">
        <f>'Unit Data from Audit Worksheet'!D309</f>
        <v>Has the finance officer or interim finance officer read, understand, and is in compliance with the requirements of N.C.G.S. 159, as applicable based on unit type and circumstances? (Y/N)</v>
      </c>
      <c r="D282" s="368"/>
      <c r="E282" s="187">
        <f>'Unit Data from Audit Worksheet'!F309</f>
        <v>0</v>
      </c>
      <c r="F282" s="359" t="str">
        <f>'Unit Data from Audit Worksheet'!G309</f>
        <v>Please do not leave blank</v>
      </c>
      <c r="G282" s="361"/>
      <c r="H282" s="358"/>
      <c r="I282" s="38"/>
      <c r="J282" s="176">
        <v>954</v>
      </c>
      <c r="K282" s="682" t="s">
        <v>805</v>
      </c>
      <c r="L282" s="683">
        <f t="shared" si="28"/>
        <v>0</v>
      </c>
      <c r="N282" s="676"/>
      <c r="P282" s="335"/>
      <c r="Q282" s="642">
        <f t="shared" si="29"/>
        <v>1</v>
      </c>
      <c r="W282" s="3" t="b">
        <f t="shared" si="27"/>
        <v>1</v>
      </c>
      <c r="X282" s="607">
        <f t="shared" si="30"/>
        <v>0</v>
      </c>
      <c r="Y282" s="607">
        <f t="shared" si="31"/>
        <v>0</v>
      </c>
    </row>
    <row r="283" spans="1:25" ht="153.75" customHeight="1" x14ac:dyDescent="0.3">
      <c r="A283" s="346">
        <f>'Unit Data from Audit Worksheet'!A310</f>
        <v>956</v>
      </c>
      <c r="B283" s="132"/>
      <c r="C283" s="345" t="str">
        <f>'Unit Data from Audit Worksheet'!D310</f>
        <v>Does the finance officer or interim finance officer maintain and update (or ensures the maintenance and update of)  financial records monthly, including reconciliation of bank accounts to the general ledger? (Y/N)</v>
      </c>
      <c r="D283" s="368"/>
      <c r="E283" s="187">
        <f>'Unit Data from Audit Worksheet'!F310</f>
        <v>0</v>
      </c>
      <c r="F283" s="359" t="str">
        <f>'Unit Data from Audit Worksheet'!G310</f>
        <v>Please do not leave blank</v>
      </c>
      <c r="G283" s="361"/>
      <c r="H283" s="358"/>
      <c r="I283" s="38"/>
      <c r="J283" s="176">
        <v>956</v>
      </c>
      <c r="K283" s="682" t="s">
        <v>806</v>
      </c>
      <c r="L283" s="683">
        <f t="shared" si="28"/>
        <v>0</v>
      </c>
      <c r="N283" s="676"/>
      <c r="P283" s="335"/>
      <c r="Q283" s="642">
        <f t="shared" si="29"/>
        <v>1</v>
      </c>
      <c r="W283" s="3" t="b">
        <f t="shared" si="27"/>
        <v>1</v>
      </c>
      <c r="X283" s="607">
        <f t="shared" si="30"/>
        <v>0</v>
      </c>
      <c r="Y283" s="607">
        <f t="shared" si="31"/>
        <v>0</v>
      </c>
    </row>
    <row r="284" spans="1:25" ht="201.6" x14ac:dyDescent="0.3">
      <c r="A284" s="346">
        <f>'Unit Data from Audit Worksheet'!A311</f>
        <v>958</v>
      </c>
      <c r="B284" s="132"/>
      <c r="C284" s="345"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68"/>
      <c r="E284" s="187">
        <f>'Unit Data from Audit Worksheet'!F311</f>
        <v>0</v>
      </c>
      <c r="F284" s="359" t="str">
        <f>'Unit Data from Audit Worksheet'!G311</f>
        <v>Please do not leave blank</v>
      </c>
      <c r="G284" s="361"/>
      <c r="H284" s="358"/>
      <c r="I284" s="38"/>
      <c r="J284" s="176">
        <v>958</v>
      </c>
      <c r="K284" s="682" t="s">
        <v>807</v>
      </c>
      <c r="L284" s="686">
        <f t="shared" si="28"/>
        <v>0</v>
      </c>
      <c r="N284" s="676"/>
      <c r="P284" s="335"/>
      <c r="Q284" s="642">
        <f t="shared" si="29"/>
        <v>1</v>
      </c>
      <c r="W284" s="3" t="b">
        <f t="shared" si="27"/>
        <v>1</v>
      </c>
      <c r="X284" s="607">
        <f t="shared" si="30"/>
        <v>0</v>
      </c>
      <c r="Y284" s="607">
        <f t="shared" si="31"/>
        <v>0</v>
      </c>
    </row>
    <row r="285" spans="1:25" ht="30.75" customHeight="1" x14ac:dyDescent="0.3">
      <c r="A285" s="687">
        <f>'Unit Data from Audit Worksheet'!A319</f>
        <v>960</v>
      </c>
      <c r="B285" s="183"/>
      <c r="C285" s="184" t="str">
        <f>'Unit Data from Audit Worksheet'!B319</f>
        <v>Name of Finance Officer</v>
      </c>
      <c r="D285" s="368"/>
      <c r="E285" s="688">
        <f>'Unit Data from Audit Worksheet'!D319</f>
        <v>0</v>
      </c>
      <c r="F285" s="689" t="str">
        <f>'Unit Data from Audit Worksheet'!F319</f>
        <v>Required</v>
      </c>
      <c r="G285" s="361"/>
      <c r="H285" s="358"/>
      <c r="I285" s="38"/>
      <c r="J285" s="186">
        <v>960</v>
      </c>
      <c r="K285" s="690" t="s">
        <v>798</v>
      </c>
      <c r="L285" s="691">
        <f t="shared" si="28"/>
        <v>0</v>
      </c>
      <c r="N285" s="634"/>
      <c r="P285" s="335"/>
      <c r="Q285" s="642">
        <f>IF(L285=0,1,0)</f>
        <v>1</v>
      </c>
      <c r="X285" s="607"/>
      <c r="Y285" s="607"/>
    </row>
    <row r="286" spans="1:25" ht="30.75" customHeight="1" x14ac:dyDescent="0.3">
      <c r="A286" s="687">
        <f>'Unit Data from Audit Worksheet'!A320</f>
        <v>962</v>
      </c>
      <c r="B286" s="183"/>
      <c r="C286" s="184" t="str">
        <f>'Unit Data from Audit Worksheet'!B320</f>
        <v>Title of Official</v>
      </c>
      <c r="D286" s="368"/>
      <c r="E286" s="688">
        <f>'Unit Data from Audit Worksheet'!D320</f>
        <v>0</v>
      </c>
      <c r="F286" s="689" t="str">
        <f>'Unit Data from Audit Worksheet'!F320</f>
        <v>Required</v>
      </c>
      <c r="G286" s="361"/>
      <c r="H286" s="358"/>
      <c r="I286" s="38"/>
      <c r="J286" s="186">
        <v>962</v>
      </c>
      <c r="K286" s="690" t="s">
        <v>759</v>
      </c>
      <c r="L286" s="691">
        <f t="shared" si="28"/>
        <v>0</v>
      </c>
      <c r="N286" s="634"/>
      <c r="P286" s="335"/>
      <c r="Q286" s="642">
        <f>IF(L286=0,1,0)</f>
        <v>1</v>
      </c>
      <c r="X286" s="607"/>
      <c r="Y286" s="607"/>
    </row>
    <row r="287" spans="1:25" ht="30.75" customHeight="1" x14ac:dyDescent="0.3">
      <c r="A287" s="687">
        <f>'Unit Data from Audit Worksheet'!A321</f>
        <v>964</v>
      </c>
      <c r="B287" s="183"/>
      <c r="C287" s="185" t="str">
        <f>'Unit Data from Audit Worksheet'!B321</f>
        <v>Date                        (Enter as "MM/DD/YYYY")</v>
      </c>
      <c r="D287" s="368"/>
      <c r="E287" s="692" t="str">
        <f>IF('Unit Data from Audit Worksheet'!D321&gt;0,'Unit Data from Audit Worksheet'!D321," ")</f>
        <v xml:space="preserve"> </v>
      </c>
      <c r="F287" s="689" t="str">
        <f>'Unit Data from Audit Worksheet'!F321</f>
        <v>Required</v>
      </c>
      <c r="G287" s="361"/>
      <c r="H287" s="358"/>
      <c r="I287" s="38"/>
      <c r="J287" s="186">
        <v>964</v>
      </c>
      <c r="K287" s="690" t="s">
        <v>868</v>
      </c>
      <c r="L287" s="693" t="str">
        <f t="shared" si="28"/>
        <v xml:space="preserve"> </v>
      </c>
      <c r="N287" s="634"/>
      <c r="P287" s="335"/>
      <c r="Q287" s="642">
        <f>IF(L287=0,1,0)</f>
        <v>0</v>
      </c>
      <c r="X287" s="607"/>
      <c r="Y287" s="607"/>
    </row>
    <row r="288" spans="1:25" ht="30.75" customHeight="1" x14ac:dyDescent="0.3">
      <c r="A288" s="687">
        <f>'Unit Data from Audit Worksheet'!A322</f>
        <v>966</v>
      </c>
      <c r="B288" s="183"/>
      <c r="C288" s="184" t="str">
        <f>'Unit Data from Audit Worksheet'!B322</f>
        <v>Telephone number</v>
      </c>
      <c r="D288" s="368"/>
      <c r="E288" s="688">
        <f>'Unit Data from Audit Worksheet'!D322</f>
        <v>0</v>
      </c>
      <c r="F288" s="689" t="str">
        <f>'Unit Data from Audit Worksheet'!F322</f>
        <v>Required</v>
      </c>
      <c r="G288" s="361"/>
      <c r="H288" s="358"/>
      <c r="I288" s="38"/>
      <c r="J288" s="186">
        <v>966</v>
      </c>
      <c r="K288" s="690" t="s">
        <v>761</v>
      </c>
      <c r="L288" s="691">
        <f t="shared" si="28"/>
        <v>0</v>
      </c>
      <c r="N288" s="634"/>
      <c r="P288" s="335"/>
      <c r="Q288" s="642">
        <f>IF(L288=0,1,0)</f>
        <v>1</v>
      </c>
      <c r="X288" s="607"/>
      <c r="Y288" s="607"/>
    </row>
    <row r="289" spans="1:25" ht="30.75" customHeight="1" x14ac:dyDescent="0.3">
      <c r="A289" s="687">
        <f>'Unit Data from Audit Worksheet'!A323</f>
        <v>968</v>
      </c>
      <c r="B289" s="183"/>
      <c r="C289" s="184" t="str">
        <f>'Unit Data from Audit Worksheet'!B323</f>
        <v>E-mail address</v>
      </c>
      <c r="D289" s="368"/>
      <c r="E289" s="688">
        <f>'Unit Data from Audit Worksheet'!D323</f>
        <v>0</v>
      </c>
      <c r="F289" s="689" t="str">
        <f>'Unit Data from Audit Worksheet'!F323</f>
        <v>Required</v>
      </c>
      <c r="G289" s="361"/>
      <c r="H289" s="358"/>
      <c r="I289" s="38"/>
      <c r="J289" s="186">
        <v>968</v>
      </c>
      <c r="K289" s="690" t="s">
        <v>762</v>
      </c>
      <c r="L289" s="691">
        <f t="shared" si="28"/>
        <v>0</v>
      </c>
      <c r="N289" s="634"/>
      <c r="P289" s="335"/>
      <c r="Q289" s="642">
        <f>IF(L289=0,1,0)</f>
        <v>1</v>
      </c>
      <c r="X289" s="607"/>
      <c r="Y289" s="607"/>
    </row>
    <row r="290" spans="1:25" ht="75.599999999999994" customHeight="1" x14ac:dyDescent="0.3">
      <c r="A290" s="694">
        <f>+'TD Info Completed by Auditor'!D74</f>
        <v>980</v>
      </c>
      <c r="B290" s="378" t="s">
        <v>1125</v>
      </c>
      <c r="C290" s="395" t="str">
        <f>+'TD Info Completed by Auditor'!E74</f>
        <v>Date the Auditor presented or plans to present the Audit to the Governing Board</v>
      </c>
      <c r="D290" s="368"/>
      <c r="E290" s="695" t="str">
        <f>IF('TD Info Completed by Auditor'!G74&gt;0,'TD Info Completed by Auditor'!G74," ")</f>
        <v xml:space="preserve"> </v>
      </c>
      <c r="F290" s="696" t="s">
        <v>1342</v>
      </c>
      <c r="G290" s="361"/>
      <c r="H290" s="358"/>
      <c r="I290" s="38"/>
      <c r="J290" s="396">
        <v>980</v>
      </c>
      <c r="K290" s="397" t="s">
        <v>1081</v>
      </c>
      <c r="L290" s="697" t="str">
        <f t="shared" si="28"/>
        <v xml:space="preserve"> </v>
      </c>
      <c r="N290" s="634"/>
      <c r="P290" s="335"/>
      <c r="Q290" s="642"/>
      <c r="X290" s="607"/>
      <c r="Y290" s="607"/>
    </row>
    <row r="291" spans="1:25" ht="83.4" customHeight="1" x14ac:dyDescent="0.3">
      <c r="A291" s="664"/>
      <c r="B291" s="97"/>
      <c r="C291" s="665"/>
      <c r="D291" s="667"/>
      <c r="E291" s="668"/>
      <c r="F291" s="669"/>
      <c r="G291" s="670"/>
      <c r="H291" s="671"/>
      <c r="I291" s="38"/>
      <c r="J291" s="176">
        <v>999</v>
      </c>
      <c r="K291" s="682" t="s">
        <v>293</v>
      </c>
      <c r="L291" s="698" t="e">
        <f>'Unit Data from Audit Worksheet'!D3</f>
        <v>#N/A</v>
      </c>
      <c r="M291" s="660"/>
      <c r="N291" s="699" t="s">
        <v>1341</v>
      </c>
      <c r="O291" s="699" t="s">
        <v>1340</v>
      </c>
      <c r="P291" s="335"/>
      <c r="W291" s="3" t="b">
        <f>EXACT(A291,J291)</f>
        <v>0</v>
      </c>
      <c r="X291" s="607" t="e">
        <f t="shared" si="30"/>
        <v>#N/A</v>
      </c>
      <c r="Y291" s="607" t="e">
        <f t="shared" si="31"/>
        <v>#N/A</v>
      </c>
    </row>
    <row r="292" spans="1:25" x14ac:dyDescent="0.3">
      <c r="A292" s="308"/>
      <c r="B292" s="308"/>
      <c r="C292" s="308"/>
      <c r="D292" s="308"/>
      <c r="E292" s="308"/>
      <c r="F292" s="308"/>
      <c r="G292" s="308"/>
      <c r="H292" s="308"/>
      <c r="I292" s="308"/>
      <c r="J292" s="3"/>
      <c r="K292" s="3"/>
      <c r="L292" s="3"/>
      <c r="N292" s="4"/>
      <c r="P292" s="336"/>
    </row>
    <row r="293" spans="1:25" x14ac:dyDescent="0.3">
      <c r="D293" s="701"/>
      <c r="E293" s="702"/>
      <c r="F293" s="702"/>
      <c r="G293" s="703"/>
      <c r="H293" s="702"/>
      <c r="I293" s="704"/>
      <c r="K293" s="10"/>
      <c r="L293" s="705"/>
      <c r="N293" s="4"/>
      <c r="P293" s="336"/>
    </row>
    <row r="294" spans="1:25" ht="18" x14ac:dyDescent="0.35">
      <c r="A294" s="165" t="s">
        <v>693</v>
      </c>
      <c r="B294" s="166"/>
      <c r="C294" s="167"/>
      <c r="D294" s="168"/>
      <c r="E294" s="169"/>
      <c r="F294" s="702"/>
      <c r="G294" s="703"/>
      <c r="H294" s="702"/>
      <c r="I294" s="704"/>
      <c r="L294" s="705"/>
      <c r="N294" s="4"/>
      <c r="P294" s="336"/>
    </row>
    <row r="295" spans="1:25" ht="117" customHeight="1" x14ac:dyDescent="0.7">
      <c r="A295" s="346">
        <f>'Unit Data from Audit Worksheet'!A88</f>
        <v>590</v>
      </c>
      <c r="B295" s="346"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703"/>
      <c r="H295" s="702"/>
      <c r="I295" s="704"/>
      <c r="J295" s="158" t="e">
        <f>SUM(Q5:Q295)</f>
        <v>#N/A</v>
      </c>
      <c r="K295" s="157" t="s">
        <v>795</v>
      </c>
      <c r="L295" s="705" t="e">
        <f>SUM(G5:G245)</f>
        <v>#N/A</v>
      </c>
      <c r="N295" s="4"/>
      <c r="P295" s="336"/>
    </row>
    <row r="296" spans="1:25" ht="14.25" customHeight="1" x14ac:dyDescent="0.3">
      <c r="A296" s="308"/>
      <c r="B296" s="308"/>
      <c r="C296" s="308"/>
      <c r="D296" s="308"/>
      <c r="E296" s="308"/>
      <c r="F296" s="702"/>
      <c r="G296" s="703"/>
      <c r="H296" s="702"/>
      <c r="I296" s="704"/>
      <c r="K296" s="10"/>
      <c r="L296" s="706"/>
      <c r="P296" s="336"/>
      <c r="Q296" s="85"/>
    </row>
    <row r="297" spans="1:25" x14ac:dyDescent="0.3">
      <c r="A297" s="308"/>
      <c r="B297" s="308"/>
      <c r="C297" s="308"/>
      <c r="D297" s="308"/>
      <c r="E297" s="308"/>
      <c r="F297" s="702"/>
      <c r="G297" s="703"/>
      <c r="H297" s="702"/>
      <c r="I297" s="704"/>
      <c r="K297" s="10"/>
      <c r="L297" s="706"/>
      <c r="P297" s="336"/>
    </row>
    <row r="298" spans="1:25" ht="18.75" customHeight="1" x14ac:dyDescent="0.3">
      <c r="A298" s="308"/>
      <c r="B298" s="308"/>
      <c r="C298" s="308"/>
      <c r="D298" s="308"/>
      <c r="E298" s="308"/>
      <c r="F298" s="702"/>
      <c r="G298" s="703"/>
      <c r="H298" s="702"/>
      <c r="I298" s="704"/>
      <c r="J298" s="5">
        <f>SUM(J5:J245)</f>
        <v>98821</v>
      </c>
      <c r="K298" s="10"/>
      <c r="L298" s="706"/>
      <c r="P298" s="336"/>
    </row>
    <row r="299" spans="1:25" ht="30.75" customHeight="1" x14ac:dyDescent="0.3">
      <c r="A299" s="308"/>
      <c r="B299" s="308"/>
      <c r="C299" s="308"/>
      <c r="D299" s="308"/>
      <c r="E299" s="308"/>
      <c r="F299" s="702"/>
      <c r="G299" s="703"/>
      <c r="H299" s="702"/>
      <c r="I299" s="704"/>
      <c r="J299" s="5">
        <f>SUM(J261:J265)+SUM(J277:J290)</f>
        <v>13934</v>
      </c>
      <c r="K299" s="10"/>
      <c r="L299" s="706"/>
      <c r="P299" s="336"/>
    </row>
    <row r="300" spans="1:25" ht="30.75" customHeight="1" x14ac:dyDescent="0.3">
      <c r="A300" s="308"/>
      <c r="B300" s="308"/>
      <c r="C300" s="308"/>
      <c r="D300" s="308"/>
      <c r="E300" s="308"/>
      <c r="F300" s="702"/>
      <c r="G300" s="703"/>
      <c r="H300" s="702"/>
      <c r="I300" s="704"/>
      <c r="J300" s="5">
        <f>+J298+J299</f>
        <v>112755</v>
      </c>
      <c r="K300" s="10"/>
      <c r="L300" s="706"/>
      <c r="P300" s="336"/>
    </row>
    <row r="301" spans="1:25" ht="30.75" customHeight="1" x14ac:dyDescent="0.3">
      <c r="A301" s="308"/>
      <c r="B301" s="308"/>
      <c r="C301" s="308"/>
      <c r="D301" s="308"/>
      <c r="E301" s="308"/>
      <c r="F301" s="702"/>
      <c r="G301" s="703"/>
      <c r="H301" s="702"/>
      <c r="I301" s="704"/>
      <c r="J301" s="5">
        <f>+'Unit Data from Audit Worksheet'!A327</f>
        <v>21322</v>
      </c>
      <c r="K301" s="10"/>
      <c r="L301" s="706"/>
      <c r="P301" s="336"/>
    </row>
    <row r="302" spans="1:25" ht="30.75" customHeight="1" x14ac:dyDescent="0.3">
      <c r="A302" s="308"/>
      <c r="B302" s="308"/>
      <c r="C302" s="308"/>
      <c r="D302" s="308"/>
      <c r="E302" s="308"/>
      <c r="F302" s="702"/>
      <c r="G302" s="703"/>
      <c r="H302" s="702"/>
      <c r="I302" s="704"/>
      <c r="J302" s="5">
        <f>+J300-J301</f>
        <v>91433</v>
      </c>
      <c r="K302" s="10"/>
      <c r="L302" s="706"/>
      <c r="P302" s="336"/>
    </row>
    <row r="303" spans="1:25" ht="30.75" customHeight="1" x14ac:dyDescent="0.3">
      <c r="A303" s="308"/>
      <c r="B303" s="308"/>
      <c r="C303" s="308"/>
      <c r="D303" s="308"/>
      <c r="E303" s="308"/>
      <c r="F303" s="702"/>
      <c r="G303" s="703"/>
      <c r="H303" s="702"/>
      <c r="I303" s="704"/>
      <c r="K303" s="10"/>
      <c r="L303" s="706"/>
      <c r="P303" s="336"/>
    </row>
    <row r="304" spans="1:25" x14ac:dyDescent="0.3">
      <c r="A304" s="308"/>
      <c r="B304" s="308"/>
      <c r="C304" s="308"/>
      <c r="D304" s="308"/>
      <c r="E304" s="308"/>
      <c r="I304" s="704"/>
      <c r="K304" s="10"/>
      <c r="L304" s="706"/>
      <c r="P304" s="336"/>
    </row>
    <row r="305" spans="1:16" x14ac:dyDescent="0.3">
      <c r="A305" s="308"/>
      <c r="B305" s="308"/>
      <c r="C305" s="308"/>
      <c r="D305" s="308"/>
      <c r="E305" s="308"/>
      <c r="I305" s="704"/>
      <c r="L305" s="706"/>
      <c r="P305" s="336"/>
    </row>
    <row r="306" spans="1:16" x14ac:dyDescent="0.3">
      <c r="A306" s="5"/>
      <c r="B306" s="707"/>
      <c r="C306" s="26"/>
      <c r="D306" s="79"/>
      <c r="I306" s="704"/>
      <c r="L306" s="706"/>
      <c r="P306" s="336"/>
    </row>
    <row r="307" spans="1:16" x14ac:dyDescent="0.3">
      <c r="A307" s="5"/>
      <c r="B307" s="707"/>
      <c r="C307" s="26"/>
      <c r="D307" s="79"/>
      <c r="L307" s="706"/>
      <c r="P307" s="336"/>
    </row>
    <row r="308" spans="1:16" x14ac:dyDescent="0.3">
      <c r="D308" s="79"/>
      <c r="P308" s="336"/>
    </row>
    <row r="309" spans="1:16" x14ac:dyDescent="0.3">
      <c r="D309" s="79"/>
      <c r="P309" s="336"/>
    </row>
    <row r="310" spans="1:16" x14ac:dyDescent="0.3">
      <c r="D310" s="79"/>
      <c r="P310" s="336"/>
    </row>
    <row r="311" spans="1:16" x14ac:dyDescent="0.3">
      <c r="D311" s="79"/>
      <c r="P311" s="336"/>
    </row>
    <row r="312" spans="1:16" x14ac:dyDescent="0.3">
      <c r="A312" s="5"/>
      <c r="B312" s="707"/>
      <c r="C312" s="26"/>
      <c r="D312" s="79"/>
      <c r="P312" s="336"/>
    </row>
    <row r="313" spans="1:16" x14ac:dyDescent="0.3">
      <c r="A313" s="5"/>
      <c r="B313" s="707"/>
      <c r="C313" s="26"/>
      <c r="D313" s="79"/>
      <c r="P313" s="336"/>
    </row>
    <row r="314" spans="1:16" x14ac:dyDescent="0.3">
      <c r="D314" s="79"/>
      <c r="P314" s="336"/>
    </row>
    <row r="315" spans="1:16" x14ac:dyDescent="0.3">
      <c r="D315" s="79"/>
      <c r="P315" s="336"/>
    </row>
    <row r="316" spans="1:16" x14ac:dyDescent="0.3">
      <c r="D316" s="79"/>
      <c r="P316" s="336"/>
    </row>
    <row r="317" spans="1:16" x14ac:dyDescent="0.3">
      <c r="D317" s="79"/>
      <c r="P317" s="336"/>
    </row>
    <row r="318" spans="1:16" x14ac:dyDescent="0.3">
      <c r="A318" s="5"/>
      <c r="B318" s="707"/>
      <c r="C318" s="26"/>
      <c r="D318" s="79"/>
      <c r="P318" s="336"/>
    </row>
    <row r="319" spans="1:16" x14ac:dyDescent="0.3">
      <c r="A319" s="5"/>
      <c r="B319" s="707"/>
      <c r="C319" s="26"/>
      <c r="D319" s="79"/>
      <c r="P319" s="336"/>
    </row>
    <row r="320" spans="1:16" x14ac:dyDescent="0.3">
      <c r="D320" s="79"/>
      <c r="P320" s="336"/>
    </row>
    <row r="321" spans="1:16" x14ac:dyDescent="0.3">
      <c r="D321" s="79"/>
      <c r="P321" s="336"/>
    </row>
    <row r="322" spans="1:16" x14ac:dyDescent="0.3">
      <c r="D322" s="79"/>
      <c r="P322" s="336"/>
    </row>
    <row r="323" spans="1:16" x14ac:dyDescent="0.3">
      <c r="D323" s="79"/>
      <c r="P323" s="336"/>
    </row>
    <row r="324" spans="1:16" x14ac:dyDescent="0.3">
      <c r="A324" s="5"/>
      <c r="B324" s="707"/>
      <c r="C324" s="26"/>
      <c r="D324" s="79"/>
      <c r="P324" s="336"/>
    </row>
    <row r="325" spans="1:16" x14ac:dyDescent="0.3">
      <c r="A325" s="5"/>
      <c r="B325" s="707"/>
      <c r="C325" s="26"/>
      <c r="D325" s="79"/>
      <c r="P325" s="336"/>
    </row>
    <row r="326" spans="1:16" x14ac:dyDescent="0.3">
      <c r="A326" s="5"/>
      <c r="B326" s="707"/>
      <c r="C326" s="26"/>
      <c r="D326" s="79"/>
      <c r="P326" s="336"/>
    </row>
    <row r="327" spans="1:16" x14ac:dyDescent="0.3">
      <c r="A327" s="5"/>
      <c r="B327" s="707"/>
      <c r="C327" s="26"/>
      <c r="D327" s="79"/>
      <c r="P327" s="336"/>
    </row>
    <row r="328" spans="1:16" x14ac:dyDescent="0.3">
      <c r="D328" s="79"/>
      <c r="P328" s="336"/>
    </row>
    <row r="329" spans="1:16" x14ac:dyDescent="0.3">
      <c r="D329" s="79"/>
      <c r="P329" s="336"/>
    </row>
    <row r="330" spans="1:16" x14ac:dyDescent="0.3">
      <c r="D330" s="79"/>
      <c r="P330" s="336"/>
    </row>
    <row r="331" spans="1:16" x14ac:dyDescent="0.3">
      <c r="A331" s="5"/>
      <c r="B331" s="707"/>
      <c r="C331" s="26"/>
      <c r="D331" s="79"/>
      <c r="P331" s="336"/>
    </row>
    <row r="332" spans="1:16" x14ac:dyDescent="0.3">
      <c r="A332" s="5"/>
      <c r="B332" s="707"/>
      <c r="C332" s="26"/>
      <c r="D332" s="79"/>
      <c r="P332" s="336"/>
    </row>
    <row r="333" spans="1:16" x14ac:dyDescent="0.3">
      <c r="A333" s="5"/>
      <c r="B333" s="707"/>
      <c r="C333" s="26"/>
      <c r="D333" s="79"/>
      <c r="P333" s="336"/>
    </row>
    <row r="334" spans="1:16" x14ac:dyDescent="0.3">
      <c r="A334" s="5"/>
      <c r="B334" s="707"/>
      <c r="C334" s="26"/>
      <c r="D334" s="79"/>
      <c r="P334" s="336"/>
    </row>
    <row r="335" spans="1:16" x14ac:dyDescent="0.3">
      <c r="A335" s="5"/>
      <c r="B335" s="707"/>
      <c r="C335" s="26"/>
      <c r="D335" s="79"/>
      <c r="P335" s="336"/>
    </row>
    <row r="336" spans="1:16" x14ac:dyDescent="0.3">
      <c r="A336" s="5"/>
      <c r="B336" s="707"/>
      <c r="C336" s="26"/>
      <c r="D336" s="79"/>
      <c r="P336" s="336"/>
    </row>
    <row r="337" spans="1:16" x14ac:dyDescent="0.3">
      <c r="A337" s="5"/>
      <c r="B337" s="707"/>
      <c r="C337" s="26"/>
      <c r="D337" s="79"/>
      <c r="P337" s="336"/>
    </row>
    <row r="338" spans="1:16" x14ac:dyDescent="0.3">
      <c r="A338" s="5"/>
      <c r="B338" s="707"/>
      <c r="C338" s="26"/>
      <c r="D338" s="79"/>
      <c r="P338" s="336"/>
    </row>
    <row r="339" spans="1:16" x14ac:dyDescent="0.3">
      <c r="A339" s="5"/>
      <c r="B339" s="707"/>
      <c r="C339" s="26"/>
      <c r="D339" s="79"/>
      <c r="P339" s="336"/>
    </row>
    <row r="340" spans="1:16" x14ac:dyDescent="0.3">
      <c r="A340" s="5"/>
      <c r="B340" s="707"/>
      <c r="C340" s="26"/>
      <c r="D340" s="79"/>
      <c r="P340" s="336"/>
    </row>
    <row r="341" spans="1:16" x14ac:dyDescent="0.3">
      <c r="A341" s="5"/>
      <c r="B341" s="707"/>
      <c r="C341" s="26"/>
      <c r="D341" s="79"/>
      <c r="P341" s="336"/>
    </row>
    <row r="342" spans="1:16" x14ac:dyDescent="0.3">
      <c r="A342" s="5"/>
      <c r="B342" s="707"/>
      <c r="C342" s="26"/>
      <c r="D342" s="79"/>
      <c r="P342" s="336"/>
    </row>
    <row r="343" spans="1:16" x14ac:dyDescent="0.3">
      <c r="A343" s="5"/>
      <c r="B343" s="707"/>
      <c r="C343" s="26"/>
      <c r="D343" s="79"/>
      <c r="P343" s="336"/>
    </row>
    <row r="344" spans="1:16" x14ac:dyDescent="0.3">
      <c r="A344" s="5"/>
      <c r="B344" s="707"/>
      <c r="C344" s="26"/>
      <c r="D344" s="79"/>
      <c r="P344" s="336"/>
    </row>
    <row r="345" spans="1:16" x14ac:dyDescent="0.3">
      <c r="A345" s="5"/>
      <c r="B345" s="707"/>
      <c r="C345" s="26"/>
      <c r="D345" s="79"/>
      <c r="P345" s="336"/>
    </row>
    <row r="346" spans="1:16" x14ac:dyDescent="0.3">
      <c r="A346" s="5"/>
      <c r="B346" s="707"/>
      <c r="C346" s="26"/>
      <c r="D346" s="79"/>
      <c r="P346" s="336"/>
    </row>
    <row r="347" spans="1:16" x14ac:dyDescent="0.3">
      <c r="A347" s="5"/>
      <c r="B347" s="707"/>
      <c r="C347" s="26"/>
      <c r="D347" s="79"/>
      <c r="P347" s="336"/>
    </row>
    <row r="348" spans="1:16" x14ac:dyDescent="0.3">
      <c r="A348" s="5"/>
      <c r="B348" s="707"/>
      <c r="C348" s="26"/>
      <c r="D348" s="79"/>
      <c r="P348" s="336"/>
    </row>
    <row r="349" spans="1:16" x14ac:dyDescent="0.3">
      <c r="A349" s="5"/>
      <c r="B349" s="707"/>
      <c r="C349" s="26"/>
      <c r="D349" s="79"/>
      <c r="P349" s="336"/>
    </row>
    <row r="350" spans="1:16" x14ac:dyDescent="0.3">
      <c r="A350" s="5"/>
      <c r="B350" s="707"/>
      <c r="C350" s="26"/>
      <c r="D350" s="79"/>
      <c r="P350" s="336"/>
    </row>
    <row r="351" spans="1:16" x14ac:dyDescent="0.3">
      <c r="A351" s="5"/>
      <c r="B351" s="707"/>
      <c r="C351" s="26"/>
      <c r="D351" s="79"/>
      <c r="P351" s="336"/>
    </row>
    <row r="352" spans="1:16" x14ac:dyDescent="0.3">
      <c r="A352" s="5"/>
      <c r="B352" s="707"/>
      <c r="C352" s="26"/>
      <c r="D352" s="79"/>
      <c r="P352" s="336"/>
    </row>
    <row r="353" spans="1:16" x14ac:dyDescent="0.3">
      <c r="A353" s="5"/>
      <c r="B353" s="707"/>
      <c r="C353" s="26"/>
      <c r="D353" s="79"/>
      <c r="P353" s="336"/>
    </row>
    <row r="354" spans="1:16" x14ac:dyDescent="0.3">
      <c r="A354" s="5"/>
      <c r="B354" s="707"/>
      <c r="C354" s="26"/>
      <c r="D354" s="79"/>
      <c r="P354" s="336"/>
    </row>
    <row r="355" spans="1:16" x14ac:dyDescent="0.3">
      <c r="A355" s="5"/>
      <c r="B355" s="707"/>
      <c r="C355" s="26"/>
      <c r="D355" s="79"/>
      <c r="P355" s="336"/>
    </row>
    <row r="356" spans="1:16" x14ac:dyDescent="0.3">
      <c r="A356" s="5"/>
      <c r="B356" s="707"/>
      <c r="C356" s="26"/>
      <c r="D356" s="79"/>
      <c r="P356" s="336"/>
    </row>
    <row r="357" spans="1:16" x14ac:dyDescent="0.3">
      <c r="A357" s="5"/>
      <c r="B357" s="707"/>
      <c r="C357" s="26"/>
      <c r="D357" s="79"/>
      <c r="P357" s="336"/>
    </row>
    <row r="358" spans="1:16" x14ac:dyDescent="0.3">
      <c r="A358" s="5"/>
      <c r="B358" s="707"/>
      <c r="C358" s="26"/>
      <c r="D358" s="79"/>
      <c r="P358" s="336"/>
    </row>
    <row r="359" spans="1:16" x14ac:dyDescent="0.3">
      <c r="A359" s="5"/>
      <c r="B359" s="707"/>
      <c r="C359" s="26"/>
      <c r="D359" s="79"/>
      <c r="P359" s="336"/>
    </row>
    <row r="360" spans="1:16" x14ac:dyDescent="0.3">
      <c r="A360" s="5"/>
      <c r="B360" s="707"/>
      <c r="C360" s="26"/>
      <c r="D360" s="79"/>
      <c r="P360" s="336"/>
    </row>
    <row r="361" spans="1:16" x14ac:dyDescent="0.3">
      <c r="A361" s="5"/>
      <c r="B361" s="707"/>
      <c r="C361" s="26"/>
      <c r="D361" s="79"/>
      <c r="P361" s="336"/>
    </row>
    <row r="362" spans="1:16" x14ac:dyDescent="0.3">
      <c r="A362" s="5"/>
      <c r="B362" s="707"/>
      <c r="C362" s="26"/>
      <c r="D362" s="79"/>
      <c r="P362" s="336"/>
    </row>
    <row r="363" spans="1:16" x14ac:dyDescent="0.3">
      <c r="A363" s="5"/>
      <c r="B363" s="707"/>
      <c r="C363" s="26"/>
      <c r="D363" s="79"/>
      <c r="P363" s="336"/>
    </row>
    <row r="364" spans="1:16" x14ac:dyDescent="0.3">
      <c r="A364" s="5"/>
      <c r="B364" s="707"/>
      <c r="C364" s="26"/>
      <c r="D364" s="79"/>
      <c r="P364" s="336"/>
    </row>
    <row r="365" spans="1:16" x14ac:dyDescent="0.3">
      <c r="A365" s="5"/>
      <c r="B365" s="707"/>
      <c r="C365" s="26"/>
      <c r="D365" s="79"/>
      <c r="P365" s="336"/>
    </row>
    <row r="366" spans="1:16" x14ac:dyDescent="0.3">
      <c r="A366" s="5"/>
      <c r="B366" s="707"/>
      <c r="C366" s="26"/>
      <c r="D366" s="79"/>
      <c r="P366" s="336"/>
    </row>
    <row r="367" spans="1:16" x14ac:dyDescent="0.3">
      <c r="A367" s="5"/>
      <c r="B367" s="707"/>
      <c r="C367" s="26"/>
      <c r="D367" s="79"/>
      <c r="P367" s="336"/>
    </row>
    <row r="368" spans="1:16" x14ac:dyDescent="0.3">
      <c r="A368" s="5"/>
      <c r="B368" s="707"/>
      <c r="C368" s="26"/>
      <c r="D368" s="79"/>
      <c r="P368" s="336"/>
    </row>
    <row r="369" spans="1:16" x14ac:dyDescent="0.3">
      <c r="A369" s="5"/>
      <c r="B369" s="707"/>
      <c r="C369" s="26"/>
      <c r="D369" s="79"/>
      <c r="P369" s="336"/>
    </row>
    <row r="370" spans="1:16" x14ac:dyDescent="0.3">
      <c r="A370" s="5"/>
      <c r="B370" s="707"/>
      <c r="C370" s="26"/>
      <c r="D370" s="79"/>
      <c r="P370" s="336"/>
    </row>
    <row r="371" spans="1:16" x14ac:dyDescent="0.3">
      <c r="A371" s="5"/>
      <c r="B371" s="707"/>
      <c r="C371" s="26"/>
      <c r="D371" s="79"/>
      <c r="P371" s="336"/>
    </row>
    <row r="372" spans="1:16" x14ac:dyDescent="0.3">
      <c r="A372" s="5"/>
      <c r="B372" s="707"/>
      <c r="C372" s="26"/>
      <c r="D372" s="79"/>
      <c r="P372" s="336"/>
    </row>
    <row r="373" spans="1:16" x14ac:dyDescent="0.3">
      <c r="A373" s="5"/>
      <c r="B373" s="707"/>
      <c r="C373" s="26"/>
      <c r="D373" s="79"/>
      <c r="P373" s="336"/>
    </row>
    <row r="374" spans="1:16" x14ac:dyDescent="0.3">
      <c r="A374" s="5"/>
      <c r="B374" s="707"/>
      <c r="C374" s="26"/>
      <c r="D374" s="79"/>
      <c r="P374" s="336"/>
    </row>
    <row r="375" spans="1:16" x14ac:dyDescent="0.3">
      <c r="A375" s="5"/>
      <c r="B375" s="707"/>
      <c r="C375" s="26"/>
      <c r="D375" s="79"/>
      <c r="P375" s="336"/>
    </row>
    <row r="376" spans="1:16" x14ac:dyDescent="0.3">
      <c r="A376" s="5"/>
      <c r="B376" s="707"/>
      <c r="C376" s="26"/>
      <c r="D376" s="79"/>
      <c r="P376" s="336"/>
    </row>
    <row r="377" spans="1:16" x14ac:dyDescent="0.3">
      <c r="A377" s="5"/>
      <c r="B377" s="707"/>
      <c r="C377" s="26"/>
      <c r="D377" s="79"/>
      <c r="P377" s="336"/>
    </row>
    <row r="378" spans="1:16" x14ac:dyDescent="0.3">
      <c r="A378" s="5"/>
      <c r="B378" s="707"/>
      <c r="C378" s="26"/>
      <c r="D378" s="79"/>
      <c r="P378" s="336"/>
    </row>
    <row r="379" spans="1:16" x14ac:dyDescent="0.3">
      <c r="A379" s="5"/>
      <c r="B379" s="707"/>
      <c r="C379" s="26"/>
      <c r="D379" s="79"/>
      <c r="P379" s="336"/>
    </row>
    <row r="380" spans="1:16" x14ac:dyDescent="0.3">
      <c r="A380" s="5"/>
      <c r="B380" s="707"/>
      <c r="C380" s="26"/>
      <c r="D380" s="79"/>
      <c r="P380" s="336"/>
    </row>
    <row r="381" spans="1:16" x14ac:dyDescent="0.3">
      <c r="A381" s="5"/>
      <c r="B381" s="707"/>
      <c r="C381" s="26"/>
      <c r="D381" s="79"/>
      <c r="P381" s="336"/>
    </row>
    <row r="382" spans="1:16" x14ac:dyDescent="0.3">
      <c r="A382" s="5"/>
      <c r="B382" s="707"/>
      <c r="C382" s="26"/>
      <c r="D382" s="79"/>
      <c r="P382" s="336"/>
    </row>
    <row r="383" spans="1:16" x14ac:dyDescent="0.3">
      <c r="A383" s="5"/>
      <c r="B383" s="707"/>
      <c r="C383" s="26"/>
      <c r="D383" s="79"/>
      <c r="P383" s="336"/>
    </row>
    <row r="384" spans="1:16" x14ac:dyDescent="0.3">
      <c r="A384" s="5"/>
      <c r="B384" s="707"/>
      <c r="C384" s="26"/>
      <c r="D384" s="79"/>
      <c r="P384" s="336"/>
    </row>
    <row r="385" spans="1:16" x14ac:dyDescent="0.3">
      <c r="A385" s="5"/>
      <c r="B385" s="707"/>
      <c r="C385" s="26"/>
      <c r="D385" s="79"/>
      <c r="P385" s="336"/>
    </row>
    <row r="386" spans="1:16" x14ac:dyDescent="0.3">
      <c r="A386" s="5"/>
      <c r="B386" s="707"/>
      <c r="C386" s="26"/>
      <c r="D386" s="79"/>
      <c r="P386" s="336"/>
    </row>
    <row r="387" spans="1:16" x14ac:dyDescent="0.3">
      <c r="A387" s="5"/>
      <c r="B387" s="707"/>
      <c r="C387" s="26"/>
      <c r="D387" s="79"/>
      <c r="P387" s="336"/>
    </row>
    <row r="388" spans="1:16" x14ac:dyDescent="0.3">
      <c r="A388" s="5"/>
      <c r="B388" s="707"/>
      <c r="C388" s="26"/>
      <c r="D388" s="79"/>
      <c r="P388" s="336"/>
    </row>
    <row r="389" spans="1:16" x14ac:dyDescent="0.3">
      <c r="A389" s="5"/>
      <c r="B389" s="707"/>
      <c r="C389" s="26"/>
      <c r="D389" s="79"/>
      <c r="P389" s="336"/>
    </row>
    <row r="390" spans="1:16" x14ac:dyDescent="0.3">
      <c r="A390" s="5"/>
      <c r="B390" s="707"/>
      <c r="C390" s="26"/>
      <c r="D390" s="79"/>
      <c r="P390" s="336"/>
    </row>
    <row r="391" spans="1:16" x14ac:dyDescent="0.3">
      <c r="A391" s="5"/>
      <c r="B391" s="707"/>
      <c r="C391" s="26"/>
      <c r="D391" s="79"/>
      <c r="P391" s="336"/>
    </row>
    <row r="392" spans="1:16" x14ac:dyDescent="0.3">
      <c r="A392" s="5"/>
      <c r="B392" s="707"/>
      <c r="C392" s="26"/>
      <c r="D392" s="79"/>
      <c r="P392" s="336"/>
    </row>
    <row r="393" spans="1:16" x14ac:dyDescent="0.3">
      <c r="A393" s="5"/>
      <c r="B393" s="707"/>
      <c r="C393" s="26"/>
      <c r="D393" s="79"/>
      <c r="P393" s="336"/>
    </row>
    <row r="394" spans="1:16" x14ac:dyDescent="0.3">
      <c r="A394" s="5"/>
      <c r="B394" s="707"/>
      <c r="C394" s="26"/>
      <c r="D394" s="79"/>
      <c r="P394" s="336"/>
    </row>
    <row r="395" spans="1:16" x14ac:dyDescent="0.3">
      <c r="A395" s="5"/>
      <c r="B395" s="707"/>
      <c r="C395" s="26"/>
      <c r="D395" s="79"/>
      <c r="P395" s="336"/>
    </row>
    <row r="396" spans="1:16" x14ac:dyDescent="0.3">
      <c r="A396" s="5"/>
      <c r="B396" s="707"/>
      <c r="C396" s="26"/>
      <c r="D396" s="79"/>
      <c r="P396" s="336"/>
    </row>
    <row r="397" spans="1:16" x14ac:dyDescent="0.3">
      <c r="A397" s="5"/>
      <c r="B397" s="707"/>
      <c r="C397" s="26"/>
      <c r="D397" s="79"/>
      <c r="P397" s="336"/>
    </row>
    <row r="398" spans="1:16" x14ac:dyDescent="0.3">
      <c r="A398" s="5"/>
      <c r="B398" s="707"/>
      <c r="C398" s="26"/>
      <c r="D398" s="79"/>
      <c r="P398" s="336"/>
    </row>
    <row r="399" spans="1:16" x14ac:dyDescent="0.3">
      <c r="A399" s="5"/>
      <c r="B399" s="707"/>
      <c r="C399" s="26"/>
      <c r="D399" s="79"/>
      <c r="P399" s="336"/>
    </row>
    <row r="400" spans="1:16" x14ac:dyDescent="0.3">
      <c r="A400" s="5"/>
      <c r="B400" s="707"/>
      <c r="C400" s="26"/>
      <c r="D400" s="79"/>
      <c r="P400" s="336"/>
    </row>
    <row r="401" spans="1:16" x14ac:dyDescent="0.3">
      <c r="A401" s="5"/>
      <c r="B401" s="707"/>
      <c r="C401" s="26"/>
      <c r="D401" s="79"/>
      <c r="P401" s="336"/>
    </row>
    <row r="402" spans="1:16" x14ac:dyDescent="0.3">
      <c r="A402" s="5"/>
      <c r="B402" s="707"/>
      <c r="C402" s="26"/>
      <c r="D402" s="79"/>
      <c r="P402" s="336"/>
    </row>
    <row r="403" spans="1:16" x14ac:dyDescent="0.3">
      <c r="A403" s="5"/>
      <c r="B403" s="707"/>
      <c r="C403" s="26"/>
      <c r="D403" s="79"/>
      <c r="P403" s="336"/>
    </row>
    <row r="404" spans="1:16" x14ac:dyDescent="0.3">
      <c r="A404" s="5"/>
      <c r="B404" s="707"/>
      <c r="C404" s="26"/>
      <c r="D404" s="79"/>
      <c r="P404" s="336"/>
    </row>
    <row r="405" spans="1:16" x14ac:dyDescent="0.3">
      <c r="A405" s="5"/>
      <c r="B405" s="707"/>
      <c r="C405" s="26"/>
      <c r="D405" s="79"/>
      <c r="P405" s="336"/>
    </row>
    <row r="406" spans="1:16" x14ac:dyDescent="0.3">
      <c r="A406" s="5"/>
      <c r="B406" s="707"/>
      <c r="C406" s="26"/>
      <c r="D406" s="79"/>
      <c r="P406" s="336"/>
    </row>
    <row r="407" spans="1:16" x14ac:dyDescent="0.3">
      <c r="A407" s="5"/>
      <c r="B407" s="707"/>
      <c r="C407" s="26"/>
      <c r="D407" s="79"/>
      <c r="P407" s="336"/>
    </row>
    <row r="408" spans="1:16" x14ac:dyDescent="0.3">
      <c r="A408" s="5"/>
      <c r="B408" s="707"/>
      <c r="C408" s="26"/>
      <c r="D408" s="79"/>
      <c r="P408" s="336"/>
    </row>
    <row r="409" spans="1:16" x14ac:dyDescent="0.3">
      <c r="A409" s="5"/>
      <c r="B409" s="707"/>
      <c r="C409" s="26"/>
      <c r="D409" s="79"/>
      <c r="P409" s="336"/>
    </row>
    <row r="410" spans="1:16" x14ac:dyDescent="0.3">
      <c r="A410" s="5"/>
      <c r="B410" s="707"/>
      <c r="C410" s="26"/>
      <c r="D410" s="79"/>
      <c r="P410" s="336"/>
    </row>
    <row r="411" spans="1:16" x14ac:dyDescent="0.3">
      <c r="A411" s="5"/>
      <c r="B411" s="707"/>
      <c r="C411" s="26"/>
      <c r="D411" s="79"/>
      <c r="P411" s="336"/>
    </row>
    <row r="412" spans="1:16" x14ac:dyDescent="0.3">
      <c r="A412" s="5"/>
      <c r="B412" s="707"/>
      <c r="C412" s="26"/>
      <c r="D412" s="79"/>
      <c r="P412" s="336"/>
    </row>
    <row r="413" spans="1:16" x14ac:dyDescent="0.3">
      <c r="A413" s="5"/>
      <c r="B413" s="707"/>
      <c r="C413" s="26"/>
      <c r="D413" s="79"/>
      <c r="P413" s="336"/>
    </row>
    <row r="414" spans="1:16" x14ac:dyDescent="0.3">
      <c r="A414" s="5"/>
      <c r="B414" s="707"/>
      <c r="C414" s="26"/>
      <c r="D414" s="79"/>
      <c r="P414" s="336"/>
    </row>
    <row r="415" spans="1:16" x14ac:dyDescent="0.3">
      <c r="A415" s="5"/>
      <c r="B415" s="707"/>
      <c r="C415" s="26"/>
      <c r="D415" s="79"/>
      <c r="P415" s="336"/>
    </row>
    <row r="416" spans="1:16" x14ac:dyDescent="0.3">
      <c r="A416" s="5"/>
      <c r="B416" s="707"/>
      <c r="C416" s="26"/>
      <c r="D416" s="79"/>
      <c r="P416" s="336"/>
    </row>
    <row r="417" spans="1:16" x14ac:dyDescent="0.3">
      <c r="A417" s="5"/>
      <c r="B417" s="707"/>
      <c r="C417" s="26"/>
      <c r="D417" s="79"/>
      <c r="P417" s="336"/>
    </row>
    <row r="418" spans="1:16" x14ac:dyDescent="0.3">
      <c r="A418" s="5"/>
      <c r="B418" s="707"/>
      <c r="C418" s="26"/>
      <c r="D418" s="79"/>
      <c r="P418" s="336"/>
    </row>
    <row r="419" spans="1:16" x14ac:dyDescent="0.3">
      <c r="A419" s="5"/>
      <c r="B419" s="707"/>
      <c r="C419" s="26"/>
      <c r="D419" s="79"/>
      <c r="P419" s="336"/>
    </row>
    <row r="420" spans="1:16" x14ac:dyDescent="0.3">
      <c r="A420" s="5"/>
      <c r="B420" s="707"/>
      <c r="C420" s="26"/>
      <c r="D420" s="79"/>
      <c r="P420" s="336"/>
    </row>
    <row r="421" spans="1:16" x14ac:dyDescent="0.3">
      <c r="A421" s="5"/>
      <c r="B421" s="707"/>
      <c r="C421" s="26"/>
      <c r="D421" s="79"/>
      <c r="P421" s="336"/>
    </row>
    <row r="422" spans="1:16" x14ac:dyDescent="0.3">
      <c r="A422" s="5"/>
      <c r="B422" s="707"/>
      <c r="C422" s="26"/>
      <c r="D422" s="79"/>
      <c r="P422" s="336"/>
    </row>
    <row r="423" spans="1:16" x14ac:dyDescent="0.3">
      <c r="A423" s="5"/>
      <c r="B423" s="707"/>
      <c r="C423" s="26"/>
      <c r="D423" s="79"/>
      <c r="P423" s="336"/>
    </row>
    <row r="424" spans="1:16" x14ac:dyDescent="0.3">
      <c r="A424" s="5"/>
      <c r="B424" s="707"/>
      <c r="C424" s="26"/>
      <c r="D424" s="79"/>
      <c r="P424" s="336"/>
    </row>
    <row r="425" spans="1:16" x14ac:dyDescent="0.3">
      <c r="A425" s="5"/>
      <c r="B425" s="707"/>
      <c r="C425" s="26"/>
      <c r="D425" s="79"/>
      <c r="P425" s="336"/>
    </row>
    <row r="426" spans="1:16" x14ac:dyDescent="0.3">
      <c r="A426" s="5"/>
      <c r="B426" s="707"/>
      <c r="C426" s="26"/>
      <c r="D426" s="79"/>
      <c r="P426" s="336"/>
    </row>
    <row r="427" spans="1:16" x14ac:dyDescent="0.3">
      <c r="A427" s="5"/>
      <c r="B427" s="707"/>
      <c r="C427" s="26"/>
      <c r="D427" s="79"/>
      <c r="P427" s="336"/>
    </row>
    <row r="428" spans="1:16" x14ac:dyDescent="0.3">
      <c r="A428" s="5"/>
      <c r="B428" s="707"/>
      <c r="C428" s="26"/>
      <c r="D428" s="79"/>
      <c r="P428" s="336"/>
    </row>
    <row r="429" spans="1:16" x14ac:dyDescent="0.3">
      <c r="A429" s="5"/>
      <c r="B429" s="707"/>
      <c r="C429" s="26"/>
      <c r="D429" s="79"/>
    </row>
    <row r="430" spans="1:16" x14ac:dyDescent="0.3">
      <c r="A430" s="5"/>
      <c r="B430" s="707"/>
      <c r="C430" s="26"/>
      <c r="D430" s="79"/>
      <c r="P430" s="336"/>
    </row>
    <row r="431" spans="1:16" x14ac:dyDescent="0.3">
      <c r="A431" s="5"/>
      <c r="B431" s="707"/>
      <c r="C431" s="26"/>
      <c r="D431" s="79"/>
    </row>
    <row r="432" spans="1:16" x14ac:dyDescent="0.3">
      <c r="A432" s="5"/>
      <c r="B432" s="707"/>
      <c r="C432" s="26"/>
      <c r="D432" s="79"/>
    </row>
    <row r="433" spans="1:4" x14ac:dyDescent="0.3">
      <c r="A433" s="5"/>
      <c r="B433" s="707"/>
      <c r="C433" s="26"/>
      <c r="D433" s="79"/>
    </row>
    <row r="434" spans="1:4" x14ac:dyDescent="0.3">
      <c r="A434" s="5"/>
      <c r="B434" s="707"/>
      <c r="C434" s="26"/>
      <c r="D434" s="79"/>
    </row>
    <row r="435" spans="1:4" x14ac:dyDescent="0.3">
      <c r="A435" s="5"/>
      <c r="B435" s="707"/>
      <c r="C435" s="26"/>
      <c r="D435" s="79"/>
    </row>
    <row r="436" spans="1:4" x14ac:dyDescent="0.3">
      <c r="A436" s="5"/>
      <c r="B436" s="707"/>
      <c r="C436" s="26"/>
      <c r="D436" s="79"/>
    </row>
    <row r="437" spans="1:4" x14ac:dyDescent="0.3">
      <c r="A437" s="5"/>
      <c r="B437" s="707"/>
      <c r="C437" s="26"/>
      <c r="D437" s="79"/>
    </row>
    <row r="438" spans="1:4" x14ac:dyDescent="0.3">
      <c r="A438" s="5"/>
      <c r="B438" s="707"/>
      <c r="C438" s="26"/>
      <c r="D438" s="79"/>
    </row>
    <row r="439" spans="1:4" x14ac:dyDescent="0.3">
      <c r="A439" s="5"/>
      <c r="B439" s="707"/>
      <c r="C439" s="26"/>
      <c r="D439" s="79"/>
    </row>
    <row r="440" spans="1:4" x14ac:dyDescent="0.3">
      <c r="A440" s="5"/>
      <c r="B440" s="707"/>
      <c r="C440" s="26"/>
      <c r="D440" s="79"/>
    </row>
    <row r="441" spans="1:4" x14ac:dyDescent="0.3">
      <c r="A441" s="5"/>
      <c r="B441" s="707"/>
      <c r="C441" s="26"/>
      <c r="D441" s="79"/>
    </row>
    <row r="442" spans="1:4" x14ac:dyDescent="0.3">
      <c r="A442" s="5"/>
      <c r="B442" s="707"/>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63" priority="93" stopIfTrue="1" operator="notEqual">
      <formula>0</formula>
    </cfRule>
  </conditionalFormatting>
  <conditionalFormatting sqref="G34">
    <cfRule type="cellIs" dxfId="62" priority="92" stopIfTrue="1" operator="notEqual">
      <formula>0</formula>
    </cfRule>
  </conditionalFormatting>
  <conditionalFormatting sqref="G65">
    <cfRule type="cellIs" dxfId="61" priority="91" stopIfTrue="1" operator="notEqual">
      <formula>0</formula>
    </cfRule>
  </conditionalFormatting>
  <conditionalFormatting sqref="G79">
    <cfRule type="cellIs" dxfId="60" priority="90" stopIfTrue="1" operator="notEqual">
      <formula>0</formula>
    </cfRule>
  </conditionalFormatting>
  <conditionalFormatting sqref="G80:G90">
    <cfRule type="cellIs" dxfId="59" priority="89" stopIfTrue="1" operator="notEqual">
      <formula>0</formula>
    </cfRule>
  </conditionalFormatting>
  <conditionalFormatting sqref="G133">
    <cfRule type="cellIs" dxfId="58" priority="88" stopIfTrue="1" operator="notEqual">
      <formula>0</formula>
    </cfRule>
  </conditionalFormatting>
  <conditionalFormatting sqref="G151">
    <cfRule type="cellIs" dxfId="57" priority="87" stopIfTrue="1" operator="notEqual">
      <formula>0</formula>
    </cfRule>
  </conditionalFormatting>
  <conditionalFormatting sqref="G163">
    <cfRule type="cellIs" dxfId="56" priority="86" stopIfTrue="1" operator="notEqual">
      <formula>0</formula>
    </cfRule>
  </conditionalFormatting>
  <conditionalFormatting sqref="G164">
    <cfRule type="cellIs" dxfId="55" priority="85" stopIfTrue="1" operator="notEqual">
      <formula>0</formula>
    </cfRule>
  </conditionalFormatting>
  <conditionalFormatting sqref="G178">
    <cfRule type="cellIs" dxfId="54" priority="84" stopIfTrue="1" operator="notEqual">
      <formula>0</formula>
    </cfRule>
  </conditionalFormatting>
  <conditionalFormatting sqref="G179">
    <cfRule type="cellIs" dxfId="53" priority="83" stopIfTrue="1" operator="notEqual">
      <formula>0</formula>
    </cfRule>
  </conditionalFormatting>
  <conditionalFormatting sqref="H237:H239">
    <cfRule type="cellIs" priority="79" stopIfTrue="1" operator="equal">
      <formula>";;;"</formula>
    </cfRule>
  </conditionalFormatting>
  <conditionalFormatting sqref="H237">
    <cfRule type="cellIs" dxfId="52" priority="78" stopIfTrue="1" operator="equal">
      <formula>0</formula>
    </cfRule>
  </conditionalFormatting>
  <conditionalFormatting sqref="H238">
    <cfRule type="cellIs" dxfId="51" priority="77" stopIfTrue="1" operator="equal">
      <formula>0</formula>
    </cfRule>
  </conditionalFormatting>
  <conditionalFormatting sqref="H239">
    <cfRule type="cellIs" dxfId="50" priority="76" stopIfTrue="1" operator="equal">
      <formula>0</formula>
    </cfRule>
  </conditionalFormatting>
  <conditionalFormatting sqref="H239">
    <cfRule type="cellIs" dxfId="49" priority="75" stopIfTrue="1" operator="equal">
      <formula>0</formula>
    </cfRule>
  </conditionalFormatting>
  <conditionalFormatting sqref="H237">
    <cfRule type="cellIs" dxfId="48" priority="74" stopIfTrue="1" operator="equal">
      <formula>0</formula>
    </cfRule>
  </conditionalFormatting>
  <conditionalFormatting sqref="G21">
    <cfRule type="cellIs" dxfId="47" priority="73" stopIfTrue="1" operator="notEqual">
      <formula>0</formula>
    </cfRule>
  </conditionalFormatting>
  <conditionalFormatting sqref="G7">
    <cfRule type="containsText" dxfId="46" priority="71" stopIfTrue="1" operator="containsText" text="Included in error count">
      <formula>NOT(ISERROR(SEARCH("Included in error count",G7)))</formula>
    </cfRule>
    <cfRule type="cellIs" dxfId="45" priority="72" stopIfTrue="1" operator="equal">
      <formula>1</formula>
    </cfRule>
  </conditionalFormatting>
  <conditionalFormatting sqref="G55">
    <cfRule type="containsText" dxfId="44" priority="69" stopIfTrue="1" operator="containsText" text="Included in error count">
      <formula>NOT(ISERROR(SEARCH("Included in error count",G55)))</formula>
    </cfRule>
    <cfRule type="cellIs" dxfId="43" priority="70" stopIfTrue="1" operator="equal">
      <formula>1</formula>
    </cfRule>
  </conditionalFormatting>
  <conditionalFormatting sqref="G120:G121">
    <cfRule type="containsText" dxfId="42" priority="67" stopIfTrue="1" operator="containsText" text="Included in error count">
      <formula>NOT(ISERROR(SEARCH("Included in error count",G120)))</formula>
    </cfRule>
    <cfRule type="cellIs" dxfId="41" priority="68" stopIfTrue="1" operator="equal">
      <formula>1</formula>
    </cfRule>
  </conditionalFormatting>
  <conditionalFormatting sqref="G122">
    <cfRule type="containsText" dxfId="40" priority="65" stopIfTrue="1" operator="containsText" text="Included in error count">
      <formula>NOT(ISERROR(SEARCH("Included in error count",G122)))</formula>
    </cfRule>
    <cfRule type="cellIs" dxfId="39" priority="66" stopIfTrue="1" operator="equal">
      <formula>1</formula>
    </cfRule>
  </conditionalFormatting>
  <conditionalFormatting sqref="G131">
    <cfRule type="containsText" dxfId="38" priority="61" stopIfTrue="1" operator="containsText" text="Included in error count">
      <formula>NOT(ISERROR(SEARCH("Included in error count",G131)))</formula>
    </cfRule>
    <cfRule type="cellIs" dxfId="37" priority="62" stopIfTrue="1" operator="equal">
      <formula>1</formula>
    </cfRule>
  </conditionalFormatting>
  <conditionalFormatting sqref="G153">
    <cfRule type="containsText" dxfId="36" priority="57" stopIfTrue="1" operator="containsText" text="Included in error count">
      <formula>NOT(ISERROR(SEARCH("Included in error count",G153)))</formula>
    </cfRule>
    <cfRule type="cellIs" dxfId="35" priority="58" stopIfTrue="1" operator="equal">
      <formula>1</formula>
    </cfRule>
  </conditionalFormatting>
  <conditionalFormatting sqref="G237">
    <cfRule type="containsText" dxfId="34" priority="46" stopIfTrue="1" operator="containsText" text="Included in error count">
      <formula>NOT(ISERROR(SEARCH("Included in error count",G237)))</formula>
    </cfRule>
    <cfRule type="cellIs" dxfId="33" priority="47" stopIfTrue="1" operator="equal">
      <formula>1</formula>
    </cfRule>
  </conditionalFormatting>
  <conditionalFormatting sqref="G238">
    <cfRule type="containsText" dxfId="32" priority="44" stopIfTrue="1" operator="containsText" text="Included in error count">
      <formula>NOT(ISERROR(SEARCH("Included in error count",G238)))</formula>
    </cfRule>
    <cfRule type="cellIs" dxfId="31" priority="45" stopIfTrue="1" operator="equal">
      <formula>1</formula>
    </cfRule>
  </conditionalFormatting>
  <conditionalFormatting sqref="G239">
    <cfRule type="containsText" dxfId="30" priority="42" stopIfTrue="1" operator="containsText" text="Included in error count">
      <formula>NOT(ISERROR(SEARCH("Included in error count",G239)))</formula>
    </cfRule>
    <cfRule type="cellIs" dxfId="29" priority="43" stopIfTrue="1" operator="equal">
      <formula>1</formula>
    </cfRule>
  </conditionalFormatting>
  <conditionalFormatting sqref="G168">
    <cfRule type="containsText" dxfId="28" priority="40" stopIfTrue="1" operator="containsText" text="Included in error count">
      <formula>NOT(ISERROR(SEARCH("Included in error count",G168)))</formula>
    </cfRule>
    <cfRule type="cellIs" dxfId="27"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10"/>
  <sheetViews>
    <sheetView showGridLines="0" zoomScale="70" zoomScaleNormal="70" workbookViewId="0">
      <selection activeCell="A8" sqref="A8:C8"/>
    </sheetView>
  </sheetViews>
  <sheetFormatPr defaultColWidth="9.109375" defaultRowHeight="14.4" x14ac:dyDescent="0.3"/>
  <cols>
    <col min="1" max="1" width="44.5546875" style="1008" customWidth="1"/>
    <col min="2" max="2" width="17.109375" style="1008" customWidth="1"/>
    <col min="3" max="3" width="19" style="1008" customWidth="1"/>
    <col min="4" max="4" width="19.109375" style="1008" customWidth="1"/>
    <col min="5" max="5" width="15.109375" style="1008" customWidth="1"/>
    <col min="6" max="6" width="12.88671875" style="1008" customWidth="1"/>
    <col min="7" max="7" width="43.88671875" style="1033" hidden="1" customWidth="1"/>
    <col min="8" max="8" width="77.5546875" style="1008" customWidth="1"/>
    <col min="9" max="9" width="91" style="1009" customWidth="1"/>
    <col min="10" max="10" width="46.109375" style="1009" customWidth="1"/>
    <col min="11" max="11" width="9.109375" style="1009" hidden="1" customWidth="1"/>
    <col min="12" max="12" width="36.88671875" style="274" hidden="1" customWidth="1"/>
    <col min="13" max="14" width="15.6640625" style="274" hidden="1" customWidth="1"/>
    <col min="15" max="15" width="56.33203125" style="274" customWidth="1"/>
    <col min="16" max="16" width="11.109375" style="1007" customWidth="1"/>
    <col min="17" max="18" width="9.109375" style="1008" customWidth="1"/>
    <col min="19" max="16384" width="9.109375" style="1008"/>
  </cols>
  <sheetData>
    <row r="1" spans="1:81" ht="40.5" customHeight="1" thickBot="1" x14ac:dyDescent="0.35">
      <c r="A1" s="1226" t="s">
        <v>1680</v>
      </c>
      <c r="B1" s="1227"/>
      <c r="C1" s="1227"/>
      <c r="D1" s="1227"/>
      <c r="E1" s="1227"/>
      <c r="F1" s="1227"/>
      <c r="G1" s="1227"/>
      <c r="H1" s="1228"/>
      <c r="I1" s="1224" t="s">
        <v>1690</v>
      </c>
      <c r="J1" s="1225"/>
      <c r="K1" s="1027"/>
    </row>
    <row r="2" spans="1:81" ht="88.5" customHeight="1" thickBot="1" x14ac:dyDescent="0.35">
      <c r="A2" s="1229" t="s">
        <v>1681</v>
      </c>
      <c r="B2" s="1230"/>
      <c r="C2" s="1230"/>
      <c r="D2" s="1230"/>
      <c r="E2" s="1230"/>
      <c r="F2" s="1230"/>
      <c r="G2" s="1230"/>
      <c r="H2" s="1231"/>
      <c r="I2" s="1247" t="s">
        <v>1689</v>
      </c>
      <c r="J2" s="1251" t="s">
        <v>1408</v>
      </c>
      <c r="K2" s="1037"/>
    </row>
    <row r="3" spans="1:81" ht="15" customHeight="1" x14ac:dyDescent="0.3">
      <c r="A3" s="1128" t="s">
        <v>1057</v>
      </c>
      <c r="B3" s="1023"/>
      <c r="C3" s="1023"/>
      <c r="D3" s="1023"/>
      <c r="E3" s="1129"/>
      <c r="F3" s="1129"/>
      <c r="G3" s="1232"/>
      <c r="H3" s="1233"/>
      <c r="I3" s="1248"/>
      <c r="J3" s="1252"/>
      <c r="K3" s="1037"/>
    </row>
    <row r="4" spans="1:81" ht="21.75" customHeight="1" x14ac:dyDescent="0.3">
      <c r="A4" s="1010" t="s">
        <v>1148</v>
      </c>
      <c r="B4" s="1234" t="str">
        <f>'Unit Data from Audit Worksheet'!D2</f>
        <v>Select Unit Name from Drop Down List</v>
      </c>
      <c r="C4" s="1234"/>
      <c r="D4" s="1234"/>
      <c r="E4" s="1235" t="s">
        <v>1682</v>
      </c>
      <c r="F4" s="1236"/>
      <c r="G4" s="1011"/>
      <c r="H4" s="1237" t="s">
        <v>1060</v>
      </c>
      <c r="I4" s="1249"/>
      <c r="J4" s="1252"/>
      <c r="K4" s="1038"/>
      <c r="L4" s="1012"/>
    </row>
    <row r="5" spans="1:81" ht="21.75" customHeight="1" thickBot="1" x14ac:dyDescent="0.35">
      <c r="A5" s="1013" t="s">
        <v>1059</v>
      </c>
      <c r="B5" s="1239" t="e">
        <f>'Unit Data from Audit Worksheet'!D3</f>
        <v>#N/A</v>
      </c>
      <c r="C5" s="1239"/>
      <c r="D5" s="1239"/>
      <c r="E5" s="1235"/>
      <c r="F5" s="1236"/>
      <c r="G5" s="1014"/>
      <c r="H5" s="1238"/>
      <c r="I5" s="1250"/>
      <c r="J5" s="1253"/>
      <c r="K5" s="1006"/>
      <c r="L5" s="170" t="s">
        <v>1106</v>
      </c>
    </row>
    <row r="6" spans="1:81" s="274" customFormat="1" ht="18.600000000000001" thickBot="1" x14ac:dyDescent="0.35">
      <c r="A6" s="1019"/>
      <c r="B6" s="1020"/>
      <c r="C6" s="1020"/>
      <c r="D6" s="1020"/>
      <c r="E6" s="1021"/>
      <c r="F6" s="1020"/>
      <c r="G6" s="1022"/>
      <c r="H6" s="1020"/>
      <c r="I6" s="1041"/>
      <c r="J6" s="1034"/>
      <c r="K6" s="1009"/>
      <c r="N6" s="1015"/>
      <c r="P6" s="1007"/>
      <c r="Q6" s="1008"/>
      <c r="R6" s="1008"/>
      <c r="S6" s="1008"/>
      <c r="T6" s="1008"/>
      <c r="U6" s="1008"/>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c r="AY6" s="1008"/>
      <c r="AZ6" s="1008"/>
      <c r="BA6" s="1008"/>
      <c r="BB6" s="1008"/>
      <c r="BC6" s="1008"/>
      <c r="BD6" s="1008"/>
      <c r="BE6" s="1008"/>
      <c r="BF6" s="1008"/>
      <c r="BG6" s="1008"/>
      <c r="BH6" s="1008"/>
      <c r="BI6" s="1008"/>
      <c r="BJ6" s="1008"/>
      <c r="BK6" s="1008"/>
      <c r="BL6" s="1008"/>
      <c r="BM6" s="1008"/>
      <c r="BN6" s="1008"/>
      <c r="BO6" s="1008"/>
      <c r="BP6" s="1008"/>
      <c r="BQ6" s="1008"/>
      <c r="BR6" s="1008"/>
      <c r="BS6" s="1008"/>
      <c r="BT6" s="1008"/>
      <c r="BU6" s="1008"/>
      <c r="BV6" s="1008"/>
      <c r="BW6" s="1008"/>
      <c r="BX6" s="1008"/>
      <c r="BY6" s="1008"/>
      <c r="BZ6" s="1008"/>
      <c r="CA6" s="1008"/>
      <c r="CB6" s="1008"/>
      <c r="CC6" s="1008"/>
    </row>
    <row r="7" spans="1:81" s="274" customFormat="1" ht="18.600000000000001" thickBot="1" x14ac:dyDescent="0.35">
      <c r="A7" s="1243" t="s">
        <v>1684</v>
      </c>
      <c r="B7" s="1244"/>
      <c r="C7" s="1245"/>
      <c r="D7" s="288" t="s">
        <v>1683</v>
      </c>
      <c r="E7" s="289" t="s">
        <v>1685</v>
      </c>
      <c r="F7" s="1023"/>
      <c r="G7" s="1024"/>
      <c r="H7" s="1025"/>
      <c r="I7" s="1043"/>
      <c r="J7" s="1025"/>
      <c r="K7" s="1006"/>
      <c r="P7" s="1007"/>
      <c r="Q7" s="1008"/>
      <c r="R7" s="1008"/>
      <c r="S7" s="1008"/>
      <c r="T7" s="1008"/>
      <c r="U7" s="1008"/>
      <c r="V7" s="1008"/>
      <c r="W7" s="1008"/>
      <c r="X7" s="1008"/>
      <c r="Y7" s="1008"/>
      <c r="Z7" s="1008"/>
      <c r="AA7" s="1008"/>
      <c r="AB7" s="1008"/>
      <c r="AC7" s="1008"/>
      <c r="AD7" s="1008"/>
      <c r="AE7" s="1008"/>
      <c r="AF7" s="1008"/>
      <c r="AG7" s="1008"/>
      <c r="AH7" s="1008"/>
      <c r="AI7" s="1008"/>
      <c r="AJ7" s="1008"/>
      <c r="AK7" s="1008"/>
      <c r="AL7" s="1008"/>
      <c r="AM7" s="1008"/>
      <c r="AN7" s="1008"/>
      <c r="AO7" s="1008"/>
      <c r="AP7" s="1008"/>
      <c r="AQ7" s="1008"/>
      <c r="AR7" s="1008"/>
      <c r="AS7" s="1008"/>
      <c r="AT7" s="1008"/>
      <c r="AU7" s="1008"/>
      <c r="AV7" s="1008"/>
      <c r="AW7" s="1008"/>
      <c r="AX7" s="1008"/>
      <c r="AY7" s="1008"/>
      <c r="AZ7" s="1008"/>
      <c r="BA7" s="1008"/>
      <c r="BB7" s="1008"/>
      <c r="BC7" s="1008"/>
      <c r="BD7" s="1008"/>
      <c r="BE7" s="1008"/>
      <c r="BF7" s="1008"/>
      <c r="BG7" s="1008"/>
      <c r="BH7" s="1008"/>
      <c r="BI7" s="1008"/>
      <c r="BJ7" s="1008"/>
      <c r="BK7" s="1008"/>
      <c r="BL7" s="1008"/>
      <c r="BM7" s="1008"/>
      <c r="BN7" s="1008"/>
      <c r="BO7" s="1008"/>
      <c r="BP7" s="1008"/>
      <c r="BQ7" s="1008"/>
      <c r="BR7" s="1008"/>
      <c r="BS7" s="1008"/>
      <c r="BT7" s="1008"/>
      <c r="BU7" s="1008"/>
      <c r="BV7" s="1008"/>
      <c r="BW7" s="1008"/>
      <c r="BX7" s="1008"/>
      <c r="BY7" s="1008"/>
      <c r="BZ7" s="1008"/>
      <c r="CA7" s="1008"/>
      <c r="CB7" s="1008"/>
      <c r="CC7" s="1008"/>
    </row>
    <row r="8" spans="1:81" s="274" customFormat="1" ht="92.25" customHeight="1" thickBot="1" x14ac:dyDescent="0.35">
      <c r="A8" s="1246" t="s">
        <v>1686</v>
      </c>
      <c r="B8" s="1246"/>
      <c r="C8" s="1246"/>
      <c r="D8" s="1026" t="b">
        <f>IF(Import!L258=1,"Yes",IF(Import!L258=2,"No"))</f>
        <v>0</v>
      </c>
      <c r="E8" s="1017" t="s">
        <v>1065</v>
      </c>
      <c r="F8" s="1026" t="b">
        <f>D8</f>
        <v>0</v>
      </c>
      <c r="G8" s="1018"/>
      <c r="H8" s="1039" t="s">
        <v>1687</v>
      </c>
      <c r="I8" s="1040" t="s">
        <v>1085</v>
      </c>
      <c r="J8" s="1042"/>
      <c r="K8" s="1006"/>
      <c r="P8" s="1007"/>
      <c r="Q8" s="1008"/>
      <c r="R8" s="1008"/>
      <c r="S8" s="1008"/>
      <c r="T8" s="1008"/>
      <c r="U8" s="1008"/>
      <c r="V8" s="1008"/>
      <c r="W8" s="1008"/>
      <c r="X8" s="1008"/>
      <c r="Y8" s="1008"/>
      <c r="Z8" s="1008"/>
      <c r="AA8" s="1008"/>
      <c r="AB8" s="1008"/>
      <c r="AC8" s="1008"/>
      <c r="AD8" s="1008"/>
      <c r="AE8" s="1008"/>
      <c r="AF8" s="1008"/>
      <c r="AG8" s="1008"/>
      <c r="AH8" s="1008"/>
      <c r="AI8" s="1008"/>
      <c r="AJ8" s="1008"/>
      <c r="AK8" s="1008"/>
      <c r="AL8" s="1008"/>
      <c r="AM8" s="1008"/>
      <c r="AN8" s="1008"/>
      <c r="AO8" s="1008"/>
      <c r="AP8" s="1008"/>
      <c r="AQ8" s="1008"/>
      <c r="AR8" s="1008"/>
      <c r="AS8" s="1008"/>
      <c r="AT8" s="1008"/>
      <c r="AU8" s="1008"/>
      <c r="AV8" s="1008"/>
      <c r="AW8" s="1008"/>
      <c r="AX8" s="1008"/>
      <c r="AY8" s="1008"/>
      <c r="AZ8" s="1008"/>
      <c r="BA8" s="1008"/>
      <c r="BB8" s="1008"/>
      <c r="BC8" s="1008"/>
      <c r="BD8" s="1008"/>
      <c r="BE8" s="1008"/>
      <c r="BF8" s="1008"/>
      <c r="BG8" s="1008"/>
      <c r="BH8" s="1008"/>
      <c r="BI8" s="1008"/>
      <c r="BJ8" s="1008"/>
      <c r="BK8" s="1008"/>
      <c r="BL8" s="1008"/>
      <c r="BM8" s="1008"/>
      <c r="BN8" s="1008"/>
      <c r="BO8" s="1008"/>
      <c r="BP8" s="1008"/>
      <c r="BQ8" s="1008"/>
      <c r="BR8" s="1008"/>
      <c r="BS8" s="1008"/>
      <c r="BT8" s="1008"/>
      <c r="BU8" s="1008"/>
      <c r="BV8" s="1008"/>
      <c r="BW8" s="1008"/>
      <c r="BX8" s="1008"/>
      <c r="BY8" s="1008"/>
      <c r="BZ8" s="1008"/>
      <c r="CA8" s="1008"/>
      <c r="CB8" s="1008"/>
      <c r="CC8" s="1008"/>
    </row>
    <row r="9" spans="1:81" s="274" customFormat="1" ht="68.25" customHeight="1" thickBot="1" x14ac:dyDescent="0.35">
      <c r="A9" s="1240" t="s">
        <v>1064</v>
      </c>
      <c r="B9" s="1241"/>
      <c r="C9" s="1242"/>
      <c r="D9" s="1029" t="e">
        <f>+M9+N9+L9+Import!L250+Import!L251+Import!L254</f>
        <v>#VALUE!</v>
      </c>
      <c r="E9" s="1028"/>
      <c r="F9" s="1030"/>
      <c r="G9" s="1018"/>
      <c r="H9" s="1036" t="s">
        <v>1688</v>
      </c>
      <c r="I9" s="1040" t="s">
        <v>1087</v>
      </c>
      <c r="J9" s="1042"/>
      <c r="K9" s="1006"/>
      <c r="L9" s="1016">
        <f>IF(Import!L247=1,1,0)</f>
        <v>0</v>
      </c>
      <c r="M9" s="1016">
        <f>IF(Import!L248=1,1,0)</f>
        <v>0</v>
      </c>
      <c r="N9" s="1016">
        <f>IF(Import!L249=1,1,0)</f>
        <v>0</v>
      </c>
      <c r="P9" s="1007"/>
      <c r="Q9" s="1008"/>
      <c r="R9" s="1008"/>
      <c r="S9" s="1008"/>
      <c r="T9" s="1008"/>
      <c r="U9" s="1008"/>
      <c r="V9" s="1008"/>
      <c r="W9" s="1008"/>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c r="BB9" s="1008"/>
      <c r="BC9" s="1008"/>
      <c r="BD9" s="1008"/>
      <c r="BE9" s="1008"/>
      <c r="BF9" s="1008"/>
      <c r="BG9" s="1008"/>
      <c r="BH9" s="1008"/>
      <c r="BI9" s="1008"/>
      <c r="BJ9" s="1008"/>
      <c r="BK9" s="1008"/>
      <c r="BL9" s="1008"/>
      <c r="BM9" s="1008"/>
      <c r="BN9" s="1008"/>
      <c r="BO9" s="1008"/>
      <c r="BP9" s="1008"/>
      <c r="BQ9" s="1008"/>
      <c r="BR9" s="1008"/>
      <c r="BS9" s="1008"/>
      <c r="BT9" s="1008"/>
      <c r="BU9" s="1008"/>
      <c r="BV9" s="1008"/>
      <c r="BW9" s="1008"/>
      <c r="BX9" s="1008"/>
      <c r="BY9" s="1008"/>
      <c r="BZ9" s="1008"/>
      <c r="CA9" s="1008"/>
      <c r="CB9" s="1008"/>
      <c r="CC9" s="1008"/>
    </row>
    <row r="10" spans="1:81" s="1009" customFormat="1" x14ac:dyDescent="0.3">
      <c r="A10" s="1031"/>
      <c r="B10" s="1031"/>
      <c r="C10" s="1031"/>
      <c r="D10" s="1031"/>
      <c r="E10" s="1031"/>
      <c r="F10" s="1031"/>
      <c r="G10" s="1032"/>
      <c r="H10" s="1031"/>
      <c r="I10" s="1035"/>
      <c r="J10" s="1035"/>
      <c r="L10" s="274"/>
      <c r="M10" s="274"/>
      <c r="N10" s="274"/>
      <c r="O10" s="274"/>
      <c r="P10" s="1007"/>
      <c r="Q10" s="1008"/>
      <c r="R10" s="1008"/>
      <c r="S10" s="1008"/>
      <c r="T10" s="1008"/>
      <c r="U10" s="1008"/>
      <c r="V10" s="1008"/>
      <c r="W10" s="1008"/>
      <c r="X10" s="1008"/>
      <c r="Y10" s="1008"/>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c r="BQ10" s="1008"/>
      <c r="BR10" s="1008"/>
      <c r="BS10" s="1008"/>
      <c r="BT10" s="1008"/>
      <c r="BU10" s="1008"/>
      <c r="BV10" s="1008"/>
      <c r="BW10" s="1008"/>
      <c r="BX10" s="1008"/>
      <c r="BY10" s="1008"/>
      <c r="BZ10" s="1008"/>
      <c r="CA10" s="1008"/>
      <c r="CB10" s="1008"/>
      <c r="CC10" s="1008"/>
    </row>
  </sheetData>
  <mergeCells count="13">
    <mergeCell ref="A9:C9"/>
    <mergeCell ref="A7:C7"/>
    <mergeCell ref="A8:C8"/>
    <mergeCell ref="I2:I5"/>
    <mergeCell ref="J2:J5"/>
    <mergeCell ref="I1:J1"/>
    <mergeCell ref="A1:H1"/>
    <mergeCell ref="A2:H2"/>
    <mergeCell ref="G3:H3"/>
    <mergeCell ref="B4:D4"/>
    <mergeCell ref="E4:F5"/>
    <mergeCell ref="H4:H5"/>
    <mergeCell ref="B5:D5"/>
  </mergeCells>
  <conditionalFormatting sqref="F8">
    <cfRule type="cellIs" dxfId="26" priority="21" operator="equal">
      <formula>"No"</formula>
    </cfRule>
  </conditionalFormatting>
  <conditionalFormatting sqref="F9">
    <cfRule type="expression" dxfId="25" priority="9">
      <formula>$D$9&gt;0</formula>
    </cfRule>
  </conditionalFormatting>
  <pageMargins left="0.25" right="0.25" top="0.05" bottom="0.05" header="0.3" footer="0.3"/>
  <pageSetup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49"/>
  <sheetViews>
    <sheetView showGridLines="0" zoomScale="80" zoomScaleNormal="80" workbookViewId="0">
      <pane ySplit="4" topLeftCell="A21" activePane="bottomLeft" state="frozen"/>
      <selection pane="bottomLeft" activeCell="G26" sqref="G26"/>
    </sheetView>
  </sheetViews>
  <sheetFormatPr defaultColWidth="9.109375" defaultRowHeight="14.4" x14ac:dyDescent="0.3"/>
  <cols>
    <col min="1" max="1" width="44.5546875" style="504" customWidth="1"/>
    <col min="2" max="2" width="17.33203125" style="504" customWidth="1"/>
    <col min="3" max="3" width="17.88671875" style="504" customWidth="1"/>
    <col min="4" max="4" width="20.88671875" style="504" customWidth="1"/>
    <col min="5" max="5" width="16.109375" style="504" customWidth="1"/>
    <col min="6" max="6" width="14.88671875" style="504" customWidth="1"/>
    <col min="7" max="7" width="46.109375" style="511" customWidth="1"/>
    <col min="8" max="8" width="77.5546875" style="504" customWidth="1"/>
    <col min="9" max="9" width="34" style="504" customWidth="1"/>
    <col min="10" max="10" width="9.109375" style="504" customWidth="1"/>
    <col min="11" max="11" width="36.88671875" style="504" customWidth="1"/>
    <col min="12" max="12" width="15" style="504" customWidth="1"/>
    <col min="13" max="13" width="11.88671875" style="504" customWidth="1"/>
    <col min="14" max="24" width="9.109375" style="504" customWidth="1"/>
    <col min="25" max="25" width="9.109375" style="308" customWidth="1"/>
    <col min="26" max="26" width="36.88671875" style="584" hidden="1" customWidth="1"/>
    <col min="27" max="16384" width="9.109375" style="504"/>
  </cols>
  <sheetData>
    <row r="1" spans="1:78" x14ac:dyDescent="0.3">
      <c r="A1" s="505" t="s">
        <v>1057</v>
      </c>
      <c r="B1" s="506"/>
      <c r="C1" s="506"/>
      <c r="D1" s="506"/>
      <c r="E1" s="507" t="s">
        <v>1058</v>
      </c>
      <c r="F1" s="507">
        <v>2021</v>
      </c>
      <c r="G1" s="1271"/>
      <c r="H1" s="1272"/>
      <c r="I1" s="508"/>
      <c r="Z1" s="577" t="s">
        <v>1355</v>
      </c>
    </row>
    <row r="2" spans="1:78" ht="98.25" customHeight="1" x14ac:dyDescent="0.3">
      <c r="A2" s="509" t="s">
        <v>1148</v>
      </c>
      <c r="B2" s="1273" t="str">
        <f>'Unit Data from Audit Worksheet'!D2</f>
        <v>Select Unit Name from Drop Down List</v>
      </c>
      <c r="C2" s="1273"/>
      <c r="D2" s="1273"/>
      <c r="E2" s="1277" t="s">
        <v>1609</v>
      </c>
      <c r="F2" s="1277"/>
      <c r="G2" s="1277"/>
      <c r="H2" s="1274" t="s">
        <v>1370</v>
      </c>
      <c r="I2" s="510"/>
      <c r="J2" s="511"/>
      <c r="K2" s="512"/>
      <c r="Z2" s="162"/>
    </row>
    <row r="3" spans="1:78" ht="38.25" customHeight="1" x14ac:dyDescent="0.3">
      <c r="A3" s="513" t="s">
        <v>1059</v>
      </c>
      <c r="B3" s="1276" t="e">
        <f>'Unit Data from Audit Worksheet'!D3</f>
        <v>#N/A</v>
      </c>
      <c r="C3" s="1276"/>
      <c r="D3" s="1276"/>
      <c r="E3" s="1278"/>
      <c r="F3" s="1278"/>
      <c r="G3" s="1278"/>
      <c r="H3" s="1275"/>
      <c r="I3" s="508"/>
      <c r="K3" s="514" t="s">
        <v>1106</v>
      </c>
      <c r="Z3" s="162"/>
    </row>
    <row r="4" spans="1:78" ht="106.5" customHeight="1" x14ac:dyDescent="0.3">
      <c r="A4" s="593"/>
      <c r="B4" s="594">
        <v>2019</v>
      </c>
      <c r="C4" s="594">
        <v>2020</v>
      </c>
      <c r="D4" s="594">
        <v>2021</v>
      </c>
      <c r="E4" s="595" t="s">
        <v>1368</v>
      </c>
      <c r="F4" s="594" t="s">
        <v>1068</v>
      </c>
      <c r="G4" s="596"/>
      <c r="H4" s="594" t="s">
        <v>1060</v>
      </c>
      <c r="I4" s="595" t="s">
        <v>1408</v>
      </c>
      <c r="J4" s="515"/>
      <c r="Z4" s="162"/>
    </row>
    <row r="5" spans="1:78" x14ac:dyDescent="0.3">
      <c r="A5" s="589" t="s">
        <v>703</v>
      </c>
      <c r="B5" s="590"/>
      <c r="C5" s="590"/>
      <c r="D5" s="590"/>
      <c r="E5" s="591"/>
      <c r="F5" s="588"/>
      <c r="G5" s="591"/>
      <c r="H5" s="590"/>
      <c r="I5" s="592"/>
      <c r="J5" s="515"/>
      <c r="K5" s="517">
        <f>+(Import!$L$72+Import!$L$77+Import!$L$74-Import!$L$75-Import!$L$76)</f>
        <v>0</v>
      </c>
      <c r="L5" s="504" t="s">
        <v>1157</v>
      </c>
      <c r="Z5" s="579"/>
    </row>
    <row r="6" spans="1:78" ht="143.25" customHeight="1" x14ac:dyDescent="0.3">
      <c r="A6" s="409" t="s">
        <v>876</v>
      </c>
      <c r="B6" s="405" t="e">
        <f>HLOOKUP($B$3,'2019 Data(H)'!$E$2:$CZ$299,291,FALSE)</f>
        <v>#N/A</v>
      </c>
      <c r="C6" s="405" t="e">
        <f>HLOOKUP($B$2,'2020 Data(H)'!$E$1:$CZ$432,339,FALSE)</f>
        <v>#N/A</v>
      </c>
      <c r="D6" s="405" t="str">
        <f>IFERROR((Import!$L$52+Import!$L$53-Import!$L$57-Import!$L$58-Import!$L$230-Import!$L$62+Import!$L$89)/(Import!$L$72+Import!$L$77+Import!$L$74-Import!$L$75-Import!$L$76),"")</f>
        <v/>
      </c>
      <c r="E6" s="562" t="b">
        <f>IF(K5&gt;10000000,"25% -- Average of similar units is 46%",IF(K5&gt;999999,"34% -- Average of similar units is 63%",IF(K5&gt;99999,"71% -- Average of similar units is 132%",IF(K5&gt;1,"100 %-- Average of similar units is 260%"))))</f>
        <v>0</v>
      </c>
      <c r="F6" s="966"/>
      <c r="G6" s="986" t="s">
        <v>1570</v>
      </c>
      <c r="H6" s="955" t="s">
        <v>1610</v>
      </c>
      <c r="I6" s="561"/>
      <c r="J6" s="515"/>
      <c r="K6" s="518" t="b">
        <f>IF($K$5&gt;10000000,"25%",IF($K$5&gt;999999,"34%",IF($K$5&gt;99999,"71%",IF($K$5&gt;1,"100%"))))</f>
        <v>0</v>
      </c>
      <c r="L6" s="519" t="e">
        <f>+D6-K6</f>
        <v>#VALUE!</v>
      </c>
      <c r="Z6" s="162" t="s">
        <v>1356</v>
      </c>
    </row>
    <row r="7" spans="1:78" ht="22.5" customHeight="1" x14ac:dyDescent="0.3">
      <c r="A7" s="409"/>
      <c r="B7" s="407"/>
      <c r="C7" s="407"/>
      <c r="D7" s="407"/>
      <c r="E7" s="562"/>
      <c r="F7" s="408"/>
      <c r="G7" s="560"/>
      <c r="H7" s="557"/>
      <c r="I7" s="998"/>
      <c r="J7" s="515"/>
      <c r="K7" s="563"/>
      <c r="L7" s="519"/>
      <c r="Z7" s="162"/>
    </row>
    <row r="8" spans="1:78" ht="137.25" customHeight="1" x14ac:dyDescent="0.3">
      <c r="A8" s="964" t="s">
        <v>1620</v>
      </c>
      <c r="B8" s="965" t="e">
        <f>HLOOKUP($B$3,'2019 Data(H)'!$E$2:$CZ$299,291,FALSE)</f>
        <v>#N/A</v>
      </c>
      <c r="C8" s="965" t="e">
        <f>HLOOKUP($B$2,'2020 Data(H)'!$E$1:$CZ$432,339,FALSE)</f>
        <v>#N/A</v>
      </c>
      <c r="D8" s="965" t="str">
        <f>IFERROR((Import!$L$52+Import!$L$53-Import!$L$57-Import!$L$58-Import!$L$230-Import!$L$62+Import!$L$89)/(Import!$L$72+Import!$L$77+Import!$L$74-Import!$L$75-Import!$L$76),"")</f>
        <v/>
      </c>
      <c r="E8" s="992" t="str">
        <f>IF($K$5&gt;99999999,"16%--Median of simiar units is 32%","20%--Median of similar units is 39%")</f>
        <v>20%--Median of similar units is 39%</v>
      </c>
      <c r="F8" s="966"/>
      <c r="G8" s="987" t="s">
        <v>1069</v>
      </c>
      <c r="H8" s="988" t="s">
        <v>1323</v>
      </c>
      <c r="I8" s="967"/>
      <c r="J8" s="515"/>
      <c r="K8" s="580">
        <f>IF($K$5&gt;99999999,16%,20%)</f>
        <v>0.2</v>
      </c>
      <c r="L8" s="519" t="e">
        <f>+D8-K8</f>
        <v>#VALUE!</v>
      </c>
      <c r="Z8" s="162" t="s">
        <v>1571</v>
      </c>
    </row>
    <row r="9" spans="1:78" ht="120" customHeight="1" x14ac:dyDescent="0.3">
      <c r="A9" s="963" t="s">
        <v>1622</v>
      </c>
      <c r="B9" s="965" t="e">
        <f>HLOOKUP($B$3,'2019 Data(H)'!$E$2:$CZ$299,291,FALSE)</f>
        <v>#N/A</v>
      </c>
      <c r="C9" s="965" t="e">
        <f>HLOOKUP($B$2,'2020 Data(H)'!$E$1:$CZ$432,339,FALSE)</f>
        <v>#N/A</v>
      </c>
      <c r="D9" s="965" t="str">
        <f>IFERROR((Import!$L$52+Import!$L$53-Import!$L$57-Import!$L$58-Import!$L$230-Import!$L$62+Import!$L$89)/(Import!$L$72+Import!$L$77+Import!$L$74-Import!$L$75-Import!$L$76),"")</f>
        <v/>
      </c>
      <c r="E9" s="992">
        <v>0.08</v>
      </c>
      <c r="F9" s="966" t="str">
        <f>+K9</f>
        <v/>
      </c>
      <c r="G9" s="987" t="s">
        <v>1069</v>
      </c>
      <c r="H9" s="988" t="s">
        <v>1617</v>
      </c>
      <c r="I9" s="543"/>
      <c r="J9" s="515"/>
      <c r="K9" s="965" t="str">
        <f>+IF(D9&gt;7.9999%,D9,"Less than 8%")</f>
        <v/>
      </c>
      <c r="L9" s="519"/>
      <c r="Z9" s="162"/>
    </row>
    <row r="10" spans="1:78" ht="152.25" customHeight="1" thickBot="1" x14ac:dyDescent="0.35">
      <c r="A10" s="963" t="s">
        <v>1096</v>
      </c>
      <c r="B10" s="593"/>
      <c r="C10" s="593"/>
      <c r="D10" s="968">
        <f>+Import!L65</f>
        <v>0</v>
      </c>
      <c r="E10" s="969"/>
      <c r="F10" s="968">
        <f>+D10</f>
        <v>0</v>
      </c>
      <c r="G10" s="568" t="s">
        <v>1097</v>
      </c>
      <c r="H10" s="568" t="s">
        <v>1327</v>
      </c>
      <c r="I10" s="541"/>
      <c r="J10" s="515"/>
      <c r="Z10" s="162" t="s">
        <v>1572</v>
      </c>
    </row>
    <row r="11" spans="1:78" ht="78" customHeight="1" x14ac:dyDescent="0.3">
      <c r="A11" s="578" t="s">
        <v>705</v>
      </c>
      <c r="B11" s="301">
        <f>+B4</f>
        <v>2019</v>
      </c>
      <c r="C11" s="301">
        <f>+C4</f>
        <v>2020</v>
      </c>
      <c r="D11" s="301">
        <f>+D4</f>
        <v>2021</v>
      </c>
      <c r="E11" s="523"/>
      <c r="F11" s="524"/>
      <c r="G11" s="1279" t="s">
        <v>1369</v>
      </c>
      <c r="H11" s="1280"/>
      <c r="I11" s="559"/>
      <c r="J11" s="515"/>
      <c r="K11" s="525" t="e">
        <f>HLOOKUP($B$3,'2019 Data(H)'!$E$2:$CZ$305,244,FALSE)</f>
        <v>#N/A</v>
      </c>
      <c r="L11" s="525" t="e">
        <f>HLOOKUP(B3,'2020 Data(H)'!E2:CZ350,244,FALSE)</f>
        <v>#N/A</v>
      </c>
      <c r="M11" s="525" t="e">
        <f>Import!L268</f>
        <v>#N/A</v>
      </c>
      <c r="N11" s="526"/>
      <c r="O11" s="526"/>
      <c r="P11" s="526"/>
      <c r="Q11" s="526"/>
      <c r="R11" s="526"/>
      <c r="S11" s="526"/>
      <c r="T11" s="526"/>
      <c r="U11" s="526"/>
      <c r="V11" s="526"/>
      <c r="W11" s="526"/>
      <c r="X11" s="526"/>
      <c r="Z11" s="162"/>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c r="BT11" s="526"/>
      <c r="BU11" s="526"/>
      <c r="BV11" s="526"/>
      <c r="BW11" s="526"/>
      <c r="BX11" s="526"/>
      <c r="BY11" s="526"/>
      <c r="BZ11" s="526"/>
    </row>
    <row r="12" spans="1:78" ht="119.4" customHeight="1" x14ac:dyDescent="0.3">
      <c r="A12" s="413" t="s">
        <v>702</v>
      </c>
      <c r="B12" s="566" t="e">
        <f>IF(K11=0,"Not Applicable",(K12))</f>
        <v>#N/A</v>
      </c>
      <c r="C12" s="566" t="e">
        <f>IF(L11=0,"Not Applicable",(L12))</f>
        <v>#N/A</v>
      </c>
      <c r="D12" s="566" t="e">
        <f>IF(M11=0,"Not Applicable",M12)</f>
        <v>#N/A</v>
      </c>
      <c r="E12" s="567" t="s">
        <v>1061</v>
      </c>
      <c r="F12" s="958" t="str">
        <f>M12</f>
        <v/>
      </c>
      <c r="G12" s="567" t="s">
        <v>1070</v>
      </c>
      <c r="H12" s="568" t="s">
        <v>1099</v>
      </c>
      <c r="I12" s="561"/>
      <c r="J12" s="515"/>
      <c r="K12" s="525" t="e">
        <f>HLOOKUP($B$3,'2019 Data(H)'!$E$2:$CZ$305,299,FALSE)</f>
        <v>#N/A</v>
      </c>
      <c r="L12" s="525" t="e">
        <f>HLOOKUP(B2,'2020 Data(H)'!E1:CB432,347,FALSE)</f>
        <v>#N/A</v>
      </c>
      <c r="M12" s="527" t="str">
        <f>IFERROR((Import!$L$120-Import!$L$121-Import!$L$118-Import!$L$119)/(Import!$L$124-Import!$L$125-Import!$L$126-Import!$L$127-Import!$L$128-Import!$L$129-Import!$L$123),"")</f>
        <v/>
      </c>
      <c r="Z12" s="162" t="s">
        <v>1357</v>
      </c>
    </row>
    <row r="13" spans="1:78" ht="69.599999999999994" customHeight="1" x14ac:dyDescent="0.3">
      <c r="A13" s="413" t="s">
        <v>1111</v>
      </c>
      <c r="B13" s="569" t="e">
        <f>IF(K11=0,"Not Applicable",K13)</f>
        <v>#N/A</v>
      </c>
      <c r="C13" s="411" t="e">
        <f>IF(L11=0,"Not Applicable",L13)</f>
        <v>#N/A</v>
      </c>
      <c r="D13" s="570" t="e">
        <f>IF(M11=0,"Not Applicable",M13)</f>
        <v>#N/A</v>
      </c>
      <c r="E13" s="567" t="s">
        <v>1373</v>
      </c>
      <c r="F13" s="959" t="e">
        <f>D13</f>
        <v>#N/A</v>
      </c>
      <c r="G13" s="567" t="s">
        <v>1112</v>
      </c>
      <c r="H13" s="568" t="s">
        <v>1100</v>
      </c>
      <c r="I13" s="561"/>
      <c r="J13" s="515"/>
      <c r="K13" s="272" t="e">
        <f>HLOOKUP(B3,'2019 Data(H)'!E2:CB305,300,FALSE)</f>
        <v>#N/A</v>
      </c>
      <c r="L13" s="272" t="e">
        <f>HLOOKUP(B2,'2020 Data(H)'!F1:CZ432,348,FALSE)</f>
        <v>#N/A</v>
      </c>
      <c r="M13" s="951">
        <f>+Import!$L$153-Import!$L$155+Import!$L$154-Import!$L$182</f>
        <v>0</v>
      </c>
      <c r="Z13" s="162" t="s">
        <v>1357</v>
      </c>
    </row>
    <row r="14" spans="1:78" ht="109.95" customHeight="1" x14ac:dyDescent="0.3">
      <c r="A14" s="413" t="s">
        <v>1136</v>
      </c>
      <c r="B14" s="412" t="e">
        <f>IF(K11=0,"Not Applicable",K14)</f>
        <v>#N/A</v>
      </c>
      <c r="C14" s="412" t="e">
        <f>IF(L11=0,"Not Applicable",L14)</f>
        <v>#N/A</v>
      </c>
      <c r="D14" s="412" t="e">
        <f>IF(M11=0,"Not Applicable",M14)</f>
        <v>#N/A</v>
      </c>
      <c r="E14" s="567" t="s">
        <v>1606</v>
      </c>
      <c r="F14" s="406" t="e">
        <f>D14</f>
        <v>#N/A</v>
      </c>
      <c r="G14" s="567" t="s">
        <v>1113</v>
      </c>
      <c r="H14" s="568" t="s">
        <v>1324</v>
      </c>
      <c r="I14" s="561"/>
      <c r="J14" s="515"/>
      <c r="K14" s="273" t="e">
        <f>HLOOKUP(B3,'2019 Data(H)'!E2:CZ305,301,FALSE)</f>
        <v>#N/A</v>
      </c>
      <c r="L14" s="273" t="e">
        <f>HLOOKUP(B2,'2020 Data(H)'!F1:CZ432,349,FALSE)</f>
        <v>#N/A</v>
      </c>
      <c r="M14" s="273" t="str">
        <f>IFERROR(Import!L116/(Import!L155+Import!L158-Import!L154+Import!L182),"")</f>
        <v/>
      </c>
      <c r="Z14" s="162" t="s">
        <v>1357</v>
      </c>
    </row>
    <row r="15" spans="1:78" ht="99.75" customHeight="1" thickBot="1" x14ac:dyDescent="0.35">
      <c r="A15" s="1269" t="s">
        <v>1607</v>
      </c>
      <c r="B15" s="1270"/>
      <c r="C15" s="1270"/>
      <c r="D15" s="952" t="str">
        <f>IF(K15&lt;0,"Yes","No")</f>
        <v>No</v>
      </c>
      <c r="E15" s="997"/>
      <c r="F15" s="953" t="str">
        <f>D15</f>
        <v>No</v>
      </c>
      <c r="G15" s="564" t="s">
        <v>1608</v>
      </c>
      <c r="H15" s="571" t="s">
        <v>1105</v>
      </c>
      <c r="I15" s="565"/>
      <c r="J15" s="515"/>
      <c r="K15" s="300">
        <f>((Import!L158+Import!L155)*0.03)-Import!L161</f>
        <v>0</v>
      </c>
      <c r="Z15" s="162" t="s">
        <v>1357</v>
      </c>
    </row>
    <row r="16" spans="1:78" ht="37.5" customHeight="1" thickBot="1" x14ac:dyDescent="0.35">
      <c r="A16" s="293"/>
      <c r="B16" s="520"/>
      <c r="C16" s="520"/>
      <c r="D16" s="520"/>
      <c r="E16" s="521"/>
      <c r="F16" s="520"/>
      <c r="G16" s="522"/>
      <c r="H16" s="520"/>
      <c r="I16" s="520"/>
      <c r="Z16" s="581"/>
    </row>
    <row r="17" spans="1:26" ht="116.25" customHeight="1" thickBot="1" x14ac:dyDescent="0.35">
      <c r="A17" s="516" t="s">
        <v>704</v>
      </c>
      <c r="B17" s="302">
        <f>+B4</f>
        <v>2019</v>
      </c>
      <c r="C17" s="302">
        <f>+C4</f>
        <v>2020</v>
      </c>
      <c r="D17" s="302">
        <f>+D4</f>
        <v>2021</v>
      </c>
      <c r="E17" s="528"/>
      <c r="F17" s="529"/>
      <c r="G17" s="587" t="s">
        <v>1135</v>
      </c>
      <c r="H17" s="956" t="s">
        <v>1098</v>
      </c>
      <c r="I17" s="530"/>
      <c r="J17" s="515"/>
      <c r="K17" s="525" t="e">
        <f>HLOOKUP(B3,'2019 Data(H)'!E2:CZ310,243,FALSE)</f>
        <v>#N/A</v>
      </c>
      <c r="L17" s="275" t="e">
        <f>HLOOKUP(B3,'2020 Data(H)'!E2:CZ350,243,FALSE)</f>
        <v>#N/A</v>
      </c>
      <c r="M17" s="531" t="e">
        <f>+Import!L267</f>
        <v>#N/A</v>
      </c>
      <c r="Z17" s="579"/>
    </row>
    <row r="18" spans="1:26" ht="78" customHeight="1" x14ac:dyDescent="0.3">
      <c r="A18" s="303" t="s">
        <v>702</v>
      </c>
      <c r="B18" s="532" t="e">
        <f>IF(K17=0,"Not Applicable",K18)</f>
        <v>#N/A</v>
      </c>
      <c r="C18" s="532" t="e">
        <f>IF(L17=0,"Not Applicable",L18)</f>
        <v>#N/A</v>
      </c>
      <c r="D18" s="532" t="e">
        <f>IF(M17=0,"Not Applicable",M18)</f>
        <v>#N/A</v>
      </c>
      <c r="E18" s="567" t="s">
        <v>1061</v>
      </c>
      <c r="F18" s="960" t="str">
        <f>+M18</f>
        <v/>
      </c>
      <c r="G18" s="971" t="s">
        <v>1120</v>
      </c>
      <c r="H18" s="983" t="s">
        <v>1099</v>
      </c>
      <c r="I18" s="561"/>
      <c r="J18" s="515"/>
      <c r="K18" s="275" t="e">
        <f>HLOOKUP(B3,'2019 Data(H)'!E2:CZ310,302,FALSE)</f>
        <v>#N/A</v>
      </c>
      <c r="L18" s="525" t="e">
        <f>HLOOKUP(B2,'2020 Data(H)'!F1:CZ432,350,FALSE)</f>
        <v>#N/A</v>
      </c>
      <c r="M18" s="525" t="str">
        <f>IFERROR((Import!L138-Import!L139-Import!L137-Import!L136)/(Import!L143-Import!L144-Import!L145-Import!L146-Import!L147-Import!L148-Import!L142),"")</f>
        <v/>
      </c>
      <c r="Z18" s="582" t="s">
        <v>1358</v>
      </c>
    </row>
    <row r="19" spans="1:26" ht="60.75" customHeight="1" x14ac:dyDescent="0.3">
      <c r="A19" s="290" t="s">
        <v>1111</v>
      </c>
      <c r="B19" s="389" t="e">
        <f>IF(K17=0,"Not Applicable",K19)</f>
        <v>#N/A</v>
      </c>
      <c r="C19" s="389" t="e">
        <f>IF(L17=0,"Not Applicable",L19)</f>
        <v>#N/A</v>
      </c>
      <c r="D19" s="389" t="e">
        <f>IF(M17=0,"Not Applicable",M19)</f>
        <v>#N/A</v>
      </c>
      <c r="E19" s="567" t="s">
        <v>1373</v>
      </c>
      <c r="F19" s="961" t="e">
        <f>D19</f>
        <v>#N/A</v>
      </c>
      <c r="G19" s="971" t="s">
        <v>1114</v>
      </c>
      <c r="H19" s="983" t="s">
        <v>1100</v>
      </c>
      <c r="I19" s="561"/>
      <c r="J19" s="515"/>
      <c r="K19" s="272" t="e">
        <f>HLOOKUP(B3,'2019 Data(H)'!E2:CZ310,303,FALSE)</f>
        <v>#N/A</v>
      </c>
      <c r="L19" s="272" t="e">
        <f>HLOOKUP(B2,'2020 Data(H)'!F1:CZ432,351,FALSE)</f>
        <v>#N/A</v>
      </c>
      <c r="M19" s="272">
        <f>+Import!L168-Import!L171+Import!L170-Import!L185</f>
        <v>0</v>
      </c>
      <c r="Z19" s="582" t="s">
        <v>1358</v>
      </c>
    </row>
    <row r="20" spans="1:26" ht="88.5" customHeight="1" thickBot="1" x14ac:dyDescent="0.35">
      <c r="A20" s="304" t="s">
        <v>1136</v>
      </c>
      <c r="B20" s="390" t="e">
        <f>IF(K17=0,"Not Applicable",K20)</f>
        <v>#N/A</v>
      </c>
      <c r="C20" s="390" t="e">
        <f>IF(L17=0,"Not Applicable",L20)</f>
        <v>#N/A</v>
      </c>
      <c r="D20" s="390" t="e">
        <f>IF(M17=0,"Not Applicable",M20)</f>
        <v>#N/A</v>
      </c>
      <c r="E20" s="996" t="s">
        <v>1606</v>
      </c>
      <c r="F20" s="962" t="str">
        <f>+M20</f>
        <v/>
      </c>
      <c r="G20" s="985" t="s">
        <v>1124</v>
      </c>
      <c r="H20" s="984" t="s">
        <v>1324</v>
      </c>
      <c r="I20" s="565"/>
      <c r="J20" s="515"/>
      <c r="K20" s="273" t="e">
        <f>HLOOKUP(B3,'2019 Data(H)'!E2:CZ310,304,FALSE)</f>
        <v>#N/A</v>
      </c>
      <c r="L20" s="273" t="e">
        <f>HLOOKUP(B2,'2020 Data(H)'!F1:CZ432,352,FALSE)</f>
        <v>#N/A</v>
      </c>
      <c r="M20" s="273" t="str">
        <f>IFERROR(Import!L134/(Import!L174+Import!L171-Import!L170+Import!L185),"")</f>
        <v/>
      </c>
      <c r="Z20" s="582" t="s">
        <v>1358</v>
      </c>
    </row>
    <row r="21" spans="1:26" ht="15.75" customHeight="1" x14ac:dyDescent="0.3">
      <c r="A21" s="414"/>
      <c r="B21" s="415"/>
      <c r="C21" s="415"/>
      <c r="D21" s="415"/>
      <c r="E21" s="572"/>
      <c r="F21" s="573"/>
      <c r="G21" s="574"/>
      <c r="H21" s="574"/>
      <c r="I21" s="990"/>
      <c r="J21" s="515"/>
      <c r="K21" s="273"/>
      <c r="L21" s="273"/>
      <c r="M21" s="273"/>
      <c r="Z21" s="582"/>
    </row>
    <row r="22" spans="1:26" ht="50.25" customHeight="1" x14ac:dyDescent="0.3">
      <c r="A22" s="991" t="s">
        <v>1371</v>
      </c>
      <c r="B22" s="415"/>
      <c r="C22" s="415"/>
      <c r="D22" s="415"/>
      <c r="E22" s="572"/>
      <c r="F22" s="573"/>
      <c r="G22" s="574"/>
      <c r="H22" s="574"/>
      <c r="I22" s="990"/>
      <c r="J22" s="515"/>
      <c r="K22" s="273"/>
      <c r="L22" s="273"/>
      <c r="M22" s="273"/>
      <c r="Z22" s="582"/>
    </row>
    <row r="23" spans="1:26" ht="88.5" customHeight="1" x14ac:dyDescent="0.3">
      <c r="A23" s="410" t="s">
        <v>702</v>
      </c>
      <c r="B23" s="416"/>
      <c r="C23" s="416"/>
      <c r="D23" s="1000" t="str">
        <f>+M23</f>
        <v/>
      </c>
      <c r="E23" s="567" t="s">
        <v>1061</v>
      </c>
      <c r="F23" s="999" t="str">
        <f>+M23</f>
        <v/>
      </c>
      <c r="G23" s="568" t="s">
        <v>1618</v>
      </c>
      <c r="H23" s="568" t="s">
        <v>1099</v>
      </c>
      <c r="I23" s="543"/>
      <c r="J23" s="515"/>
      <c r="K23" s="273">
        <v>1000</v>
      </c>
      <c r="L23" s="273"/>
      <c r="M23" s="989" t="str">
        <f>IFERROR((+Import!L94-Import!L93)/Import!L95,"")</f>
        <v/>
      </c>
      <c r="Z23" s="582" t="s">
        <v>1372</v>
      </c>
    </row>
    <row r="24" spans="1:26" x14ac:dyDescent="0.3">
      <c r="A24" s="291"/>
      <c r="B24" s="535"/>
      <c r="C24" s="535"/>
      <c r="D24" s="535"/>
      <c r="E24" s="536"/>
      <c r="F24" s="535"/>
      <c r="G24" s="537"/>
      <c r="H24" s="535"/>
      <c r="I24" s="535"/>
      <c r="M24" s="279"/>
      <c r="Z24" s="583"/>
    </row>
    <row r="25" spans="1:26" x14ac:dyDescent="0.3">
      <c r="A25" s="538" t="s">
        <v>1062</v>
      </c>
      <c r="B25" s="292"/>
      <c r="C25" s="292"/>
      <c r="D25" s="292">
        <f>+D4</f>
        <v>2021</v>
      </c>
      <c r="E25" s="289" t="s">
        <v>1619</v>
      </c>
      <c r="F25" s="520"/>
      <c r="G25" s="289"/>
      <c r="H25" s="288" t="s">
        <v>1060</v>
      </c>
      <c r="I25" s="506"/>
    </row>
    <row r="26" spans="1:26" ht="148.5" customHeight="1" x14ac:dyDescent="0.3">
      <c r="A26" s="1257" t="s">
        <v>1132</v>
      </c>
      <c r="B26" s="1258"/>
      <c r="C26" s="1259"/>
      <c r="D26" s="540" t="b">
        <f>IF(Import!L258=1,"Yes",IF(Import!L258=2,"No"))</f>
        <v>0</v>
      </c>
      <c r="E26" s="977" t="s">
        <v>1065</v>
      </c>
      <c r="F26" s="540" t="b">
        <f>D26</f>
        <v>0</v>
      </c>
      <c r="G26" s="542" t="s">
        <v>1085</v>
      </c>
      <c r="H26" s="585" t="s">
        <v>1101</v>
      </c>
      <c r="I26" s="543"/>
      <c r="J26" s="515"/>
      <c r="Z26" s="582" t="s">
        <v>1359</v>
      </c>
    </row>
    <row r="27" spans="1:26" ht="18" customHeight="1" x14ac:dyDescent="0.3">
      <c r="A27" s="293"/>
      <c r="B27" s="520"/>
      <c r="C27" s="520"/>
      <c r="D27" s="288">
        <f>+D4</f>
        <v>2021</v>
      </c>
      <c r="E27" s="993"/>
      <c r="F27" s="520"/>
      <c r="G27" s="972"/>
      <c r="H27" s="520"/>
      <c r="I27" s="520"/>
      <c r="Z27" s="581"/>
    </row>
    <row r="28" spans="1:26" ht="121.2" customHeight="1" x14ac:dyDescent="0.3">
      <c r="A28" s="1257" t="s">
        <v>1276</v>
      </c>
      <c r="B28" s="1258"/>
      <c r="C28" s="1259"/>
      <c r="D28" s="295">
        <f>(+Import!L67-Import!L68)/Import!L68</f>
        <v>19</v>
      </c>
      <c r="E28" s="977" t="s">
        <v>1066</v>
      </c>
      <c r="F28" s="296">
        <f>+D28</f>
        <v>19</v>
      </c>
      <c r="G28" s="971" t="s">
        <v>1090</v>
      </c>
      <c r="H28" s="542" t="s">
        <v>1325</v>
      </c>
      <c r="I28" s="543"/>
      <c r="J28" s="515"/>
      <c r="Z28" s="162" t="s">
        <v>1360</v>
      </c>
    </row>
    <row r="29" spans="1:26" ht="18" customHeight="1" x14ac:dyDescent="0.3">
      <c r="A29" s="293"/>
      <c r="B29" s="520"/>
      <c r="C29" s="520"/>
      <c r="D29" s="288">
        <f>+D4</f>
        <v>2021</v>
      </c>
      <c r="E29" s="993"/>
      <c r="F29" s="520"/>
      <c r="G29" s="522"/>
      <c r="H29" s="520"/>
      <c r="I29" s="520"/>
      <c r="J29" s="544"/>
      <c r="Z29" s="581"/>
    </row>
    <row r="30" spans="1:26" ht="91.5" customHeight="1" x14ac:dyDescent="0.3">
      <c r="A30" s="1257" t="s">
        <v>1611</v>
      </c>
      <c r="B30" s="1258"/>
      <c r="C30" s="1259"/>
      <c r="D30" s="540" t="b">
        <f>IF(Import!L244=20,"Increase",IF(Import!L244=21,"Decrease",IF(Import!L244=22,"No Change",IF(Import!L244=23,"N/A"))))</f>
        <v>0</v>
      </c>
      <c r="E30" s="977" t="s">
        <v>1067</v>
      </c>
      <c r="F30" s="540" t="b">
        <f>D30</f>
        <v>0</v>
      </c>
      <c r="G30" s="542" t="s">
        <v>1091</v>
      </c>
      <c r="H30" s="982" t="s">
        <v>1612</v>
      </c>
      <c r="I30" s="398"/>
      <c r="J30" s="282"/>
      <c r="K30" s="515"/>
      <c r="Z30" s="162" t="s">
        <v>1360</v>
      </c>
    </row>
    <row r="31" spans="1:26" ht="18" customHeight="1" x14ac:dyDescent="0.3">
      <c r="A31" s="293"/>
      <c r="B31" s="520"/>
      <c r="C31" s="520"/>
      <c r="D31" s="288">
        <f>+D4</f>
        <v>2021</v>
      </c>
      <c r="E31" s="521"/>
      <c r="F31" s="520"/>
      <c r="G31" s="972"/>
      <c r="H31" s="973"/>
      <c r="I31" s="520"/>
      <c r="J31" s="545"/>
      <c r="Z31" s="581"/>
    </row>
    <row r="32" spans="1:26" ht="103.5" customHeight="1" x14ac:dyDescent="0.3">
      <c r="A32" s="1257" t="s">
        <v>1331</v>
      </c>
      <c r="B32" s="1263"/>
      <c r="C32" s="546"/>
      <c r="D32" s="297" t="str">
        <f>IF(Import!L256=1,"Yes",IF(Import!L256=2,"No",IF(Import!L256=0,"Question required to be answered")))</f>
        <v>Question required to be answered</v>
      </c>
      <c r="E32" s="539" t="s">
        <v>1095</v>
      </c>
      <c r="F32" s="533" t="str">
        <f>+D32</f>
        <v>Question required to be answered</v>
      </c>
      <c r="G32" s="971" t="s">
        <v>1086</v>
      </c>
      <c r="H32" s="542" t="s">
        <v>1326</v>
      </c>
      <c r="I32" s="543"/>
      <c r="J32" s="515"/>
      <c r="Z32" s="162" t="s">
        <v>1361</v>
      </c>
    </row>
    <row r="33" spans="1:26" ht="18" customHeight="1" x14ac:dyDescent="0.3">
      <c r="A33" s="293"/>
      <c r="B33" s="520"/>
      <c r="C33" s="520"/>
      <c r="D33" s="288">
        <f>+D4</f>
        <v>2021</v>
      </c>
      <c r="E33" s="521"/>
      <c r="F33" s="547"/>
      <c r="G33" s="972"/>
      <c r="H33" s="973"/>
      <c r="I33" s="520"/>
      <c r="Z33" s="581"/>
    </row>
    <row r="34" spans="1:26" ht="89.25" customHeight="1" x14ac:dyDescent="0.3">
      <c r="A34" s="1264" t="s">
        <v>1277</v>
      </c>
      <c r="B34" s="1265"/>
      <c r="C34" s="548"/>
      <c r="D34" s="298" t="str">
        <f>IF(Import!L191&gt;(Import!L155+Import!L158)*0.03,"Yes","No")</f>
        <v>No</v>
      </c>
      <c r="E34" s="994"/>
      <c r="F34" s="386" t="str">
        <f>+D34</f>
        <v>No</v>
      </c>
      <c r="G34" s="971" t="s">
        <v>1092</v>
      </c>
      <c r="H34" s="542" t="s">
        <v>1102</v>
      </c>
      <c r="I34" s="543"/>
      <c r="J34" s="515"/>
      <c r="M34" s="504" t="s">
        <v>1063</v>
      </c>
      <c r="Z34" s="162" t="s">
        <v>1361</v>
      </c>
    </row>
    <row r="35" spans="1:26" ht="18" customHeight="1" x14ac:dyDescent="0.3">
      <c r="A35" s="293"/>
      <c r="B35" s="520"/>
      <c r="C35" s="520"/>
      <c r="D35" s="288">
        <f>+D4</f>
        <v>2021</v>
      </c>
      <c r="E35" s="521"/>
      <c r="F35" s="520"/>
      <c r="G35" s="522"/>
      <c r="H35" s="520"/>
      <c r="I35" s="520"/>
      <c r="Z35" s="581"/>
    </row>
    <row r="36" spans="1:26" ht="165" customHeight="1" x14ac:dyDescent="0.3">
      <c r="A36" s="1260" t="s">
        <v>1613</v>
      </c>
      <c r="B36" s="1261"/>
      <c r="C36" s="1262"/>
      <c r="D36" s="976" t="str">
        <f>IFERROR(VLOOKUP(B3,UAL!A3:D141,4,FALSE),"Unit is not on the Unit Assistance List at this time")</f>
        <v>Unit is not on the Unit Assistance List at this time</v>
      </c>
      <c r="E36" s="977" t="s">
        <v>1614</v>
      </c>
      <c r="F36" s="978" t="str">
        <f>D36</f>
        <v>Unit is not on the Unit Assistance List at this time</v>
      </c>
      <c r="G36" s="549"/>
      <c r="H36" s="550" t="s">
        <v>1366</v>
      </c>
      <c r="I36" s="543"/>
      <c r="J36" s="515"/>
      <c r="K36" s="551" t="e">
        <f>VLOOKUP(B3,UAL!A3:D141,4,FALSE)</f>
        <v>#N/A</v>
      </c>
      <c r="Z36" s="162" t="s">
        <v>1362</v>
      </c>
    </row>
    <row r="37" spans="1:26" ht="18" customHeight="1" x14ac:dyDescent="0.3">
      <c r="A37" s="293"/>
      <c r="B37" s="520"/>
      <c r="C37" s="520"/>
      <c r="D37" s="288">
        <f>+D4</f>
        <v>2021</v>
      </c>
      <c r="E37" s="521"/>
      <c r="F37" s="520"/>
      <c r="G37" s="522"/>
      <c r="H37" s="520"/>
      <c r="I37" s="520"/>
      <c r="Z37" s="581"/>
    </row>
    <row r="38" spans="1:26" ht="43.2" x14ac:dyDescent="0.3">
      <c r="A38" s="1267" t="s">
        <v>1333</v>
      </c>
      <c r="B38" s="1268"/>
      <c r="C38" s="974"/>
      <c r="D38" s="299" t="str">
        <f>IF(Import!L257=1,"Yes",IF(Import!L257=2,"No",IF(Import!L257="0","This questions must be answered")))</f>
        <v>This questions must be answered</v>
      </c>
      <c r="E38" s="539"/>
      <c r="F38" s="575" t="str">
        <f>+D38</f>
        <v>This questions must be answered</v>
      </c>
      <c r="G38" s="971" t="s">
        <v>1093</v>
      </c>
      <c r="H38" s="542" t="s">
        <v>1137</v>
      </c>
      <c r="I38" s="543"/>
      <c r="J38" s="515"/>
      <c r="Z38" s="162" t="s">
        <v>1361</v>
      </c>
    </row>
    <row r="39" spans="1:26" ht="18" customHeight="1" x14ac:dyDescent="0.3">
      <c r="A39" s="975"/>
      <c r="B39" s="973"/>
      <c r="C39" s="973"/>
      <c r="D39" s="288">
        <f>+D4</f>
        <v>2021</v>
      </c>
      <c r="E39" s="521"/>
      <c r="F39" s="547"/>
      <c r="G39" s="972"/>
      <c r="H39" s="973"/>
      <c r="I39" s="520"/>
      <c r="Z39" s="581"/>
    </row>
    <row r="40" spans="1:26" ht="57.75" customHeight="1" x14ac:dyDescent="0.3">
      <c r="A40" s="1260" t="s">
        <v>1350</v>
      </c>
      <c r="B40" s="1266"/>
      <c r="C40" s="974"/>
      <c r="D40" s="299" t="str">
        <f>IF(Import!L253=1,"Yes",IF(Import!L253=2,"No",IF(Import!L253=3,"N/A",IF(Import!L253=0,"This questions must be answered"))))</f>
        <v>This questions must be answered</v>
      </c>
      <c r="E40" s="539"/>
      <c r="F40" s="540" t="str">
        <f>D40</f>
        <v>This questions must be answered</v>
      </c>
      <c r="G40" s="971" t="s">
        <v>1351</v>
      </c>
      <c r="H40" s="542" t="s">
        <v>1367</v>
      </c>
      <c r="I40" s="543"/>
      <c r="J40" s="515"/>
      <c r="Z40" s="586" t="s">
        <v>1363</v>
      </c>
    </row>
    <row r="41" spans="1:26" ht="18" customHeight="1" x14ac:dyDescent="0.3">
      <c r="A41" s="975"/>
      <c r="B41" s="973"/>
      <c r="C41" s="973"/>
      <c r="D41" s="288">
        <f>+D4</f>
        <v>2021</v>
      </c>
      <c r="E41" s="521"/>
      <c r="F41" s="520"/>
      <c r="G41" s="972"/>
      <c r="H41" s="973"/>
      <c r="I41" s="520"/>
      <c r="Z41" s="581"/>
    </row>
    <row r="42" spans="1:26" ht="67.5" customHeight="1" x14ac:dyDescent="0.3">
      <c r="A42" s="1260" t="s">
        <v>1615</v>
      </c>
      <c r="B42" s="1261"/>
      <c r="C42" s="1262"/>
      <c r="D42" s="552" t="b">
        <f>IF(Import!L193=1,"Yes",IF(Import!L193=2,"No",IF(Import!L193=3,"N/A")))</f>
        <v>0</v>
      </c>
      <c r="E42" s="539"/>
      <c r="F42" s="540" t="b">
        <f>+D42</f>
        <v>0</v>
      </c>
      <c r="G42" s="971" t="s">
        <v>1134</v>
      </c>
      <c r="H42" s="542" t="s">
        <v>1103</v>
      </c>
      <c r="I42" s="543"/>
      <c r="J42" s="515"/>
      <c r="Z42" s="162" t="s">
        <v>1360</v>
      </c>
    </row>
    <row r="43" spans="1:26" ht="18" customHeight="1" x14ac:dyDescent="0.3">
      <c r="A43" s="293"/>
      <c r="B43" s="520"/>
      <c r="C43" s="520"/>
      <c r="D43" s="288">
        <f>+D4</f>
        <v>2021</v>
      </c>
      <c r="E43" s="521"/>
      <c r="F43" s="520"/>
      <c r="G43" s="522"/>
      <c r="H43" s="520"/>
      <c r="I43" s="520"/>
      <c r="Z43" s="581"/>
    </row>
    <row r="44" spans="1:26" ht="68.25" customHeight="1" x14ac:dyDescent="0.3">
      <c r="A44" s="294" t="s">
        <v>1064</v>
      </c>
      <c r="B44" s="553"/>
      <c r="C44" s="546"/>
      <c r="D44" s="404" t="e">
        <f>+K44+L44+M44+Import!L250+Import!L251+Import!L254</f>
        <v>#VALUE!</v>
      </c>
      <c r="E44" s="539"/>
      <c r="F44" s="391"/>
      <c r="G44" s="534" t="s">
        <v>1087</v>
      </c>
      <c r="H44" s="542" t="s">
        <v>1104</v>
      </c>
      <c r="I44" s="543"/>
      <c r="J44" s="515"/>
      <c r="K44" s="525">
        <f>IF(Import!L247=1,1,0)</f>
        <v>0</v>
      </c>
      <c r="L44" s="525">
        <f>IF(Import!L248=1,1,0)</f>
        <v>0</v>
      </c>
      <c r="M44" s="525">
        <f>IF(Import!L249=1,1,0)</f>
        <v>0</v>
      </c>
      <c r="Z44" s="162"/>
    </row>
    <row r="45" spans="1:26" ht="18" customHeight="1" x14ac:dyDescent="0.3">
      <c r="A45" s="293"/>
      <c r="B45" s="520"/>
      <c r="C45" s="520"/>
      <c r="D45" s="288">
        <f>+D4</f>
        <v>2021</v>
      </c>
      <c r="E45" s="521"/>
      <c r="F45" s="520"/>
      <c r="G45" s="522"/>
      <c r="H45" s="520"/>
      <c r="I45" s="520"/>
      <c r="Z45" s="581"/>
    </row>
    <row r="46" spans="1:26" ht="184.95" customHeight="1" x14ac:dyDescent="0.3">
      <c r="A46" s="1260" t="s">
        <v>1094</v>
      </c>
      <c r="B46" s="1261"/>
      <c r="C46" s="1262"/>
      <c r="D46" s="979" t="e">
        <f>IF('Electric trans'!F29="No, unit exceeds limit by:","Yes","No")</f>
        <v>#N/A</v>
      </c>
      <c r="E46" s="977"/>
      <c r="F46" s="980" t="e">
        <f>+D46</f>
        <v>#N/A</v>
      </c>
      <c r="G46" s="971" t="s">
        <v>1145</v>
      </c>
      <c r="H46" s="542" t="s">
        <v>1328</v>
      </c>
      <c r="I46" s="543"/>
      <c r="J46" s="515"/>
      <c r="Z46" s="162" t="s">
        <v>1364</v>
      </c>
    </row>
    <row r="47" spans="1:26" ht="18" customHeight="1" x14ac:dyDescent="0.3">
      <c r="A47" s="506"/>
      <c r="B47" s="506"/>
      <c r="C47" s="506"/>
      <c r="D47" s="554"/>
      <c r="E47" s="555"/>
      <c r="F47" s="554"/>
      <c r="G47" s="556"/>
      <c r="H47" s="506"/>
      <c r="I47" s="520"/>
      <c r="Z47" s="577"/>
    </row>
    <row r="48" spans="1:26" ht="116.25" customHeight="1" x14ac:dyDescent="0.3">
      <c r="A48" s="1254" t="s">
        <v>1144</v>
      </c>
      <c r="B48" s="1255"/>
      <c r="C48" s="1256"/>
      <c r="D48" s="981">
        <f>+Import!L254</f>
        <v>0</v>
      </c>
      <c r="E48" s="567" t="s">
        <v>1352</v>
      </c>
      <c r="F48" s="995">
        <f>+D48</f>
        <v>0</v>
      </c>
      <c r="G48" s="557"/>
      <c r="H48" s="399"/>
      <c r="I48" s="576"/>
      <c r="J48" s="515"/>
      <c r="Z48" s="162" t="s">
        <v>1365</v>
      </c>
    </row>
    <row r="49" spans="1:26" x14ac:dyDescent="0.3">
      <c r="A49" s="545"/>
      <c r="B49" s="545"/>
      <c r="C49" s="545"/>
      <c r="G49" s="558"/>
      <c r="H49" s="545"/>
      <c r="I49" s="545"/>
      <c r="Z49" s="583"/>
    </row>
  </sheetData>
  <sheetProtection algorithmName="SHA-512" hashValue="D8MXCsv5f+9ahQOtPrzJ0i9NQMictBNfgJqcuWnSGn2IHK0hyNx21ESBWEMvfkwqcxebGJhjthVrA2Vj1p3BIg==" saltValue="pU5ENedn0ELZofHTxLGZ4g==" spinCount="100000" sheet="1" objects="1" scenarios="1"/>
  <mergeCells count="18">
    <mergeCell ref="A26:C26"/>
    <mergeCell ref="A15:C15"/>
    <mergeCell ref="G1:H1"/>
    <mergeCell ref="B2:D2"/>
    <mergeCell ref="H2:H3"/>
    <mergeCell ref="B3:D3"/>
    <mergeCell ref="E2:G3"/>
    <mergeCell ref="G11:H11"/>
    <mergeCell ref="A48:C48"/>
    <mergeCell ref="A28:C28"/>
    <mergeCell ref="A30:C30"/>
    <mergeCell ref="A36:C36"/>
    <mergeCell ref="A46:C46"/>
    <mergeCell ref="A32:B32"/>
    <mergeCell ref="A34:B34"/>
    <mergeCell ref="A40:B40"/>
    <mergeCell ref="A38:B38"/>
    <mergeCell ref="A42:C42"/>
  </mergeCells>
  <conditionalFormatting sqref="F12">
    <cfRule type="cellIs" dxfId="24" priority="50" operator="lessThan">
      <formula>1</formula>
    </cfRule>
  </conditionalFormatting>
  <conditionalFormatting sqref="F13">
    <cfRule type="cellIs" dxfId="23" priority="49" operator="lessThan">
      <formula>0</formula>
    </cfRule>
  </conditionalFormatting>
  <conditionalFormatting sqref="F14">
    <cfRule type="cellIs" dxfId="22" priority="48" operator="lessThan">
      <formula>0.16</formula>
    </cfRule>
  </conditionalFormatting>
  <conditionalFormatting sqref="F18">
    <cfRule type="cellIs" dxfId="21" priority="43" operator="lessThan">
      <formula>1</formula>
    </cfRule>
  </conditionalFormatting>
  <conditionalFormatting sqref="F19">
    <cfRule type="cellIs" dxfId="20" priority="42" operator="lessThan">
      <formula>0</formula>
    </cfRule>
  </conditionalFormatting>
  <conditionalFormatting sqref="F20">
    <cfRule type="cellIs" dxfId="19" priority="41" operator="lessThan">
      <formula>0.16</formula>
    </cfRule>
  </conditionalFormatting>
  <conditionalFormatting sqref="F26">
    <cfRule type="cellIs" dxfId="18" priority="40" operator="equal">
      <formula>"No"</formula>
    </cfRule>
  </conditionalFormatting>
  <conditionalFormatting sqref="F28">
    <cfRule type="cellIs" dxfId="17" priority="38" operator="lessThan">
      <formula>-0.03</formula>
    </cfRule>
  </conditionalFormatting>
  <conditionalFormatting sqref="F34">
    <cfRule type="cellIs" dxfId="16" priority="18" operator="equal">
      <formula>"Yes"</formula>
    </cfRule>
  </conditionalFormatting>
  <conditionalFormatting sqref="F36">
    <cfRule type="cellIs" dxfId="15" priority="36" operator="equal">
      <formula>"Yes"</formula>
    </cfRule>
  </conditionalFormatting>
  <conditionalFormatting sqref="F38">
    <cfRule type="cellIs" dxfId="14" priority="34" operator="equal">
      <formula>"Yes"</formula>
    </cfRule>
  </conditionalFormatting>
  <conditionalFormatting sqref="F40">
    <cfRule type="cellIs" dxfId="13" priority="33" operator="equal">
      <formula>"Yes"</formula>
    </cfRule>
  </conditionalFormatting>
  <conditionalFormatting sqref="F32">
    <cfRule type="cellIs" dxfId="12" priority="32" operator="equal">
      <formula>"No"</formula>
    </cfRule>
  </conditionalFormatting>
  <conditionalFormatting sqref="F10">
    <cfRule type="cellIs" dxfId="11" priority="30" operator="lessThan">
      <formula>0</formula>
    </cfRule>
  </conditionalFormatting>
  <conditionalFormatting sqref="F47">
    <cfRule type="cellIs" dxfId="10" priority="25" operator="equal">
      <formula>"Yes"</formula>
    </cfRule>
  </conditionalFormatting>
  <conditionalFormatting sqref="F46">
    <cfRule type="cellIs" dxfId="9" priority="24" operator="equal">
      <formula>"Yes"</formula>
    </cfRule>
  </conditionalFormatting>
  <conditionalFormatting sqref="F42">
    <cfRule type="cellIs" dxfId="8" priority="17" operator="equal">
      <formula>"No"</formula>
    </cfRule>
  </conditionalFormatting>
  <conditionalFormatting sqref="F30">
    <cfRule type="cellIs" dxfId="7" priority="16" operator="equal">
      <formula>"Decrease"</formula>
    </cfRule>
  </conditionalFormatting>
  <conditionalFormatting sqref="F48">
    <cfRule type="cellIs" dxfId="6" priority="13" operator="greaterThan">
      <formula>0</formula>
    </cfRule>
  </conditionalFormatting>
  <conditionalFormatting sqref="F44">
    <cfRule type="expression" dxfId="5" priority="12">
      <formula>$D$44&gt;0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F8" sqref="F8"/>
    </sheetView>
  </sheetViews>
  <sheetFormatPr defaultColWidth="9.109375" defaultRowHeight="14.4" x14ac:dyDescent="0.3"/>
  <cols>
    <col min="1" max="1" width="9.109375" style="308"/>
    <col min="2" max="2" width="10.44140625" style="308" bestFit="1" customWidth="1"/>
    <col min="3" max="3" width="29.88671875" style="308" customWidth="1"/>
    <col min="4" max="4" width="40.5546875" style="308" customWidth="1"/>
    <col min="5" max="5" width="3.6640625" style="308" customWidth="1"/>
    <col min="6" max="6" width="13.44140625" style="308" customWidth="1"/>
    <col min="7" max="7" width="3.5546875" style="308" customWidth="1"/>
    <col min="8" max="8" width="14.109375" style="308" customWidth="1"/>
    <col min="9" max="16384" width="9.109375" style="308"/>
  </cols>
  <sheetData>
    <row r="2" spans="1:8" ht="54.75" customHeight="1" x14ac:dyDescent="0.3">
      <c r="A2" s="1284" t="s">
        <v>112</v>
      </c>
      <c r="B2" s="1284"/>
      <c r="C2" s="1284"/>
      <c r="D2" s="1284"/>
      <c r="E2" s="1284"/>
      <c r="F2" s="465"/>
      <c r="G2" s="465"/>
      <c r="H2" s="466"/>
    </row>
    <row r="4" spans="1:8" ht="15.6" x14ac:dyDescent="0.3">
      <c r="A4" s="466"/>
      <c r="B4" s="467" t="str">
        <f>'Unit Data from Audit Worksheet'!D2</f>
        <v>Select Unit Name from Drop Down List</v>
      </c>
      <c r="C4" s="468"/>
      <c r="D4" s="19"/>
      <c r="E4" s="20"/>
      <c r="F4" s="469">
        <f>'Unit Data from Audit Worksheet'!F5</f>
        <v>2021</v>
      </c>
      <c r="G4" s="466"/>
      <c r="H4" s="469">
        <f>'Unit Data from Audit Worksheet'!F5</f>
        <v>2021</v>
      </c>
    </row>
    <row r="5" spans="1:8" ht="41.4" x14ac:dyDescent="0.4">
      <c r="A5" s="470"/>
      <c r="B5" s="471" t="s">
        <v>72</v>
      </c>
      <c r="C5" s="470"/>
      <c r="D5" s="470"/>
      <c r="E5" s="470"/>
      <c r="F5" s="469" t="s">
        <v>73</v>
      </c>
      <c r="G5" s="470"/>
      <c r="H5" s="472" t="s">
        <v>74</v>
      </c>
    </row>
    <row r="6" spans="1:8" x14ac:dyDescent="0.3">
      <c r="A6" s="466"/>
      <c r="B6" s="473" t="s">
        <v>75</v>
      </c>
      <c r="C6" s="466"/>
      <c r="D6" s="474"/>
      <c r="E6" s="474"/>
      <c r="F6" s="474"/>
      <c r="G6" s="474"/>
      <c r="H6" s="474"/>
    </row>
    <row r="7" spans="1:8" x14ac:dyDescent="0.3">
      <c r="A7" s="466"/>
      <c r="B7" s="474" t="s">
        <v>76</v>
      </c>
      <c r="C7" s="466"/>
      <c r="D7" s="474"/>
      <c r="E7" s="474" t="s">
        <v>31</v>
      </c>
      <c r="F7" s="475">
        <f>Import!L52</f>
        <v>0</v>
      </c>
      <c r="G7" s="476"/>
      <c r="H7" s="475">
        <f>F7</f>
        <v>0</v>
      </c>
    </row>
    <row r="8" spans="1:8" ht="44.25" customHeight="1" x14ac:dyDescent="0.3">
      <c r="A8" s="466"/>
      <c r="B8" s="1281" t="s">
        <v>77</v>
      </c>
      <c r="C8" s="1281"/>
      <c r="D8" s="1281"/>
      <c r="E8" s="474" t="s">
        <v>31</v>
      </c>
      <c r="F8" s="477">
        <f>Import!L53</f>
        <v>0</v>
      </c>
      <c r="G8" s="478"/>
      <c r="H8" s="478"/>
    </row>
    <row r="9" spans="1:8" x14ac:dyDescent="0.3">
      <c r="A9" s="466"/>
      <c r="B9" s="466"/>
      <c r="C9" s="474" t="s">
        <v>181</v>
      </c>
      <c r="D9" s="466"/>
      <c r="E9" s="474" t="s">
        <v>31</v>
      </c>
      <c r="F9" s="479">
        <f>Import!L57</f>
        <v>0</v>
      </c>
      <c r="G9" s="478"/>
      <c r="H9" s="464">
        <f>F9</f>
        <v>0</v>
      </c>
    </row>
    <row r="10" spans="1:8" x14ac:dyDescent="0.3">
      <c r="A10" s="466"/>
      <c r="B10" s="466"/>
      <c r="C10" s="474" t="s">
        <v>78</v>
      </c>
      <c r="D10" s="466"/>
      <c r="E10" s="474" t="s">
        <v>31</v>
      </c>
      <c r="F10" s="464">
        <f>Import!L230</f>
        <v>0</v>
      </c>
      <c r="G10" s="478"/>
      <c r="H10" s="464">
        <f>F10</f>
        <v>0</v>
      </c>
    </row>
    <row r="11" spans="1:8" x14ac:dyDescent="0.3">
      <c r="A11" s="466"/>
      <c r="B11" s="466"/>
      <c r="C11" s="474" t="s">
        <v>79</v>
      </c>
      <c r="D11" s="466"/>
      <c r="E11" s="474" t="s">
        <v>31</v>
      </c>
      <c r="F11" s="480">
        <f>Import!L58</f>
        <v>0</v>
      </c>
      <c r="G11" s="481"/>
      <c r="H11" s="480">
        <f>F11</f>
        <v>0</v>
      </c>
    </row>
    <row r="12" spans="1:8" x14ac:dyDescent="0.3">
      <c r="A12" s="466"/>
      <c r="B12" s="21" t="s">
        <v>80</v>
      </c>
      <c r="C12" s="482" t="s">
        <v>81</v>
      </c>
      <c r="D12" s="483"/>
      <c r="E12" s="484" t="s">
        <v>31</v>
      </c>
      <c r="F12" s="485">
        <f>F7+F8-SUM(F9:F11)</f>
        <v>0</v>
      </c>
      <c r="G12" s="486"/>
      <c r="H12" s="485">
        <f>H7+H8-SUM(H9:H11)</f>
        <v>0</v>
      </c>
    </row>
    <row r="13" spans="1:8" x14ac:dyDescent="0.3">
      <c r="A13" s="466"/>
      <c r="B13" s="466"/>
      <c r="C13" s="474"/>
      <c r="D13" s="474"/>
      <c r="E13" s="474" t="s">
        <v>31</v>
      </c>
      <c r="F13" s="474"/>
      <c r="G13" s="474"/>
      <c r="H13" s="474"/>
    </row>
    <row r="14" spans="1:8" x14ac:dyDescent="0.3">
      <c r="A14" s="466"/>
      <c r="B14" s="474" t="s">
        <v>82</v>
      </c>
      <c r="C14" s="466"/>
      <c r="D14" s="474"/>
      <c r="E14" s="474" t="s">
        <v>31</v>
      </c>
      <c r="F14" s="487">
        <f>Import!L65</f>
        <v>0</v>
      </c>
      <c r="G14" s="474"/>
      <c r="H14" s="474"/>
    </row>
    <row r="15" spans="1:8" x14ac:dyDescent="0.3">
      <c r="A15" s="466"/>
      <c r="B15" s="474" t="s">
        <v>83</v>
      </c>
      <c r="C15" s="466"/>
      <c r="D15" s="474"/>
      <c r="E15" s="474" t="s">
        <v>31</v>
      </c>
      <c r="F15" s="488">
        <f>F14-F12</f>
        <v>0</v>
      </c>
      <c r="G15" s="474"/>
      <c r="H15" s="474"/>
    </row>
    <row r="16" spans="1:8" x14ac:dyDescent="0.3">
      <c r="A16" s="466"/>
      <c r="B16" s="489" t="s">
        <v>84</v>
      </c>
      <c r="C16" s="466"/>
      <c r="D16" s="474"/>
      <c r="E16" s="474"/>
      <c r="F16" s="474"/>
      <c r="G16" s="474"/>
      <c r="H16" s="474"/>
    </row>
    <row r="17" spans="2:8" x14ac:dyDescent="0.3">
      <c r="B17" s="490" t="s">
        <v>85</v>
      </c>
      <c r="C17" s="474" t="s">
        <v>86</v>
      </c>
      <c r="D17" s="466"/>
      <c r="E17" s="474" t="s">
        <v>31</v>
      </c>
      <c r="F17" s="491">
        <f>Import!L61</f>
        <v>0</v>
      </c>
      <c r="G17" s="474"/>
      <c r="H17" s="474"/>
    </row>
    <row r="18" spans="2:8" ht="15" thickBot="1" x14ac:dyDescent="0.35">
      <c r="B18" s="21" t="s">
        <v>80</v>
      </c>
      <c r="C18" s="482" t="s">
        <v>87</v>
      </c>
      <c r="D18" s="483"/>
      <c r="E18" s="484" t="s">
        <v>31</v>
      </c>
      <c r="F18" s="492">
        <f>(F15-SUM(F17:F17))</f>
        <v>0</v>
      </c>
      <c r="G18" s="474"/>
      <c r="H18" s="474"/>
    </row>
    <row r="19" spans="2:8" ht="15" thickTop="1" x14ac:dyDescent="0.3">
      <c r="B19" s="466"/>
      <c r="C19" s="474"/>
      <c r="D19" s="474"/>
      <c r="E19" s="474"/>
      <c r="F19" s="474"/>
      <c r="G19" s="474"/>
      <c r="H19" s="474"/>
    </row>
    <row r="20" spans="2:8" ht="15" thickBot="1" x14ac:dyDescent="0.35">
      <c r="B20" s="474" t="s">
        <v>88</v>
      </c>
      <c r="C20" s="466"/>
      <c r="D20" s="474"/>
      <c r="E20" s="474" t="s">
        <v>31</v>
      </c>
      <c r="F20" s="493">
        <f>Import!L60</f>
        <v>0</v>
      </c>
      <c r="G20" s="474"/>
      <c r="H20" s="474"/>
    </row>
    <row r="21" spans="2:8" ht="15.6" thickTop="1" thickBot="1" x14ac:dyDescent="0.35">
      <c r="B21" s="466"/>
      <c r="C21" s="494"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66"/>
      <c r="E21" s="474" t="s">
        <v>31</v>
      </c>
      <c r="F21" s="495">
        <f>ABS(F18-F20)</f>
        <v>0</v>
      </c>
      <c r="G21" s="474"/>
      <c r="H21" s="474"/>
    </row>
    <row r="22" spans="2:8" ht="50.25" customHeight="1" thickTop="1" x14ac:dyDescent="0.3">
      <c r="B22" s="466"/>
      <c r="C22" s="1282" t="str">
        <f>IF(F18&gt;F20,"Since Restricted-Stabilization by State Statute was understated, verfiy that the unit did not appropriate fund balance in excess of legal amount available in row 12 above.","")</f>
        <v/>
      </c>
      <c r="D22" s="1282"/>
      <c r="E22" s="1282"/>
      <c r="F22" s="1282"/>
      <c r="G22" s="474"/>
      <c r="H22" s="474"/>
    </row>
    <row r="23" spans="2:8" x14ac:dyDescent="0.3">
      <c r="B23" s="466"/>
      <c r="C23" s="1283" t="s">
        <v>89</v>
      </c>
      <c r="D23" s="474"/>
      <c r="E23" s="474"/>
      <c r="F23" s="474"/>
      <c r="G23" s="474"/>
      <c r="H23" s="496" t="s">
        <v>90</v>
      </c>
    </row>
    <row r="24" spans="2:8" x14ac:dyDescent="0.3">
      <c r="B24" s="466"/>
      <c r="C24" s="1283"/>
      <c r="D24" s="474"/>
      <c r="E24" s="474"/>
      <c r="F24" s="469" t="s">
        <v>91</v>
      </c>
      <c r="G24" s="474"/>
      <c r="H24" s="469" t="s">
        <v>99</v>
      </c>
    </row>
    <row r="25" spans="2:8" x14ac:dyDescent="0.3">
      <c r="B25" s="466"/>
      <c r="C25" s="473" t="s">
        <v>92</v>
      </c>
      <c r="D25" s="474"/>
      <c r="E25" s="474"/>
      <c r="F25" s="474"/>
      <c r="G25" s="474"/>
      <c r="H25" s="474"/>
    </row>
    <row r="26" spans="2:8" ht="25.2" customHeight="1" x14ac:dyDescent="0.3">
      <c r="B26" s="466"/>
      <c r="C26" s="474" t="s">
        <v>93</v>
      </c>
      <c r="D26" s="474"/>
      <c r="E26" s="474" t="s">
        <v>31</v>
      </c>
      <c r="F26" s="475">
        <f>Import!L72</f>
        <v>0</v>
      </c>
      <c r="G26" s="476"/>
      <c r="H26" s="497">
        <f>F26</f>
        <v>0</v>
      </c>
    </row>
    <row r="27" spans="2:8" x14ac:dyDescent="0.3">
      <c r="B27" s="466"/>
      <c r="C27" s="490" t="s">
        <v>94</v>
      </c>
      <c r="D27" s="474"/>
      <c r="E27" s="474"/>
      <c r="F27" s="474"/>
      <c r="G27" s="474"/>
      <c r="H27" s="474"/>
    </row>
    <row r="28" spans="2:8" x14ac:dyDescent="0.3">
      <c r="B28" s="466"/>
      <c r="C28" s="474" t="s">
        <v>95</v>
      </c>
      <c r="D28" s="466"/>
      <c r="E28" s="474" t="s">
        <v>31</v>
      </c>
      <c r="F28" s="498">
        <f>Import!L74</f>
        <v>0</v>
      </c>
      <c r="G28" s="478"/>
      <c r="H28" s="499">
        <f>F28</f>
        <v>0</v>
      </c>
    </row>
    <row r="29" spans="2:8" x14ac:dyDescent="0.3">
      <c r="B29" s="466"/>
      <c r="C29" s="474" t="s">
        <v>96</v>
      </c>
      <c r="D29" s="466"/>
      <c r="E29" s="474" t="s">
        <v>31</v>
      </c>
      <c r="F29" s="500">
        <f>Import!L75+Import!L76</f>
        <v>0</v>
      </c>
      <c r="G29" s="478"/>
      <c r="H29" s="501">
        <f>F29</f>
        <v>0</v>
      </c>
    </row>
    <row r="30" spans="2:8" ht="15" thickBot="1" x14ac:dyDescent="0.35">
      <c r="B30" s="466"/>
      <c r="C30" s="474" t="s">
        <v>97</v>
      </c>
      <c r="D30" s="474"/>
      <c r="E30" s="474" t="s">
        <v>31</v>
      </c>
      <c r="F30" s="502">
        <f>SUM(F26:F28)-F29</f>
        <v>0</v>
      </c>
      <c r="G30" s="476"/>
      <c r="H30" s="502">
        <f>SUM(H26:H28)-H29</f>
        <v>0</v>
      </c>
    </row>
    <row r="31" spans="2:8" ht="15" thickTop="1" x14ac:dyDescent="0.3">
      <c r="B31" s="466"/>
      <c r="C31" s="474"/>
      <c r="D31" s="474"/>
      <c r="E31" s="474"/>
      <c r="F31" s="474"/>
      <c r="G31" s="474"/>
      <c r="H31" s="474"/>
    </row>
    <row r="32" spans="2:8" ht="15" thickBot="1" x14ac:dyDescent="0.35">
      <c r="B32" s="21" t="s">
        <v>80</v>
      </c>
      <c r="C32" s="494" t="s">
        <v>98</v>
      </c>
      <c r="D32" s="21"/>
      <c r="E32" s="494" t="s">
        <v>31</v>
      </c>
      <c r="F32" s="503" t="e">
        <f>F12/F30</f>
        <v>#DIV/0!</v>
      </c>
      <c r="G32" s="474"/>
      <c r="H32" s="503" t="e">
        <f>H12/H30</f>
        <v>#DIV/0!</v>
      </c>
    </row>
    <row r="33" spans="1:8" ht="15" thickTop="1" x14ac:dyDescent="0.3">
      <c r="C33" s="474"/>
      <c r="D33" s="474"/>
      <c r="E33" s="474"/>
      <c r="F33" s="474"/>
      <c r="G33" s="474"/>
      <c r="H33" s="474"/>
    </row>
    <row r="34" spans="1:8" ht="15.6" x14ac:dyDescent="0.3">
      <c r="A34" s="23"/>
      <c r="C34" s="22"/>
    </row>
    <row r="36" spans="1:8" x14ac:dyDescent="0.3">
      <c r="F36" s="309"/>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308" customWidth="1"/>
    <col min="4" max="4" width="18.6640625" style="727" customWidth="1"/>
    <col min="5" max="10" width="18.6640625" style="308" customWidth="1"/>
    <col min="11" max="16384" width="9.109375" style="308"/>
  </cols>
  <sheetData>
    <row r="3" spans="1:13" x14ac:dyDescent="0.3">
      <c r="D3" s="731">
        <v>2019</v>
      </c>
      <c r="E3" s="731">
        <v>2018</v>
      </c>
      <c r="F3" s="731">
        <v>2017</v>
      </c>
      <c r="G3" s="731">
        <v>2016</v>
      </c>
      <c r="H3" s="731">
        <v>2015</v>
      </c>
      <c r="I3" s="731">
        <v>2014</v>
      </c>
      <c r="J3" s="731">
        <v>2013</v>
      </c>
      <c r="K3" s="727"/>
      <c r="L3" s="727"/>
      <c r="M3" s="727"/>
    </row>
    <row r="4" spans="1:13" x14ac:dyDescent="0.3">
      <c r="A4" s="311" t="s">
        <v>755</v>
      </c>
      <c r="B4" s="311"/>
      <c r="C4" s="311" t="s">
        <v>756</v>
      </c>
      <c r="D4" s="730" t="s">
        <v>701</v>
      </c>
      <c r="E4" s="730" t="s">
        <v>701</v>
      </c>
      <c r="F4" s="730" t="s">
        <v>701</v>
      </c>
      <c r="G4" s="730" t="s">
        <v>701</v>
      </c>
      <c r="H4" s="730" t="s">
        <v>701</v>
      </c>
      <c r="I4" s="730" t="s">
        <v>701</v>
      </c>
      <c r="J4" s="730" t="s">
        <v>701</v>
      </c>
      <c r="K4" s="743"/>
    </row>
    <row r="5" spans="1:13" x14ac:dyDescent="0.3">
      <c r="A5" s="311">
        <v>5119</v>
      </c>
      <c r="B5" s="311" t="s">
        <v>732</v>
      </c>
      <c r="C5" s="311">
        <v>647</v>
      </c>
      <c r="D5" s="727">
        <v>20578691</v>
      </c>
      <c r="E5" s="727">
        <v>3249248</v>
      </c>
      <c r="F5" s="727">
        <v>2957570</v>
      </c>
      <c r="G5" s="727">
        <v>5709008</v>
      </c>
      <c r="H5" s="727">
        <v>5114434</v>
      </c>
      <c r="I5" s="727">
        <v>4562229</v>
      </c>
      <c r="J5" s="727">
        <v>4029652</v>
      </c>
    </row>
    <row r="6" spans="1:13" x14ac:dyDescent="0.3">
      <c r="A6" s="311">
        <v>5120</v>
      </c>
      <c r="B6" s="311" t="s">
        <v>733</v>
      </c>
      <c r="C6" s="311">
        <v>647</v>
      </c>
      <c r="D6" s="727">
        <v>0</v>
      </c>
      <c r="E6" s="727">
        <v>0</v>
      </c>
      <c r="F6" s="727">
        <v>0</v>
      </c>
      <c r="G6" s="727">
        <v>0</v>
      </c>
      <c r="H6" s="727">
        <v>0</v>
      </c>
      <c r="I6" s="727">
        <v>0</v>
      </c>
      <c r="J6" s="727">
        <v>0</v>
      </c>
    </row>
    <row r="7" spans="1:13" x14ac:dyDescent="0.3">
      <c r="A7" s="311">
        <v>5131</v>
      </c>
      <c r="B7" s="311" t="s">
        <v>734</v>
      </c>
      <c r="C7" s="311">
        <v>647</v>
      </c>
      <c r="D7" s="727">
        <v>37089245</v>
      </c>
      <c r="E7" s="727">
        <v>20299814</v>
      </c>
      <c r="F7" s="727">
        <v>8051571</v>
      </c>
      <c r="G7" s="727">
        <v>7371500</v>
      </c>
      <c r="H7" s="727">
        <v>5966665</v>
      </c>
      <c r="I7" s="727">
        <v>8207298</v>
      </c>
      <c r="J7" s="727">
        <v>7347048</v>
      </c>
    </row>
    <row r="8" spans="1:13" x14ac:dyDescent="0.3">
      <c r="A8" s="311">
        <v>5135</v>
      </c>
      <c r="B8" s="311" t="s">
        <v>735</v>
      </c>
      <c r="C8" s="311">
        <v>647</v>
      </c>
      <c r="D8" s="727">
        <v>0</v>
      </c>
      <c r="E8" s="727">
        <v>0</v>
      </c>
      <c r="F8" s="727">
        <v>4056482</v>
      </c>
      <c r="G8" s="727">
        <v>3922669</v>
      </c>
      <c r="H8" s="727">
        <v>3148233</v>
      </c>
      <c r="I8" s="727">
        <v>2755127</v>
      </c>
      <c r="J8" s="727">
        <v>2755127</v>
      </c>
    </row>
    <row r="9" spans="1:13" x14ac:dyDescent="0.3">
      <c r="A9" s="311">
        <v>5144</v>
      </c>
      <c r="B9" s="311" t="s">
        <v>736</v>
      </c>
      <c r="C9" s="311">
        <v>647</v>
      </c>
      <c r="D9" s="727">
        <v>7441890</v>
      </c>
      <c r="E9" s="727">
        <v>7441890</v>
      </c>
      <c r="F9" s="727">
        <v>4932241</v>
      </c>
      <c r="G9" s="727">
        <v>590997</v>
      </c>
      <c r="H9" s="727">
        <v>0</v>
      </c>
      <c r="I9" s="727">
        <v>3000000</v>
      </c>
      <c r="J9" s="727">
        <v>2390166</v>
      </c>
    </row>
    <row r="10" spans="1:13" x14ac:dyDescent="0.3">
      <c r="A10" s="311">
        <v>5155</v>
      </c>
      <c r="B10" s="311" t="s">
        <v>737</v>
      </c>
      <c r="C10" s="311">
        <v>647</v>
      </c>
      <c r="D10" s="727">
        <v>1008755</v>
      </c>
      <c r="E10" s="727">
        <v>781534</v>
      </c>
      <c r="F10" s="727">
        <v>663572</v>
      </c>
      <c r="G10" s="727">
        <v>6557774</v>
      </c>
      <c r="H10" s="727">
        <v>611355</v>
      </c>
      <c r="I10" s="727">
        <v>784361</v>
      </c>
      <c r="J10" s="727">
        <v>1022379</v>
      </c>
    </row>
    <row r="11" spans="1:13" x14ac:dyDescent="0.3">
      <c r="A11" s="311">
        <v>5158</v>
      </c>
      <c r="B11" s="311" t="s">
        <v>738</v>
      </c>
      <c r="C11" s="311">
        <v>647</v>
      </c>
      <c r="D11" s="727">
        <v>9</v>
      </c>
      <c r="E11" s="727">
        <v>9</v>
      </c>
      <c r="F11" s="727">
        <v>9</v>
      </c>
      <c r="G11" s="727">
        <v>9</v>
      </c>
      <c r="H11" s="727">
        <v>9</v>
      </c>
      <c r="I11" s="727">
        <v>9</v>
      </c>
      <c r="J11" s="727">
        <v>9</v>
      </c>
    </row>
    <row r="12" spans="1:13" x14ac:dyDescent="0.3">
      <c r="A12" s="311">
        <v>5159</v>
      </c>
      <c r="B12" s="311" t="s">
        <v>739</v>
      </c>
      <c r="C12" s="311">
        <v>647</v>
      </c>
      <c r="D12" s="727">
        <v>225639888</v>
      </c>
      <c r="E12" s="727">
        <v>219009306</v>
      </c>
      <c r="F12" s="727">
        <v>181812071</v>
      </c>
      <c r="G12" s="727">
        <v>193933610</v>
      </c>
      <c r="H12" s="727">
        <v>181583886</v>
      </c>
      <c r="I12" s="727">
        <v>0</v>
      </c>
      <c r="J12" s="727">
        <v>0</v>
      </c>
    </row>
    <row r="13" spans="1:13" x14ac:dyDescent="0.3">
      <c r="A13" s="311">
        <v>5164</v>
      </c>
      <c r="B13" s="311" t="s">
        <v>740</v>
      </c>
      <c r="C13" s="311">
        <v>647</v>
      </c>
      <c r="D13" s="727">
        <v>7132135</v>
      </c>
      <c r="E13" s="727">
        <v>5438631</v>
      </c>
      <c r="F13" s="727">
        <v>2427428</v>
      </c>
      <c r="G13" s="727">
        <v>157674</v>
      </c>
      <c r="H13" s="727">
        <v>0</v>
      </c>
      <c r="I13" s="727">
        <v>0</v>
      </c>
      <c r="J13" s="727">
        <v>0</v>
      </c>
    </row>
    <row r="14" spans="1:13" x14ac:dyDescent="0.3">
      <c r="A14" s="311">
        <v>5173</v>
      </c>
      <c r="B14" s="311" t="s">
        <v>741</v>
      </c>
      <c r="C14" s="311">
        <v>647</v>
      </c>
      <c r="D14" s="727">
        <v>422216</v>
      </c>
      <c r="E14" s="727">
        <v>2615544</v>
      </c>
      <c r="F14" s="727">
        <v>880554</v>
      </c>
      <c r="G14" s="727">
        <v>154942</v>
      </c>
      <c r="H14" s="727">
        <v>107456</v>
      </c>
      <c r="I14" s="727">
        <v>46240</v>
      </c>
      <c r="J14" s="727">
        <v>23390</v>
      </c>
    </row>
    <row r="15" spans="1:13" x14ac:dyDescent="0.3">
      <c r="A15" s="311">
        <v>5178</v>
      </c>
      <c r="B15" s="311" t="s">
        <v>742</v>
      </c>
      <c r="C15" s="311">
        <v>647</v>
      </c>
      <c r="D15" s="727">
        <v>75835</v>
      </c>
      <c r="E15" s="727">
        <v>66039</v>
      </c>
      <c r="F15" s="727">
        <v>57100</v>
      </c>
      <c r="G15" s="727">
        <v>52316</v>
      </c>
      <c r="H15" s="727">
        <v>23715</v>
      </c>
      <c r="I15" s="727">
        <v>899285</v>
      </c>
      <c r="J15" s="727">
        <v>1169608</v>
      </c>
    </row>
    <row r="16" spans="1:13" x14ac:dyDescent="0.3">
      <c r="A16" s="311">
        <v>5180</v>
      </c>
      <c r="B16" s="311" t="s">
        <v>743</v>
      </c>
      <c r="C16" s="311">
        <v>647</v>
      </c>
      <c r="D16" s="727">
        <v>4586780</v>
      </c>
      <c r="E16" s="727">
        <v>5165281</v>
      </c>
      <c r="F16" s="727">
        <v>4432068</v>
      </c>
      <c r="G16" s="727">
        <v>3558985</v>
      </c>
      <c r="H16" s="727">
        <v>2657915</v>
      </c>
      <c r="I16" s="727">
        <v>2071596</v>
      </c>
      <c r="J16" s="727">
        <v>1986034</v>
      </c>
    </row>
    <row r="17" spans="1:10" x14ac:dyDescent="0.3">
      <c r="A17" s="311">
        <v>5191</v>
      </c>
      <c r="B17" s="311" t="s">
        <v>744</v>
      </c>
      <c r="C17" s="311">
        <v>647</v>
      </c>
      <c r="D17" s="727">
        <v>111303046</v>
      </c>
      <c r="E17" s="727">
        <v>108974619</v>
      </c>
      <c r="F17" s="727">
        <v>120290900</v>
      </c>
      <c r="G17" s="727">
        <v>127448981</v>
      </c>
      <c r="H17" s="727">
        <v>153873846</v>
      </c>
      <c r="I17" s="727">
        <v>135252125</v>
      </c>
      <c r="J17" s="727">
        <v>169055200</v>
      </c>
    </row>
    <row r="18" spans="1:10" x14ac:dyDescent="0.3">
      <c r="A18" s="311">
        <v>50074</v>
      </c>
      <c r="B18" s="311" t="s">
        <v>745</v>
      </c>
      <c r="C18" s="311">
        <v>647</v>
      </c>
      <c r="D18" s="727">
        <v>7494829</v>
      </c>
      <c r="E18" s="727">
        <v>7189658</v>
      </c>
      <c r="F18" s="727">
        <v>7048523</v>
      </c>
      <c r="G18" s="727">
        <v>6615510</v>
      </c>
      <c r="H18" s="727">
        <v>5452410</v>
      </c>
      <c r="I18" s="727">
        <v>4803926</v>
      </c>
      <c r="J18" s="727">
        <v>5340180</v>
      </c>
    </row>
    <row r="19" spans="1:10" x14ac:dyDescent="0.3">
      <c r="A19" s="311">
        <v>50075</v>
      </c>
      <c r="B19" s="311" t="s">
        <v>746</v>
      </c>
      <c r="C19" s="311">
        <v>647</v>
      </c>
      <c r="D19" s="727">
        <v>266214000</v>
      </c>
      <c r="E19" s="727">
        <v>265541000</v>
      </c>
      <c r="F19" s="727">
        <v>274532000</v>
      </c>
      <c r="G19" s="727">
        <v>286138000</v>
      </c>
      <c r="H19" s="727">
        <v>295124000</v>
      </c>
      <c r="I19" s="727">
        <v>264645000</v>
      </c>
      <c r="J19" s="727">
        <v>231434000</v>
      </c>
    </row>
    <row r="20" spans="1:10" x14ac:dyDescent="0.3">
      <c r="A20" s="311">
        <v>50110</v>
      </c>
      <c r="B20" s="311" t="s">
        <v>747</v>
      </c>
      <c r="C20" s="311">
        <v>647</v>
      </c>
      <c r="D20" s="727">
        <v>46833536</v>
      </c>
      <c r="E20" s="727">
        <v>45660075</v>
      </c>
      <c r="F20" s="727">
        <v>8463820</v>
      </c>
      <c r="G20" s="727">
        <v>2663591</v>
      </c>
      <c r="H20" s="727">
        <v>2371109</v>
      </c>
      <c r="I20" s="727">
        <v>2878268</v>
      </c>
      <c r="J20" s="727">
        <v>4203755</v>
      </c>
    </row>
    <row r="21" spans="1:10" x14ac:dyDescent="0.3">
      <c r="A21" s="311">
        <v>50144</v>
      </c>
      <c r="B21" s="311" t="s">
        <v>748</v>
      </c>
      <c r="C21" s="311">
        <v>647</v>
      </c>
      <c r="D21" s="727">
        <v>4258932</v>
      </c>
      <c r="E21" s="727">
        <v>853434</v>
      </c>
      <c r="F21" s="727">
        <v>1622119</v>
      </c>
      <c r="G21" s="727">
        <v>1743258</v>
      </c>
      <c r="H21" s="727">
        <v>1740179</v>
      </c>
      <c r="I21" s="727">
        <v>1739958</v>
      </c>
      <c r="J21" s="727">
        <v>1739695</v>
      </c>
    </row>
    <row r="22" spans="1:10" x14ac:dyDescent="0.3">
      <c r="A22" s="311">
        <v>50159</v>
      </c>
      <c r="B22" s="311" t="s">
        <v>749</v>
      </c>
      <c r="C22" s="311">
        <v>647</v>
      </c>
      <c r="D22" s="727">
        <v>28636370</v>
      </c>
      <c r="E22" s="727">
        <v>23180822</v>
      </c>
      <c r="F22" s="727">
        <v>16487675</v>
      </c>
      <c r="G22" s="727">
        <v>10909425</v>
      </c>
      <c r="H22" s="727">
        <v>7878571</v>
      </c>
      <c r="I22" s="727">
        <v>5300679</v>
      </c>
      <c r="J22" s="727">
        <v>4801051</v>
      </c>
    </row>
    <row r="23" spans="1:10" x14ac:dyDescent="0.3">
      <c r="A23" s="311">
        <v>50160</v>
      </c>
      <c r="B23" s="311" t="s">
        <v>750</v>
      </c>
      <c r="C23" s="311">
        <v>647</v>
      </c>
      <c r="D23" s="727">
        <v>1134799</v>
      </c>
      <c r="E23" s="727">
        <v>894858</v>
      </c>
      <c r="F23" s="727">
        <v>1002425</v>
      </c>
      <c r="G23" s="727">
        <v>354061</v>
      </c>
      <c r="H23" s="727">
        <v>392698</v>
      </c>
      <c r="I23" s="727">
        <v>442800</v>
      </c>
      <c r="J23" s="727">
        <v>942821</v>
      </c>
    </row>
    <row r="24" spans="1:10" x14ac:dyDescent="0.3">
      <c r="A24" s="311">
        <v>50180</v>
      </c>
      <c r="B24" s="311" t="s">
        <v>751</v>
      </c>
      <c r="C24" s="311">
        <v>647</v>
      </c>
      <c r="D24" s="727">
        <v>13193040</v>
      </c>
      <c r="E24" s="727">
        <v>17058564</v>
      </c>
      <c r="F24" s="727">
        <v>16187505</v>
      </c>
      <c r="G24" s="727">
        <v>16428100</v>
      </c>
      <c r="H24" s="727">
        <v>16688416</v>
      </c>
      <c r="I24" s="727">
        <v>17840940</v>
      </c>
      <c r="J24" s="727">
        <v>18042019</v>
      </c>
    </row>
    <row r="25" spans="1:10" x14ac:dyDescent="0.3">
      <c r="A25" s="311">
        <v>50405</v>
      </c>
      <c r="B25" s="311" t="s">
        <v>752</v>
      </c>
      <c r="C25" s="311">
        <v>647</v>
      </c>
      <c r="D25" s="727">
        <v>302046</v>
      </c>
      <c r="E25" s="727">
        <v>1055143</v>
      </c>
      <c r="F25" s="727">
        <v>0</v>
      </c>
      <c r="G25" s="727">
        <v>0</v>
      </c>
      <c r="H25" s="727">
        <v>0</v>
      </c>
      <c r="I25" s="727">
        <v>0</v>
      </c>
      <c r="J25" s="727">
        <v>0</v>
      </c>
    </row>
    <row r="26" spans="1:10" x14ac:dyDescent="0.3">
      <c r="A26" s="311">
        <v>50425</v>
      </c>
      <c r="B26" s="311" t="s">
        <v>753</v>
      </c>
      <c r="C26" s="311">
        <v>647</v>
      </c>
      <c r="D26" s="727">
        <v>20836222</v>
      </c>
      <c r="E26" s="727">
        <v>16328642</v>
      </c>
      <c r="F26" s="727">
        <v>15202516</v>
      </c>
      <c r="G26" s="727">
        <v>12384500</v>
      </c>
      <c r="H26" s="727">
        <v>9788553</v>
      </c>
      <c r="I26" s="727">
        <v>7967199</v>
      </c>
      <c r="J26" s="727">
        <v>6398918</v>
      </c>
    </row>
    <row r="27" spans="1:10" x14ac:dyDescent="0.3">
      <c r="A27" s="311">
        <v>50431</v>
      </c>
      <c r="B27" s="311" t="s">
        <v>754</v>
      </c>
      <c r="C27" s="311">
        <v>647</v>
      </c>
      <c r="D27" s="727">
        <v>25542629</v>
      </c>
      <c r="E27" s="727">
        <v>24964077</v>
      </c>
      <c r="F27" s="727">
        <v>23618105</v>
      </c>
      <c r="G27" s="727">
        <v>22744716</v>
      </c>
      <c r="H27" s="727">
        <v>16714796</v>
      </c>
      <c r="I27" s="727">
        <v>13788676</v>
      </c>
      <c r="J27" s="727">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K20" sqref="K20"/>
    </sheetView>
  </sheetViews>
  <sheetFormatPr defaultColWidth="9.109375" defaultRowHeight="14.4" x14ac:dyDescent="0.3"/>
  <cols>
    <col min="1" max="1" width="9.109375" style="274"/>
    <col min="2" max="2" width="54.109375" style="274" customWidth="1"/>
    <col min="3" max="3" width="23.6640625" style="274" customWidth="1"/>
    <col min="4" max="4" width="19.6640625" style="274" customWidth="1"/>
    <col min="5" max="10" width="9.109375" style="274"/>
    <col min="11" max="11" width="54.109375" style="274" customWidth="1"/>
    <col min="12" max="16384" width="9.109375" style="274"/>
  </cols>
  <sheetData>
    <row r="1" spans="1:11" ht="43.2" x14ac:dyDescent="0.3">
      <c r="A1" s="274" t="s">
        <v>755</v>
      </c>
      <c r="B1" s="274" t="s">
        <v>932</v>
      </c>
      <c r="C1" s="283" t="s">
        <v>896</v>
      </c>
      <c r="D1" s="284" t="s">
        <v>1133</v>
      </c>
      <c r="E1" s="274" t="s">
        <v>1625</v>
      </c>
    </row>
    <row r="3" spans="1:11" ht="23.4" x14ac:dyDescent="0.45">
      <c r="A3" s="274">
        <v>50001</v>
      </c>
      <c r="B3" s="274" t="s">
        <v>933</v>
      </c>
      <c r="C3" s="274">
        <v>50</v>
      </c>
      <c r="D3" s="170" t="s">
        <v>51</v>
      </c>
      <c r="E3" s="315" t="s">
        <v>1278</v>
      </c>
    </row>
    <row r="4" spans="1:11" x14ac:dyDescent="0.3">
      <c r="A4" s="274">
        <v>50006</v>
      </c>
      <c r="B4" s="274" t="s">
        <v>934</v>
      </c>
      <c r="C4" s="274">
        <v>50</v>
      </c>
      <c r="D4" s="170" t="s">
        <v>51</v>
      </c>
    </row>
    <row r="5" spans="1:11" x14ac:dyDescent="0.3">
      <c r="A5" s="274">
        <v>50013</v>
      </c>
      <c r="B5" s="274" t="s">
        <v>936</v>
      </c>
      <c r="C5" s="274">
        <v>50</v>
      </c>
      <c r="D5" s="170" t="s">
        <v>51</v>
      </c>
    </row>
    <row r="6" spans="1:11" x14ac:dyDescent="0.3">
      <c r="A6" s="274">
        <v>50016</v>
      </c>
      <c r="B6" s="1004" t="s">
        <v>1626</v>
      </c>
      <c r="C6" s="274">
        <v>50</v>
      </c>
      <c r="D6" s="170" t="s">
        <v>51</v>
      </c>
      <c r="K6" s="1004"/>
    </row>
    <row r="7" spans="1:11" x14ac:dyDescent="0.3">
      <c r="A7" s="274">
        <v>50019</v>
      </c>
      <c r="B7" s="1004" t="s">
        <v>1627</v>
      </c>
      <c r="C7" s="274">
        <v>50</v>
      </c>
      <c r="D7" s="170" t="s">
        <v>51</v>
      </c>
      <c r="K7" s="1004"/>
    </row>
    <row r="8" spans="1:11" x14ac:dyDescent="0.3">
      <c r="A8" s="274">
        <v>50504</v>
      </c>
      <c r="B8" s="274" t="s">
        <v>937</v>
      </c>
      <c r="C8" s="274">
        <v>50</v>
      </c>
      <c r="D8" s="170" t="s">
        <v>51</v>
      </c>
    </row>
    <row r="9" spans="1:11" x14ac:dyDescent="0.3">
      <c r="A9" s="274">
        <v>50021</v>
      </c>
      <c r="B9" s="1004" t="s">
        <v>1628</v>
      </c>
      <c r="C9" s="274">
        <v>50</v>
      </c>
      <c r="D9" s="170" t="s">
        <v>51</v>
      </c>
      <c r="K9" s="1004"/>
    </row>
    <row r="10" spans="1:11" x14ac:dyDescent="0.3">
      <c r="A10" s="274">
        <v>50024</v>
      </c>
      <c r="B10" s="274" t="s">
        <v>938</v>
      </c>
      <c r="C10" s="274">
        <v>50</v>
      </c>
      <c r="D10" s="170" t="s">
        <v>51</v>
      </c>
    </row>
    <row r="11" spans="1:11" x14ac:dyDescent="0.3">
      <c r="A11" s="274">
        <v>50029</v>
      </c>
      <c r="B11" s="274" t="s">
        <v>939</v>
      </c>
      <c r="C11" s="274">
        <v>50</v>
      </c>
      <c r="D11" s="170" t="s">
        <v>51</v>
      </c>
    </row>
    <row r="12" spans="1:11" x14ac:dyDescent="0.3">
      <c r="A12" s="274">
        <v>50031</v>
      </c>
      <c r="B12" s="1004" t="s">
        <v>1629</v>
      </c>
      <c r="C12" s="274">
        <v>50</v>
      </c>
      <c r="D12" s="170" t="s">
        <v>51</v>
      </c>
      <c r="K12" s="1004"/>
    </row>
    <row r="13" spans="1:11" x14ac:dyDescent="0.3">
      <c r="A13" s="274">
        <v>50469</v>
      </c>
      <c r="B13" s="274" t="s">
        <v>940</v>
      </c>
      <c r="C13" s="274">
        <v>50</v>
      </c>
      <c r="D13" s="170" t="s">
        <v>51</v>
      </c>
    </row>
    <row r="14" spans="1:11" x14ac:dyDescent="0.3">
      <c r="A14" s="274">
        <v>50034</v>
      </c>
      <c r="B14" s="274" t="s">
        <v>942</v>
      </c>
      <c r="C14" s="274">
        <v>50</v>
      </c>
      <c r="D14" s="170" t="s">
        <v>51</v>
      </c>
    </row>
    <row r="15" spans="1:11" x14ac:dyDescent="0.3">
      <c r="A15" s="274">
        <v>50038</v>
      </c>
      <c r="B15" s="274" t="s">
        <v>943</v>
      </c>
      <c r="C15" s="274">
        <v>50</v>
      </c>
      <c r="D15" s="170" t="s">
        <v>51</v>
      </c>
    </row>
    <row r="16" spans="1:11" x14ac:dyDescent="0.3">
      <c r="A16" s="274">
        <v>50506</v>
      </c>
      <c r="B16" s="274" t="s">
        <v>944</v>
      </c>
      <c r="C16" s="274">
        <v>50</v>
      </c>
      <c r="D16" s="170" t="s">
        <v>51</v>
      </c>
    </row>
    <row r="17" spans="1:11" x14ac:dyDescent="0.3">
      <c r="A17" s="274">
        <v>50045</v>
      </c>
      <c r="B17" s="274" t="s">
        <v>945</v>
      </c>
      <c r="C17" s="274">
        <v>50</v>
      </c>
      <c r="D17" s="170" t="s">
        <v>51</v>
      </c>
    </row>
    <row r="18" spans="1:11" x14ac:dyDescent="0.3">
      <c r="A18" s="274">
        <v>50049</v>
      </c>
      <c r="B18" s="274" t="s">
        <v>946</v>
      </c>
      <c r="C18" s="274">
        <v>50</v>
      </c>
      <c r="D18" s="170" t="s">
        <v>51</v>
      </c>
    </row>
    <row r="19" spans="1:11" x14ac:dyDescent="0.3">
      <c r="A19" s="274">
        <v>50055</v>
      </c>
      <c r="B19" s="1004" t="s">
        <v>1630</v>
      </c>
      <c r="C19" s="274">
        <v>50</v>
      </c>
      <c r="D19" s="170" t="s">
        <v>51</v>
      </c>
      <c r="K19" s="1004"/>
    </row>
    <row r="20" spans="1:11" x14ac:dyDescent="0.3">
      <c r="A20" s="274">
        <v>50466</v>
      </c>
      <c r="B20" s="274" t="s">
        <v>1631</v>
      </c>
      <c r="C20" s="274">
        <v>50</v>
      </c>
      <c r="D20" s="170" t="s">
        <v>51</v>
      </c>
    </row>
    <row r="21" spans="1:11" x14ac:dyDescent="0.3">
      <c r="A21" s="274">
        <v>50069</v>
      </c>
      <c r="B21" s="274" t="s">
        <v>947</v>
      </c>
      <c r="C21" s="274">
        <v>50</v>
      </c>
      <c r="D21" s="170" t="s">
        <v>51</v>
      </c>
    </row>
    <row r="22" spans="1:11" x14ac:dyDescent="0.3">
      <c r="A22" s="274">
        <v>50467</v>
      </c>
      <c r="B22" s="274" t="s">
        <v>948</v>
      </c>
      <c r="C22" s="274">
        <v>50</v>
      </c>
      <c r="D22" s="170" t="s">
        <v>51</v>
      </c>
    </row>
    <row r="23" spans="1:11" x14ac:dyDescent="0.3">
      <c r="A23" s="274">
        <v>50510</v>
      </c>
      <c r="B23" s="274" t="s">
        <v>949</v>
      </c>
      <c r="C23" s="274">
        <v>50</v>
      </c>
      <c r="D23" s="170" t="s">
        <v>51</v>
      </c>
    </row>
    <row r="24" spans="1:11" x14ac:dyDescent="0.3">
      <c r="A24" s="274">
        <v>50078</v>
      </c>
      <c r="B24" s="274" t="s">
        <v>1632</v>
      </c>
      <c r="C24" s="274">
        <v>50</v>
      </c>
      <c r="D24" s="170" t="s">
        <v>51</v>
      </c>
    </row>
    <row r="25" spans="1:11" x14ac:dyDescent="0.3">
      <c r="A25" s="274">
        <v>50080</v>
      </c>
      <c r="B25" s="274" t="s">
        <v>1633</v>
      </c>
      <c r="C25" s="274">
        <v>50</v>
      </c>
      <c r="D25" s="170" t="s">
        <v>51</v>
      </c>
    </row>
    <row r="26" spans="1:11" x14ac:dyDescent="0.3">
      <c r="A26" s="274">
        <v>50468</v>
      </c>
      <c r="B26" s="1004" t="s">
        <v>1634</v>
      </c>
      <c r="C26" s="274">
        <v>50</v>
      </c>
      <c r="D26" s="170" t="s">
        <v>51</v>
      </c>
      <c r="K26" s="1004"/>
    </row>
    <row r="27" spans="1:11" x14ac:dyDescent="0.3">
      <c r="A27" s="274">
        <v>50086</v>
      </c>
      <c r="B27" s="274" t="s">
        <v>951</v>
      </c>
      <c r="C27" s="274">
        <v>50</v>
      </c>
      <c r="D27" s="170" t="s">
        <v>51</v>
      </c>
    </row>
    <row r="28" spans="1:11" x14ac:dyDescent="0.3">
      <c r="A28" s="274">
        <v>50087</v>
      </c>
      <c r="B28" s="274" t="s">
        <v>952</v>
      </c>
      <c r="C28" s="274">
        <v>50</v>
      </c>
      <c r="D28" s="170" t="s">
        <v>51</v>
      </c>
    </row>
    <row r="29" spans="1:11" x14ac:dyDescent="0.3">
      <c r="A29" s="274">
        <v>50091</v>
      </c>
      <c r="B29" s="1004" t="s">
        <v>1635</v>
      </c>
      <c r="C29" s="274">
        <v>50</v>
      </c>
      <c r="D29" s="170" t="s">
        <v>51</v>
      </c>
      <c r="K29" s="1004"/>
    </row>
    <row r="30" spans="1:11" x14ac:dyDescent="0.3">
      <c r="A30" s="274">
        <v>50098</v>
      </c>
      <c r="B30" s="274" t="s">
        <v>1636</v>
      </c>
      <c r="C30" s="274">
        <v>50</v>
      </c>
      <c r="D30" s="170" t="s">
        <v>51</v>
      </c>
    </row>
    <row r="31" spans="1:11" x14ac:dyDescent="0.3">
      <c r="A31" s="274">
        <v>50100</v>
      </c>
      <c r="B31" s="274" t="s">
        <v>1637</v>
      </c>
      <c r="C31" s="274">
        <v>50</v>
      </c>
      <c r="D31" s="170" t="s">
        <v>51</v>
      </c>
    </row>
    <row r="32" spans="1:11" x14ac:dyDescent="0.3">
      <c r="A32" s="274">
        <v>50513</v>
      </c>
      <c r="B32" s="274" t="s">
        <v>953</v>
      </c>
      <c r="C32" s="274">
        <v>50</v>
      </c>
      <c r="D32" s="170" t="s">
        <v>51</v>
      </c>
    </row>
    <row r="33" spans="1:11" x14ac:dyDescent="0.3">
      <c r="A33" s="274">
        <v>50106</v>
      </c>
      <c r="B33" s="274" t="s">
        <v>954</v>
      </c>
      <c r="C33" s="274">
        <v>50</v>
      </c>
      <c r="D33" s="170" t="s">
        <v>51</v>
      </c>
    </row>
    <row r="34" spans="1:11" x14ac:dyDescent="0.3">
      <c r="A34" s="274">
        <v>50472</v>
      </c>
      <c r="B34" s="274" t="s">
        <v>955</v>
      </c>
      <c r="C34" s="274">
        <v>50</v>
      </c>
      <c r="D34" s="170" t="s">
        <v>51</v>
      </c>
    </row>
    <row r="35" spans="1:11" x14ac:dyDescent="0.3">
      <c r="A35" s="274">
        <v>50112</v>
      </c>
      <c r="B35" s="274" t="s">
        <v>956</v>
      </c>
      <c r="C35" s="274">
        <v>50</v>
      </c>
      <c r="D35" s="170" t="s">
        <v>51</v>
      </c>
    </row>
    <row r="36" spans="1:11" x14ac:dyDescent="0.3">
      <c r="A36" s="274">
        <v>50113</v>
      </c>
      <c r="B36" s="274" t="s">
        <v>957</v>
      </c>
      <c r="C36" s="274">
        <v>50</v>
      </c>
      <c r="D36" s="170" t="s">
        <v>51</v>
      </c>
    </row>
    <row r="37" spans="1:11" x14ac:dyDescent="0.3">
      <c r="A37" s="274">
        <v>50116</v>
      </c>
      <c r="B37" s="1004" t="s">
        <v>1638</v>
      </c>
      <c r="C37" s="274">
        <v>50</v>
      </c>
      <c r="D37" s="170" t="s">
        <v>51</v>
      </c>
      <c r="K37" s="1004"/>
    </row>
    <row r="38" spans="1:11" x14ac:dyDescent="0.3">
      <c r="A38" s="274">
        <v>50121</v>
      </c>
      <c r="B38" s="274" t="s">
        <v>959</v>
      </c>
      <c r="C38" s="274">
        <v>50</v>
      </c>
      <c r="D38" s="170" t="s">
        <v>51</v>
      </c>
    </row>
    <row r="39" spans="1:11" x14ac:dyDescent="0.3">
      <c r="A39" s="274">
        <v>50122</v>
      </c>
      <c r="B39" s="274" t="s">
        <v>960</v>
      </c>
      <c r="C39" s="274">
        <v>50</v>
      </c>
      <c r="D39" s="170" t="s">
        <v>51</v>
      </c>
    </row>
    <row r="40" spans="1:11" x14ac:dyDescent="0.3">
      <c r="A40" s="274">
        <v>50125</v>
      </c>
      <c r="B40" s="274" t="s">
        <v>961</v>
      </c>
      <c r="C40" s="274">
        <v>50</v>
      </c>
      <c r="D40" s="170" t="s">
        <v>51</v>
      </c>
    </row>
    <row r="41" spans="1:11" x14ac:dyDescent="0.3">
      <c r="A41" s="274">
        <v>50126</v>
      </c>
      <c r="B41" s="1004" t="s">
        <v>1639</v>
      </c>
      <c r="C41" s="274">
        <v>50</v>
      </c>
      <c r="D41" s="170" t="s">
        <v>51</v>
      </c>
      <c r="K41" s="1004"/>
    </row>
    <row r="42" spans="1:11" x14ac:dyDescent="0.3">
      <c r="A42" s="274">
        <v>50127</v>
      </c>
      <c r="B42" s="274" t="s">
        <v>1640</v>
      </c>
      <c r="C42" s="274">
        <v>50</v>
      </c>
      <c r="D42" s="170" t="s">
        <v>51</v>
      </c>
    </row>
    <row r="43" spans="1:11" x14ac:dyDescent="0.3">
      <c r="A43" s="274">
        <v>50128</v>
      </c>
      <c r="B43" s="274" t="s">
        <v>963</v>
      </c>
      <c r="C43" s="274">
        <v>50</v>
      </c>
      <c r="D43" s="170" t="s">
        <v>51</v>
      </c>
    </row>
    <row r="44" spans="1:11" x14ac:dyDescent="0.3">
      <c r="A44" s="274">
        <v>50129</v>
      </c>
      <c r="B44" s="274" t="s">
        <v>964</v>
      </c>
      <c r="C44" s="274">
        <v>50</v>
      </c>
      <c r="D44" s="170" t="s">
        <v>51</v>
      </c>
    </row>
    <row r="45" spans="1:11" x14ac:dyDescent="0.3">
      <c r="A45" s="274">
        <v>50130</v>
      </c>
      <c r="B45" s="274" t="s">
        <v>965</v>
      </c>
      <c r="C45" s="274">
        <v>50</v>
      </c>
      <c r="D45" s="170" t="s">
        <v>51</v>
      </c>
    </row>
    <row r="46" spans="1:11" x14ac:dyDescent="0.3">
      <c r="A46" s="274">
        <v>50570</v>
      </c>
      <c r="B46" s="274" t="s">
        <v>966</v>
      </c>
      <c r="C46" s="274">
        <v>50</v>
      </c>
      <c r="D46" s="170" t="s">
        <v>51</v>
      </c>
    </row>
    <row r="47" spans="1:11" x14ac:dyDescent="0.3">
      <c r="A47" s="274">
        <v>50139</v>
      </c>
      <c r="B47" s="274" t="s">
        <v>968</v>
      </c>
      <c r="C47" s="274">
        <v>50</v>
      </c>
      <c r="D47" s="170" t="s">
        <v>51</v>
      </c>
    </row>
    <row r="48" spans="1:11" x14ac:dyDescent="0.3">
      <c r="A48" s="274">
        <v>50142</v>
      </c>
      <c r="B48" s="274" t="s">
        <v>969</v>
      </c>
      <c r="C48" s="274">
        <v>50</v>
      </c>
      <c r="D48" s="170" t="s">
        <v>51</v>
      </c>
    </row>
    <row r="49" spans="1:11" x14ac:dyDescent="0.3">
      <c r="A49" s="274">
        <v>50143</v>
      </c>
      <c r="B49" s="274" t="s">
        <v>970</v>
      </c>
      <c r="C49" s="274">
        <v>50</v>
      </c>
      <c r="D49" s="170" t="s">
        <v>51</v>
      </c>
    </row>
    <row r="50" spans="1:11" x14ac:dyDescent="0.3">
      <c r="A50" s="274">
        <v>50148</v>
      </c>
      <c r="B50" s="274" t="s">
        <v>735</v>
      </c>
      <c r="C50" s="274">
        <v>50</v>
      </c>
      <c r="D50" s="170" t="s">
        <v>51</v>
      </c>
    </row>
    <row r="51" spans="1:11" x14ac:dyDescent="0.3">
      <c r="A51" s="274">
        <v>50151</v>
      </c>
      <c r="B51" s="274" t="s">
        <v>1641</v>
      </c>
      <c r="C51" s="274">
        <v>50</v>
      </c>
      <c r="D51" s="170" t="s">
        <v>51</v>
      </c>
    </row>
    <row r="52" spans="1:11" x14ac:dyDescent="0.3">
      <c r="A52" s="274">
        <v>50153</v>
      </c>
      <c r="B52" s="274" t="s">
        <v>971</v>
      </c>
      <c r="C52" s="274">
        <v>50</v>
      </c>
      <c r="D52" s="170" t="s">
        <v>51</v>
      </c>
    </row>
    <row r="53" spans="1:11" x14ac:dyDescent="0.3">
      <c r="A53" s="274">
        <v>50154</v>
      </c>
      <c r="B53" s="274" t="s">
        <v>972</v>
      </c>
      <c r="C53" s="274">
        <v>50</v>
      </c>
      <c r="D53" s="170" t="s">
        <v>51</v>
      </c>
    </row>
    <row r="54" spans="1:11" x14ac:dyDescent="0.3">
      <c r="A54" s="274">
        <v>50517</v>
      </c>
      <c r="B54" s="1004" t="s">
        <v>1642</v>
      </c>
      <c r="C54" s="274">
        <v>50</v>
      </c>
      <c r="D54" s="170" t="s">
        <v>51</v>
      </c>
      <c r="K54" s="1004"/>
    </row>
    <row r="55" spans="1:11" x14ac:dyDescent="0.3">
      <c r="A55" s="274">
        <v>50448</v>
      </c>
      <c r="B55" s="274" t="s">
        <v>973</v>
      </c>
      <c r="C55" s="274">
        <v>50</v>
      </c>
      <c r="D55" s="170" t="s">
        <v>51</v>
      </c>
    </row>
    <row r="56" spans="1:11" x14ac:dyDescent="0.3">
      <c r="A56" s="274">
        <v>50163</v>
      </c>
      <c r="B56" s="274" t="s">
        <v>974</v>
      </c>
      <c r="C56" s="274">
        <v>50</v>
      </c>
      <c r="D56" s="170" t="s">
        <v>51</v>
      </c>
    </row>
    <row r="57" spans="1:11" x14ac:dyDescent="0.3">
      <c r="A57" s="274">
        <v>50165</v>
      </c>
      <c r="B57" s="274" t="s">
        <v>975</v>
      </c>
      <c r="C57" s="274">
        <v>50</v>
      </c>
      <c r="D57" s="170" t="s">
        <v>51</v>
      </c>
    </row>
    <row r="58" spans="1:11" x14ac:dyDescent="0.3">
      <c r="A58" s="274">
        <v>50166</v>
      </c>
      <c r="B58" s="274" t="s">
        <v>976</v>
      </c>
      <c r="C58" s="274">
        <v>50</v>
      </c>
      <c r="D58" s="170" t="s">
        <v>51</v>
      </c>
    </row>
    <row r="59" spans="1:11" x14ac:dyDescent="0.3">
      <c r="A59" s="274">
        <v>50167</v>
      </c>
      <c r="B59" s="274" t="s">
        <v>977</v>
      </c>
      <c r="C59" s="274">
        <v>50</v>
      </c>
      <c r="D59" s="170" t="s">
        <v>51</v>
      </c>
    </row>
    <row r="60" spans="1:11" x14ac:dyDescent="0.3">
      <c r="A60" s="274">
        <v>50171</v>
      </c>
      <c r="B60" s="1004" t="s">
        <v>1643</v>
      </c>
      <c r="C60" s="274">
        <v>50</v>
      </c>
      <c r="D60" s="170" t="s">
        <v>51</v>
      </c>
      <c r="K60" s="1004"/>
    </row>
    <row r="61" spans="1:11" x14ac:dyDescent="0.3">
      <c r="A61" s="274">
        <v>50440</v>
      </c>
      <c r="B61" s="274" t="s">
        <v>1644</v>
      </c>
      <c r="C61" s="274">
        <v>50</v>
      </c>
      <c r="D61" s="170" t="s">
        <v>51</v>
      </c>
    </row>
    <row r="62" spans="1:11" x14ac:dyDescent="0.3">
      <c r="A62" s="274">
        <v>50175</v>
      </c>
      <c r="B62" s="1004" t="s">
        <v>736</v>
      </c>
      <c r="C62" s="274">
        <v>50</v>
      </c>
      <c r="D62" s="170" t="s">
        <v>51</v>
      </c>
      <c r="K62" s="1004"/>
    </row>
    <row r="63" spans="1:11" x14ac:dyDescent="0.3">
      <c r="A63" s="274">
        <v>50177</v>
      </c>
      <c r="B63" s="1004" t="s">
        <v>1645</v>
      </c>
      <c r="C63" s="274">
        <v>50</v>
      </c>
      <c r="D63" s="170" t="s">
        <v>51</v>
      </c>
      <c r="K63" s="1004"/>
    </row>
    <row r="64" spans="1:11" x14ac:dyDescent="0.3">
      <c r="A64" s="274">
        <v>50183</v>
      </c>
      <c r="B64" s="274" t="s">
        <v>978</v>
      </c>
      <c r="C64" s="274">
        <v>50</v>
      </c>
      <c r="D64" s="170" t="s">
        <v>51</v>
      </c>
    </row>
    <row r="65" spans="1:11" x14ac:dyDescent="0.3">
      <c r="A65" s="274">
        <v>50184</v>
      </c>
      <c r="B65" s="274" t="s">
        <v>979</v>
      </c>
      <c r="C65" s="274">
        <v>50</v>
      </c>
      <c r="D65" s="170" t="s">
        <v>51</v>
      </c>
    </row>
    <row r="66" spans="1:11" x14ac:dyDescent="0.3">
      <c r="A66" s="274">
        <v>50186</v>
      </c>
      <c r="B66" s="274" t="s">
        <v>980</v>
      </c>
      <c r="C66" s="274">
        <v>50</v>
      </c>
      <c r="D66" s="170" t="s">
        <v>51</v>
      </c>
    </row>
    <row r="67" spans="1:11" x14ac:dyDescent="0.3">
      <c r="A67" s="274">
        <v>50476</v>
      </c>
      <c r="B67" s="274" t="s">
        <v>808</v>
      </c>
      <c r="C67" s="274">
        <v>50</v>
      </c>
      <c r="D67" s="170" t="s">
        <v>51</v>
      </c>
    </row>
    <row r="68" spans="1:11" x14ac:dyDescent="0.3">
      <c r="A68" s="274">
        <v>50192</v>
      </c>
      <c r="B68" s="274" t="s">
        <v>809</v>
      </c>
      <c r="C68" s="274">
        <v>50</v>
      </c>
      <c r="D68" s="170" t="s">
        <v>51</v>
      </c>
    </row>
    <row r="69" spans="1:11" x14ac:dyDescent="0.3">
      <c r="A69" s="274">
        <v>50518</v>
      </c>
      <c r="B69" s="274" t="s">
        <v>810</v>
      </c>
      <c r="C69" s="274">
        <v>50</v>
      </c>
      <c r="D69" s="170" t="s">
        <v>51</v>
      </c>
    </row>
    <row r="70" spans="1:11" x14ac:dyDescent="0.3">
      <c r="A70" s="274">
        <v>50231</v>
      </c>
      <c r="B70" s="274" t="s">
        <v>819</v>
      </c>
      <c r="C70" s="274">
        <v>50</v>
      </c>
      <c r="D70" s="170" t="s">
        <v>51</v>
      </c>
    </row>
    <row r="71" spans="1:11" x14ac:dyDescent="0.3">
      <c r="A71" s="274">
        <v>50235</v>
      </c>
      <c r="B71" s="274" t="s">
        <v>822</v>
      </c>
      <c r="C71" s="274">
        <v>50</v>
      </c>
      <c r="D71" s="170" t="s">
        <v>51</v>
      </c>
    </row>
    <row r="72" spans="1:11" x14ac:dyDescent="0.3">
      <c r="A72" s="274">
        <v>50233</v>
      </c>
      <c r="B72" s="274" t="s">
        <v>820</v>
      </c>
      <c r="C72" s="274">
        <v>50</v>
      </c>
      <c r="D72" s="170" t="s">
        <v>51</v>
      </c>
    </row>
    <row r="73" spans="1:11" x14ac:dyDescent="0.3">
      <c r="A73" s="274">
        <v>50236</v>
      </c>
      <c r="B73" s="274" t="s">
        <v>823</v>
      </c>
      <c r="C73" s="274">
        <v>50</v>
      </c>
      <c r="D73" s="170" t="s">
        <v>51</v>
      </c>
    </row>
    <row r="74" spans="1:11" x14ac:dyDescent="0.3">
      <c r="A74" s="274">
        <v>50239</v>
      </c>
      <c r="B74" s="274" t="s">
        <v>826</v>
      </c>
      <c r="C74" s="274">
        <v>50</v>
      </c>
      <c r="D74" s="170" t="s">
        <v>51</v>
      </c>
    </row>
    <row r="75" spans="1:11" x14ac:dyDescent="0.3">
      <c r="A75" s="274">
        <v>50249</v>
      </c>
      <c r="B75" s="274" t="s">
        <v>838</v>
      </c>
      <c r="C75" s="274">
        <v>50</v>
      </c>
      <c r="D75" s="170" t="s">
        <v>51</v>
      </c>
    </row>
    <row r="76" spans="1:11" x14ac:dyDescent="0.3">
      <c r="A76" s="274">
        <v>50254</v>
      </c>
      <c r="B76" s="274" t="s">
        <v>1646</v>
      </c>
      <c r="C76" s="274">
        <v>50</v>
      </c>
      <c r="D76" s="170" t="s">
        <v>51</v>
      </c>
    </row>
    <row r="77" spans="1:11" x14ac:dyDescent="0.3">
      <c r="A77" s="274">
        <v>50255</v>
      </c>
      <c r="B77" s="1004" t="s">
        <v>1647</v>
      </c>
      <c r="C77" s="274">
        <v>50</v>
      </c>
      <c r="D77" s="170" t="s">
        <v>51</v>
      </c>
      <c r="K77" s="1004"/>
    </row>
    <row r="78" spans="1:11" x14ac:dyDescent="0.3">
      <c r="A78" s="274">
        <v>50257</v>
      </c>
      <c r="B78" s="274" t="s">
        <v>983</v>
      </c>
      <c r="C78" s="274">
        <v>50</v>
      </c>
      <c r="D78" s="170" t="s">
        <v>51</v>
      </c>
    </row>
    <row r="79" spans="1:11" x14ac:dyDescent="0.3">
      <c r="A79" s="274">
        <v>50452</v>
      </c>
      <c r="B79" s="1004" t="s">
        <v>1648</v>
      </c>
      <c r="C79" s="274">
        <v>50</v>
      </c>
      <c r="D79" s="170" t="s">
        <v>51</v>
      </c>
      <c r="K79" s="1004"/>
    </row>
    <row r="80" spans="1:11" x14ac:dyDescent="0.3">
      <c r="A80" s="274">
        <v>50260</v>
      </c>
      <c r="B80" s="274" t="s">
        <v>984</v>
      </c>
      <c r="C80" s="274">
        <v>50</v>
      </c>
      <c r="D80" s="170" t="s">
        <v>51</v>
      </c>
    </row>
    <row r="81" spans="1:11" x14ac:dyDescent="0.3">
      <c r="A81" s="274">
        <v>50268</v>
      </c>
      <c r="B81" s="1004" t="s">
        <v>1649</v>
      </c>
      <c r="C81" s="274">
        <v>50</v>
      </c>
      <c r="D81" s="170" t="s">
        <v>51</v>
      </c>
      <c r="K81" s="1004"/>
    </row>
    <row r="82" spans="1:11" x14ac:dyDescent="0.3">
      <c r="A82" s="274">
        <v>50269</v>
      </c>
      <c r="B82" s="274" t="s">
        <v>985</v>
      </c>
      <c r="C82" s="274">
        <v>50</v>
      </c>
      <c r="D82" s="170" t="s">
        <v>51</v>
      </c>
    </row>
    <row r="83" spans="1:11" x14ac:dyDescent="0.3">
      <c r="A83" s="274">
        <v>50480</v>
      </c>
      <c r="B83" s="274" t="s">
        <v>986</v>
      </c>
      <c r="C83" s="274">
        <v>50</v>
      </c>
      <c r="D83" s="170" t="s">
        <v>51</v>
      </c>
    </row>
    <row r="84" spans="1:11" x14ac:dyDescent="0.3">
      <c r="A84" s="274">
        <v>50278</v>
      </c>
      <c r="B84" s="274" t="s">
        <v>987</v>
      </c>
      <c r="C84" s="274">
        <v>50</v>
      </c>
      <c r="D84" s="170" t="s">
        <v>51</v>
      </c>
    </row>
    <row r="85" spans="1:11" x14ac:dyDescent="0.3">
      <c r="A85" s="274">
        <v>50280</v>
      </c>
      <c r="B85" s="274" t="s">
        <v>988</v>
      </c>
      <c r="C85" s="274">
        <v>50</v>
      </c>
      <c r="D85" s="170" t="s">
        <v>51</v>
      </c>
    </row>
    <row r="86" spans="1:11" x14ac:dyDescent="0.3">
      <c r="A86" s="274">
        <v>50281</v>
      </c>
      <c r="B86" s="274" t="s">
        <v>989</v>
      </c>
      <c r="C86" s="274">
        <v>50</v>
      </c>
      <c r="D86" s="170" t="s">
        <v>51</v>
      </c>
    </row>
    <row r="87" spans="1:11" x14ac:dyDescent="0.3">
      <c r="A87" s="274">
        <v>50478</v>
      </c>
      <c r="B87" s="274" t="s">
        <v>990</v>
      </c>
      <c r="C87" s="274">
        <v>50</v>
      </c>
      <c r="D87" s="170" t="s">
        <v>51</v>
      </c>
    </row>
    <row r="88" spans="1:11" x14ac:dyDescent="0.3">
      <c r="A88" s="274">
        <v>50283</v>
      </c>
      <c r="B88" s="274" t="s">
        <v>992</v>
      </c>
      <c r="C88" s="274">
        <v>50</v>
      </c>
      <c r="D88" s="170" t="s">
        <v>51</v>
      </c>
    </row>
    <row r="89" spans="1:11" x14ac:dyDescent="0.3">
      <c r="A89" s="274">
        <v>50285</v>
      </c>
      <c r="B89" s="274" t="s">
        <v>993</v>
      </c>
      <c r="C89" s="274">
        <v>50</v>
      </c>
      <c r="D89" s="170" t="s">
        <v>51</v>
      </c>
    </row>
    <row r="90" spans="1:11" x14ac:dyDescent="0.3">
      <c r="A90" s="274">
        <v>50296</v>
      </c>
      <c r="B90" s="274" t="s">
        <v>996</v>
      </c>
      <c r="C90" s="274">
        <v>50</v>
      </c>
      <c r="D90" s="170" t="s">
        <v>51</v>
      </c>
    </row>
    <row r="91" spans="1:11" x14ac:dyDescent="0.3">
      <c r="A91" s="274">
        <v>50297</v>
      </c>
      <c r="B91" s="274" t="s">
        <v>997</v>
      </c>
      <c r="C91" s="274">
        <v>50</v>
      </c>
      <c r="D91" s="170" t="s">
        <v>51</v>
      </c>
    </row>
    <row r="92" spans="1:11" x14ac:dyDescent="0.3">
      <c r="A92" s="274">
        <v>50305</v>
      </c>
      <c r="B92" s="1004" t="s">
        <v>1650</v>
      </c>
      <c r="C92" s="274">
        <v>50</v>
      </c>
      <c r="D92" s="170" t="s">
        <v>51</v>
      </c>
      <c r="K92" s="1004"/>
    </row>
    <row r="93" spans="1:11" x14ac:dyDescent="0.3">
      <c r="A93" s="274">
        <v>50479</v>
      </c>
      <c r="B93" s="274" t="s">
        <v>998</v>
      </c>
      <c r="C93" s="274">
        <v>50</v>
      </c>
      <c r="D93" s="170" t="s">
        <v>51</v>
      </c>
    </row>
    <row r="94" spans="1:11" x14ac:dyDescent="0.3">
      <c r="A94" s="274">
        <v>50307</v>
      </c>
      <c r="B94" s="274" t="s">
        <v>999</v>
      </c>
      <c r="C94" s="274">
        <v>50</v>
      </c>
      <c r="D94" s="170" t="s">
        <v>51</v>
      </c>
    </row>
    <row r="95" spans="1:11" x14ac:dyDescent="0.3">
      <c r="A95" s="274">
        <v>50310</v>
      </c>
      <c r="B95" s="274" t="s">
        <v>1000</v>
      </c>
      <c r="C95" s="274">
        <v>50</v>
      </c>
      <c r="D95" s="170" t="s">
        <v>51</v>
      </c>
    </row>
    <row r="96" spans="1:11" x14ac:dyDescent="0.3">
      <c r="A96" s="274">
        <v>50311</v>
      </c>
      <c r="B96" s="274" t="s">
        <v>1001</v>
      </c>
      <c r="C96" s="274">
        <v>50</v>
      </c>
      <c r="D96" s="170" t="s">
        <v>51</v>
      </c>
    </row>
    <row r="97" spans="1:11" x14ac:dyDescent="0.3">
      <c r="A97" s="274">
        <v>50314</v>
      </c>
      <c r="B97" s="274" t="s">
        <v>1002</v>
      </c>
      <c r="C97" s="274">
        <v>50</v>
      </c>
      <c r="D97" s="170" t="s">
        <v>51</v>
      </c>
    </row>
    <row r="98" spans="1:11" x14ac:dyDescent="0.3">
      <c r="A98" s="274">
        <v>50316</v>
      </c>
      <c r="B98" s="274" t="s">
        <v>1003</v>
      </c>
      <c r="C98" s="274">
        <v>50</v>
      </c>
      <c r="D98" s="170" t="s">
        <v>51</v>
      </c>
    </row>
    <row r="99" spans="1:11" x14ac:dyDescent="0.3">
      <c r="A99" s="274">
        <v>50318</v>
      </c>
      <c r="B99" s="274" t="s">
        <v>1004</v>
      </c>
      <c r="C99" s="274">
        <v>50</v>
      </c>
      <c r="D99" s="170" t="s">
        <v>51</v>
      </c>
    </row>
    <row r="100" spans="1:11" x14ac:dyDescent="0.3">
      <c r="A100" s="274">
        <v>50323</v>
      </c>
      <c r="B100" s="274" t="s">
        <v>1005</v>
      </c>
      <c r="C100" s="274">
        <v>50</v>
      </c>
      <c r="D100" s="170" t="s">
        <v>51</v>
      </c>
    </row>
    <row r="101" spans="1:11" x14ac:dyDescent="0.3">
      <c r="A101" s="274">
        <v>50321</v>
      </c>
      <c r="B101" s="274" t="s">
        <v>1651</v>
      </c>
      <c r="C101" s="274">
        <v>50</v>
      </c>
      <c r="D101" s="170" t="s">
        <v>51</v>
      </c>
    </row>
    <row r="102" spans="1:11" x14ac:dyDescent="0.3">
      <c r="A102" s="274">
        <v>50325</v>
      </c>
      <c r="B102" s="274" t="s">
        <v>1006</v>
      </c>
      <c r="C102" s="274">
        <v>50</v>
      </c>
      <c r="D102" s="170" t="s">
        <v>51</v>
      </c>
    </row>
    <row r="103" spans="1:11" x14ac:dyDescent="0.3">
      <c r="A103" s="274">
        <v>50327</v>
      </c>
      <c r="B103" s="274" t="s">
        <v>1007</v>
      </c>
      <c r="C103" s="274">
        <v>50</v>
      </c>
      <c r="D103" s="170" t="s">
        <v>51</v>
      </c>
    </row>
    <row r="104" spans="1:11" x14ac:dyDescent="0.3">
      <c r="A104" s="274">
        <v>50328</v>
      </c>
      <c r="B104" s="274" t="s">
        <v>742</v>
      </c>
      <c r="C104" s="274">
        <v>50</v>
      </c>
      <c r="D104" s="170" t="s">
        <v>51</v>
      </c>
    </row>
    <row r="105" spans="1:11" x14ac:dyDescent="0.3">
      <c r="A105" s="274">
        <v>50332</v>
      </c>
      <c r="B105" s="274" t="s">
        <v>1008</v>
      </c>
      <c r="C105" s="274">
        <v>50</v>
      </c>
      <c r="D105" s="170" t="s">
        <v>51</v>
      </c>
    </row>
    <row r="106" spans="1:11" x14ac:dyDescent="0.3">
      <c r="A106" s="274">
        <v>50334</v>
      </c>
      <c r="B106" s="1004" t="s">
        <v>1652</v>
      </c>
      <c r="C106" s="274">
        <v>50</v>
      </c>
      <c r="D106" s="170" t="s">
        <v>51</v>
      </c>
      <c r="K106" s="1004"/>
    </row>
    <row r="107" spans="1:11" x14ac:dyDescent="0.3">
      <c r="A107" s="274">
        <v>50336</v>
      </c>
      <c r="B107" s="274" t="s">
        <v>1653</v>
      </c>
      <c r="C107" s="274">
        <v>50</v>
      </c>
      <c r="D107" s="170" t="s">
        <v>51</v>
      </c>
    </row>
    <row r="108" spans="1:11" x14ac:dyDescent="0.3">
      <c r="A108" s="274">
        <v>50337</v>
      </c>
      <c r="B108" s="1004" t="s">
        <v>1654</v>
      </c>
      <c r="C108" s="274">
        <v>50</v>
      </c>
      <c r="D108" s="170" t="s">
        <v>51</v>
      </c>
      <c r="K108" s="1004"/>
    </row>
    <row r="109" spans="1:11" x14ac:dyDescent="0.3">
      <c r="A109" s="274">
        <v>50338</v>
      </c>
      <c r="B109" s="1004" t="s">
        <v>1655</v>
      </c>
      <c r="C109" s="274">
        <v>50</v>
      </c>
      <c r="D109" s="170" t="s">
        <v>51</v>
      </c>
      <c r="K109" s="1004"/>
    </row>
    <row r="110" spans="1:11" x14ac:dyDescent="0.3">
      <c r="A110" s="274">
        <v>50340</v>
      </c>
      <c r="B110" s="274" t="s">
        <v>1656</v>
      </c>
      <c r="C110" s="274">
        <v>50</v>
      </c>
      <c r="D110" s="170" t="s">
        <v>51</v>
      </c>
    </row>
    <row r="111" spans="1:11" x14ac:dyDescent="0.3">
      <c r="A111" s="274">
        <v>50343</v>
      </c>
      <c r="B111" s="274" t="s">
        <v>1009</v>
      </c>
      <c r="C111" s="274">
        <v>50</v>
      </c>
      <c r="D111" s="170" t="s">
        <v>51</v>
      </c>
    </row>
    <row r="112" spans="1:11" x14ac:dyDescent="0.3">
      <c r="A112" s="274">
        <v>50348</v>
      </c>
      <c r="B112" s="274" t="s">
        <v>1011</v>
      </c>
      <c r="C112" s="274">
        <v>50</v>
      </c>
      <c r="D112" s="170" t="s">
        <v>51</v>
      </c>
    </row>
    <row r="113" spans="1:11" x14ac:dyDescent="0.3">
      <c r="A113" s="274">
        <v>50541</v>
      </c>
      <c r="B113" s="274" t="s">
        <v>1012</v>
      </c>
      <c r="C113" s="274">
        <v>50</v>
      </c>
      <c r="D113" s="170" t="s">
        <v>51</v>
      </c>
    </row>
    <row r="114" spans="1:11" x14ac:dyDescent="0.3">
      <c r="A114" s="274">
        <v>50355</v>
      </c>
      <c r="B114" s="274" t="s">
        <v>1013</v>
      </c>
      <c r="C114" s="274">
        <v>50</v>
      </c>
      <c r="D114" s="170" t="s">
        <v>51</v>
      </c>
    </row>
    <row r="115" spans="1:11" x14ac:dyDescent="0.3">
      <c r="A115" s="274">
        <v>50357</v>
      </c>
      <c r="B115" s="1004" t="s">
        <v>1657</v>
      </c>
      <c r="C115" s="274">
        <v>50</v>
      </c>
      <c r="D115" s="170" t="s">
        <v>51</v>
      </c>
      <c r="K115" s="1004"/>
    </row>
    <row r="116" spans="1:11" x14ac:dyDescent="0.3">
      <c r="A116" s="274">
        <v>50360</v>
      </c>
      <c r="B116" s="274" t="s">
        <v>1014</v>
      </c>
      <c r="C116" s="274">
        <v>50</v>
      </c>
      <c r="D116" s="170" t="s">
        <v>51</v>
      </c>
    </row>
    <row r="117" spans="1:11" x14ac:dyDescent="0.3">
      <c r="A117" s="274">
        <v>50370</v>
      </c>
      <c r="B117" s="274" t="s">
        <v>1015</v>
      </c>
      <c r="C117" s="274">
        <v>50</v>
      </c>
      <c r="D117" s="170" t="s">
        <v>51</v>
      </c>
    </row>
    <row r="118" spans="1:11" x14ac:dyDescent="0.3">
      <c r="A118" s="274">
        <v>50374</v>
      </c>
      <c r="B118" s="274" t="s">
        <v>1658</v>
      </c>
      <c r="C118" s="274">
        <v>50</v>
      </c>
      <c r="D118" s="170" t="s">
        <v>51</v>
      </c>
    </row>
    <row r="119" spans="1:11" x14ac:dyDescent="0.3">
      <c r="A119" s="274">
        <v>50483</v>
      </c>
      <c r="B119" s="274" t="s">
        <v>1659</v>
      </c>
      <c r="C119" s="274">
        <v>50</v>
      </c>
      <c r="D119" s="170" t="s">
        <v>51</v>
      </c>
    </row>
    <row r="120" spans="1:11" x14ac:dyDescent="0.3">
      <c r="A120" s="274">
        <v>50386</v>
      </c>
      <c r="B120" s="274" t="s">
        <v>1660</v>
      </c>
      <c r="C120" s="274">
        <v>50</v>
      </c>
      <c r="D120" s="170" t="s">
        <v>51</v>
      </c>
    </row>
    <row r="121" spans="1:11" x14ac:dyDescent="0.3">
      <c r="A121" s="274">
        <v>50389</v>
      </c>
      <c r="B121" s="274" t="s">
        <v>1017</v>
      </c>
      <c r="C121" s="274">
        <v>50</v>
      </c>
      <c r="D121" s="170" t="s">
        <v>51</v>
      </c>
    </row>
    <row r="122" spans="1:11" x14ac:dyDescent="0.3">
      <c r="A122" s="274">
        <v>50500</v>
      </c>
      <c r="B122" s="274" t="s">
        <v>1018</v>
      </c>
      <c r="C122" s="274">
        <v>50</v>
      </c>
      <c r="D122" s="170" t="s">
        <v>51</v>
      </c>
    </row>
    <row r="123" spans="1:11" x14ac:dyDescent="0.3">
      <c r="A123" s="274">
        <v>50390</v>
      </c>
      <c r="B123" s="1004" t="s">
        <v>1661</v>
      </c>
      <c r="C123" s="274">
        <v>50</v>
      </c>
      <c r="D123" s="170" t="s">
        <v>51</v>
      </c>
      <c r="K123" s="1004"/>
    </row>
    <row r="124" spans="1:11" x14ac:dyDescent="0.3">
      <c r="A124" s="274">
        <v>50396</v>
      </c>
      <c r="B124" s="274" t="s">
        <v>1019</v>
      </c>
      <c r="C124" s="274">
        <v>50</v>
      </c>
      <c r="D124" s="170" t="s">
        <v>51</v>
      </c>
    </row>
    <row r="125" spans="1:11" x14ac:dyDescent="0.3">
      <c r="A125" s="274">
        <v>50399</v>
      </c>
      <c r="B125" s="274" t="s">
        <v>1021</v>
      </c>
      <c r="C125" s="274">
        <v>50</v>
      </c>
      <c r="D125" s="170" t="s">
        <v>51</v>
      </c>
    </row>
    <row r="126" spans="1:11" x14ac:dyDescent="0.3">
      <c r="A126" s="274">
        <v>50401</v>
      </c>
      <c r="B126" s="274" t="s">
        <v>1022</v>
      </c>
      <c r="C126" s="274">
        <v>50</v>
      </c>
      <c r="D126" s="170" t="s">
        <v>51</v>
      </c>
    </row>
    <row r="127" spans="1:11" x14ac:dyDescent="0.3">
      <c r="A127" s="274">
        <v>50402</v>
      </c>
      <c r="B127" s="1004" t="s">
        <v>1662</v>
      </c>
      <c r="C127" s="274">
        <v>50</v>
      </c>
      <c r="D127" s="170" t="s">
        <v>51</v>
      </c>
      <c r="K127" s="1004"/>
    </row>
    <row r="128" spans="1:11" x14ac:dyDescent="0.3">
      <c r="A128" s="274">
        <v>50486</v>
      </c>
      <c r="B128" s="274" t="s">
        <v>1663</v>
      </c>
      <c r="C128" s="274">
        <v>50</v>
      </c>
      <c r="D128" s="170" t="s">
        <v>51</v>
      </c>
    </row>
    <row r="129" spans="1:11" x14ac:dyDescent="0.3">
      <c r="A129" s="274">
        <v>50409</v>
      </c>
      <c r="B129" s="274" t="s">
        <v>1664</v>
      </c>
      <c r="C129" s="274">
        <v>50</v>
      </c>
      <c r="D129" s="170" t="s">
        <v>51</v>
      </c>
    </row>
    <row r="130" spans="1:11" x14ac:dyDescent="0.3">
      <c r="A130" s="274">
        <v>50420</v>
      </c>
      <c r="B130" s="274" t="s">
        <v>1023</v>
      </c>
      <c r="C130" s="274">
        <v>50</v>
      </c>
      <c r="D130" s="170" t="s">
        <v>51</v>
      </c>
    </row>
    <row r="131" spans="1:11" x14ac:dyDescent="0.3">
      <c r="A131" s="274">
        <v>50421</v>
      </c>
      <c r="B131" s="1004" t="s">
        <v>1665</v>
      </c>
      <c r="C131" s="274">
        <v>50</v>
      </c>
      <c r="D131" s="170" t="s">
        <v>51</v>
      </c>
      <c r="K131" s="1004"/>
    </row>
    <row r="132" spans="1:11" x14ac:dyDescent="0.3">
      <c r="A132" s="274">
        <v>50423</v>
      </c>
      <c r="B132" s="274" t="s">
        <v>1024</v>
      </c>
      <c r="C132" s="274">
        <v>50</v>
      </c>
      <c r="D132" s="170" t="s">
        <v>51</v>
      </c>
    </row>
    <row r="133" spans="1:11" x14ac:dyDescent="0.3">
      <c r="A133" s="274">
        <v>50432</v>
      </c>
      <c r="B133" s="1004" t="s">
        <v>1666</v>
      </c>
      <c r="C133" s="274">
        <v>50</v>
      </c>
      <c r="D133" s="170" t="s">
        <v>51</v>
      </c>
      <c r="K133" s="1004"/>
    </row>
    <row r="134" spans="1:11" x14ac:dyDescent="0.3">
      <c r="A134" s="274">
        <v>50499</v>
      </c>
      <c r="B134" s="1004" t="s">
        <v>1667</v>
      </c>
      <c r="C134" s="274">
        <v>50</v>
      </c>
      <c r="D134" s="170" t="s">
        <v>51</v>
      </c>
      <c r="K134" s="1004"/>
    </row>
    <row r="135" spans="1:11" x14ac:dyDescent="0.3">
      <c r="A135" s="274">
        <v>5103</v>
      </c>
      <c r="B135" s="274" t="s">
        <v>935</v>
      </c>
      <c r="C135" s="274">
        <v>51</v>
      </c>
      <c r="D135" s="170" t="s">
        <v>51</v>
      </c>
    </row>
    <row r="136" spans="1:11" x14ac:dyDescent="0.3">
      <c r="A136" s="274">
        <v>5107</v>
      </c>
      <c r="B136" s="274" t="s">
        <v>941</v>
      </c>
      <c r="C136" s="274">
        <v>51</v>
      </c>
      <c r="D136" s="170" t="s">
        <v>51</v>
      </c>
    </row>
    <row r="137" spans="1:11" x14ac:dyDescent="0.3">
      <c r="A137" s="274">
        <v>5116</v>
      </c>
      <c r="B137" s="1004" t="s">
        <v>1668</v>
      </c>
      <c r="C137" s="274">
        <v>51</v>
      </c>
      <c r="D137" s="170" t="s">
        <v>51</v>
      </c>
      <c r="K137" s="1004"/>
    </row>
    <row r="138" spans="1:11" x14ac:dyDescent="0.3">
      <c r="A138" s="274">
        <v>5119</v>
      </c>
      <c r="B138" s="1004" t="s">
        <v>1669</v>
      </c>
      <c r="C138" s="274">
        <v>51</v>
      </c>
      <c r="D138" s="170" t="s">
        <v>51</v>
      </c>
      <c r="K138" s="1004"/>
    </row>
    <row r="139" spans="1:11" x14ac:dyDescent="0.3">
      <c r="A139" s="274">
        <v>5123</v>
      </c>
      <c r="B139" s="274" t="s">
        <v>1670</v>
      </c>
      <c r="C139" s="274">
        <v>51</v>
      </c>
      <c r="D139" s="170" t="s">
        <v>51</v>
      </c>
    </row>
    <row r="140" spans="1:11" x14ac:dyDescent="0.3">
      <c r="A140" s="274">
        <v>5129</v>
      </c>
      <c r="B140" s="1004" t="s">
        <v>1671</v>
      </c>
      <c r="C140" s="274">
        <v>51</v>
      </c>
      <c r="D140" s="170" t="s">
        <v>51</v>
      </c>
      <c r="K140" s="1004"/>
    </row>
    <row r="141" spans="1:11" x14ac:dyDescent="0.3">
      <c r="A141" s="274">
        <v>5132</v>
      </c>
      <c r="B141" s="274" t="s">
        <v>958</v>
      </c>
      <c r="C141" s="274">
        <v>51</v>
      </c>
      <c r="D141" s="170" t="s">
        <v>51</v>
      </c>
    </row>
    <row r="142" spans="1:11" x14ac:dyDescent="0.3">
      <c r="A142" s="274">
        <v>5137</v>
      </c>
      <c r="B142" s="274" t="s">
        <v>1672</v>
      </c>
      <c r="C142" s="274">
        <v>51</v>
      </c>
      <c r="D142" s="170" t="s">
        <v>51</v>
      </c>
    </row>
    <row r="143" spans="1:11" x14ac:dyDescent="0.3">
      <c r="A143" s="274">
        <v>5147</v>
      </c>
      <c r="B143" s="274" t="s">
        <v>981</v>
      </c>
      <c r="C143" s="274">
        <v>51</v>
      </c>
      <c r="D143" s="170" t="s">
        <v>51</v>
      </c>
    </row>
    <row r="144" spans="1:11" x14ac:dyDescent="0.3">
      <c r="A144" s="274">
        <v>5156</v>
      </c>
      <c r="B144" s="274" t="s">
        <v>982</v>
      </c>
      <c r="C144" s="274">
        <v>51</v>
      </c>
      <c r="D144" s="170" t="s">
        <v>51</v>
      </c>
    </row>
    <row r="145" spans="1:11" x14ac:dyDescent="0.3">
      <c r="A145" s="274">
        <v>5157</v>
      </c>
      <c r="B145" s="274" t="s">
        <v>1673</v>
      </c>
      <c r="C145" s="274">
        <v>51</v>
      </c>
      <c r="D145" s="170" t="s">
        <v>51</v>
      </c>
    </row>
    <row r="146" spans="1:11" x14ac:dyDescent="0.3">
      <c r="A146" s="274">
        <v>5165</v>
      </c>
      <c r="B146" s="274" t="s">
        <v>991</v>
      </c>
      <c r="C146" s="274">
        <v>51</v>
      </c>
      <c r="D146" s="170" t="s">
        <v>51</v>
      </c>
    </row>
    <row r="147" spans="1:11" x14ac:dyDescent="0.3">
      <c r="A147" s="274">
        <v>5167</v>
      </c>
      <c r="B147" s="274" t="s">
        <v>994</v>
      </c>
      <c r="C147" s="274">
        <v>51</v>
      </c>
      <c r="D147" s="170" t="s">
        <v>51</v>
      </c>
    </row>
    <row r="148" spans="1:11" x14ac:dyDescent="0.3">
      <c r="A148" s="274">
        <v>5170</v>
      </c>
      <c r="B148" s="274" t="s">
        <v>995</v>
      </c>
      <c r="C148" s="274">
        <v>51</v>
      </c>
      <c r="D148" s="170" t="s">
        <v>51</v>
      </c>
    </row>
    <row r="149" spans="1:11" x14ac:dyDescent="0.3">
      <c r="A149" s="274">
        <v>5172</v>
      </c>
      <c r="B149" s="274" t="s">
        <v>1674</v>
      </c>
      <c r="C149" s="274">
        <v>51</v>
      </c>
      <c r="D149" s="170" t="s">
        <v>51</v>
      </c>
    </row>
    <row r="150" spans="1:11" x14ac:dyDescent="0.3">
      <c r="A150" s="274">
        <v>5182</v>
      </c>
      <c r="B150" s="274" t="s">
        <v>1010</v>
      </c>
      <c r="C150" s="274">
        <v>51</v>
      </c>
      <c r="D150" s="170" t="s">
        <v>51</v>
      </c>
    </row>
    <row r="151" spans="1:11" x14ac:dyDescent="0.3">
      <c r="A151" s="274">
        <v>5188</v>
      </c>
      <c r="B151" s="274" t="s">
        <v>1020</v>
      </c>
      <c r="C151" s="274">
        <v>51</v>
      </c>
      <c r="D151" s="170" t="s">
        <v>51</v>
      </c>
    </row>
    <row r="152" spans="1:11" x14ac:dyDescent="0.3">
      <c r="A152" s="274">
        <v>591706</v>
      </c>
      <c r="B152" s="1005" t="s">
        <v>1675</v>
      </c>
      <c r="C152" s="274">
        <v>59</v>
      </c>
      <c r="D152" s="170" t="s">
        <v>51</v>
      </c>
      <c r="K152" s="1005"/>
    </row>
    <row r="153" spans="1:11" x14ac:dyDescent="0.3">
      <c r="A153" s="274">
        <v>591612</v>
      </c>
      <c r="B153" s="1005" t="s">
        <v>1676</v>
      </c>
      <c r="C153" s="274">
        <v>59</v>
      </c>
      <c r="D153" s="170" t="s">
        <v>51</v>
      </c>
      <c r="K153" s="1005"/>
    </row>
    <row r="154" spans="1:11" x14ac:dyDescent="0.3">
      <c r="A154" s="274">
        <v>591604</v>
      </c>
      <c r="B154" s="274" t="s">
        <v>950</v>
      </c>
      <c r="C154" s="274">
        <v>59</v>
      </c>
      <c r="D154" s="170" t="s">
        <v>51</v>
      </c>
    </row>
    <row r="155" spans="1:11" x14ac:dyDescent="0.3">
      <c r="A155" s="274">
        <v>591632</v>
      </c>
      <c r="B155" s="1004" t="s">
        <v>962</v>
      </c>
      <c r="C155" s="274">
        <v>59</v>
      </c>
      <c r="D155" s="170" t="s">
        <v>51</v>
      </c>
      <c r="K155" s="1004"/>
    </row>
    <row r="156" spans="1:11" x14ac:dyDescent="0.3">
      <c r="A156" s="274">
        <v>591607</v>
      </c>
      <c r="B156" s="274" t="s">
        <v>967</v>
      </c>
      <c r="C156" s="274">
        <v>59</v>
      </c>
      <c r="D156" s="170" t="s">
        <v>51</v>
      </c>
    </row>
    <row r="157" spans="1:11" x14ac:dyDescent="0.3">
      <c r="A157" s="274">
        <v>591613</v>
      </c>
      <c r="B157" s="274" t="s">
        <v>1677</v>
      </c>
      <c r="C157" s="274">
        <v>59</v>
      </c>
      <c r="D157" s="170" t="s">
        <v>51</v>
      </c>
    </row>
    <row r="158" spans="1:11" x14ac:dyDescent="0.3">
      <c r="A158" s="274">
        <v>591616</v>
      </c>
      <c r="B158" s="1004" t="s">
        <v>1678</v>
      </c>
      <c r="C158" s="274">
        <v>59</v>
      </c>
      <c r="D158" s="170" t="s">
        <v>51</v>
      </c>
      <c r="K158" s="1004"/>
    </row>
    <row r="159" spans="1:11" x14ac:dyDescent="0.3">
      <c r="A159" s="274">
        <v>592368</v>
      </c>
      <c r="B159" s="274" t="s">
        <v>1016</v>
      </c>
      <c r="C159" s="274">
        <v>59</v>
      </c>
      <c r="D159" s="170" t="s">
        <v>51</v>
      </c>
    </row>
    <row r="160" spans="1:11" x14ac:dyDescent="0.3">
      <c r="A160" s="274">
        <v>591633</v>
      </c>
      <c r="B160" s="1004" t="s">
        <v>1679</v>
      </c>
      <c r="C160" s="274">
        <v>59</v>
      </c>
      <c r="D160" s="170" t="s">
        <v>51</v>
      </c>
      <c r="K160" s="1004"/>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2021-07-31T16:43:10Z</cp:lastPrinted>
  <dcterms:created xsi:type="dcterms:W3CDTF">2011-03-11T21:05:05Z</dcterms:created>
  <dcterms:modified xsi:type="dcterms:W3CDTF">2021-09-16T21:01:46Z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