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Pfx Engagement\WM\WorkPapers\{A34AC44B-D9B7-4037-828D-4BECEB300FA9}\{8AD589E5-FC1B-4C7B-9432-4759D81E13DE}\"/>
    </mc:Choice>
  </mc:AlternateContent>
  <xr:revisionPtr revIDLastSave="0" documentId="13_ncr:1_{E38F6CB4-0002-4CEC-9006-F124D4E14E90}" xr6:coauthVersionLast="41" xr6:coauthVersionMax="41" xr10:uidLastSave="{00000000-0000-0000-0000-000000000000}"/>
  <bookViews>
    <workbookView xWindow="28680" yWindow="-120" windowWidth="29040" windowHeight="17640" activeTab="1" xr2:uid="{00000000-000D-0000-FFFF-FFFF00000000}"/>
  </bookViews>
  <sheets>
    <sheet name="Instructions " sheetId="8" r:id="rId1"/>
    <sheet name="Collection Worksheet" sheetId="1" r:id="rId2"/>
    <sheet name="IMPORT" sheetId="28" state="hidden" r:id="rId3"/>
    <sheet name="RSS" sheetId="30" r:id="rId4"/>
    <sheet name="2018 Data" sheetId="36" state="hidden" r:id="rId5"/>
    <sheet name="Unit Names" sheetId="29" state="hidden" r:id="rId6"/>
  </sheets>
  <externalReferences>
    <externalReference r:id="rId7"/>
  </externalReferences>
  <definedNames>
    <definedName name="Audit_Dtl">[1]Database!$AC$3:$AP$413</definedName>
    <definedName name="_xlnm.Print_Area" localSheetId="1">'Collection Worksheet'!$A$7:$D$229</definedName>
    <definedName name="_xlnm.Print_Titles" localSheetId="1">'Collection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2" i="1" l="1"/>
  <c r="F166" i="1"/>
  <c r="F160" i="1"/>
  <c r="F153" i="1"/>
  <c r="R147" i="28"/>
  <c r="G230" i="1"/>
  <c r="L184" i="28"/>
  <c r="L183" i="28"/>
  <c r="L182" i="28"/>
  <c r="L181" i="28"/>
  <c r="E232" i="1"/>
  <c r="E229" i="1"/>
  <c r="E228" i="1"/>
  <c r="E227" i="1"/>
  <c r="E226" i="1"/>
  <c r="E225" i="1"/>
  <c r="E224" i="1"/>
  <c r="E223" i="1"/>
  <c r="E222" i="1"/>
  <c r="E221" i="1"/>
  <c r="E218" i="1"/>
  <c r="E216" i="1"/>
  <c r="E214" i="1"/>
  <c r="E212" i="1"/>
  <c r="E211" i="1"/>
  <c r="E210" i="1"/>
  <c r="E207" i="1"/>
  <c r="E206" i="1"/>
  <c r="E205" i="1"/>
  <c r="E204" i="1"/>
  <c r="E203" i="1"/>
  <c r="E202" i="1"/>
  <c r="E201" i="1"/>
  <c r="E200" i="1"/>
  <c r="E199" i="1"/>
  <c r="E198" i="1"/>
  <c r="E197" i="1"/>
  <c r="E196" i="1"/>
  <c r="E195" i="1"/>
  <c r="E194" i="1"/>
  <c r="E192" i="1"/>
  <c r="E191" i="1"/>
  <c r="E190" i="1"/>
  <c r="E189" i="1"/>
  <c r="E183" i="1"/>
  <c r="E182" i="1"/>
  <c r="E181" i="1"/>
  <c r="E180" i="1"/>
  <c r="E178" i="1"/>
  <c r="E177" i="1"/>
  <c r="E176" i="1"/>
  <c r="E171" i="1"/>
  <c r="E170" i="1"/>
  <c r="E169" i="1"/>
  <c r="E168" i="1"/>
  <c r="E165" i="1"/>
  <c r="E164" i="1"/>
  <c r="E163" i="1"/>
  <c r="E162" i="1"/>
  <c r="E159" i="1"/>
  <c r="E158" i="1"/>
  <c r="E157" i="1"/>
  <c r="E156" i="1"/>
  <c r="E152" i="1"/>
  <c r="E151" i="1"/>
  <c r="E147" i="1"/>
  <c r="E146" i="1"/>
  <c r="E142" i="1"/>
  <c r="E140" i="1"/>
  <c r="E138" i="1"/>
  <c r="E137" i="1"/>
  <c r="E136" i="1"/>
  <c r="E134" i="1"/>
  <c r="E133" i="1"/>
  <c r="E132" i="1"/>
  <c r="E127" i="1"/>
  <c r="E126" i="1"/>
  <c r="E125" i="1"/>
  <c r="E124" i="1"/>
  <c r="E123" i="1"/>
  <c r="E122" i="1"/>
  <c r="E121" i="1"/>
  <c r="E120" i="1"/>
  <c r="E119" i="1"/>
  <c r="E118" i="1"/>
  <c r="E117" i="1"/>
  <c r="E116" i="1"/>
  <c r="E115" i="1"/>
  <c r="E113" i="1"/>
  <c r="E112" i="1"/>
  <c r="E111" i="1"/>
  <c r="E110" i="1"/>
  <c r="E109" i="1"/>
  <c r="E108" i="1"/>
  <c r="E107" i="1"/>
  <c r="E106" i="1"/>
  <c r="E105" i="1"/>
  <c r="E104" i="1"/>
  <c r="E103" i="1"/>
  <c r="E102" i="1"/>
  <c r="E101" i="1"/>
  <c r="E100" i="1"/>
  <c r="E95" i="1"/>
  <c r="E94" i="1"/>
  <c r="E93" i="1"/>
  <c r="E92" i="1"/>
  <c r="E91" i="1"/>
  <c r="E90" i="1"/>
  <c r="E89" i="1"/>
  <c r="E88" i="1"/>
  <c r="E87" i="1"/>
  <c r="E86" i="1"/>
  <c r="E85" i="1"/>
  <c r="E84" i="1"/>
  <c r="E82" i="1"/>
  <c r="E81" i="1"/>
  <c r="E80" i="1"/>
  <c r="E79" i="1"/>
  <c r="E78" i="1"/>
  <c r="E77" i="1"/>
  <c r="E76" i="1"/>
  <c r="E75" i="1"/>
  <c r="E74" i="1"/>
  <c r="E73" i="1"/>
  <c r="E72" i="1"/>
  <c r="E71" i="1"/>
  <c r="E70" i="1"/>
  <c r="E66" i="1"/>
  <c r="E64" i="1"/>
  <c r="E62" i="1"/>
  <c r="E61" i="1"/>
  <c r="E60" i="1"/>
  <c r="E59" i="1"/>
  <c r="E58" i="1"/>
  <c r="E57" i="1"/>
  <c r="E56" i="1"/>
  <c r="E55" i="1"/>
  <c r="E54" i="1"/>
  <c r="E53" i="1"/>
  <c r="E52" i="1"/>
  <c r="E50" i="1"/>
  <c r="E49" i="1"/>
  <c r="E48" i="1"/>
  <c r="E47" i="1"/>
  <c r="E46" i="1"/>
  <c r="E45" i="1"/>
  <c r="E44" i="1"/>
  <c r="E43" i="1"/>
  <c r="E42" i="1"/>
  <c r="E41" i="1"/>
  <c r="E40" i="1"/>
  <c r="E39" i="1"/>
  <c r="E38" i="1"/>
  <c r="E36" i="1"/>
  <c r="E35" i="1"/>
  <c r="E33" i="1"/>
  <c r="E32" i="1"/>
  <c r="E31" i="1"/>
  <c r="E30" i="1"/>
  <c r="E29" i="1"/>
  <c r="E28" i="1"/>
  <c r="E27" i="1"/>
  <c r="E26" i="1"/>
  <c r="E25" i="1"/>
  <c r="E24" i="1"/>
  <c r="E23" i="1"/>
  <c r="E22" i="1"/>
  <c r="E20" i="1"/>
  <c r="E19" i="1"/>
  <c r="E17" i="1"/>
  <c r="E16" i="1"/>
  <c r="E15" i="1"/>
  <c r="E14" i="1"/>
  <c r="E11" i="1"/>
  <c r="E10" i="1"/>
  <c r="E8" i="1"/>
  <c r="E7" i="1"/>
  <c r="F290" i="36"/>
  <c r="G290" i="36"/>
  <c r="H290" i="36"/>
  <c r="I290" i="36"/>
  <c r="J290" i="36"/>
  <c r="K290" i="36"/>
  <c r="L290" i="36"/>
  <c r="M290" i="36"/>
  <c r="N290" i="36"/>
  <c r="O290" i="36"/>
  <c r="P290" i="36"/>
  <c r="Q290" i="36"/>
  <c r="R290" i="36"/>
  <c r="S290" i="36"/>
  <c r="T290" i="36"/>
  <c r="U290" i="36"/>
  <c r="V290" i="36"/>
  <c r="W290" i="36"/>
  <c r="X290" i="36"/>
  <c r="Y290" i="36"/>
  <c r="Z290" i="36"/>
  <c r="AA290" i="36"/>
  <c r="AB290" i="36"/>
  <c r="AC290" i="36"/>
  <c r="AD290" i="36"/>
  <c r="AE290" i="36"/>
  <c r="AF290" i="36"/>
  <c r="AG290" i="36"/>
  <c r="AH290" i="36"/>
  <c r="AI290" i="36"/>
  <c r="AJ290" i="36"/>
  <c r="AK290" i="36"/>
  <c r="AL290" i="36"/>
  <c r="AM290" i="36"/>
  <c r="AN290" i="36"/>
  <c r="AO290" i="36"/>
  <c r="AP290" i="36"/>
  <c r="AQ290" i="36"/>
  <c r="AR290" i="36"/>
  <c r="AS290" i="36"/>
  <c r="AT290" i="36"/>
  <c r="AU290" i="36"/>
  <c r="AV290" i="36"/>
  <c r="AW290" i="36"/>
  <c r="AX290" i="36"/>
  <c r="AY290" i="36"/>
  <c r="AZ290" i="36"/>
  <c r="BA290" i="36"/>
  <c r="BB290" i="36"/>
  <c r="BC290" i="36"/>
  <c r="BD290" i="36"/>
  <c r="BE290" i="36"/>
  <c r="BF290" i="36"/>
  <c r="BG290" i="36"/>
  <c r="BH290" i="36"/>
  <c r="BI290" i="36"/>
  <c r="BJ290" i="36"/>
  <c r="BK290" i="36"/>
  <c r="BL290" i="36"/>
  <c r="BM290" i="36"/>
  <c r="BN290" i="36"/>
  <c r="BO290" i="36"/>
  <c r="BP290" i="36"/>
  <c r="BQ290" i="36"/>
  <c r="BR290" i="36"/>
  <c r="BS290" i="36"/>
  <c r="BT290" i="36"/>
  <c r="BU290" i="36"/>
  <c r="BV290" i="36"/>
  <c r="BW290" i="36"/>
  <c r="BX290" i="36"/>
  <c r="BY290" i="36"/>
  <c r="BZ290" i="36"/>
  <c r="CA290" i="36"/>
  <c r="CB290" i="36"/>
  <c r="CC290" i="36"/>
  <c r="CD290" i="36"/>
  <c r="CE290" i="36"/>
  <c r="E290" i="36"/>
  <c r="F282" i="36"/>
  <c r="G282" i="36"/>
  <c r="H282" i="36"/>
  <c r="I282" i="36"/>
  <c r="J282" i="36"/>
  <c r="K282" i="36"/>
  <c r="L282" i="36"/>
  <c r="M282" i="36"/>
  <c r="N282" i="36"/>
  <c r="O282" i="36"/>
  <c r="P282" i="36"/>
  <c r="Q282" i="36"/>
  <c r="R282" i="36"/>
  <c r="S282" i="36"/>
  <c r="T282" i="36"/>
  <c r="U282" i="36"/>
  <c r="V282" i="36"/>
  <c r="W282" i="36"/>
  <c r="X282" i="36"/>
  <c r="Y282" i="36"/>
  <c r="Z282" i="36"/>
  <c r="AA282" i="36"/>
  <c r="AB282" i="36"/>
  <c r="AC282" i="36"/>
  <c r="AD282" i="36"/>
  <c r="AE282" i="36"/>
  <c r="AF282" i="36"/>
  <c r="AG282" i="36"/>
  <c r="AH282" i="36"/>
  <c r="AI282" i="36"/>
  <c r="AJ282" i="36"/>
  <c r="AK282" i="36"/>
  <c r="AL282" i="36"/>
  <c r="AM282" i="36"/>
  <c r="AN282" i="36"/>
  <c r="AO282" i="36"/>
  <c r="AP282" i="36"/>
  <c r="AQ282" i="36"/>
  <c r="AR282" i="36"/>
  <c r="AS282" i="36"/>
  <c r="AT282" i="36"/>
  <c r="AU282" i="36"/>
  <c r="AV282" i="36"/>
  <c r="AW282" i="36"/>
  <c r="AX282" i="36"/>
  <c r="AY282" i="36"/>
  <c r="AZ282" i="36"/>
  <c r="BA282" i="36"/>
  <c r="BB282" i="36"/>
  <c r="BC282" i="36"/>
  <c r="BD282" i="36"/>
  <c r="BE282" i="36"/>
  <c r="BF282" i="36"/>
  <c r="BG282" i="36"/>
  <c r="BH282" i="36"/>
  <c r="BI282" i="36"/>
  <c r="BJ282" i="36"/>
  <c r="BK282" i="36"/>
  <c r="BL282" i="36"/>
  <c r="BM282" i="36"/>
  <c r="BN282" i="36"/>
  <c r="BO282" i="36"/>
  <c r="BP282" i="36"/>
  <c r="BQ282" i="36"/>
  <c r="BR282" i="36"/>
  <c r="BS282" i="36"/>
  <c r="BT282" i="36"/>
  <c r="BU282" i="36"/>
  <c r="BV282" i="36"/>
  <c r="BW282" i="36"/>
  <c r="BX282" i="36"/>
  <c r="BY282" i="36"/>
  <c r="BZ282" i="36"/>
  <c r="CA282" i="36"/>
  <c r="CB282" i="36"/>
  <c r="CC282" i="36"/>
  <c r="CD282" i="36"/>
  <c r="CE282" i="36"/>
  <c r="F283" i="36"/>
  <c r="G283" i="36"/>
  <c r="H283" i="36"/>
  <c r="I283" i="36"/>
  <c r="J283" i="36"/>
  <c r="K283" i="36"/>
  <c r="L283" i="36"/>
  <c r="M283" i="36"/>
  <c r="N283" i="36"/>
  <c r="O283" i="36"/>
  <c r="P283" i="36"/>
  <c r="Q283" i="36"/>
  <c r="R283" i="36"/>
  <c r="S283" i="36"/>
  <c r="T283" i="36"/>
  <c r="U283" i="36"/>
  <c r="V283" i="36"/>
  <c r="W283" i="36"/>
  <c r="X283" i="36"/>
  <c r="Y283" i="36"/>
  <c r="Z283" i="36"/>
  <c r="AA283" i="36"/>
  <c r="AB283" i="36"/>
  <c r="AC283" i="36"/>
  <c r="AD283" i="36"/>
  <c r="AE283" i="36"/>
  <c r="AF283" i="36"/>
  <c r="AG283" i="36"/>
  <c r="AH283" i="36"/>
  <c r="AI283" i="36"/>
  <c r="AJ283" i="36"/>
  <c r="AK283" i="36"/>
  <c r="AL283" i="36"/>
  <c r="AM283" i="36"/>
  <c r="AN283" i="36"/>
  <c r="AO283" i="36"/>
  <c r="AP283" i="36"/>
  <c r="AQ283" i="36"/>
  <c r="AR283" i="36"/>
  <c r="AS283" i="36"/>
  <c r="AT283" i="36"/>
  <c r="AU283" i="36"/>
  <c r="AV283" i="36"/>
  <c r="AW283" i="36"/>
  <c r="AX283" i="36"/>
  <c r="AY283" i="36"/>
  <c r="AZ283" i="36"/>
  <c r="BA283" i="36"/>
  <c r="BB283" i="36"/>
  <c r="BC283" i="36"/>
  <c r="BD283" i="36"/>
  <c r="BE283" i="36"/>
  <c r="BF283" i="36"/>
  <c r="BG283" i="36"/>
  <c r="BH283" i="36"/>
  <c r="BI283" i="36"/>
  <c r="BJ283" i="36"/>
  <c r="BK283" i="36"/>
  <c r="BL283" i="36"/>
  <c r="BM283" i="36"/>
  <c r="BN283" i="36"/>
  <c r="BO283" i="36"/>
  <c r="BP283" i="36"/>
  <c r="BQ283" i="36"/>
  <c r="BR283" i="36"/>
  <c r="BS283" i="36"/>
  <c r="BT283" i="36"/>
  <c r="BU283" i="36"/>
  <c r="BV283" i="36"/>
  <c r="BW283" i="36"/>
  <c r="BX283" i="36"/>
  <c r="BY283" i="36"/>
  <c r="BZ283" i="36"/>
  <c r="CA283" i="36"/>
  <c r="CB283" i="36"/>
  <c r="CC283" i="36"/>
  <c r="CD283" i="36"/>
  <c r="CE283" i="36"/>
  <c r="F284" i="36"/>
  <c r="G284" i="36"/>
  <c r="H284" i="36"/>
  <c r="I284" i="36"/>
  <c r="J284" i="36"/>
  <c r="K284" i="36"/>
  <c r="L284" i="36"/>
  <c r="M284" i="36"/>
  <c r="N284" i="36"/>
  <c r="O284" i="36"/>
  <c r="P284" i="36"/>
  <c r="Q284" i="36"/>
  <c r="R284" i="36"/>
  <c r="S284" i="36"/>
  <c r="T284" i="36"/>
  <c r="U284" i="36"/>
  <c r="V284" i="36"/>
  <c r="W284" i="36"/>
  <c r="X284" i="36"/>
  <c r="Y284" i="36"/>
  <c r="Z284" i="36"/>
  <c r="AA284" i="36"/>
  <c r="AB284" i="36"/>
  <c r="AC284" i="36"/>
  <c r="AD284" i="36"/>
  <c r="AE284" i="36"/>
  <c r="AF284" i="36"/>
  <c r="AG284" i="36"/>
  <c r="AH284" i="36"/>
  <c r="AI284" i="36"/>
  <c r="AJ284" i="36"/>
  <c r="AK284" i="36"/>
  <c r="AL284" i="36"/>
  <c r="AM284" i="36"/>
  <c r="AN284" i="36"/>
  <c r="AO284" i="36"/>
  <c r="AP284" i="36"/>
  <c r="AQ284" i="36"/>
  <c r="AR284" i="36"/>
  <c r="AS284" i="36"/>
  <c r="AT284" i="36"/>
  <c r="AU284" i="36"/>
  <c r="AV284" i="36"/>
  <c r="AW284" i="36"/>
  <c r="AX284" i="36"/>
  <c r="AY284" i="36"/>
  <c r="AZ284" i="36"/>
  <c r="BA284" i="36"/>
  <c r="BB284" i="36"/>
  <c r="BC284" i="36"/>
  <c r="BD284" i="36"/>
  <c r="BE284" i="36"/>
  <c r="BF284" i="36"/>
  <c r="BG284" i="36"/>
  <c r="BH284" i="36"/>
  <c r="BI284" i="36"/>
  <c r="BJ284" i="36"/>
  <c r="BK284" i="36"/>
  <c r="BL284" i="36"/>
  <c r="BM284" i="36"/>
  <c r="BN284" i="36"/>
  <c r="BO284" i="36"/>
  <c r="BP284" i="36"/>
  <c r="BQ284" i="36"/>
  <c r="BR284" i="36"/>
  <c r="BS284" i="36"/>
  <c r="BT284" i="36"/>
  <c r="BU284" i="36"/>
  <c r="BV284" i="36"/>
  <c r="BW284" i="36"/>
  <c r="BX284" i="36"/>
  <c r="BY284" i="36"/>
  <c r="BZ284" i="36"/>
  <c r="CA284" i="36"/>
  <c r="CB284" i="36"/>
  <c r="CC284" i="36"/>
  <c r="CD284" i="36"/>
  <c r="CE284" i="36"/>
  <c r="E284" i="36"/>
  <c r="E283" i="36"/>
  <c r="E282" i="36"/>
  <c r="F173" i="1" l="1"/>
  <c r="E9" i="1"/>
  <c r="E13" i="1"/>
  <c r="E12" i="1"/>
  <c r="E287" i="36"/>
  <c r="G71" i="1" l="1"/>
  <c r="F287" i="36" l="1"/>
  <c r="G287" i="36"/>
  <c r="H287" i="36"/>
  <c r="I287" i="36"/>
  <c r="J287" i="36"/>
  <c r="K287" i="36"/>
  <c r="L287" i="36"/>
  <c r="M287" i="36"/>
  <c r="N287" i="36"/>
  <c r="O287" i="36"/>
  <c r="P287" i="36"/>
  <c r="Q287" i="36"/>
  <c r="R287" i="36"/>
  <c r="S287" i="36"/>
  <c r="T287" i="36"/>
  <c r="U287" i="36"/>
  <c r="V287" i="36"/>
  <c r="W287" i="36"/>
  <c r="X287" i="36"/>
  <c r="Y287" i="36"/>
  <c r="Z287" i="36"/>
  <c r="AA287" i="36"/>
  <c r="AB287" i="36"/>
  <c r="AC287" i="36"/>
  <c r="AD287" i="36"/>
  <c r="AE287" i="36"/>
  <c r="AF287" i="36"/>
  <c r="AG287" i="36"/>
  <c r="AH287" i="36"/>
  <c r="AI287" i="36"/>
  <c r="AJ287" i="36"/>
  <c r="AK287" i="36"/>
  <c r="AL287" i="36"/>
  <c r="AM287" i="36"/>
  <c r="AN287" i="36"/>
  <c r="AO287" i="36"/>
  <c r="AP287" i="36"/>
  <c r="AQ287" i="36"/>
  <c r="AR287" i="36"/>
  <c r="AS287" i="36"/>
  <c r="AT287" i="36"/>
  <c r="AU287" i="36"/>
  <c r="AV287" i="36"/>
  <c r="AW287" i="36"/>
  <c r="AX287" i="36"/>
  <c r="AY287" i="36"/>
  <c r="AZ287" i="36"/>
  <c r="BA287" i="36"/>
  <c r="BB287" i="36"/>
  <c r="BC287" i="36"/>
  <c r="BD287" i="36"/>
  <c r="BE287" i="36"/>
  <c r="BF287" i="36"/>
  <c r="BG287" i="36"/>
  <c r="BH287" i="36"/>
  <c r="BI287" i="36"/>
  <c r="BJ287" i="36"/>
  <c r="BK287" i="36"/>
  <c r="BL287" i="36"/>
  <c r="BM287" i="36"/>
  <c r="BN287" i="36"/>
  <c r="BO287" i="36"/>
  <c r="BP287" i="36"/>
  <c r="BQ287" i="36"/>
  <c r="BR287" i="36"/>
  <c r="BS287" i="36"/>
  <c r="BT287" i="36"/>
  <c r="BU287" i="36"/>
  <c r="BV287" i="36"/>
  <c r="BW287" i="36"/>
  <c r="BX287" i="36"/>
  <c r="BY287" i="36"/>
  <c r="BZ287" i="36"/>
  <c r="CA287" i="36"/>
  <c r="CB287" i="36"/>
  <c r="CC287" i="36"/>
  <c r="CD287" i="36"/>
  <c r="CE287" i="36"/>
  <c r="D3" i="1"/>
  <c r="F286" i="36"/>
  <c r="G286" i="36"/>
  <c r="H286" i="36"/>
  <c r="I286" i="36"/>
  <c r="J286" i="36"/>
  <c r="K286" i="36"/>
  <c r="L286" i="36"/>
  <c r="M286" i="36"/>
  <c r="N286" i="36"/>
  <c r="O286" i="36"/>
  <c r="P286" i="36"/>
  <c r="Q286" i="36"/>
  <c r="R286" i="36"/>
  <c r="S286" i="36"/>
  <c r="T286" i="36"/>
  <c r="U286" i="36"/>
  <c r="V286" i="36"/>
  <c r="W286" i="36"/>
  <c r="X286" i="36"/>
  <c r="Y286" i="36"/>
  <c r="Z286" i="36"/>
  <c r="AA286" i="36"/>
  <c r="AB286" i="36"/>
  <c r="AC286" i="36"/>
  <c r="AD286" i="36"/>
  <c r="AE286" i="36"/>
  <c r="AF286" i="36"/>
  <c r="AG286" i="36"/>
  <c r="AG288" i="36" s="1"/>
  <c r="AG294" i="36" s="1"/>
  <c r="AH286" i="36"/>
  <c r="AI286" i="36"/>
  <c r="AJ286" i="36"/>
  <c r="AK286" i="36"/>
  <c r="AL286" i="36"/>
  <c r="AM286" i="36"/>
  <c r="AN286" i="36"/>
  <c r="AN288" i="36" s="1"/>
  <c r="AN294" i="36" s="1"/>
  <c r="AO286" i="36"/>
  <c r="AO288" i="36" s="1"/>
  <c r="AO294" i="36" s="1"/>
  <c r="AP286" i="36"/>
  <c r="AQ286" i="36"/>
  <c r="AR286" i="36"/>
  <c r="AS286" i="36"/>
  <c r="AT286" i="36"/>
  <c r="AU286" i="36"/>
  <c r="AV286" i="36"/>
  <c r="AV288" i="36" s="1"/>
  <c r="AV294" i="36" s="1"/>
  <c r="AW286" i="36"/>
  <c r="AW288" i="36" s="1"/>
  <c r="AW294" i="36" s="1"/>
  <c r="AX286" i="36"/>
  <c r="AY286" i="36"/>
  <c r="AZ286" i="36"/>
  <c r="BA286" i="36"/>
  <c r="BB286" i="36"/>
  <c r="BC286" i="36"/>
  <c r="BD286" i="36"/>
  <c r="BD288" i="36" s="1"/>
  <c r="BD294" i="36" s="1"/>
  <c r="BE286" i="36"/>
  <c r="BE288" i="36" s="1"/>
  <c r="BE294" i="36" s="1"/>
  <c r="BF286" i="36"/>
  <c r="BG286" i="36"/>
  <c r="BH286" i="36"/>
  <c r="BI286" i="36"/>
  <c r="BJ286" i="36"/>
  <c r="BK286" i="36"/>
  <c r="BL286" i="36"/>
  <c r="BM286" i="36"/>
  <c r="BM288" i="36" s="1"/>
  <c r="BM294" i="36" s="1"/>
  <c r="BN286" i="36"/>
  <c r="BO286" i="36"/>
  <c r="BP286" i="36"/>
  <c r="BQ286" i="36"/>
  <c r="BR286" i="36"/>
  <c r="BS286" i="36"/>
  <c r="BT286" i="36"/>
  <c r="BT288" i="36" s="1"/>
  <c r="BT294" i="36" s="1"/>
  <c r="BU286" i="36"/>
  <c r="BU288" i="36" s="1"/>
  <c r="BU294" i="36" s="1"/>
  <c r="BV286" i="36"/>
  <c r="BW286" i="36"/>
  <c r="BX286" i="36"/>
  <c r="BY286" i="36"/>
  <c r="BZ286" i="36"/>
  <c r="CA286" i="36"/>
  <c r="CB286" i="36"/>
  <c r="CB288" i="36" s="1"/>
  <c r="CB294" i="36" s="1"/>
  <c r="CC286" i="36"/>
  <c r="CC288" i="36" s="1"/>
  <c r="CC294" i="36" s="1"/>
  <c r="CD286" i="36"/>
  <c r="CE286" i="36"/>
  <c r="E286" i="36"/>
  <c r="E288" i="36" s="1"/>
  <c r="E294" i="36" s="1"/>
  <c r="BX288" i="36" l="1"/>
  <c r="BX294" i="36" s="1"/>
  <c r="BP288" i="36"/>
  <c r="BP294" i="36" s="1"/>
  <c r="BH288" i="36"/>
  <c r="BH294" i="36" s="1"/>
  <c r="AZ288" i="36"/>
  <c r="AZ294" i="36" s="1"/>
  <c r="AR288" i="36"/>
  <c r="AR294" i="36" s="1"/>
  <c r="AJ288" i="36"/>
  <c r="AJ294" i="36" s="1"/>
  <c r="AB288" i="36"/>
  <c r="AB294" i="36" s="1"/>
  <c r="T288" i="36"/>
  <c r="T294" i="36" s="1"/>
  <c r="L288" i="36"/>
  <c r="L294" i="36" s="1"/>
  <c r="Y288" i="36"/>
  <c r="Y294" i="36" s="1"/>
  <c r="Q288" i="36"/>
  <c r="Q294" i="36" s="1"/>
  <c r="I288" i="36"/>
  <c r="I294" i="36" s="1"/>
  <c r="AF288" i="36"/>
  <c r="AF294" i="36" s="1"/>
  <c r="X288" i="36"/>
  <c r="X294" i="36" s="1"/>
  <c r="P288" i="36"/>
  <c r="P294" i="36" s="1"/>
  <c r="H288" i="36"/>
  <c r="H294" i="36" s="1"/>
  <c r="BL288" i="36"/>
  <c r="BL294" i="36" s="1"/>
  <c r="AA288" i="36"/>
  <c r="AA294" i="36" s="1"/>
  <c r="S288" i="36"/>
  <c r="S294" i="36" s="1"/>
  <c r="BK288" i="36"/>
  <c r="BK294" i="36" s="1"/>
  <c r="BC288" i="36"/>
  <c r="BC294" i="36" s="1"/>
  <c r="AU288" i="36"/>
  <c r="AU294" i="36" s="1"/>
  <c r="AM288" i="36"/>
  <c r="AM294" i="36" s="1"/>
  <c r="AE288" i="36"/>
  <c r="AE294" i="36" s="1"/>
  <c r="W288" i="36"/>
  <c r="W294" i="36" s="1"/>
  <c r="O288" i="36"/>
  <c r="O294" i="36" s="1"/>
  <c r="BQ288" i="36"/>
  <c r="BQ294" i="36" s="1"/>
  <c r="BI288" i="36"/>
  <c r="BI294" i="36" s="1"/>
  <c r="BA288" i="36"/>
  <c r="BA294" i="36" s="1"/>
  <c r="AS288" i="36"/>
  <c r="AS294" i="36" s="1"/>
  <c r="AK288" i="36"/>
  <c r="AK294" i="36" s="1"/>
  <c r="AC288" i="36"/>
  <c r="AC294" i="36" s="1"/>
  <c r="U288" i="36"/>
  <c r="U294" i="36" s="1"/>
  <c r="M288" i="36"/>
  <c r="M294" i="36" s="1"/>
  <c r="K288" i="36"/>
  <c r="K294" i="36" s="1"/>
  <c r="G288" i="36"/>
  <c r="G294" i="36" s="1"/>
  <c r="BY288" i="36"/>
  <c r="BY294" i="36" s="1"/>
  <c r="CE288" i="36"/>
  <c r="CE294" i="36" s="1"/>
  <c r="BW288" i="36"/>
  <c r="BW294" i="36" s="1"/>
  <c r="BO288" i="36"/>
  <c r="BO294" i="36" s="1"/>
  <c r="BG288" i="36"/>
  <c r="BG294" i="36" s="1"/>
  <c r="AY288" i="36"/>
  <c r="AY294" i="36" s="1"/>
  <c r="AQ288" i="36"/>
  <c r="AQ294" i="36" s="1"/>
  <c r="AI288" i="36"/>
  <c r="AI294" i="36" s="1"/>
  <c r="CD288" i="36"/>
  <c r="CD294" i="36" s="1"/>
  <c r="BV288" i="36"/>
  <c r="BV294" i="36" s="1"/>
  <c r="BN288" i="36"/>
  <c r="BN294" i="36" s="1"/>
  <c r="BF288" i="36"/>
  <c r="BF294" i="36" s="1"/>
  <c r="AX288" i="36"/>
  <c r="AX294" i="36" s="1"/>
  <c r="AP288" i="36"/>
  <c r="AP294" i="36" s="1"/>
  <c r="AH288" i="36"/>
  <c r="AH294" i="36" s="1"/>
  <c r="Z288" i="36"/>
  <c r="Z294" i="36" s="1"/>
  <c r="R288" i="36"/>
  <c r="R294" i="36" s="1"/>
  <c r="J288" i="36"/>
  <c r="J294" i="36" s="1"/>
  <c r="CA288" i="36"/>
  <c r="CA294" i="36" s="1"/>
  <c r="BS288" i="36"/>
  <c r="BS294" i="36" s="1"/>
  <c r="BZ288" i="36"/>
  <c r="BZ294" i="36" s="1"/>
  <c r="BR288" i="36"/>
  <c r="BR294" i="36" s="1"/>
  <c r="BJ288" i="36"/>
  <c r="BJ294" i="36" s="1"/>
  <c r="BB288" i="36"/>
  <c r="BB294" i="36" s="1"/>
  <c r="AT288" i="36"/>
  <c r="AT294" i="36" s="1"/>
  <c r="AL288" i="36"/>
  <c r="AL294" i="36" s="1"/>
  <c r="AD288" i="36"/>
  <c r="AD294" i="36" s="1"/>
  <c r="V288" i="36"/>
  <c r="V294" i="36" s="1"/>
  <c r="N288" i="36"/>
  <c r="N294" i="36" s="1"/>
  <c r="F288" i="36"/>
  <c r="F294" i="36" s="1"/>
  <c r="C147" i="28" l="1"/>
  <c r="E176" i="28"/>
  <c r="C176" i="28"/>
  <c r="A176" i="28"/>
  <c r="R176" i="28" s="1"/>
  <c r="L176" i="28" l="1"/>
  <c r="X176" i="28" s="1"/>
  <c r="G229" i="1"/>
  <c r="G228" i="1"/>
  <c r="E147" i="28"/>
  <c r="E142" i="28"/>
  <c r="L142" i="28" s="1"/>
  <c r="E187" i="28"/>
  <c r="C187" i="28"/>
  <c r="A187" i="28"/>
  <c r="E137" i="28"/>
  <c r="G124" i="1"/>
  <c r="G121" i="1"/>
  <c r="G30" i="1"/>
  <c r="X142" i="28" l="1"/>
  <c r="A142" i="28"/>
  <c r="R142" i="28" s="1"/>
  <c r="B142" i="28"/>
  <c r="C142" i="28"/>
  <c r="A141" i="28"/>
  <c r="R141" i="28" s="1"/>
  <c r="E141" i="28"/>
  <c r="C141" i="28"/>
  <c r="B141" i="28"/>
  <c r="L141" i="28" l="1"/>
  <c r="X141" i="28" s="1"/>
  <c r="G187" i="1"/>
  <c r="E149" i="28" l="1"/>
  <c r="L147" i="28" l="1"/>
  <c r="B146" i="28"/>
  <c r="C146" i="28"/>
  <c r="A146" i="28"/>
  <c r="R146" i="28" s="1"/>
  <c r="O82" i="28"/>
  <c r="H111" i="1"/>
  <c r="H64" i="1"/>
  <c r="O28" i="28"/>
  <c r="O27" i="28"/>
  <c r="O14" i="28"/>
  <c r="O13" i="28"/>
  <c r="E5" i="28"/>
  <c r="G189" i="1"/>
  <c r="H145" i="28"/>
  <c r="H144" i="28"/>
  <c r="H153" i="28"/>
  <c r="H152" i="28"/>
  <c r="H150" i="28"/>
  <c r="H149" i="28"/>
  <c r="H159" i="28"/>
  <c r="H158" i="28"/>
  <c r="H191" i="1"/>
  <c r="H206" i="1"/>
  <c r="H203" i="1"/>
  <c r="H200" i="1"/>
  <c r="H197" i="1"/>
  <c r="G190" i="1"/>
  <c r="H190" i="1"/>
  <c r="H192" i="1"/>
  <c r="G192" i="1" s="1"/>
  <c r="G191" i="1"/>
  <c r="H207" i="1"/>
  <c r="G207" i="1" s="1"/>
  <c r="G206" i="1"/>
  <c r="H205" i="1"/>
  <c r="G205" i="1"/>
  <c r="H204" i="1"/>
  <c r="G204" i="1" s="1"/>
  <c r="G203" i="1"/>
  <c r="H202" i="1"/>
  <c r="G202" i="1"/>
  <c r="H201" i="1"/>
  <c r="G201" i="1" s="1"/>
  <c r="G200" i="1"/>
  <c r="H199" i="1"/>
  <c r="G199" i="1"/>
  <c r="H198" i="1"/>
  <c r="G198" i="1" s="1"/>
  <c r="G197" i="1"/>
  <c r="G196" i="1"/>
  <c r="H196" i="1"/>
  <c r="H177" i="28"/>
  <c r="E177" i="28"/>
  <c r="C177" i="28"/>
  <c r="A177" i="28"/>
  <c r="R177" i="28" s="1"/>
  <c r="G232" i="1"/>
  <c r="E154" i="28"/>
  <c r="E160" i="28"/>
  <c r="E157" i="28"/>
  <c r="E151" i="28"/>
  <c r="C151" i="28"/>
  <c r="E146" i="28"/>
  <c r="A151" i="28"/>
  <c r="R151" i="28" s="1"/>
  <c r="B151" i="28"/>
  <c r="A152" i="28"/>
  <c r="R152" i="28" s="1"/>
  <c r="B152" i="28"/>
  <c r="C152" i="28"/>
  <c r="A153" i="28"/>
  <c r="R153" i="28" s="1"/>
  <c r="B153" i="28"/>
  <c r="C153" i="28"/>
  <c r="A154" i="28"/>
  <c r="R154" i="28" s="1"/>
  <c r="B154" i="28"/>
  <c r="C154" i="28"/>
  <c r="A155" i="28"/>
  <c r="R155" i="28" s="1"/>
  <c r="B155" i="28"/>
  <c r="C155" i="28"/>
  <c r="A156" i="28"/>
  <c r="R156" i="28" s="1"/>
  <c r="B156" i="28"/>
  <c r="C156" i="28"/>
  <c r="A157" i="28"/>
  <c r="R157" i="28" s="1"/>
  <c r="B157" i="28"/>
  <c r="C157" i="28"/>
  <c r="A158" i="28"/>
  <c r="R158" i="28" s="1"/>
  <c r="B158" i="28"/>
  <c r="C158" i="28"/>
  <c r="A159" i="28"/>
  <c r="R159" i="28" s="1"/>
  <c r="B159" i="28"/>
  <c r="C159" i="28"/>
  <c r="A160" i="28"/>
  <c r="R160" i="28" s="1"/>
  <c r="B160" i="28"/>
  <c r="C160" i="28"/>
  <c r="E158" i="28"/>
  <c r="E159" i="28"/>
  <c r="G36" i="1"/>
  <c r="G13" i="1"/>
  <c r="H31" i="28"/>
  <c r="H30" i="28"/>
  <c r="C31" i="28"/>
  <c r="C30" i="28"/>
  <c r="G11" i="1"/>
  <c r="E171" i="28"/>
  <c r="E172" i="28"/>
  <c r="E173" i="28"/>
  <c r="E168" i="28"/>
  <c r="E169" i="28"/>
  <c r="E170" i="28"/>
  <c r="E167" i="28"/>
  <c r="A78" i="28"/>
  <c r="R78" i="28" s="1"/>
  <c r="A73" i="28"/>
  <c r="R73" i="28" s="1"/>
  <c r="A65" i="28"/>
  <c r="R65" i="28" s="1"/>
  <c r="A61" i="28"/>
  <c r="R61" i="28" s="1"/>
  <c r="A34" i="28"/>
  <c r="R34" i="28" s="1"/>
  <c r="A33" i="28"/>
  <c r="R33" i="28" s="1"/>
  <c r="E35" i="28"/>
  <c r="E33" i="28"/>
  <c r="E32" i="28"/>
  <c r="G79" i="1"/>
  <c r="G110" i="1"/>
  <c r="G95" i="1"/>
  <c r="G88" i="1"/>
  <c r="G126" i="1"/>
  <c r="G82" i="1"/>
  <c r="G75" i="1"/>
  <c r="G62" i="1"/>
  <c r="G49" i="1"/>
  <c r="G17" i="1"/>
  <c r="N168" i="28"/>
  <c r="C10" i="28"/>
  <c r="G41" i="1"/>
  <c r="E34" i="28"/>
  <c r="G116" i="1"/>
  <c r="G101" i="1"/>
  <c r="G93" i="1"/>
  <c r="G89" i="1"/>
  <c r="G76" i="1"/>
  <c r="G40" i="1"/>
  <c r="G33" i="1"/>
  <c r="A58" i="28"/>
  <c r="R58" i="28" s="1"/>
  <c r="C58" i="28"/>
  <c r="E58" i="28"/>
  <c r="H58" i="28"/>
  <c r="A31" i="28"/>
  <c r="R31" i="28" s="1"/>
  <c r="B31" i="28"/>
  <c r="E31" i="28"/>
  <c r="E30" i="28"/>
  <c r="B30" i="28"/>
  <c r="A30" i="28"/>
  <c r="R30" i="28" s="1"/>
  <c r="G227" i="1"/>
  <c r="G226" i="1"/>
  <c r="G225" i="1"/>
  <c r="G224" i="1"/>
  <c r="G223" i="1"/>
  <c r="G222" i="1"/>
  <c r="G221" i="1"/>
  <c r="E186" i="28"/>
  <c r="C186" i="28"/>
  <c r="B186" i="28"/>
  <c r="A186" i="28"/>
  <c r="E80" i="28"/>
  <c r="H62" i="1"/>
  <c r="E78" i="28"/>
  <c r="B78" i="28"/>
  <c r="C78" i="28"/>
  <c r="E73" i="28"/>
  <c r="B73" i="28"/>
  <c r="C73" i="28"/>
  <c r="E65" i="28"/>
  <c r="B65" i="28"/>
  <c r="C65" i="28"/>
  <c r="E61" i="28"/>
  <c r="B61" i="28"/>
  <c r="C61" i="28"/>
  <c r="B34" i="28"/>
  <c r="C34" i="28"/>
  <c r="H95" i="1"/>
  <c r="G31" i="1"/>
  <c r="G78" i="1"/>
  <c r="E75" i="28"/>
  <c r="H82" i="1"/>
  <c r="G85" i="1"/>
  <c r="G84" i="1"/>
  <c r="H31" i="1"/>
  <c r="H174" i="28"/>
  <c r="H175" i="28"/>
  <c r="H166" i="28"/>
  <c r="H165" i="28"/>
  <c r="H164" i="28"/>
  <c r="H162" i="28"/>
  <c r="H163" i="28"/>
  <c r="H161" i="28"/>
  <c r="H148" i="28"/>
  <c r="H155" i="28"/>
  <c r="H156" i="28"/>
  <c r="H143" i="28"/>
  <c r="H138" i="28"/>
  <c r="H139" i="28"/>
  <c r="H140" i="28"/>
  <c r="H137" i="28"/>
  <c r="H135" i="28"/>
  <c r="H136" i="28"/>
  <c r="H134" i="28"/>
  <c r="H131" i="28"/>
  <c r="H132" i="28"/>
  <c r="H133" i="28"/>
  <c r="H130" i="28"/>
  <c r="H127" i="28"/>
  <c r="H128" i="28"/>
  <c r="H129" i="28"/>
  <c r="H126" i="28"/>
  <c r="H125" i="28"/>
  <c r="H124" i="28"/>
  <c r="H123" i="28"/>
  <c r="H122" i="28"/>
  <c r="H121" i="28"/>
  <c r="H120" i="28"/>
  <c r="H119" i="28"/>
  <c r="H118" i="28"/>
  <c r="H117" i="28"/>
  <c r="H116" i="28"/>
  <c r="H114" i="28"/>
  <c r="H115" i="28"/>
  <c r="H113" i="28"/>
  <c r="H111" i="28"/>
  <c r="H112" i="28"/>
  <c r="H110" i="28"/>
  <c r="H98" i="28"/>
  <c r="H99" i="28"/>
  <c r="H100" i="28"/>
  <c r="H101" i="28"/>
  <c r="H102" i="28"/>
  <c r="H103" i="28"/>
  <c r="H104" i="28"/>
  <c r="H105" i="28"/>
  <c r="H106" i="28"/>
  <c r="H107" i="28"/>
  <c r="H108" i="28"/>
  <c r="H109" i="28"/>
  <c r="H97" i="28"/>
  <c r="H84" i="28"/>
  <c r="H85" i="28"/>
  <c r="H86" i="28"/>
  <c r="H87" i="28"/>
  <c r="H88" i="28"/>
  <c r="H89" i="28"/>
  <c r="H90" i="28"/>
  <c r="H91" i="28"/>
  <c r="H92" i="28"/>
  <c r="H93" i="28"/>
  <c r="H94" i="28"/>
  <c r="H95" i="28"/>
  <c r="H96" i="28"/>
  <c r="H83" i="28"/>
  <c r="H72" i="28"/>
  <c r="H74" i="28"/>
  <c r="H75" i="28"/>
  <c r="H76" i="28"/>
  <c r="H77" i="28"/>
  <c r="H79" i="28"/>
  <c r="H80" i="28"/>
  <c r="H81" i="28"/>
  <c r="H82" i="28"/>
  <c r="H71" i="28"/>
  <c r="H60" i="28"/>
  <c r="H62" i="28"/>
  <c r="H63" i="28"/>
  <c r="H64" i="28"/>
  <c r="H66" i="28"/>
  <c r="H67" i="28"/>
  <c r="H68" i="28"/>
  <c r="H69" i="28"/>
  <c r="H70" i="28"/>
  <c r="H59" i="28"/>
  <c r="H57" i="28"/>
  <c r="H46" i="28"/>
  <c r="H47" i="28"/>
  <c r="H48" i="28"/>
  <c r="H49" i="28"/>
  <c r="H50" i="28"/>
  <c r="H51" i="28"/>
  <c r="H52" i="28"/>
  <c r="H53" i="28"/>
  <c r="H54" i="28"/>
  <c r="H55" i="28"/>
  <c r="H56" i="28"/>
  <c r="H45" i="28"/>
  <c r="H33" i="28"/>
  <c r="H35" i="28"/>
  <c r="H36" i="28"/>
  <c r="H37" i="28"/>
  <c r="H38" i="28"/>
  <c r="H39" i="28"/>
  <c r="H40" i="28"/>
  <c r="H41" i="28"/>
  <c r="H42" i="28"/>
  <c r="H43" i="28"/>
  <c r="H44" i="28"/>
  <c r="H32" i="28"/>
  <c r="H19" i="28"/>
  <c r="H20" i="28"/>
  <c r="H21" i="28"/>
  <c r="H22" i="28"/>
  <c r="H23" i="28"/>
  <c r="H24" i="28"/>
  <c r="H25" i="28"/>
  <c r="H26" i="28"/>
  <c r="H27" i="28"/>
  <c r="H28" i="28"/>
  <c r="H29" i="28"/>
  <c r="H18" i="28"/>
  <c r="H17" i="28"/>
  <c r="H16" i="28"/>
  <c r="H6" i="28"/>
  <c r="H7" i="28"/>
  <c r="H8" i="28"/>
  <c r="H9" i="28"/>
  <c r="H10" i="28"/>
  <c r="H11" i="28"/>
  <c r="H12" i="28"/>
  <c r="H13" i="28"/>
  <c r="H14" i="28"/>
  <c r="H15" i="28"/>
  <c r="H5" i="28"/>
  <c r="A168" i="28"/>
  <c r="R168" i="28" s="1"/>
  <c r="B168" i="28"/>
  <c r="C168" i="28"/>
  <c r="A169" i="28"/>
  <c r="R169" i="28" s="1"/>
  <c r="B169" i="28"/>
  <c r="C169" i="28"/>
  <c r="A170" i="28"/>
  <c r="R170" i="28" s="1"/>
  <c r="B170" i="28"/>
  <c r="C170" i="28"/>
  <c r="A171" i="28"/>
  <c r="R171" i="28" s="1"/>
  <c r="B171" i="28"/>
  <c r="C171" i="28"/>
  <c r="A172" i="28"/>
  <c r="R172" i="28" s="1"/>
  <c r="B172" i="28"/>
  <c r="C172" i="28"/>
  <c r="A173" i="28"/>
  <c r="R173" i="28" s="1"/>
  <c r="B173" i="28"/>
  <c r="C173" i="28"/>
  <c r="A174" i="28"/>
  <c r="R174" i="28" s="1"/>
  <c r="B174" i="28"/>
  <c r="C174" i="28"/>
  <c r="E174" i="28"/>
  <c r="A175" i="28"/>
  <c r="R175" i="28" s="1"/>
  <c r="B175" i="28"/>
  <c r="C175" i="28"/>
  <c r="E175" i="28"/>
  <c r="A167" i="28"/>
  <c r="R167" i="28" s="1"/>
  <c r="B167" i="28"/>
  <c r="C167" i="28"/>
  <c r="A135" i="28"/>
  <c r="R135" i="28" s="1"/>
  <c r="B135" i="28"/>
  <c r="C135" i="28"/>
  <c r="E135" i="28"/>
  <c r="A136" i="28"/>
  <c r="R136" i="28" s="1"/>
  <c r="B136" i="28"/>
  <c r="C136" i="28"/>
  <c r="E136" i="28"/>
  <c r="E134" i="28"/>
  <c r="C134" i="28"/>
  <c r="B134" i="28"/>
  <c r="A134" i="28"/>
  <c r="R134" i="28" s="1"/>
  <c r="A131" i="28"/>
  <c r="R131" i="28" s="1"/>
  <c r="B131" i="28"/>
  <c r="C131" i="28"/>
  <c r="E131" i="28"/>
  <c r="A132" i="28"/>
  <c r="R132" i="28" s="1"/>
  <c r="B132" i="28"/>
  <c r="C132" i="28"/>
  <c r="E132" i="28"/>
  <c r="A133" i="28"/>
  <c r="R133" i="28" s="1"/>
  <c r="B133" i="28"/>
  <c r="C133" i="28"/>
  <c r="E133" i="28"/>
  <c r="E130" i="28"/>
  <c r="C130" i="28"/>
  <c r="B130" i="28"/>
  <c r="A130" i="28"/>
  <c r="R130" i="28" s="1"/>
  <c r="A127" i="28"/>
  <c r="R127" i="28" s="1"/>
  <c r="B127" i="28"/>
  <c r="C127" i="28"/>
  <c r="E127" i="28"/>
  <c r="A128" i="28"/>
  <c r="R128" i="28" s="1"/>
  <c r="B128" i="28"/>
  <c r="C128" i="28"/>
  <c r="E128" i="28"/>
  <c r="A129" i="28"/>
  <c r="R129" i="28" s="1"/>
  <c r="B129" i="28"/>
  <c r="C129" i="28"/>
  <c r="E129" i="28"/>
  <c r="E126" i="28"/>
  <c r="C126" i="28"/>
  <c r="B126" i="28"/>
  <c r="A126" i="28"/>
  <c r="R126" i="28" s="1"/>
  <c r="A125" i="28"/>
  <c r="R125" i="28" s="1"/>
  <c r="B125" i="28"/>
  <c r="C125" i="28"/>
  <c r="E125" i="28"/>
  <c r="A123" i="28"/>
  <c r="R123" i="28" s="1"/>
  <c r="B123" i="28"/>
  <c r="C123" i="28"/>
  <c r="E123" i="28"/>
  <c r="A124" i="28"/>
  <c r="R124" i="28" s="1"/>
  <c r="B124" i="28"/>
  <c r="C124" i="28"/>
  <c r="E124" i="28"/>
  <c r="E122" i="28"/>
  <c r="C122" i="28"/>
  <c r="B122" i="28"/>
  <c r="A122" i="28"/>
  <c r="R122" i="28" s="1"/>
  <c r="A121" i="28"/>
  <c r="R121" i="28" s="1"/>
  <c r="B121" i="28"/>
  <c r="C121" i="28"/>
  <c r="E121" i="28"/>
  <c r="E120" i="28"/>
  <c r="C120" i="28"/>
  <c r="B120" i="28"/>
  <c r="A120" i="28"/>
  <c r="R120" i="28" s="1"/>
  <c r="A119" i="28"/>
  <c r="R119" i="28" s="1"/>
  <c r="B119" i="28"/>
  <c r="C119" i="28"/>
  <c r="E119" i="28"/>
  <c r="E118" i="28"/>
  <c r="C118" i="28"/>
  <c r="B118" i="28"/>
  <c r="A118" i="28"/>
  <c r="R118" i="28" s="1"/>
  <c r="A29" i="28"/>
  <c r="R29" i="28" s="1"/>
  <c r="B29" i="28"/>
  <c r="C29" i="28"/>
  <c r="E29" i="28"/>
  <c r="A8" i="28"/>
  <c r="R8" i="28" s="1"/>
  <c r="B8" i="28"/>
  <c r="C8" i="28"/>
  <c r="E8" i="28"/>
  <c r="A9" i="28"/>
  <c r="R9" i="28" s="1"/>
  <c r="B9" i="28"/>
  <c r="C9" i="28"/>
  <c r="H126" i="1"/>
  <c r="H49" i="1"/>
  <c r="H17" i="1"/>
  <c r="G10" i="1"/>
  <c r="A145" i="28"/>
  <c r="R145" i="28" s="1"/>
  <c r="B145" i="28"/>
  <c r="C145" i="28"/>
  <c r="E145" i="28"/>
  <c r="H4" i="30"/>
  <c r="F4" i="30"/>
  <c r="E153" i="28"/>
  <c r="L149" i="28"/>
  <c r="X149" i="28" s="1"/>
  <c r="E113" i="28"/>
  <c r="G125" i="1"/>
  <c r="E106" i="28"/>
  <c r="E102" i="28"/>
  <c r="E97" i="28"/>
  <c r="E92" i="28"/>
  <c r="E87" i="28"/>
  <c r="E83" i="28"/>
  <c r="G92" i="1"/>
  <c r="E62" i="28"/>
  <c r="E54" i="28"/>
  <c r="E50" i="28"/>
  <c r="E41" i="28"/>
  <c r="G44" i="1"/>
  <c r="E27" i="28"/>
  <c r="E26" i="28"/>
  <c r="G27" i="1"/>
  <c r="B166" i="28"/>
  <c r="B165" i="28"/>
  <c r="B164" i="28"/>
  <c r="B163" i="28"/>
  <c r="B162" i="28"/>
  <c r="B161" i="28"/>
  <c r="B144" i="28"/>
  <c r="B150" i="28"/>
  <c r="B149" i="28"/>
  <c r="B148" i="28"/>
  <c r="B143" i="28"/>
  <c r="B140" i="28"/>
  <c r="B139" i="28"/>
  <c r="B138" i="28"/>
  <c r="B137"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7" i="28"/>
  <c r="B76" i="28"/>
  <c r="B75" i="28"/>
  <c r="B74" i="28"/>
  <c r="B72" i="28"/>
  <c r="B71" i="28"/>
  <c r="B70" i="28"/>
  <c r="B69" i="28"/>
  <c r="B68" i="28"/>
  <c r="B67" i="28"/>
  <c r="B66" i="28"/>
  <c r="B64" i="28"/>
  <c r="B63" i="28"/>
  <c r="B62" i="28"/>
  <c r="B60" i="28"/>
  <c r="B59" i="28"/>
  <c r="B57" i="28"/>
  <c r="B56" i="28"/>
  <c r="B55" i="28"/>
  <c r="B54" i="28"/>
  <c r="B53" i="28"/>
  <c r="B52" i="28"/>
  <c r="B51" i="28"/>
  <c r="B50" i="28"/>
  <c r="B49" i="28"/>
  <c r="B48" i="28"/>
  <c r="B47" i="28"/>
  <c r="B46" i="28"/>
  <c r="B45" i="28"/>
  <c r="B44" i="28"/>
  <c r="B43" i="28"/>
  <c r="B42" i="28"/>
  <c r="B41" i="28"/>
  <c r="B40" i="28"/>
  <c r="B39" i="28"/>
  <c r="B38" i="28"/>
  <c r="B37" i="28"/>
  <c r="B36" i="28"/>
  <c r="B35" i="28"/>
  <c r="B33" i="28"/>
  <c r="B32" i="28"/>
  <c r="B28" i="28"/>
  <c r="B27" i="28"/>
  <c r="B26" i="28"/>
  <c r="B25" i="28"/>
  <c r="B24" i="28"/>
  <c r="B23" i="28"/>
  <c r="B22" i="28"/>
  <c r="B21" i="28"/>
  <c r="B20" i="28"/>
  <c r="B19" i="28"/>
  <c r="B18" i="28"/>
  <c r="B17" i="28"/>
  <c r="B16" i="28"/>
  <c r="B15" i="28"/>
  <c r="B14" i="28"/>
  <c r="B13" i="28"/>
  <c r="B12" i="28"/>
  <c r="B11" i="28"/>
  <c r="B10" i="28"/>
  <c r="B7" i="28"/>
  <c r="B6" i="28"/>
  <c r="B5" i="28"/>
  <c r="A140" i="28"/>
  <c r="R140" i="28" s="1"/>
  <c r="E144" i="28"/>
  <c r="A144" i="28"/>
  <c r="R144" i="28" s="1"/>
  <c r="C144" i="28"/>
  <c r="E143" i="28"/>
  <c r="C143" i="28"/>
  <c r="A143" i="28"/>
  <c r="R143" i="28" s="1"/>
  <c r="C52" i="28"/>
  <c r="C53" i="28"/>
  <c r="C54" i="28"/>
  <c r="A52" i="28"/>
  <c r="R52" i="28" s="1"/>
  <c r="A53" i="28"/>
  <c r="R53" i="28" s="1"/>
  <c r="A54" i="28"/>
  <c r="R54" i="28" s="1"/>
  <c r="G60" i="1"/>
  <c r="E148" i="28"/>
  <c r="A148" i="28"/>
  <c r="R148" i="28" s="1"/>
  <c r="C148" i="28"/>
  <c r="G195" i="1"/>
  <c r="G142" i="1"/>
  <c r="G39" i="1"/>
  <c r="G38" i="1"/>
  <c r="G20" i="1"/>
  <c r="G19" i="1"/>
  <c r="G12" i="1"/>
  <c r="G8" i="1"/>
  <c r="G7" i="1"/>
  <c r="E166" i="28"/>
  <c r="E165" i="28"/>
  <c r="E44" i="28"/>
  <c r="G140" i="1"/>
  <c r="E116" i="28"/>
  <c r="C116" i="28"/>
  <c r="A116" i="28"/>
  <c r="R116" i="28" s="1"/>
  <c r="A115" i="28"/>
  <c r="R115" i="28" s="1"/>
  <c r="E117" i="28"/>
  <c r="C166" i="28"/>
  <c r="A166" i="28"/>
  <c r="R166" i="28" s="1"/>
  <c r="C165" i="28"/>
  <c r="A165" i="28"/>
  <c r="R165" i="28" s="1"/>
  <c r="C44" i="28"/>
  <c r="A44" i="28"/>
  <c r="R44" i="28" s="1"/>
  <c r="C164" i="28"/>
  <c r="A164" i="28"/>
  <c r="R164" i="28" s="1"/>
  <c r="A162" i="28"/>
  <c r="R162" i="28" s="1"/>
  <c r="C162" i="28"/>
  <c r="A163" i="28"/>
  <c r="R163" i="28" s="1"/>
  <c r="C163" i="28"/>
  <c r="C161" i="28"/>
  <c r="A161" i="28"/>
  <c r="R161" i="28" s="1"/>
  <c r="C150" i="28"/>
  <c r="A150" i="28"/>
  <c r="R150" i="28" s="1"/>
  <c r="C149" i="28"/>
  <c r="A149" i="28"/>
  <c r="R149" i="28" s="1"/>
  <c r="A138" i="28"/>
  <c r="R138" i="28" s="1"/>
  <c r="C138" i="28"/>
  <c r="A139" i="28"/>
  <c r="R139" i="28" s="1"/>
  <c r="C139" i="28"/>
  <c r="C140" i="28"/>
  <c r="C117" i="28"/>
  <c r="A117" i="28"/>
  <c r="R117" i="28" s="1"/>
  <c r="C137" i="28"/>
  <c r="A137" i="28"/>
  <c r="R137" i="28" s="1"/>
  <c r="A114" i="28"/>
  <c r="R114" i="28" s="1"/>
  <c r="C114" i="28"/>
  <c r="C115" i="28"/>
  <c r="C113" i="28"/>
  <c r="A113" i="28"/>
  <c r="R113" i="28" s="1"/>
  <c r="A112" i="28"/>
  <c r="R112" i="28" s="1"/>
  <c r="C112" i="28"/>
  <c r="A111" i="28"/>
  <c r="R111" i="28" s="1"/>
  <c r="C111" i="28"/>
  <c r="C110" i="28"/>
  <c r="A110" i="28"/>
  <c r="R110" i="28" s="1"/>
  <c r="A109" i="28"/>
  <c r="R109" i="28" s="1"/>
  <c r="A98" i="28"/>
  <c r="R98" i="28" s="1"/>
  <c r="A99" i="28"/>
  <c r="R99" i="28" s="1"/>
  <c r="A100" i="28"/>
  <c r="R100" i="28" s="1"/>
  <c r="A101" i="28"/>
  <c r="R101" i="28" s="1"/>
  <c r="A102" i="28"/>
  <c r="R102" i="28" s="1"/>
  <c r="A103" i="28"/>
  <c r="R103" i="28" s="1"/>
  <c r="A104" i="28"/>
  <c r="R104" i="28" s="1"/>
  <c r="A105" i="28"/>
  <c r="R105" i="28" s="1"/>
  <c r="A106" i="28"/>
  <c r="R106" i="28" s="1"/>
  <c r="A107" i="28"/>
  <c r="R107" i="28" s="1"/>
  <c r="A108" i="28"/>
  <c r="R108" i="28" s="1"/>
  <c r="A97" i="28"/>
  <c r="R97" i="28" s="1"/>
  <c r="A84" i="28"/>
  <c r="R84" i="28" s="1"/>
  <c r="A85" i="28"/>
  <c r="R85" i="28" s="1"/>
  <c r="A86" i="28"/>
  <c r="R86" i="28" s="1"/>
  <c r="A87" i="28"/>
  <c r="R87" i="28" s="1"/>
  <c r="A88" i="28"/>
  <c r="R88" i="28" s="1"/>
  <c r="A89" i="28"/>
  <c r="R89" i="28" s="1"/>
  <c r="A90" i="28"/>
  <c r="R90" i="28" s="1"/>
  <c r="A91" i="28"/>
  <c r="R91" i="28" s="1"/>
  <c r="A92" i="28"/>
  <c r="R92" i="28" s="1"/>
  <c r="A93" i="28"/>
  <c r="R93" i="28" s="1"/>
  <c r="A94" i="28"/>
  <c r="R94" i="28" s="1"/>
  <c r="A95" i="28"/>
  <c r="R95" i="28" s="1"/>
  <c r="A96" i="28"/>
  <c r="R96" i="28" s="1"/>
  <c r="A83" i="28"/>
  <c r="R83" i="28" s="1"/>
  <c r="A72" i="28"/>
  <c r="R72" i="28" s="1"/>
  <c r="A74" i="28"/>
  <c r="R74" i="28" s="1"/>
  <c r="A75" i="28"/>
  <c r="R75" i="28" s="1"/>
  <c r="A76" i="28"/>
  <c r="R76" i="28" s="1"/>
  <c r="A77" i="28"/>
  <c r="R77" i="28" s="1"/>
  <c r="A79" i="28"/>
  <c r="R79" i="28" s="1"/>
  <c r="A80" i="28"/>
  <c r="R80" i="28" s="1"/>
  <c r="A81" i="28"/>
  <c r="R81" i="28" s="1"/>
  <c r="A82" i="28"/>
  <c r="R82" i="28" s="1"/>
  <c r="A71" i="28"/>
  <c r="R71" i="28" s="1"/>
  <c r="A60" i="28"/>
  <c r="R60" i="28" s="1"/>
  <c r="A62" i="28"/>
  <c r="R62" i="28" s="1"/>
  <c r="A63" i="28"/>
  <c r="R63" i="28" s="1"/>
  <c r="A64" i="28"/>
  <c r="R64" i="28" s="1"/>
  <c r="A66" i="28"/>
  <c r="R66" i="28" s="1"/>
  <c r="A67" i="28"/>
  <c r="R67" i="28" s="1"/>
  <c r="A68" i="28"/>
  <c r="R68" i="28" s="1"/>
  <c r="A69" i="28"/>
  <c r="R69" i="28" s="1"/>
  <c r="A70" i="28"/>
  <c r="R70" i="28" s="1"/>
  <c r="A59" i="28"/>
  <c r="R59" i="28" s="1"/>
  <c r="A57" i="28"/>
  <c r="R57" i="28" s="1"/>
  <c r="A46" i="28"/>
  <c r="R46" i="28" s="1"/>
  <c r="A47" i="28"/>
  <c r="R47" i="28" s="1"/>
  <c r="A48" i="28"/>
  <c r="R48" i="28" s="1"/>
  <c r="A49" i="28"/>
  <c r="R49" i="28" s="1"/>
  <c r="A50" i="28"/>
  <c r="R50" i="28" s="1"/>
  <c r="A51" i="28"/>
  <c r="R51" i="28" s="1"/>
  <c r="A55" i="28"/>
  <c r="R55" i="28" s="1"/>
  <c r="A56" i="28"/>
  <c r="R56" i="28" s="1"/>
  <c r="A45" i="28"/>
  <c r="R45" i="28" s="1"/>
  <c r="A35" i="28"/>
  <c r="R35" i="28" s="1"/>
  <c r="A36" i="28"/>
  <c r="R36" i="28" s="1"/>
  <c r="A37" i="28"/>
  <c r="R37" i="28" s="1"/>
  <c r="A38" i="28"/>
  <c r="R38" i="28" s="1"/>
  <c r="A39" i="28"/>
  <c r="R39" i="28" s="1"/>
  <c r="A40" i="28"/>
  <c r="R40" i="28" s="1"/>
  <c r="A41" i="28"/>
  <c r="R41" i="28" s="1"/>
  <c r="A42" i="28"/>
  <c r="R42" i="28" s="1"/>
  <c r="A43" i="28"/>
  <c r="R43" i="28" s="1"/>
  <c r="A32" i="28"/>
  <c r="R32" i="28" s="1"/>
  <c r="A23" i="28"/>
  <c r="R23" i="28" s="1"/>
  <c r="A24" i="28"/>
  <c r="R24" i="28" s="1"/>
  <c r="A25" i="28"/>
  <c r="R25" i="28" s="1"/>
  <c r="A26" i="28"/>
  <c r="R26" i="28" s="1"/>
  <c r="A27" i="28"/>
  <c r="R27" i="28" s="1"/>
  <c r="A28" i="28"/>
  <c r="R28" i="28" s="1"/>
  <c r="A19" i="28"/>
  <c r="R19" i="28" s="1"/>
  <c r="A20" i="28"/>
  <c r="R20" i="28" s="1"/>
  <c r="A21" i="28"/>
  <c r="R21" i="28" s="1"/>
  <c r="A22" i="28"/>
  <c r="R22" i="28" s="1"/>
  <c r="A18" i="28"/>
  <c r="R18" i="28" s="1"/>
  <c r="A17" i="28"/>
  <c r="R17" i="28" s="1"/>
  <c r="A16" i="28"/>
  <c r="R16" i="28" s="1"/>
  <c r="A6" i="28"/>
  <c r="R6" i="28" s="1"/>
  <c r="A7" i="28"/>
  <c r="R7" i="28" s="1"/>
  <c r="A10" i="28"/>
  <c r="R10" i="28" s="1"/>
  <c r="A11" i="28"/>
  <c r="R11" i="28" s="1"/>
  <c r="A12" i="28"/>
  <c r="R12" i="28" s="1"/>
  <c r="A13" i="28"/>
  <c r="R13" i="28" s="1"/>
  <c r="A14" i="28"/>
  <c r="R14" i="28" s="1"/>
  <c r="A15" i="28"/>
  <c r="R15" i="28" s="1"/>
  <c r="A5" i="28"/>
  <c r="R5" i="28" s="1"/>
  <c r="E95" i="28"/>
  <c r="E96" i="28"/>
  <c r="C95" i="28"/>
  <c r="C96" i="28"/>
  <c r="C57" i="28"/>
  <c r="E56" i="28"/>
  <c r="E55" i="28"/>
  <c r="E53" i="28"/>
  <c r="E52" i="28"/>
  <c r="C55" i="28"/>
  <c r="C56" i="28"/>
  <c r="C51" i="28"/>
  <c r="C48" i="28"/>
  <c r="G214" i="1"/>
  <c r="G48" i="1"/>
  <c r="G47" i="1"/>
  <c r="C6" i="28"/>
  <c r="C7" i="28"/>
  <c r="C11" i="28"/>
  <c r="C12" i="28"/>
  <c r="C13" i="28"/>
  <c r="C14" i="28"/>
  <c r="C15" i="28"/>
  <c r="C16" i="28"/>
  <c r="C17" i="28"/>
  <c r="C18" i="28"/>
  <c r="C19" i="28"/>
  <c r="C20" i="28"/>
  <c r="C21" i="28"/>
  <c r="C22" i="28"/>
  <c r="C23" i="28"/>
  <c r="C24" i="28"/>
  <c r="C25" i="28"/>
  <c r="C26" i="28"/>
  <c r="C27" i="28"/>
  <c r="C28" i="28"/>
  <c r="C32" i="28"/>
  <c r="C33" i="28"/>
  <c r="C35" i="28"/>
  <c r="C36" i="28"/>
  <c r="C37" i="28"/>
  <c r="C38" i="28"/>
  <c r="C39" i="28"/>
  <c r="C40" i="28"/>
  <c r="C41" i="28"/>
  <c r="C42" i="28"/>
  <c r="C43" i="28"/>
  <c r="C45" i="28"/>
  <c r="C46" i="28"/>
  <c r="C47" i="28"/>
  <c r="C49" i="28"/>
  <c r="C50" i="28"/>
  <c r="C59" i="28"/>
  <c r="C60" i="28"/>
  <c r="C62" i="28"/>
  <c r="C63" i="28"/>
  <c r="C64" i="28"/>
  <c r="C66" i="28"/>
  <c r="C67" i="28"/>
  <c r="C68" i="28"/>
  <c r="C69" i="28"/>
  <c r="C70" i="28"/>
  <c r="C71" i="28"/>
  <c r="C72" i="28"/>
  <c r="C74" i="28"/>
  <c r="C75" i="28"/>
  <c r="C76" i="28"/>
  <c r="C77" i="28"/>
  <c r="C79" i="28"/>
  <c r="C80" i="28"/>
  <c r="C81" i="28"/>
  <c r="C82" i="28"/>
  <c r="C83" i="28"/>
  <c r="C84" i="28"/>
  <c r="C85" i="28"/>
  <c r="C86" i="28"/>
  <c r="C87" i="28"/>
  <c r="C88" i="28"/>
  <c r="C89" i="28"/>
  <c r="C90" i="28"/>
  <c r="C91" i="28"/>
  <c r="C92" i="28"/>
  <c r="C93" i="28"/>
  <c r="C94" i="28"/>
  <c r="C97" i="28"/>
  <c r="C98" i="28"/>
  <c r="C99" i="28"/>
  <c r="C100" i="28"/>
  <c r="C101" i="28"/>
  <c r="C102" i="28"/>
  <c r="C103" i="28"/>
  <c r="C104" i="28"/>
  <c r="C105" i="28"/>
  <c r="C106" i="28"/>
  <c r="C107" i="28"/>
  <c r="C108" i="28"/>
  <c r="C109" i="28"/>
  <c r="C5" i="28"/>
  <c r="G28" i="1"/>
  <c r="E162" i="28"/>
  <c r="G24" i="1"/>
  <c r="G171" i="1"/>
  <c r="G170" i="1"/>
  <c r="G169" i="1"/>
  <c r="G168" i="1"/>
  <c r="G212" i="1"/>
  <c r="G211" i="1"/>
  <c r="G46" i="1"/>
  <c r="G25" i="1"/>
  <c r="E164" i="28"/>
  <c r="E163" i="28"/>
  <c r="E161" i="28"/>
  <c r="E156" i="28"/>
  <c r="E155" i="28"/>
  <c r="E152" i="28"/>
  <c r="E150" i="28"/>
  <c r="E140" i="28"/>
  <c r="E139" i="28"/>
  <c r="E138" i="28"/>
  <c r="L137" i="28"/>
  <c r="E115" i="28"/>
  <c r="E114" i="28"/>
  <c r="E112" i="28"/>
  <c r="E111" i="28"/>
  <c r="E110" i="28"/>
  <c r="E109" i="28"/>
  <c r="E108" i="28"/>
  <c r="E107" i="28"/>
  <c r="E105" i="28"/>
  <c r="E104" i="28"/>
  <c r="E103" i="28"/>
  <c r="E101" i="28"/>
  <c r="E100" i="28"/>
  <c r="E99" i="28"/>
  <c r="E94" i="28"/>
  <c r="E93" i="28"/>
  <c r="E90" i="28"/>
  <c r="E89" i="28"/>
  <c r="E88" i="28"/>
  <c r="E86" i="28"/>
  <c r="E85" i="28"/>
  <c r="E84" i="28"/>
  <c r="E82" i="28"/>
  <c r="E81" i="28"/>
  <c r="E77" i="28"/>
  <c r="E72" i="28"/>
  <c r="E71" i="28"/>
  <c r="E70" i="28"/>
  <c r="E69" i="28"/>
  <c r="E68" i="28"/>
  <c r="E66" i="28"/>
  <c r="E64" i="28"/>
  <c r="E63" i="28"/>
  <c r="E60" i="28"/>
  <c r="E59" i="28"/>
  <c r="E57" i="28"/>
  <c r="E51" i="28"/>
  <c r="E49" i="28"/>
  <c r="E48" i="28"/>
  <c r="E47" i="28"/>
  <c r="E45" i="28"/>
  <c r="E43" i="28"/>
  <c r="E42" i="28"/>
  <c r="E40" i="28"/>
  <c r="E39" i="28"/>
  <c r="E38" i="28"/>
  <c r="E36" i="28"/>
  <c r="E28" i="28"/>
  <c r="E25" i="28"/>
  <c r="E24" i="28"/>
  <c r="E21" i="28"/>
  <c r="E20" i="28"/>
  <c r="E19" i="28"/>
  <c r="E18" i="28"/>
  <c r="E17" i="28"/>
  <c r="E16" i="28"/>
  <c r="E6" i="28"/>
  <c r="E7" i="28"/>
  <c r="E10" i="28"/>
  <c r="E11" i="28"/>
  <c r="E12" i="28"/>
  <c r="E13" i="28"/>
  <c r="E14" i="28"/>
  <c r="E15" i="28"/>
  <c r="G102" i="1"/>
  <c r="G123" i="1"/>
  <c r="G107" i="1"/>
  <c r="G178" i="1"/>
  <c r="G165" i="1"/>
  <c r="G164" i="1"/>
  <c r="G163" i="1"/>
  <c r="G162" i="1"/>
  <c r="G147" i="1"/>
  <c r="G210" i="1"/>
  <c r="G183" i="1"/>
  <c r="G182" i="1"/>
  <c r="G181" i="1"/>
  <c r="G180" i="1"/>
  <c r="G138" i="1"/>
  <c r="G137" i="1"/>
  <c r="G134" i="1"/>
  <c r="G133" i="1"/>
  <c r="G122" i="1"/>
  <c r="G120" i="1"/>
  <c r="G119" i="1"/>
  <c r="G118" i="1"/>
  <c r="G117" i="1"/>
  <c r="G109" i="1"/>
  <c r="G106" i="1"/>
  <c r="G103" i="1"/>
  <c r="G90" i="1"/>
  <c r="G66" i="1"/>
  <c r="G55" i="1"/>
  <c r="G54" i="1"/>
  <c r="G45" i="1"/>
  <c r="G42" i="1"/>
  <c r="G29" i="1"/>
  <c r="G23" i="1"/>
  <c r="G22" i="1"/>
  <c r="G14" i="1"/>
  <c r="D2" i="28"/>
  <c r="E2" i="28" s="1"/>
  <c r="G104" i="1"/>
  <c r="E79" i="28"/>
  <c r="E67" i="28"/>
  <c r="G80" i="1"/>
  <c r="G57" i="1"/>
  <c r="E46" i="28"/>
  <c r="E37" i="28"/>
  <c r="G43" i="1"/>
  <c r="E23" i="28"/>
  <c r="G26" i="1"/>
  <c r="E22" i="28"/>
  <c r="E76" i="28"/>
  <c r="H110" i="1"/>
  <c r="E91" i="28"/>
  <c r="G108" i="1"/>
  <c r="E98" i="28"/>
  <c r="G87" i="1"/>
  <c r="E74" i="28"/>
  <c r="G7" i="28"/>
  <c r="E9" i="28"/>
  <c r="P198" i="1"/>
  <c r="G9" i="1"/>
  <c r="C2" i="28"/>
  <c r="B4" i="30"/>
  <c r="G59" i="28"/>
  <c r="L155" i="28" l="1"/>
  <c r="F155" i="28" s="1"/>
  <c r="L96" i="28"/>
  <c r="X96" i="28" s="1"/>
  <c r="L165" i="28"/>
  <c r="X165" i="28" s="1"/>
  <c r="L62" i="28"/>
  <c r="X62" i="28" s="1"/>
  <c r="L175" i="28"/>
  <c r="X175" i="28" s="1"/>
  <c r="L73" i="28"/>
  <c r="X73" i="28" s="1"/>
  <c r="L58" i="28"/>
  <c r="X58" i="28" s="1"/>
  <c r="L32" i="28"/>
  <c r="X32" i="28" s="1"/>
  <c r="L158" i="28"/>
  <c r="X158" i="28" s="1"/>
  <c r="L151" i="28"/>
  <c r="X151" i="28" s="1"/>
  <c r="L60" i="28"/>
  <c r="F60" i="28" s="1"/>
  <c r="L25" i="28"/>
  <c r="F25" i="28" s="1"/>
  <c r="L105" i="28"/>
  <c r="F105" i="28" s="1"/>
  <c r="L156" i="28"/>
  <c r="X156" i="28" s="1"/>
  <c r="L52" i="28"/>
  <c r="F52" i="28" s="1"/>
  <c r="L95" i="28"/>
  <c r="X95" i="28" s="1"/>
  <c r="L117" i="28"/>
  <c r="F117" i="28" s="1"/>
  <c r="L166" i="28"/>
  <c r="X166" i="28" s="1"/>
  <c r="L113" i="28"/>
  <c r="X113" i="28" s="1"/>
  <c r="L8" i="28"/>
  <c r="F8" i="28" s="1"/>
  <c r="L123" i="28"/>
  <c r="X123" i="28" s="1"/>
  <c r="L128" i="28"/>
  <c r="X128" i="28" s="1"/>
  <c r="L132" i="28"/>
  <c r="X132" i="28" s="1"/>
  <c r="L135" i="28"/>
  <c r="X135" i="28" s="1"/>
  <c r="L33" i="28"/>
  <c r="X33" i="28" s="1"/>
  <c r="L167" i="28"/>
  <c r="X167" i="28" s="1"/>
  <c r="L157" i="28"/>
  <c r="X157" i="28" s="1"/>
  <c r="L89" i="28"/>
  <c r="F89" i="28" s="1"/>
  <c r="L63" i="28"/>
  <c r="X63" i="28" s="1"/>
  <c r="L22" i="28"/>
  <c r="F22" i="28" s="1"/>
  <c r="L28" i="28"/>
  <c r="X28" i="28" s="1"/>
  <c r="L81" i="28"/>
  <c r="X81" i="28" s="1"/>
  <c r="F137" i="28"/>
  <c r="X137" i="28"/>
  <c r="L53" i="28"/>
  <c r="F53" i="28" s="1"/>
  <c r="F144" i="28"/>
  <c r="L26" i="28"/>
  <c r="X26" i="28" s="1"/>
  <c r="L83" i="28"/>
  <c r="X83" i="28" s="1"/>
  <c r="L75" i="28"/>
  <c r="X75" i="28" s="1"/>
  <c r="L61" i="28"/>
  <c r="X61" i="28" s="1"/>
  <c r="L34" i="28"/>
  <c r="X34" i="28" s="1"/>
  <c r="L35" i="28"/>
  <c r="X35" i="28" s="1"/>
  <c r="L170" i="28"/>
  <c r="F170" i="28" s="1"/>
  <c r="L160" i="28"/>
  <c r="X160" i="28" s="1"/>
  <c r="L104" i="28"/>
  <c r="F104" i="28" s="1"/>
  <c r="F9" i="28"/>
  <c r="L77" i="28"/>
  <c r="X77" i="28" s="1"/>
  <c r="L16" i="28"/>
  <c r="F16" i="28" s="1"/>
  <c r="L47" i="28"/>
  <c r="F47" i="28" s="1"/>
  <c r="L64" i="28"/>
  <c r="X64" i="28" s="1"/>
  <c r="L93" i="28"/>
  <c r="X93" i="28" s="1"/>
  <c r="L107" i="28"/>
  <c r="F107" i="28" s="1"/>
  <c r="L161" i="28"/>
  <c r="F161" i="28" s="1"/>
  <c r="L74" i="28"/>
  <c r="F74" i="28" s="1"/>
  <c r="L79" i="28"/>
  <c r="F79" i="28" s="1"/>
  <c r="L14" i="28"/>
  <c r="X14" i="28" s="1"/>
  <c r="L17" i="28"/>
  <c r="F17" i="28" s="1"/>
  <c r="L36" i="28"/>
  <c r="F36" i="28" s="1"/>
  <c r="L48" i="28"/>
  <c r="F48" i="28" s="1"/>
  <c r="L66" i="28"/>
  <c r="X66" i="28" s="1"/>
  <c r="L82" i="28"/>
  <c r="X82" i="28" s="1"/>
  <c r="L94" i="28"/>
  <c r="X94" i="28" s="1"/>
  <c r="L108" i="28"/>
  <c r="X108" i="28" s="1"/>
  <c r="L138" i="28"/>
  <c r="F138" i="28" s="1"/>
  <c r="L163" i="28"/>
  <c r="F163" i="28" s="1"/>
  <c r="L55" i="28"/>
  <c r="X55" i="28" s="1"/>
  <c r="L27" i="28"/>
  <c r="X27" i="28" s="1"/>
  <c r="L87" i="28"/>
  <c r="F87" i="28" s="1"/>
  <c r="L153" i="28"/>
  <c r="X153" i="28" s="1"/>
  <c r="L78" i="28"/>
  <c r="X78" i="28" s="1"/>
  <c r="L30" i="28"/>
  <c r="X30" i="28" s="1"/>
  <c r="L169" i="28"/>
  <c r="F169" i="28" s="1"/>
  <c r="L154" i="28"/>
  <c r="X154" i="28" s="1"/>
  <c r="L5" i="28"/>
  <c r="X5" i="28" s="1"/>
  <c r="L43" i="28"/>
  <c r="X43" i="28" s="1"/>
  <c r="L76" i="28"/>
  <c r="X76" i="28" s="1"/>
  <c r="L45" i="28"/>
  <c r="X45" i="28" s="1"/>
  <c r="L67" i="28"/>
  <c r="F67" i="28" s="1"/>
  <c r="L15" i="28"/>
  <c r="X15" i="28" s="1"/>
  <c r="L18" i="28"/>
  <c r="F18" i="28" s="1"/>
  <c r="L49" i="28"/>
  <c r="X49" i="28" s="1"/>
  <c r="L84" i="28"/>
  <c r="X84" i="28" s="1"/>
  <c r="L109" i="28"/>
  <c r="X109" i="28" s="1"/>
  <c r="L139" i="28"/>
  <c r="F139" i="28" s="1"/>
  <c r="L164" i="28"/>
  <c r="X164" i="28" s="1"/>
  <c r="L56" i="28"/>
  <c r="X56" i="28" s="1"/>
  <c r="L92" i="28"/>
  <c r="F92" i="28" s="1"/>
  <c r="L118" i="28"/>
  <c r="X118" i="28" s="1"/>
  <c r="L120" i="28"/>
  <c r="X120" i="28" s="1"/>
  <c r="L122" i="28"/>
  <c r="X122" i="28" s="1"/>
  <c r="L126" i="28"/>
  <c r="X126" i="28" s="1"/>
  <c r="L130" i="28"/>
  <c r="X130" i="28" s="1"/>
  <c r="L134" i="28"/>
  <c r="X134" i="28" s="1"/>
  <c r="L174" i="28"/>
  <c r="X174" i="28" s="1"/>
  <c r="L31" i="28"/>
  <c r="F31" i="28" s="1"/>
  <c r="L168" i="28"/>
  <c r="X168" i="28" s="1"/>
  <c r="L72" i="28"/>
  <c r="F72" i="28" s="1"/>
  <c r="L90" i="28"/>
  <c r="F90" i="28" s="1"/>
  <c r="L23" i="28"/>
  <c r="F23" i="28" s="1"/>
  <c r="L13" i="28"/>
  <c r="X13" i="28" s="1"/>
  <c r="L38" i="28"/>
  <c r="X38" i="28" s="1"/>
  <c r="L68" i="28"/>
  <c r="X68" i="28" s="1"/>
  <c r="L99" i="28"/>
  <c r="F99" i="28" s="1"/>
  <c r="L98" i="28"/>
  <c r="X98" i="28" s="1"/>
  <c r="L12" i="28"/>
  <c r="F12" i="28" s="1"/>
  <c r="L19" i="28"/>
  <c r="F19" i="28" s="1"/>
  <c r="L39" i="28"/>
  <c r="F39" i="28" s="1"/>
  <c r="L51" i="28"/>
  <c r="X51" i="28" s="1"/>
  <c r="L69" i="28"/>
  <c r="X69" i="28" s="1"/>
  <c r="L85" i="28"/>
  <c r="F85" i="28" s="1"/>
  <c r="L100" i="28"/>
  <c r="F100" i="28" s="1"/>
  <c r="L110" i="28"/>
  <c r="X110" i="28" s="1"/>
  <c r="L140" i="28"/>
  <c r="F140" i="28" s="1"/>
  <c r="L116" i="28"/>
  <c r="F116" i="28" s="1"/>
  <c r="L148" i="28"/>
  <c r="F148" i="28" s="1"/>
  <c r="L41" i="28"/>
  <c r="F17" i="30" s="1"/>
  <c r="L97" i="28"/>
  <c r="X97" i="28" s="1"/>
  <c r="L29" i="28"/>
  <c r="F29" i="28" s="1"/>
  <c r="L119" i="28"/>
  <c r="X119" i="28" s="1"/>
  <c r="L121" i="28"/>
  <c r="X121" i="28" s="1"/>
  <c r="L124" i="28"/>
  <c r="X124" i="28" s="1"/>
  <c r="L125" i="28"/>
  <c r="X125" i="28" s="1"/>
  <c r="L129" i="28"/>
  <c r="X129" i="28" s="1"/>
  <c r="L127" i="28"/>
  <c r="X127" i="28" s="1"/>
  <c r="L133" i="28"/>
  <c r="X133" i="28" s="1"/>
  <c r="L131" i="28"/>
  <c r="X131" i="28" s="1"/>
  <c r="L136" i="28"/>
  <c r="X136" i="28" s="1"/>
  <c r="L65" i="28"/>
  <c r="X65" i="28" s="1"/>
  <c r="L80" i="28"/>
  <c r="F80" i="28" s="1"/>
  <c r="L173" i="28"/>
  <c r="X173" i="28" s="1"/>
  <c r="L114" i="28"/>
  <c r="F114" i="28" s="1"/>
  <c r="L6" i="28"/>
  <c r="F6" i="28" s="1"/>
  <c r="L20" i="28"/>
  <c r="F20" i="28" s="1"/>
  <c r="L57" i="28"/>
  <c r="F57" i="28" s="1"/>
  <c r="L86" i="28"/>
  <c r="F86" i="28" s="1"/>
  <c r="L111" i="28"/>
  <c r="F111" i="28" s="1"/>
  <c r="L150" i="28"/>
  <c r="F150" i="28" s="1"/>
  <c r="L50" i="28"/>
  <c r="X50" i="28" s="1"/>
  <c r="L102" i="28"/>
  <c r="F102" i="28" s="1"/>
  <c r="L145" i="28"/>
  <c r="F145" i="28" s="1"/>
  <c r="L172" i="28"/>
  <c r="L146" i="28"/>
  <c r="X146" i="28" s="1"/>
  <c r="F147" i="28"/>
  <c r="X147" i="28"/>
  <c r="L24" i="28"/>
  <c r="F24" i="28" s="1"/>
  <c r="L115" i="28"/>
  <c r="F115" i="28" s="1"/>
  <c r="L37" i="28"/>
  <c r="X37" i="28" s="1"/>
  <c r="L40" i="28"/>
  <c r="F40" i="28" s="1"/>
  <c r="L70" i="28"/>
  <c r="X70" i="28" s="1"/>
  <c r="L101" i="28"/>
  <c r="F101" i="28" s="1"/>
  <c r="L162" i="28"/>
  <c r="F162" i="28" s="1"/>
  <c r="L91" i="28"/>
  <c r="F91" i="28" s="1"/>
  <c r="L46" i="28"/>
  <c r="X46" i="28" s="1"/>
  <c r="L21" i="28"/>
  <c r="F21" i="28" s="1"/>
  <c r="L42" i="28"/>
  <c r="F42" i="28" s="1"/>
  <c r="L59" i="28"/>
  <c r="X59" i="28" s="1"/>
  <c r="L71" i="28"/>
  <c r="X71" i="28" s="1"/>
  <c r="L88" i="28"/>
  <c r="X88" i="28" s="1"/>
  <c r="L103" i="28"/>
  <c r="X103" i="28" s="1"/>
  <c r="L112" i="28"/>
  <c r="F112" i="28" s="1"/>
  <c r="L152" i="28"/>
  <c r="F152" i="28" s="1"/>
  <c r="L44" i="28"/>
  <c r="F44" i="28" s="1"/>
  <c r="L143" i="28"/>
  <c r="X143" i="28" s="1"/>
  <c r="L54" i="28"/>
  <c r="X54" i="28" s="1"/>
  <c r="L106" i="28"/>
  <c r="X106" i="28" s="1"/>
  <c r="L171" i="28"/>
  <c r="L159" i="28"/>
  <c r="F159" i="28" s="1"/>
  <c r="L177" i="28"/>
  <c r="X177" i="28" s="1"/>
  <c r="W159" i="28"/>
  <c r="W12" i="28"/>
  <c r="W22" i="28"/>
  <c r="W24" i="28"/>
  <c r="W38" i="28"/>
  <c r="W50" i="28"/>
  <c r="W69" i="28"/>
  <c r="W71" i="28"/>
  <c r="W74" i="28"/>
  <c r="W91" i="28"/>
  <c r="W97" i="28"/>
  <c r="W101" i="28"/>
  <c r="W111" i="28"/>
  <c r="W137" i="28"/>
  <c r="W138" i="28"/>
  <c r="W161" i="28"/>
  <c r="W167" i="28"/>
  <c r="W78" i="28"/>
  <c r="W151" i="28"/>
  <c r="W11" i="28"/>
  <c r="W21" i="28"/>
  <c r="W23" i="28"/>
  <c r="W37" i="28"/>
  <c r="W49" i="28"/>
  <c r="W68" i="28"/>
  <c r="W82" i="28"/>
  <c r="W72" i="28"/>
  <c r="W90" i="28"/>
  <c r="W108" i="28"/>
  <c r="W100" i="28"/>
  <c r="W148" i="28"/>
  <c r="W164" i="28"/>
  <c r="W54" i="28"/>
  <c r="W165" i="28"/>
  <c r="W172" i="28"/>
  <c r="W30" i="28"/>
  <c r="W10" i="28"/>
  <c r="W20" i="28"/>
  <c r="W32" i="28"/>
  <c r="W36" i="28"/>
  <c r="W48" i="28"/>
  <c r="W67" i="28"/>
  <c r="W81" i="28"/>
  <c r="W83" i="28"/>
  <c r="W89" i="28"/>
  <c r="W107" i="28"/>
  <c r="W99" i="28"/>
  <c r="W112" i="28"/>
  <c r="W117" i="28"/>
  <c r="W53" i="28"/>
  <c r="W9" i="28"/>
  <c r="W29" i="28"/>
  <c r="W119" i="28"/>
  <c r="W121" i="28"/>
  <c r="W124" i="28"/>
  <c r="W125" i="28"/>
  <c r="W129" i="28"/>
  <c r="W127" i="28"/>
  <c r="W133" i="28"/>
  <c r="W131" i="28"/>
  <c r="W136" i="28"/>
  <c r="W169" i="28"/>
  <c r="W58" i="28"/>
  <c r="W153" i="28"/>
  <c r="W7" i="28"/>
  <c r="W19" i="28"/>
  <c r="W43" i="28"/>
  <c r="W35" i="28"/>
  <c r="W47" i="28"/>
  <c r="W66" i="28"/>
  <c r="W80" i="28"/>
  <c r="W96" i="28"/>
  <c r="W88" i="28"/>
  <c r="W106" i="28"/>
  <c r="W98" i="28"/>
  <c r="W113" i="28"/>
  <c r="W162" i="28"/>
  <c r="W52" i="28"/>
  <c r="W142" i="28"/>
  <c r="W143" i="28"/>
  <c r="W118" i="28"/>
  <c r="W120" i="28"/>
  <c r="W122" i="28"/>
  <c r="W126" i="28"/>
  <c r="W130" i="28"/>
  <c r="W134" i="28"/>
  <c r="W166" i="28"/>
  <c r="W33" i="28"/>
  <c r="W150" i="28"/>
  <c r="W5" i="28"/>
  <c r="W6" i="28"/>
  <c r="W28" i="28"/>
  <c r="W42" i="28"/>
  <c r="W45" i="28"/>
  <c r="W46" i="28"/>
  <c r="W64" i="28"/>
  <c r="W79" i="28"/>
  <c r="W95" i="28"/>
  <c r="W87" i="28"/>
  <c r="W105" i="28"/>
  <c r="W109" i="28"/>
  <c r="W115" i="28"/>
  <c r="W171" i="28"/>
  <c r="W34" i="28"/>
  <c r="W15" i="28"/>
  <c r="W16" i="28"/>
  <c r="W27" i="28"/>
  <c r="W41" i="28"/>
  <c r="W56" i="28"/>
  <c r="W57" i="28"/>
  <c r="W63" i="28"/>
  <c r="W77" i="28"/>
  <c r="W94" i="28"/>
  <c r="W86" i="28"/>
  <c r="W104" i="28"/>
  <c r="W110" i="28"/>
  <c r="W160" i="28"/>
  <c r="W44" i="28"/>
  <c r="W116" i="28"/>
  <c r="W140" i="28"/>
  <c r="W173" i="28"/>
  <c r="W168" i="28"/>
  <c r="W61" i="28"/>
  <c r="W14" i="28"/>
  <c r="W17" i="28"/>
  <c r="W26" i="28"/>
  <c r="W40" i="28"/>
  <c r="W55" i="28"/>
  <c r="W59" i="28"/>
  <c r="W62" i="28"/>
  <c r="W76" i="28"/>
  <c r="W93" i="28"/>
  <c r="W85" i="28"/>
  <c r="W103" i="28"/>
  <c r="W139" i="28"/>
  <c r="W145" i="28"/>
  <c r="W8" i="28"/>
  <c r="W123" i="28"/>
  <c r="W128" i="28"/>
  <c r="W132" i="28"/>
  <c r="W135" i="28"/>
  <c r="W31" i="28"/>
  <c r="W65" i="28"/>
  <c r="W13" i="28"/>
  <c r="W18" i="28"/>
  <c r="W25" i="28"/>
  <c r="W39" i="28"/>
  <c r="W51" i="28"/>
  <c r="W70" i="28"/>
  <c r="W60" i="28"/>
  <c r="W75" i="28"/>
  <c r="W92" i="28"/>
  <c r="W84" i="28"/>
  <c r="W102" i="28"/>
  <c r="W114" i="28"/>
  <c r="W163" i="28"/>
  <c r="W141" i="28"/>
  <c r="W170" i="28"/>
  <c r="W73" i="28"/>
  <c r="W154" i="28"/>
  <c r="O70" i="28"/>
  <c r="E160" i="1"/>
  <c r="E172" i="1"/>
  <c r="E153" i="1"/>
  <c r="E166" i="1"/>
  <c r="L9" i="28"/>
  <c r="X9" i="28" s="1"/>
  <c r="G32" i="1"/>
  <c r="G111" i="1"/>
  <c r="H32" i="1"/>
  <c r="L10" i="28"/>
  <c r="F10" i="28" s="1"/>
  <c r="L144" i="28"/>
  <c r="O15" i="28"/>
  <c r="H127" i="1"/>
  <c r="G127" i="1"/>
  <c r="O43" i="28"/>
  <c r="G56" i="28" s="1"/>
  <c r="Q56" i="28" s="1"/>
  <c r="G64" i="1"/>
  <c r="L7" i="28"/>
  <c r="F68" i="28"/>
  <c r="F143" i="28"/>
  <c r="L11" i="28"/>
  <c r="X11" i="28" s="1"/>
  <c r="F71" i="28"/>
  <c r="F33" i="28"/>
  <c r="F8" i="30"/>
  <c r="F97" i="28"/>
  <c r="F26" i="30"/>
  <c r="H26" i="30" s="1"/>
  <c r="F5" i="28"/>
  <c r="F149" i="28"/>
  <c r="X172" i="28" l="1"/>
  <c r="X171" i="28"/>
  <c r="F168" i="28"/>
  <c r="F75" i="28"/>
  <c r="X16" i="28"/>
  <c r="F50" i="28"/>
  <c r="F37" i="28"/>
  <c r="F28" i="30"/>
  <c r="H28" i="30" s="1"/>
  <c r="X52" i="28"/>
  <c r="F9" i="30"/>
  <c r="H9" i="30" s="1"/>
  <c r="Q84" i="28"/>
  <c r="G84" i="28" s="1"/>
  <c r="F94" i="28"/>
  <c r="F66" i="28"/>
  <c r="F14" i="30"/>
  <c r="Q68" i="28"/>
  <c r="G68" i="28" s="1"/>
  <c r="H146" i="28"/>
  <c r="Q144" i="28" s="1"/>
  <c r="X40" i="28"/>
  <c r="F156" i="28"/>
  <c r="F77" i="28"/>
  <c r="G70" i="28"/>
  <c r="Q70" i="28" s="1"/>
  <c r="F59" i="28"/>
  <c r="F51" i="28"/>
  <c r="F7" i="28"/>
  <c r="F29" i="30"/>
  <c r="H29" i="30" s="1"/>
  <c r="H30" i="30" s="1"/>
  <c r="F7" i="30"/>
  <c r="H7" i="30" s="1"/>
  <c r="X101" i="28"/>
  <c r="Q63" i="28"/>
  <c r="G63" i="28" s="1"/>
  <c r="F70" i="28"/>
  <c r="F20" i="30"/>
  <c r="F41" i="28"/>
  <c r="F32" i="28"/>
  <c r="H157" i="28"/>
  <c r="Q155" i="28" s="1"/>
  <c r="X155" i="28"/>
  <c r="F28" i="28"/>
  <c r="F43" i="28"/>
  <c r="F84" i="28"/>
  <c r="F55" i="28"/>
  <c r="Q35" i="28"/>
  <c r="G35" i="28" s="1"/>
  <c r="F11" i="30"/>
  <c r="H11" i="30" s="1"/>
  <c r="G93" i="28"/>
  <c r="Q93" i="28" s="1"/>
  <c r="H172" i="28"/>
  <c r="F172" i="28" s="1"/>
  <c r="F158" i="28"/>
  <c r="F35" i="28"/>
  <c r="F93" i="28"/>
  <c r="Q82" i="28"/>
  <c r="F27" i="28"/>
  <c r="X91" i="28"/>
  <c r="H171" i="28"/>
  <c r="F171" i="28" s="1"/>
  <c r="G108" i="28"/>
  <c r="Q108" i="28" s="1"/>
  <c r="G82" i="28"/>
  <c r="F98" i="28"/>
  <c r="F64" i="28"/>
  <c r="F108" i="28"/>
  <c r="F63" i="28"/>
  <c r="H173" i="28"/>
  <c r="Q171" i="28" s="1"/>
  <c r="G173" i="28" s="1"/>
  <c r="G27" i="28"/>
  <c r="Q27" i="28" s="1"/>
  <c r="Q98" i="28"/>
  <c r="G98" i="28" s="1"/>
  <c r="F10" i="30"/>
  <c r="H10" i="30" s="1"/>
  <c r="F82" i="28"/>
  <c r="F49" i="28"/>
  <c r="F164" i="28"/>
  <c r="D1" i="28"/>
  <c r="H160" i="28"/>
  <c r="F160" i="28" s="1"/>
  <c r="G43" i="28"/>
  <c r="Q43" i="28" s="1"/>
  <c r="G55" i="28"/>
  <c r="Q55" i="28" s="1"/>
  <c r="Q75" i="28"/>
  <c r="G75" i="28" s="1"/>
  <c r="F38" i="28"/>
  <c r="H151" i="28"/>
  <c r="F151" i="28" s="1"/>
  <c r="F153" i="28"/>
  <c r="G109" i="28"/>
  <c r="Q109" i="28" s="1"/>
  <c r="F167" i="28"/>
  <c r="H154" i="28"/>
  <c r="F154" i="28" s="1"/>
  <c r="F109" i="28"/>
  <c r="Q64" i="28"/>
  <c r="G64" i="28" s="1"/>
  <c r="X162" i="28"/>
  <c r="X60" i="28"/>
  <c r="X112" i="28"/>
  <c r="X24" i="28"/>
  <c r="X145" i="28"/>
  <c r="X111" i="28"/>
  <c r="X6" i="28"/>
  <c r="X41" i="28"/>
  <c r="X139" i="28"/>
  <c r="X18" i="28"/>
  <c r="X169" i="28"/>
  <c r="X87" i="28"/>
  <c r="X138" i="28"/>
  <c r="X107" i="28"/>
  <c r="X144" i="28"/>
  <c r="X159" i="28"/>
  <c r="X42" i="28"/>
  <c r="X102" i="28"/>
  <c r="X86" i="28"/>
  <c r="X114" i="28"/>
  <c r="X148" i="28"/>
  <c r="X100" i="28"/>
  <c r="X39" i="28"/>
  <c r="X99" i="28"/>
  <c r="X23" i="28"/>
  <c r="X31" i="28"/>
  <c r="X92" i="28"/>
  <c r="X48" i="28"/>
  <c r="X79" i="28"/>
  <c r="X170" i="28"/>
  <c r="X53" i="28"/>
  <c r="X22" i="28"/>
  <c r="X44" i="28"/>
  <c r="X21" i="28"/>
  <c r="X57" i="28"/>
  <c r="X29" i="28"/>
  <c r="X116" i="28"/>
  <c r="X85" i="28"/>
  <c r="X19" i="28"/>
  <c r="X90" i="28"/>
  <c r="X67" i="28"/>
  <c r="X36" i="28"/>
  <c r="X74" i="28"/>
  <c r="X117" i="28"/>
  <c r="X105" i="28"/>
  <c r="X152" i="28"/>
  <c r="X10" i="28"/>
  <c r="X115" i="28"/>
  <c r="X150" i="28"/>
  <c r="X20" i="28"/>
  <c r="X80" i="28"/>
  <c r="X140" i="28"/>
  <c r="X12" i="28"/>
  <c r="X72" i="28"/>
  <c r="X163" i="28"/>
  <c r="X17" i="28"/>
  <c r="X161" i="28"/>
  <c r="X47" i="28"/>
  <c r="X104" i="28"/>
  <c r="X89" i="28"/>
  <c r="X8" i="28"/>
  <c r="X25" i="28"/>
  <c r="X7" i="28"/>
  <c r="G94" i="28"/>
  <c r="Q94" i="28" s="1"/>
  <c r="E173" i="1"/>
  <c r="F15" i="28"/>
  <c r="G28" i="28"/>
  <c r="Q28" i="28" s="1"/>
  <c r="F56" i="28"/>
  <c r="G15" i="28"/>
  <c r="Q15" i="28" s="1"/>
  <c r="F11" i="28"/>
  <c r="F173" i="28" l="1"/>
  <c r="F157" i="28"/>
  <c r="Q158" i="28"/>
  <c r="Q169" i="28"/>
  <c r="G171" i="28" s="1"/>
  <c r="F146" i="28"/>
  <c r="Q152" i="28"/>
  <c r="H12" i="30"/>
  <c r="H32" i="30" s="1"/>
  <c r="F12" i="30"/>
  <c r="F15" i="30" s="1"/>
  <c r="F18" i="30" s="1"/>
  <c r="F30" i="30"/>
  <c r="Q149" i="28"/>
  <c r="Q170" i="28"/>
  <c r="G172" i="28" s="1"/>
  <c r="J186" i="28"/>
  <c r="L186" i="28"/>
  <c r="F32" i="30" l="1"/>
  <c r="F21" i="30"/>
  <c r="C22" i="30"/>
  <c r="C21" i="30"/>
</calcChain>
</file>

<file path=xl/sharedStrings.xml><?xml version="1.0" encoding="utf-8"?>
<sst xmlns="http://schemas.openxmlformats.org/spreadsheetml/2006/main" count="1857" uniqueCount="991">
  <si>
    <t xml:space="preserve">Unit Number:      </t>
  </si>
  <si>
    <t>Description of Requested Amount from Audited Financial Statements</t>
  </si>
  <si>
    <t xml:space="preserve">  Statement of Cash Flows</t>
  </si>
  <si>
    <t>Capital Assets for Governmental Activities</t>
  </si>
  <si>
    <t>Buildings</t>
  </si>
  <si>
    <t>Plant / distributions systems / water lines</t>
  </si>
  <si>
    <t>Infrastructure(other infrastructure)</t>
  </si>
  <si>
    <t xml:space="preserve">Electric Fund </t>
  </si>
  <si>
    <r>
      <t xml:space="preserve">Total Assets </t>
    </r>
    <r>
      <rPr>
        <b/>
        <sz val="11"/>
        <color indexed="8"/>
        <rFont val="Calibri"/>
        <family val="2"/>
      </rPr>
      <t>being depreciated</t>
    </r>
    <r>
      <rPr>
        <sz val="11"/>
        <color theme="1"/>
        <rFont val="Calibri"/>
        <family val="2"/>
        <scheme val="minor"/>
      </rPr>
      <t xml:space="preserve"> for Governmental Activities:</t>
    </r>
  </si>
  <si>
    <t>Construction in progress</t>
  </si>
  <si>
    <t>Capital Assets for Electric Fund</t>
  </si>
  <si>
    <t>Gross value:</t>
  </si>
  <si>
    <t>Notes to the Financial Statements -Summary Changes in Long-Term Liability</t>
  </si>
  <si>
    <t>Error Messages</t>
  </si>
  <si>
    <t>Statement of Revenue, Expenditures and Changes in Fund Balance - Governmental Funds
 - All Governmental Funds</t>
  </si>
  <si>
    <t>Unit Data Input Worksheet - Municipality</t>
  </si>
  <si>
    <t xml:space="preserve">     not necessarily the statistical section.</t>
  </si>
  <si>
    <t>Notes</t>
  </si>
  <si>
    <t>Buildings annual depreciation</t>
  </si>
  <si>
    <t>Building accumulated depreciation</t>
  </si>
  <si>
    <t>Plant / distributions systems / water lines annual depreciation</t>
  </si>
  <si>
    <t>Plant / distributions systems / water lines accumulated depreciation</t>
  </si>
  <si>
    <t>Infrastructure(other infrastructure) annual depreciation</t>
  </si>
  <si>
    <t>Infrastructure(other infrastructure) accumulated depreciation</t>
  </si>
  <si>
    <t>Total Assets Gross value of assets being depreciated for Electric Fund</t>
  </si>
  <si>
    <t>Total accumulated depreciation for Electric Fund assets</t>
  </si>
  <si>
    <t>receiving operating revenues or paying operating expenditures. Eliminate internal balances within this activity group.</t>
  </si>
  <si>
    <t>receiving operating revenues or paying operating expenditures. Eliminate transfers within this activity group.</t>
  </si>
  <si>
    <t xml:space="preserve">receiving operating revenues or paying operating expenditures. </t>
  </si>
  <si>
    <t xml:space="preserve">and wastewater funds into one activity for purposes of this worksheet.  Exclude stormwater funds.  Only fill out this section if </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</si>
  <si>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</si>
  <si>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</si>
  <si>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Notes to the Financial Statements -Transfer Note</t>
  </si>
  <si>
    <t>Notes to the Financial Statements -Fund Balance Note</t>
  </si>
  <si>
    <t>Notes to the Financial Statements - Capital Asset Information</t>
  </si>
  <si>
    <t>Water and Sewer Operations - If unit maintains separate funds please combine all water, sewer,</t>
  </si>
  <si>
    <r>
      <t xml:space="preserve">Assets </t>
    </r>
    <r>
      <rPr>
        <b/>
        <sz val="11"/>
        <color indexed="8"/>
        <rFont val="Calibri"/>
        <family val="2"/>
      </rPr>
      <t>not being depreciated</t>
    </r>
    <r>
      <rPr>
        <sz val="11"/>
        <color theme="1"/>
        <rFont val="Calibri"/>
        <family val="2"/>
        <scheme val="minor"/>
      </rPr>
      <t xml:space="preserve"> for Water and Sewer Activities:</t>
    </r>
  </si>
  <si>
    <r>
      <t xml:space="preserve">Assets </t>
    </r>
    <r>
      <rPr>
        <b/>
        <sz val="11"/>
        <color indexed="8"/>
        <rFont val="Calibri"/>
        <family val="2"/>
      </rPr>
      <t>being depreciated</t>
    </r>
    <r>
      <rPr>
        <sz val="11"/>
        <color theme="1"/>
        <rFont val="Calibri"/>
        <family val="2"/>
        <scheme val="minor"/>
      </rPr>
      <t xml:space="preserve"> for Water and Sewer Activities:</t>
    </r>
  </si>
  <si>
    <r>
      <t xml:space="preserve">Total Gross Value Assets </t>
    </r>
    <r>
      <rPr>
        <b/>
        <sz val="11"/>
        <color indexed="8"/>
        <rFont val="Calibri"/>
        <family val="2"/>
      </rPr>
      <t>being depreciated</t>
    </r>
    <r>
      <rPr>
        <sz val="11"/>
        <color theme="1"/>
        <rFont val="Calibri"/>
        <family val="2"/>
        <scheme val="minor"/>
      </rPr>
      <t xml:space="preserve"> for Water and Sewer Activities</t>
    </r>
  </si>
  <si>
    <t>Upload Amounts</t>
  </si>
  <si>
    <t xml:space="preserve"> </t>
  </si>
  <si>
    <t>Accumulated depreciation:</t>
  </si>
  <si>
    <t>Total Accumulated depreciation</t>
  </si>
  <si>
    <t>Total Annual depreciation</t>
  </si>
  <si>
    <t>Total Net Water and Sewer Capital Assets</t>
  </si>
  <si>
    <t xml:space="preserve">Fiscal Year </t>
  </si>
  <si>
    <t>Unit Data Input Worksheet</t>
  </si>
  <si>
    <t>Purpose of Unit Data Input Worksheet</t>
  </si>
  <si>
    <t>Every year numbers are taken from City and County audited financial statements and used to produce various management tools for units of Government.  Links to these sites are listed at the end of these instructions.  In order for these tools to be updated timely, your audited statements and accompanying Unit Data Input worksheet must be received in this office by October 31st, of each year for local governments with a fiscal year ended June 30th.  Each year a unit of government will be asked to complete a Unit Data Input Worksheet that will be uploaded into a database that supports each of the websites listed below as well as provides information to the North Carolina legislature, North Carolina Budget and the Governor’s office.  The North Carolina League of Municipalities and North Carolina Association of County Commissioners also use this information to advocate before the executive, legislative and judicial branches of state government on behalf of local governments.</t>
  </si>
  <si>
    <t>Water Sewer Dashboard</t>
  </si>
  <si>
    <t>NC County and Municipal Financial Information</t>
  </si>
  <si>
    <t xml:space="preserve">http://www.nctreasurer.com/lgc/units/unitlistjs.htm </t>
  </si>
  <si>
    <t>Instructions</t>
  </si>
  <si>
    <r>
      <t xml:space="preserve">This worksheet must be completed using your audited financial statements and submitted with the audit report to the Local Government Commission.  This worksheet is designed so that each unit should be able to complete in less than an hour, if they have a completed audit report.  However, units can always choose to outsource this worksheet.  The worksheet must be </t>
    </r>
    <r>
      <rPr>
        <b/>
        <sz val="12"/>
        <color indexed="8"/>
        <rFont val="Century Schoolbook"/>
        <family val="1"/>
      </rPr>
      <t>submitted with the unit’s audit report</t>
    </r>
    <r>
      <rPr>
        <sz val="12"/>
        <color indexed="8"/>
        <rFont val="Century Schoolbook"/>
        <family val="1"/>
      </rPr>
      <t>.</t>
    </r>
  </si>
  <si>
    <t xml:space="preserve">The Worksheet does contain edits that will display error messages if these edit tests are not passed.  Please make sure that your worksheet is error free.  </t>
  </si>
  <si>
    <t>RSS</t>
  </si>
  <si>
    <t>All other depreciable capital assets</t>
  </si>
  <si>
    <t>All other depreciable capital assets annual depreciation</t>
  </si>
  <si>
    <t>All other depreciable capital assets accumulated depreciation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</si>
  <si>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</si>
  <si>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</si>
  <si>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</si>
  <si>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</si>
  <si>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</si>
  <si>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</si>
  <si>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</si>
  <si>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</si>
  <si>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Annual depreciation expense:</t>
  </si>
  <si>
    <t>Errors</t>
  </si>
  <si>
    <t>Other Financial Information</t>
  </si>
  <si>
    <t>Yes</t>
  </si>
  <si>
    <t>No</t>
  </si>
  <si>
    <t>Property Tax Increase for Year Audited</t>
  </si>
  <si>
    <t>Property Tax Increase for budget year after fiscal year being reported</t>
  </si>
  <si>
    <t>Cash &amp; Tax Memo</t>
  </si>
  <si>
    <t>Dashboard</t>
  </si>
  <si>
    <t>Water Sewer Memo</t>
  </si>
  <si>
    <t>Electric Memo</t>
  </si>
  <si>
    <t>Review Summary</t>
  </si>
  <si>
    <t>Error Detection</t>
  </si>
  <si>
    <t>Water Sewer Memo,
Dashboard,
Water Sewer Dashboard</t>
  </si>
  <si>
    <t>Water Sewer Memo, Water Sewer Dashboard</t>
  </si>
  <si>
    <t>Electric Memo,
Dashboard</t>
  </si>
  <si>
    <t>Water Sewer Memo, Water Sewer Dashboard, Dashboard</t>
  </si>
  <si>
    <t>Electrical Memo</t>
  </si>
  <si>
    <t>Dashboard,
Electric Memo</t>
  </si>
  <si>
    <t>Cash &amp; Tax Memo,
Dashboard</t>
  </si>
  <si>
    <t>Dashboard,
Water Sewer Memo</t>
  </si>
  <si>
    <t>Review Summary - FBA</t>
  </si>
  <si>
    <t>General Info used to evaluate health of unit</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</si>
  <si>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</si>
  <si>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</si>
  <si>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</si>
  <si>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</si>
  <si>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</si>
  <si>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</si>
  <si>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</si>
  <si>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</si>
  <si>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</si>
  <si>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</si>
  <si>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</si>
  <si>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</si>
  <si>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</si>
  <si>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</si>
  <si>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</si>
  <si>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</si>
  <si>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</si>
  <si>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</si>
  <si>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</si>
  <si>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</si>
  <si>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</si>
  <si>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</si>
  <si>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</si>
  <si>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</si>
  <si>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</si>
  <si>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</si>
  <si>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</si>
  <si>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</si>
  <si>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</si>
  <si>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WS - Change in Net Position</t>
  </si>
  <si>
    <t>Electric - Change in Net Position</t>
  </si>
  <si>
    <t>WS - Total Net Position</t>
  </si>
  <si>
    <t>Gov - Net Investment in Capital Assets</t>
  </si>
  <si>
    <t>Gov - Restricted Net Position</t>
  </si>
  <si>
    <t>Gov - Unrestricted Net Position</t>
  </si>
  <si>
    <t>Electric - Unrestricted Net Position</t>
  </si>
  <si>
    <t>Electric - Total Net Position</t>
  </si>
  <si>
    <t>Gov - Any Adj. to Beginning Net Position</t>
  </si>
  <si>
    <t>WS - Any Adj. to Beginning Net Position</t>
  </si>
  <si>
    <t>Electric - Any Adj. to Beginning Net Position</t>
  </si>
  <si>
    <t>How Data is used</t>
  </si>
  <si>
    <t>Statutory Calculation of Fund Balance Available for Appropriation At June 30 for the General Fund
Restricted - Stabilization by State Statute</t>
  </si>
  <si>
    <t>WS - Total Assets and deferred outflows</t>
  </si>
  <si>
    <t>Electric - Total Assets and deferred outflows</t>
  </si>
  <si>
    <t>Gov - Total Assets and deferred outflows</t>
  </si>
  <si>
    <t>Gov - Total Liabilities and total deferred inflows</t>
  </si>
  <si>
    <t>Gov - Unearned Revenues included in Select Current Liabilities</t>
  </si>
  <si>
    <t>Gen Fund - Total Assets and deferred outflows</t>
  </si>
  <si>
    <t>Gen  Fund - Current  Liabilities</t>
  </si>
  <si>
    <t>Gen Fund - deferred inflows derived from Cash Receipts</t>
  </si>
  <si>
    <t>Gen Fund - Deferred inflows Not from Cash Receipts</t>
  </si>
  <si>
    <t xml:space="preserve">WS - Total Current Assets </t>
  </si>
  <si>
    <t xml:space="preserve">WS - Select Current Liabilities </t>
  </si>
  <si>
    <t>WS - Total Liabilities and deferred inflows</t>
  </si>
  <si>
    <t xml:space="preserve">Electric - Total Current Assets </t>
  </si>
  <si>
    <t>Electric - Select Current Liabilities</t>
  </si>
  <si>
    <t>Electric - Unearned Revenues included in Select Current Liabilities</t>
  </si>
  <si>
    <t>Electric - Total Liabilities and deferred inflows</t>
  </si>
  <si>
    <t>New Questions  -  Please read and answer if applicable</t>
  </si>
  <si>
    <t>LGC USE</t>
  </si>
  <si>
    <t>Government Wide Statements - Net Position Statement - Governmental Activities Column</t>
  </si>
  <si>
    <t>Statement</t>
  </si>
  <si>
    <t>Net Position-Governmental Activities</t>
  </si>
  <si>
    <r>
      <t xml:space="preserve"> </t>
    </r>
    <r>
      <rPr>
        <u/>
        <sz val="11"/>
        <color indexed="8"/>
        <rFont val="Calibri"/>
        <family val="2"/>
      </rPr>
      <t>All restricted Cash and investments</t>
    </r>
  </si>
  <si>
    <t>Total Assets and deferred outflows</t>
  </si>
  <si>
    <t>Total Liabilities and total deferred inflows</t>
  </si>
  <si>
    <t xml:space="preserve"> Total Net investment in capital assets</t>
  </si>
  <si>
    <t xml:space="preserve"> Total Net Position, Restricted</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</si>
  <si>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</si>
  <si>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</si>
  <si>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</si>
  <si>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</si>
  <si>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t>Government Wide Statements - Statement of Activities  - Governmental Activities Column</t>
  </si>
  <si>
    <t xml:space="preserve">Total Interest expense on Long-Term Debt </t>
  </si>
  <si>
    <t>Total Expenses</t>
  </si>
  <si>
    <t xml:space="preserve">Charges for services </t>
  </si>
  <si>
    <t>Operating grants and contributions</t>
  </si>
  <si>
    <t>Capital grants and contributions</t>
  </si>
  <si>
    <t>Total Transfers in</t>
  </si>
  <si>
    <t>Total Transfers out</t>
  </si>
  <si>
    <t>Statement of Activities - Governmental</t>
  </si>
  <si>
    <r>
      <t>Total Transfers in</t>
    </r>
    <r>
      <rPr>
        <sz val="11"/>
        <color theme="1"/>
        <rFont val="Calibri"/>
        <family val="2"/>
        <scheme val="minor"/>
      </rPr>
      <t xml:space="preserve">    </t>
    </r>
    <r>
      <rPr>
        <sz val="11"/>
        <color indexed="60"/>
        <rFont val="Calibri"/>
        <family val="2"/>
      </rPr>
      <t>(Preference is that transfers-in  are not netted against transfers-out)</t>
    </r>
  </si>
  <si>
    <r>
      <t>Total Transfers out</t>
    </r>
    <r>
      <rPr>
        <sz val="11"/>
        <color theme="1"/>
        <rFont val="Calibri"/>
        <family val="2"/>
        <scheme val="minor"/>
      </rPr>
      <t xml:space="preserve">    </t>
    </r>
    <r>
      <rPr>
        <sz val="11"/>
        <color indexed="60"/>
        <rFont val="Calibri"/>
        <family val="2"/>
      </rPr>
      <t>(Preference is that transfers-in  are not netted against transfers-out)</t>
    </r>
  </si>
  <si>
    <t>Fund Statements - General Fund Balance Sheet</t>
  </si>
  <si>
    <t>All restricted cash and investments</t>
  </si>
  <si>
    <t xml:space="preserve">Fund balance, Restricted for Stabilization by State Statute </t>
  </si>
  <si>
    <t>Fund balance, Nonspendable-  inventory/prepaids/etc.</t>
  </si>
  <si>
    <t>General Fund-Balance Sheet</t>
  </si>
  <si>
    <r>
      <rPr>
        <u/>
        <sz val="11"/>
        <color indexed="8"/>
        <rFont val="Calibri"/>
        <family val="2"/>
      </rPr>
      <t>Total Intergovernmental revenue</t>
    </r>
    <r>
      <rPr>
        <sz val="11"/>
        <color theme="1"/>
        <rFont val="Calibri"/>
        <family val="2"/>
        <scheme val="minor"/>
      </rPr>
      <t xml:space="preserve"> 
</t>
    </r>
    <r>
      <rPr>
        <b/>
        <sz val="11"/>
        <color indexed="8"/>
        <rFont val="Calibri"/>
        <family val="2"/>
      </rPr>
      <t>Include</t>
    </r>
    <r>
      <rPr>
        <sz val="11"/>
        <color indexed="8"/>
        <rFont val="Calibri"/>
        <family val="2"/>
      </rPr>
      <t xml:space="preserve"> restricted and unrestricted revenues</t>
    </r>
  </si>
  <si>
    <t>Total revenues</t>
  </si>
  <si>
    <r>
      <rPr>
        <u/>
        <sz val="11"/>
        <rFont val="Calibri"/>
        <family val="2"/>
      </rPr>
      <t>Total Proceeds from all long-term debt issuances</t>
    </r>
    <r>
      <rPr>
        <sz val="11"/>
        <rFont val="Calibri"/>
        <family val="2"/>
      </rPr>
      <t xml:space="preserve"> 
</t>
    </r>
    <r>
      <rPr>
        <b/>
        <sz val="11"/>
        <rFont val="Calibri"/>
        <family val="2"/>
      </rPr>
      <t xml:space="preserve">Exclude </t>
    </r>
    <r>
      <rPr>
        <sz val="11"/>
        <rFont val="Calibri"/>
        <family val="2"/>
      </rPr>
      <t>proceeds from refundings</t>
    </r>
  </si>
  <si>
    <r>
      <rPr>
        <u/>
        <sz val="11"/>
        <color indexed="8"/>
        <rFont val="Calibri"/>
        <family val="2"/>
      </rPr>
      <t>Change in fund balance</t>
    </r>
    <r>
      <rPr>
        <sz val="11"/>
        <color theme="1"/>
        <rFont val="Calibri"/>
        <family val="2"/>
        <scheme val="minor"/>
      </rPr>
      <t xml:space="preserve"> - </t>
    </r>
    <r>
      <rPr>
        <sz val="11"/>
        <color indexed="60"/>
        <rFont val="Calibri"/>
        <family val="2"/>
      </rPr>
      <t>(Increase in Fund balance is recorded as a positive and a decrease in fund balance is recorded as a negative)</t>
    </r>
  </si>
  <si>
    <t xml:space="preserve">    General Fund Only - Statement of Revenue, Expenditures and Changes in Fund Balance </t>
  </si>
  <si>
    <t>General Fund-Rev, Exp. Change in Fund Balance</t>
  </si>
  <si>
    <r>
      <rPr>
        <u/>
        <sz val="11"/>
        <color indexed="8"/>
        <rFont val="Calibri"/>
        <family val="2"/>
      </rPr>
      <t>General fund deferred inflows derived from cash receipts</t>
    </r>
    <r>
      <rPr>
        <sz val="11"/>
        <color indexed="8"/>
        <rFont val="Calibri"/>
        <family val="2"/>
      </rPr>
      <t xml:space="preserve">. 
</t>
    </r>
    <r>
      <rPr>
        <sz val="11"/>
        <color indexed="60"/>
        <rFont val="Calibri"/>
        <family val="2"/>
      </rPr>
      <t xml:space="preserve"> Prepaid taxes is a common item listed.  Deferred inflows on the face of the statements can include cash and non-cash.  You may have to refer to the note disclosure where the cash and non-cash is broken out.</t>
    </r>
  </si>
  <si>
    <r>
      <rPr>
        <u/>
        <sz val="11"/>
        <color indexed="8"/>
        <rFont val="Calibri"/>
        <family val="2"/>
      </rPr>
      <t>Total Deferred inflows not derived from cash receipts.</t>
    </r>
    <r>
      <rPr>
        <sz val="11"/>
        <color indexed="8"/>
        <rFont val="Calibri"/>
        <family val="2"/>
      </rPr>
      <t xml:space="preserve">  </t>
    </r>
    <r>
      <rPr>
        <sz val="11"/>
        <color indexed="60"/>
        <rFont val="Calibri"/>
        <family val="2"/>
      </rPr>
      <t>Deferred inflows on the face of the statements can include cash and non-cash.  You may have to refer to the note disclosure where the cash and non-cash is broken out.</t>
    </r>
  </si>
  <si>
    <r>
      <rPr>
        <u/>
        <sz val="11"/>
        <color indexed="8"/>
        <rFont val="Calibri"/>
        <family val="2"/>
      </rPr>
      <t>Fund balance, Restricted for Streets</t>
    </r>
    <r>
      <rPr>
        <sz val="11"/>
        <color theme="1"/>
        <rFont val="Calibri"/>
        <family val="2"/>
        <scheme val="minor"/>
      </rPr>
      <t xml:space="preserve"> (unspent Powell Bill balance).  </t>
    </r>
    <r>
      <rPr>
        <sz val="11"/>
        <color indexed="60"/>
        <rFont val="Calibri"/>
        <family val="2"/>
      </rPr>
      <t>You may have to refer to the note disclosure where restricted fund balance is described.</t>
    </r>
  </si>
  <si>
    <r>
      <rPr>
        <u/>
        <sz val="11"/>
        <rFont val="Calibri"/>
        <family val="2"/>
      </rPr>
      <t>Total expenditures</t>
    </r>
    <r>
      <rPr>
        <sz val="11"/>
        <rFont val="Calibri"/>
        <family val="2"/>
      </rPr>
      <t xml:space="preserve">  
</t>
    </r>
    <r>
      <rPr>
        <b/>
        <sz val="11"/>
        <rFont val="Calibri"/>
        <family val="2"/>
      </rPr>
      <t>Exclude</t>
    </r>
    <r>
      <rPr>
        <sz val="11"/>
        <rFont val="Calibri"/>
        <family val="2"/>
      </rPr>
      <t xml:space="preserve"> expenditures in the "other financing sources (uses)" section.
</t>
    </r>
  </si>
  <si>
    <r>
      <rPr>
        <b/>
        <sz val="11"/>
        <color indexed="8"/>
        <rFont val="Century Schoolbook"/>
        <family val="1"/>
      </rPr>
      <t>Statement of Net Position - Water and Sewer Operations</t>
    </r>
    <r>
      <rPr>
        <sz val="11"/>
        <color indexed="8"/>
        <rFont val="Century Schoolbook"/>
        <family val="1"/>
      </rPr>
      <t xml:space="preserve"> - If unit maintains separate funds please combine all water, sewer,</t>
    </r>
  </si>
  <si>
    <r>
      <rPr>
        <u/>
        <sz val="11"/>
        <color indexed="8"/>
        <rFont val="Calibri"/>
        <family val="2"/>
      </rPr>
      <t>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and/or restricted investments.</t>
    </r>
  </si>
  <si>
    <r>
      <rPr>
        <u/>
        <sz val="11"/>
        <color indexed="8"/>
        <rFont val="Calibri"/>
        <family val="2"/>
      </rPr>
      <t>Customer accounts receivable</t>
    </r>
    <r>
      <rPr>
        <sz val="11"/>
        <color theme="1"/>
        <rFont val="Calibri"/>
        <family val="2"/>
        <scheme val="minor"/>
      </rPr>
      <t xml:space="preserve"> (net of allowance accounts). 
</t>
    </r>
    <r>
      <rPr>
        <b/>
        <sz val="11"/>
        <color indexed="8"/>
        <rFont val="Calibri"/>
        <family val="2"/>
      </rPr>
      <t>Include</t>
    </r>
    <r>
      <rPr>
        <sz val="11"/>
        <color theme="1"/>
        <rFont val="Calibri"/>
        <family val="2"/>
        <scheme val="minor"/>
      </rPr>
      <t xml:space="preserve"> both billed and unbilled amounts.</t>
    </r>
  </si>
  <si>
    <t>Total Liabilities and deferred inflows</t>
  </si>
  <si>
    <t>Total Net position</t>
  </si>
  <si>
    <t xml:space="preserve">Statement of Net Position - Electric Fund </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</si>
  <si>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any restricted cash and investments.</t>
    </r>
  </si>
  <si>
    <r>
      <rPr>
        <u/>
        <sz val="11"/>
        <color indexed="8"/>
        <rFont val="Calibri"/>
        <family val="2"/>
      </rPr>
      <t>Customer accounts receivable</t>
    </r>
    <r>
      <rPr>
        <sz val="11"/>
        <color theme="1"/>
        <rFont val="Calibri"/>
        <family val="2"/>
        <scheme val="minor"/>
      </rPr>
      <t xml:space="preserve"> (net of allowance accounts)
</t>
    </r>
    <r>
      <rPr>
        <b/>
        <sz val="11"/>
        <color indexed="8"/>
        <rFont val="Calibri"/>
        <family val="2"/>
      </rPr>
      <t>Include</t>
    </r>
    <r>
      <rPr>
        <sz val="11"/>
        <color theme="1"/>
        <rFont val="Calibri"/>
        <family val="2"/>
        <scheme val="minor"/>
      </rPr>
      <t xml:space="preserve"> billed and unbilled amounts </t>
    </r>
  </si>
  <si>
    <t>Amount of inventories and prepaids</t>
  </si>
  <si>
    <t>Total liabilities and total deferred inflows</t>
  </si>
  <si>
    <r>
      <rPr>
        <u/>
        <sz val="11"/>
        <color indexed="8"/>
        <rFont val="Calibri"/>
        <family val="2"/>
      </rPr>
      <t>Total net position, unrestricted</t>
    </r>
    <r>
      <rPr>
        <sz val="11"/>
        <color theme="1"/>
        <rFont val="Calibri"/>
        <family val="2"/>
        <scheme val="minor"/>
      </rPr>
      <t xml:space="preserve"> - </t>
    </r>
    <r>
      <rPr>
        <sz val="11"/>
        <color indexed="60"/>
        <rFont val="Calibri"/>
        <family val="2"/>
      </rPr>
      <t>Amount of negative unrestricted net position should be entered as a negative amount and the amount of positive unrestricted net position should be entered as a positive amount.</t>
    </r>
  </si>
  <si>
    <t>Total net position</t>
  </si>
  <si>
    <r>
      <rPr>
        <b/>
        <sz val="9"/>
        <color indexed="8"/>
        <rFont val="Century Schoolbook"/>
        <family val="1"/>
      </rPr>
      <t>Water Sewer</t>
    </r>
    <r>
      <rPr>
        <sz val="9"/>
        <color indexed="8"/>
        <rFont val="Century Schoolbook"/>
        <family val="1"/>
      </rPr>
      <t xml:space="preserve"> Revenue, Expenses &amp; Changes in Fund Net Position</t>
    </r>
  </si>
  <si>
    <r>
      <rPr>
        <b/>
        <sz val="9"/>
        <color indexed="8"/>
        <rFont val="Century Schoolbook"/>
        <family val="1"/>
      </rPr>
      <t>Electric Fund</t>
    </r>
    <r>
      <rPr>
        <sz val="9"/>
        <color indexed="8"/>
        <rFont val="Century Schoolbook"/>
        <family val="1"/>
      </rPr>
      <t xml:space="preserve"> Net Position Statement</t>
    </r>
  </si>
  <si>
    <r>
      <rPr>
        <b/>
        <sz val="9"/>
        <color indexed="8"/>
        <rFont val="Century Schoolbook"/>
        <family val="1"/>
      </rPr>
      <t>Water Sewe</t>
    </r>
    <r>
      <rPr>
        <sz val="9"/>
        <color indexed="8"/>
        <rFont val="Century Schoolbook"/>
        <family val="1"/>
      </rPr>
      <t>r Net Position Statement</t>
    </r>
  </si>
  <si>
    <t>Total Operating revenues</t>
  </si>
  <si>
    <t>Depreciation and amortization expense</t>
  </si>
  <si>
    <t>Total Operating expenses</t>
  </si>
  <si>
    <t>Interest expense</t>
  </si>
  <si>
    <r>
      <rPr>
        <u/>
        <sz val="11"/>
        <color indexed="8"/>
        <rFont val="Calibri"/>
        <family val="2"/>
      </rPr>
      <t xml:space="preserve">Total all non-operating </t>
    </r>
    <r>
      <rPr>
        <u/>
        <sz val="11"/>
        <color indexed="8"/>
        <rFont val="Calibri"/>
        <family val="2"/>
      </rPr>
      <t>revenues</t>
    </r>
    <r>
      <rPr>
        <sz val="11"/>
        <color indexed="10"/>
        <rFont val="Calibri"/>
        <family val="2"/>
      </rPr>
      <t xml:space="preserve">  
</t>
    </r>
    <r>
      <rPr>
        <b/>
        <sz val="11"/>
        <color indexed="8"/>
        <rFont val="Calibri"/>
        <family val="2"/>
      </rPr>
      <t>Exclude</t>
    </r>
    <r>
      <rPr>
        <sz val="11"/>
        <color indexed="8"/>
        <rFont val="Calibri"/>
        <family val="2"/>
      </rPr>
      <t xml:space="preserve"> Capital contributions.</t>
    </r>
  </si>
  <si>
    <r>
      <rPr>
        <u/>
        <sz val="11"/>
        <color indexed="8"/>
        <rFont val="Calibri"/>
        <family val="2"/>
      </rPr>
      <t>Capital contributions</t>
    </r>
    <r>
      <rPr>
        <sz val="11"/>
        <color theme="1"/>
        <rFont val="Calibri"/>
        <family val="2"/>
        <scheme val="minor"/>
      </rPr>
      <t>.</t>
    </r>
    <r>
      <rPr>
        <sz val="11"/>
        <color indexed="60"/>
        <rFont val="Calibri"/>
        <family val="2"/>
      </rPr>
      <t xml:space="preserve"> Only include positive capital contributions.  </t>
    </r>
    <r>
      <rPr>
        <sz val="11"/>
        <color indexed="60"/>
        <rFont val="Calibri"/>
        <family val="2"/>
      </rPr>
      <t>Negative capital contributions should be included with 'Total all non-operating expenses.'</t>
    </r>
  </si>
  <si>
    <r>
      <rPr>
        <u/>
        <sz val="11"/>
        <color indexed="8"/>
        <rFont val="Calibri"/>
        <family val="2"/>
      </rPr>
      <t>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</si>
  <si>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r>
      <rPr>
        <u/>
        <sz val="11"/>
        <color indexed="8"/>
        <rFont val="Calibri"/>
        <family val="2"/>
      </rPr>
      <t>Did unit raise Water Sewer rates during the audited fiscal period</t>
    </r>
    <r>
      <rPr>
        <sz val="11"/>
        <color theme="1"/>
        <rFont val="Calibri"/>
        <family val="2"/>
        <scheme val="minor"/>
      </rPr>
      <t>? -</t>
    </r>
    <r>
      <rPr>
        <sz val="11"/>
        <color indexed="60"/>
        <rFont val="Calibri"/>
        <family val="2"/>
      </rPr>
      <t xml:space="preserve"> answer Yes or No</t>
    </r>
  </si>
  <si>
    <r>
      <rPr>
        <u/>
        <sz val="11"/>
        <color indexed="8"/>
        <rFont val="Calibri"/>
        <family val="2"/>
      </rPr>
      <t>Did unit raise Water Sewer rates during the budget year following the audited fiscal year</t>
    </r>
    <r>
      <rPr>
        <sz val="11"/>
        <color theme="1"/>
        <rFont val="Calibri"/>
        <family val="2"/>
        <scheme val="minor"/>
      </rPr>
      <t xml:space="preserve">? - </t>
    </r>
    <r>
      <rPr>
        <sz val="11"/>
        <color indexed="60"/>
        <rFont val="Calibri"/>
        <family val="2"/>
      </rPr>
      <t>answer Yes or No</t>
    </r>
  </si>
  <si>
    <r>
      <rPr>
        <u/>
        <sz val="11"/>
        <color indexed="8"/>
        <rFont val="Calibri"/>
        <family val="2"/>
      </rPr>
      <t>Increases or (decreases) to beginning water sewer net position due to rounding, prior period adjustments and restatements</t>
    </r>
    <r>
      <rPr>
        <sz val="11"/>
        <color theme="1"/>
        <rFont val="Calibri"/>
        <family val="2"/>
        <scheme val="minor"/>
      </rPr>
      <t xml:space="preserve">.  </t>
    </r>
    <r>
      <rPr>
        <sz val="11"/>
        <color indexed="60"/>
        <rFont val="Calibri"/>
        <family val="2"/>
      </rPr>
      <t>Increase amounts to beginning net position should be entered as a positive amount and (decreases) should be entered as a negative amount.</t>
    </r>
  </si>
  <si>
    <r>
      <rPr>
        <b/>
        <sz val="9"/>
        <color indexed="8"/>
        <rFont val="Century Schoolbook"/>
        <family val="1"/>
      </rPr>
      <t>Electric Fund</t>
    </r>
    <r>
      <rPr>
        <sz val="9"/>
        <color indexed="8"/>
        <rFont val="Century Schoolbook"/>
        <family val="1"/>
      </rPr>
      <t xml:space="preserve"> Revenue, Expenses &amp; Changes in Fund Net Position</t>
    </r>
  </si>
  <si>
    <t>Charges for services</t>
  </si>
  <si>
    <t>Electrical power purchases</t>
  </si>
  <si>
    <r>
      <rPr>
        <u/>
        <sz val="11"/>
        <color indexed="8"/>
        <rFont val="Calibri"/>
        <family val="2"/>
      </rPr>
      <t>Capi</t>
    </r>
    <r>
      <rPr>
        <u/>
        <sz val="11"/>
        <rFont val="Calibri"/>
        <family val="2"/>
      </rPr>
      <t>tal Contributions</t>
    </r>
    <r>
      <rPr>
        <sz val="11"/>
        <rFont val="Calibri"/>
        <family val="2"/>
      </rPr>
      <t xml:space="preserve">.  
</t>
    </r>
    <r>
      <rPr>
        <b/>
        <sz val="11"/>
        <rFont val="Calibri"/>
        <family val="2"/>
      </rPr>
      <t xml:space="preserve">Include </t>
    </r>
    <r>
      <rPr>
        <sz val="11"/>
        <rFont val="Calibri"/>
        <family val="2"/>
      </rPr>
      <t>only positive capital Contributions.</t>
    </r>
    <r>
      <rPr>
        <b/>
        <sz val="11"/>
        <rFont val="Calibri"/>
        <family val="2"/>
      </rPr>
      <t xml:space="preserve">  </t>
    </r>
    <r>
      <rPr>
        <sz val="11"/>
        <color indexed="60"/>
        <rFont val="Calibri"/>
        <family val="2"/>
      </rPr>
      <t>Negative capital contributions should be included with 'Total all non-operating expenses.'</t>
    </r>
  </si>
  <si>
    <r>
      <rPr>
        <u/>
        <sz val="11"/>
        <color indexed="8"/>
        <rFont val="Calibri"/>
        <family val="2"/>
      </rPr>
      <t>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</si>
  <si>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r>
      <rPr>
        <u/>
        <sz val="11"/>
        <color indexed="8"/>
        <rFont val="Calibri"/>
        <family val="2"/>
      </rPr>
      <t>Total Transfers In</t>
    </r>
    <r>
      <rPr>
        <sz val="11"/>
        <color theme="1"/>
        <rFont val="Calibri"/>
        <family val="2"/>
        <scheme val="minor"/>
      </rPr>
      <t xml:space="preserve"> (From all Funds)</t>
    </r>
  </si>
  <si>
    <r>
      <rPr>
        <u/>
        <sz val="11"/>
        <color indexed="8"/>
        <rFont val="Calibri"/>
        <family val="2"/>
      </rPr>
      <t>Total Transfers Out</t>
    </r>
    <r>
      <rPr>
        <sz val="11"/>
        <color theme="1"/>
        <rFont val="Calibri"/>
        <family val="2"/>
        <scheme val="minor"/>
      </rPr>
      <t xml:space="preserve"> (To all funds)</t>
    </r>
  </si>
  <si>
    <r>
      <rPr>
        <u/>
        <sz val="11"/>
        <color indexed="8"/>
        <rFont val="Calibri"/>
        <family val="2"/>
      </rPr>
      <t>Increases or (decreases) to beginning electric net position due to rounding, prior period adjustments and restatements</t>
    </r>
    <r>
      <rPr>
        <sz val="11"/>
        <color indexed="60"/>
        <rFont val="Calibri"/>
        <family val="2"/>
      </rPr>
      <t>.  Increase amounts to beginning net position should be entered as a positive amount and (decreases) should be entered as a negative amount.</t>
    </r>
  </si>
  <si>
    <r>
      <rPr>
        <b/>
        <sz val="11"/>
        <color indexed="8"/>
        <rFont val="Century Schoolbook"/>
        <family val="1"/>
      </rPr>
      <t>Water and Sewer Operations</t>
    </r>
    <r>
      <rPr>
        <sz val="11"/>
        <color indexed="8"/>
        <rFont val="Century Schoolbook"/>
        <family val="1"/>
      </rPr>
      <t xml:space="preserve"> - If unit maintains separate funds please combine all water, sewer,</t>
    </r>
  </si>
  <si>
    <r>
      <t xml:space="preserve">and wastewater funds into one activity for purposes of this worksheet.  </t>
    </r>
    <r>
      <rPr>
        <b/>
        <sz val="11"/>
        <color indexed="8"/>
        <rFont val="Century Schoolbook"/>
        <family val="1"/>
      </rPr>
      <t>Exclude stormwater funds</t>
    </r>
    <r>
      <rPr>
        <sz val="11"/>
        <color indexed="8"/>
        <rFont val="Century Schoolbook"/>
        <family val="1"/>
      </rPr>
      <t xml:space="preserve">.  Only fill out this section if </t>
    </r>
  </si>
  <si>
    <r>
      <t xml:space="preserve">Water Sewer </t>
    </r>
    <r>
      <rPr>
        <sz val="9"/>
        <color indexed="8"/>
        <rFont val="Century Schoolbook"/>
        <family val="1"/>
      </rPr>
      <t>Cash Flow Statement</t>
    </r>
  </si>
  <si>
    <r>
      <rPr>
        <u/>
        <sz val="11"/>
        <color indexed="8"/>
        <rFont val="Calibri"/>
        <family val="2"/>
      </rPr>
      <t>Total Capital outlay</t>
    </r>
    <r>
      <rPr>
        <sz val="11"/>
        <color theme="1"/>
        <rFont val="Calibri"/>
        <family val="2"/>
        <scheme val="minor"/>
      </rPr>
      <t xml:space="preserve">. 
</t>
    </r>
    <r>
      <rPr>
        <b/>
        <sz val="11"/>
        <color indexed="8"/>
        <rFont val="Calibri"/>
        <family val="2"/>
      </rPr>
      <t>Include</t>
    </r>
    <r>
      <rPr>
        <sz val="11"/>
        <color theme="1"/>
        <rFont val="Calibri"/>
        <family val="2"/>
        <scheme val="minor"/>
      </rPr>
      <t xml:space="preserve"> acquisition and construction of capital assets.</t>
    </r>
  </si>
  <si>
    <r>
      <rPr>
        <u/>
        <sz val="11"/>
        <color indexed="8"/>
        <rFont val="Calibri"/>
        <family val="2"/>
      </rPr>
      <t>Principal paid on long-term debt</t>
    </r>
    <r>
      <rPr>
        <sz val="11"/>
        <color theme="1"/>
        <rFont val="Calibri"/>
        <family val="2"/>
        <scheme val="minor"/>
      </rPr>
      <t xml:space="preserve">.  </t>
    </r>
    <r>
      <rPr>
        <sz val="11"/>
        <color indexed="60"/>
        <rFont val="Calibri"/>
        <family val="2"/>
      </rPr>
      <t>Amount should be reduced by principal payments for debt refunding.</t>
    </r>
  </si>
  <si>
    <r>
      <t xml:space="preserve">Electric Fund </t>
    </r>
    <r>
      <rPr>
        <sz val="9"/>
        <color indexed="8"/>
        <rFont val="Century Schoolbook"/>
        <family val="1"/>
      </rPr>
      <t>Cash Flow Statement</t>
    </r>
  </si>
  <si>
    <r>
      <rPr>
        <u/>
        <sz val="11"/>
        <color indexed="8"/>
        <rFont val="Calibri"/>
        <family val="2"/>
      </rPr>
      <t>Total Capital outlay.</t>
    </r>
    <r>
      <rPr>
        <sz val="11"/>
        <color theme="1"/>
        <rFont val="Calibri"/>
        <family val="2"/>
        <scheme val="minor"/>
      </rPr>
      <t xml:space="preserve">  
</t>
    </r>
    <r>
      <rPr>
        <b/>
        <sz val="11"/>
        <color indexed="8"/>
        <rFont val="Calibri"/>
        <family val="2"/>
      </rPr>
      <t>Include</t>
    </r>
    <r>
      <rPr>
        <sz val="11"/>
        <color theme="1"/>
        <rFont val="Calibri"/>
        <family val="2"/>
        <scheme val="minor"/>
      </rPr>
      <t xml:space="preserve"> acquisition and construction of capital assets.</t>
    </r>
  </si>
  <si>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</si>
  <si>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</si>
  <si>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Cash and Investment Note</t>
  </si>
  <si>
    <r>
      <rPr>
        <u/>
        <sz val="11"/>
        <color indexed="8"/>
        <rFont val="Calibri"/>
        <family val="2"/>
      </rPr>
      <t xml:space="preserve">Decreases made (principal paid) on Long-Term Debt in current fiscal year.  Reduce for </t>
    </r>
    <r>
      <rPr>
        <b/>
        <u/>
        <sz val="11"/>
        <color indexed="8"/>
        <rFont val="Calibri"/>
        <family val="2"/>
      </rPr>
      <t>debt refunding</t>
    </r>
    <r>
      <rPr>
        <u/>
        <sz val="11"/>
        <color indexed="8"/>
        <rFont val="Calibri"/>
        <family val="2"/>
      </rPr>
      <t>.</t>
    </r>
  </si>
  <si>
    <t>OPEB Note</t>
  </si>
  <si>
    <r>
      <rPr>
        <u/>
        <sz val="11"/>
        <color indexed="8"/>
        <rFont val="Calibri"/>
        <family val="2"/>
      </rPr>
      <t>Amount of Transfers from the General Fund to the Debt Service Fund</t>
    </r>
    <r>
      <rPr>
        <sz val="11"/>
        <color theme="1"/>
        <rFont val="Calibri"/>
        <family val="2"/>
        <scheme val="minor"/>
      </rPr>
      <t xml:space="preserve"> </t>
    </r>
    <r>
      <rPr>
        <sz val="11"/>
        <color indexed="60"/>
        <rFont val="Calibri"/>
        <family val="2"/>
      </rPr>
      <t>(Enter as positive)</t>
    </r>
  </si>
  <si>
    <r>
      <rPr>
        <u/>
        <sz val="11"/>
        <color indexed="8"/>
        <rFont val="Calibri"/>
        <family val="2"/>
      </rPr>
      <t>Amount of Transfers from the General Fund to the Electric Fund</t>
    </r>
    <r>
      <rPr>
        <sz val="11"/>
        <color theme="1"/>
        <rFont val="Calibri"/>
        <family val="2"/>
        <scheme val="minor"/>
      </rPr>
      <t xml:space="preserve">  </t>
    </r>
    <r>
      <rPr>
        <sz val="11"/>
        <color indexed="60"/>
        <rFont val="Calibri"/>
        <family val="2"/>
      </rPr>
      <t>(Enter as positive)</t>
    </r>
  </si>
  <si>
    <t>Transfer Note</t>
  </si>
  <si>
    <r>
      <rPr>
        <u/>
        <sz val="11"/>
        <color indexed="8"/>
        <rFont val="Calibri"/>
        <family val="2"/>
      </rPr>
      <t>General Fund -  Total Encumbrances.</t>
    </r>
    <r>
      <rPr>
        <sz val="11"/>
        <color theme="1"/>
        <rFont val="Calibri"/>
        <family val="2"/>
        <scheme val="minor"/>
      </rPr>
      <t xml:space="preserve">  </t>
    </r>
    <r>
      <rPr>
        <sz val="11"/>
        <color indexed="60"/>
        <rFont val="Calibri"/>
        <family val="2"/>
      </rPr>
      <t>You will probably have to refer to the note disclosure where the amount of encumbrances is listed.</t>
    </r>
  </si>
  <si>
    <t>Fund Balance Note</t>
  </si>
  <si>
    <t>Amount of the Water Sewer Fund Balance appropriated in next year's budget?</t>
  </si>
  <si>
    <t>Amount of the General Fund Balance appropriated in next year's budget.</t>
  </si>
  <si>
    <r>
      <rPr>
        <b/>
        <sz val="9"/>
        <color indexed="8"/>
        <rFont val="Century Schoolbook"/>
        <family val="1"/>
      </rPr>
      <t>General Fund</t>
    </r>
    <r>
      <rPr>
        <sz val="9"/>
        <color indexed="8"/>
        <rFont val="Century Schoolbook"/>
        <family val="1"/>
      </rPr>
      <t xml:space="preserve"> - Budget Actual Statement</t>
    </r>
  </si>
  <si>
    <r>
      <rPr>
        <b/>
        <sz val="9"/>
        <color indexed="8"/>
        <rFont val="Century Schoolbook"/>
        <family val="1"/>
      </rPr>
      <t>Water Sewer</t>
    </r>
    <r>
      <rPr>
        <sz val="9"/>
        <color indexed="8"/>
        <rFont val="Century Schoolbook"/>
        <family val="1"/>
      </rPr>
      <t xml:space="preserve"> - Budget Actual Statement</t>
    </r>
  </si>
  <si>
    <r>
      <t xml:space="preserve">Analysis of Current Tax Levy Schedule - Unit-Wide - </t>
    </r>
    <r>
      <rPr>
        <b/>
        <sz val="11"/>
        <color indexed="60"/>
        <rFont val="Century Schoolbook"/>
        <family val="1"/>
      </rPr>
      <t xml:space="preserve">Pull percentages from this LGC-required schedule, </t>
    </r>
  </si>
  <si>
    <t>Analysis of Current Tax Levy Schedule</t>
  </si>
  <si>
    <r>
      <rPr>
        <u/>
        <sz val="11"/>
        <color indexed="8"/>
        <rFont val="Calibri"/>
        <family val="2"/>
      </rPr>
      <t>Gross value.</t>
    </r>
    <r>
      <rPr>
        <sz val="11"/>
        <color theme="1"/>
        <rFont val="Calibri"/>
        <family val="2"/>
        <scheme val="minor"/>
      </rPr>
      <t xml:space="preserve"> </t>
    </r>
    <r>
      <rPr>
        <b/>
        <sz val="11"/>
        <color indexed="8"/>
        <rFont val="Calibri"/>
        <family val="2"/>
      </rPr>
      <t xml:space="preserve"> 
Exclude</t>
    </r>
    <r>
      <rPr>
        <sz val="11"/>
        <color theme="1"/>
        <rFont val="Calibri"/>
        <family val="2"/>
        <scheme val="minor"/>
      </rPr>
      <t xml:space="preserve"> non-depreciable.</t>
    </r>
  </si>
  <si>
    <t>Accumulated depreciation</t>
  </si>
  <si>
    <t>Gov.-Capital Assets Schedule in the Notes</t>
  </si>
  <si>
    <r>
      <rPr>
        <u/>
        <sz val="11"/>
        <color indexed="8"/>
        <rFont val="Calibri"/>
        <family val="2"/>
      </rPr>
      <t>Land and all other non depreciable capital assets</t>
    </r>
    <r>
      <rPr>
        <sz val="11"/>
        <color theme="1"/>
        <rFont val="Calibri"/>
        <family val="2"/>
        <scheme val="minor"/>
      </rPr>
      <t xml:space="preserve"> 
</t>
    </r>
    <r>
      <rPr>
        <b/>
        <sz val="11"/>
        <color indexed="8"/>
        <rFont val="Calibri"/>
        <family val="2"/>
      </rPr>
      <t>Exclude</t>
    </r>
    <r>
      <rPr>
        <sz val="11"/>
        <color theme="1"/>
        <rFont val="Calibri"/>
        <family val="2"/>
        <scheme val="minor"/>
      </rPr>
      <t xml:space="preserve"> construction in progress</t>
    </r>
  </si>
  <si>
    <r>
      <t>Total Assets not being depreciated for</t>
    </r>
    <r>
      <rPr>
        <b/>
        <u/>
        <sz val="11"/>
        <color indexed="8"/>
        <rFont val="Calibri"/>
        <family val="2"/>
      </rPr>
      <t xml:space="preserve"> Water and Sewer</t>
    </r>
    <r>
      <rPr>
        <u/>
        <sz val="11"/>
        <color indexed="8"/>
        <rFont val="Calibri"/>
        <family val="2"/>
      </rPr>
      <t xml:space="preserve"> Activities</t>
    </r>
  </si>
  <si>
    <r>
      <t xml:space="preserve">Total Assets Gross value </t>
    </r>
    <r>
      <rPr>
        <b/>
        <u/>
        <sz val="11"/>
        <color indexed="8"/>
        <rFont val="Calibri"/>
        <family val="2"/>
      </rPr>
      <t>not being depreciated</t>
    </r>
    <r>
      <rPr>
        <u/>
        <sz val="11"/>
        <color indexed="8"/>
        <rFont val="Calibri"/>
        <family val="2"/>
      </rPr>
      <t xml:space="preserve"> for Electric Fund</t>
    </r>
  </si>
  <si>
    <t>WS-Capital Assets Schedule in the Notes</t>
  </si>
  <si>
    <t>WS Capital Assets Schedule-Gross Value</t>
  </si>
  <si>
    <t>WS Capital Assets Schedule-Annual Depreciation</t>
  </si>
  <si>
    <t>WS Capital Assets Schedule-Accumulated Depreciation</t>
  </si>
  <si>
    <t>Electric Assets</t>
  </si>
  <si>
    <t>Electric Accumulated Depreciation</t>
  </si>
  <si>
    <t>Budget Actual Statement for Water Sewer Fund-Modified Accrual Basis</t>
  </si>
  <si>
    <r>
      <rPr>
        <u/>
        <sz val="11"/>
        <rFont val="Calibri"/>
        <family val="2"/>
      </rPr>
      <t>Please enter the Net Current year's levy</t>
    </r>
    <r>
      <rPr>
        <sz val="11"/>
        <rFont val="Calibri"/>
        <family val="2"/>
      </rPr>
      <t xml:space="preserve"> -- </t>
    </r>
    <r>
      <rPr>
        <sz val="11"/>
        <color indexed="60"/>
        <rFont val="Calibri"/>
        <family val="2"/>
      </rPr>
      <t>(after adjusting for discoveries and abatements)</t>
    </r>
    <r>
      <rPr>
        <sz val="11"/>
        <rFont val="Calibri"/>
        <family val="2"/>
      </rPr>
      <t xml:space="preserve">
</t>
    </r>
    <r>
      <rPr>
        <b/>
        <sz val="11"/>
        <rFont val="Calibri"/>
        <family val="2"/>
      </rPr>
      <t>Exclude</t>
    </r>
    <r>
      <rPr>
        <sz val="11"/>
        <rFont val="Calibri"/>
        <family val="2"/>
      </rPr>
      <t xml:space="preserve"> motor vehicles and Supplemental Taxes</t>
    </r>
  </si>
  <si>
    <r>
      <rPr>
        <u/>
        <sz val="11"/>
        <rFont val="Calibri"/>
        <family val="2"/>
      </rPr>
      <t>Please enter the Net Current year's levy -- Motor vehicles</t>
    </r>
    <r>
      <rPr>
        <sz val="11"/>
        <rFont val="Calibri"/>
        <family val="2"/>
      </rPr>
      <t xml:space="preserve"> (only) </t>
    </r>
    <r>
      <rPr>
        <sz val="11"/>
        <color indexed="60"/>
        <rFont val="Calibri"/>
        <family val="2"/>
      </rPr>
      <t xml:space="preserve">(after adjusting for discoveries and abatements)
</t>
    </r>
    <r>
      <rPr>
        <b/>
        <sz val="11"/>
        <color indexed="8"/>
        <rFont val="Calibri"/>
        <family val="2"/>
      </rPr>
      <t xml:space="preserve">Exclude </t>
    </r>
    <r>
      <rPr>
        <sz val="11"/>
        <color indexed="8"/>
        <rFont val="Calibri"/>
        <family val="2"/>
      </rPr>
      <t>supplemental taxes</t>
    </r>
  </si>
  <si>
    <r>
      <t xml:space="preserve">Uncollected Taxes - Curr Year's Levy Exclude Motor Vehicles
</t>
    </r>
    <r>
      <rPr>
        <b/>
        <sz val="11"/>
        <rFont val="Calibri"/>
        <family val="2"/>
      </rPr>
      <t>Exclude</t>
    </r>
    <r>
      <rPr>
        <sz val="11"/>
        <rFont val="Calibri"/>
        <family val="2"/>
      </rPr>
      <t xml:space="preserve"> supplemental taxes</t>
    </r>
  </si>
  <si>
    <r>
      <t xml:space="preserve">Uncollected Taxes - Curr Year's Levy Motor Vehicles
</t>
    </r>
    <r>
      <rPr>
        <b/>
        <sz val="11"/>
        <rFont val="Calibri"/>
        <family val="2"/>
      </rPr>
      <t>Exclude</t>
    </r>
    <r>
      <rPr>
        <sz val="11"/>
        <rFont val="Calibri"/>
        <family val="2"/>
      </rPr>
      <t xml:space="preserve"> supplemental taxes</t>
    </r>
  </si>
  <si>
    <r>
      <rPr>
        <u/>
        <sz val="11"/>
        <color indexed="8"/>
        <rFont val="Calibri"/>
        <family val="2"/>
      </rPr>
      <t>Property Tax Increase for Year Audited</t>
    </r>
    <r>
      <rPr>
        <sz val="11"/>
        <color theme="1"/>
        <rFont val="Calibri"/>
        <family val="2"/>
        <scheme val="minor"/>
      </rPr>
      <t xml:space="preserve">- </t>
    </r>
    <r>
      <rPr>
        <sz val="11"/>
        <color indexed="60"/>
        <rFont val="Calibri"/>
        <family val="2"/>
      </rPr>
      <t xml:space="preserve">enter amount of  increase in cents per $100 - leave blank if no increase 
</t>
    </r>
    <r>
      <rPr>
        <b/>
        <sz val="11"/>
        <color indexed="8"/>
        <rFont val="Calibri"/>
        <family val="2"/>
      </rPr>
      <t>Exclude</t>
    </r>
    <r>
      <rPr>
        <sz val="11"/>
        <color indexed="8"/>
        <rFont val="Calibri"/>
        <family val="2"/>
      </rPr>
      <t xml:space="preserve"> supplemental taxes</t>
    </r>
  </si>
  <si>
    <r>
      <rPr>
        <u/>
        <sz val="11"/>
        <color indexed="8"/>
        <rFont val="Calibri"/>
        <family val="2"/>
      </rPr>
      <t>Property Tax Increase for budget year after fiscal year being reported</t>
    </r>
    <r>
      <rPr>
        <sz val="11"/>
        <color theme="1"/>
        <rFont val="Calibri"/>
        <family val="2"/>
        <scheme val="minor"/>
      </rPr>
      <t xml:space="preserve"> - </t>
    </r>
    <r>
      <rPr>
        <sz val="11"/>
        <color indexed="60"/>
        <rFont val="Calibri"/>
        <family val="2"/>
      </rPr>
      <t xml:space="preserve">enter amount of increase in cents per $100- leave blank if no increase
</t>
    </r>
    <r>
      <rPr>
        <b/>
        <sz val="11"/>
        <color indexed="8"/>
        <rFont val="Calibri"/>
        <family val="2"/>
      </rPr>
      <t>Exclude</t>
    </r>
    <r>
      <rPr>
        <sz val="11"/>
        <color indexed="8"/>
        <rFont val="Calibri"/>
        <family val="2"/>
      </rPr>
      <t xml:space="preserve"> supplemental taxes</t>
    </r>
  </si>
  <si>
    <r>
      <t xml:space="preserve">Capital Assets for Water and Sewer Activity </t>
    </r>
    <r>
      <rPr>
        <sz val="9"/>
        <color indexed="60"/>
        <rFont val="Calibri"/>
        <family val="2"/>
      </rPr>
      <t>(If unit maintains separate funds please combine all water, sewer and wastewater funds into one activity for purposes of this worksheet)</t>
    </r>
    <r>
      <rPr>
        <b/>
        <sz val="9"/>
        <color indexed="8"/>
        <rFont val="Calibri"/>
        <family val="2"/>
      </rPr>
      <t xml:space="preserve">
Exclude </t>
    </r>
    <r>
      <rPr>
        <sz val="9"/>
        <color indexed="8"/>
        <rFont val="Calibri"/>
        <family val="2"/>
      </rPr>
      <t>Stormwater funds</t>
    </r>
  </si>
  <si>
    <t>Liabilities……………………………………………………………….………………………….</t>
  </si>
  <si>
    <r>
      <rPr>
        <u/>
        <sz val="11"/>
        <color indexed="8"/>
        <rFont val="Calibri"/>
        <family val="2"/>
      </rPr>
      <t>Total Special and Extraordinary items</t>
    </r>
    <r>
      <rPr>
        <sz val="11"/>
        <color theme="1"/>
        <rFont val="Calibri"/>
        <family val="2"/>
        <scheme val="minor"/>
      </rPr>
      <t xml:space="preserve">.   </t>
    </r>
    <r>
      <rPr>
        <sz val="11"/>
        <color indexed="60"/>
        <rFont val="Calibri"/>
        <family val="2"/>
      </rPr>
      <t xml:space="preserve"> (Amounts that increase net position are recorded as positive and amounts that decrease net position are recorded as negative)</t>
    </r>
  </si>
  <si>
    <r>
      <rPr>
        <u/>
        <sz val="11"/>
        <color indexed="8"/>
        <rFont val="Calibri"/>
        <family val="2"/>
      </rPr>
      <t>Total Change in net position</t>
    </r>
    <r>
      <rPr>
        <sz val="11"/>
        <color theme="1"/>
        <rFont val="Calibri"/>
        <family val="2"/>
        <scheme val="minor"/>
      </rPr>
      <t xml:space="preserve"> - </t>
    </r>
    <r>
      <rPr>
        <sz val="11"/>
        <color indexed="60"/>
        <rFont val="Calibri"/>
        <family val="2"/>
      </rPr>
      <t>(Increase in net position is recorded as a positive and a decrease in net position is recorded as a negative)</t>
    </r>
  </si>
  <si>
    <t>Statement of Revenues, Expenses, and Changes in Fund Net Position</t>
  </si>
  <si>
    <t>Gov - Restricted Cash &amp; Investments</t>
  </si>
  <si>
    <t>GA-Total Unrestricted Cash &amp; Investments</t>
  </si>
  <si>
    <t xml:space="preserve">Gov - Select Current Liabilities </t>
  </si>
  <si>
    <t>Gov - Internal Balance</t>
  </si>
  <si>
    <t>Bus - Unrestricted Cash &amp; Investments</t>
  </si>
  <si>
    <t>Bus - Restricted Cash &amp; Investments</t>
  </si>
  <si>
    <t>Gov - Interest Exp on LT Debt</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</si>
  <si>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</si>
  <si>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</si>
  <si>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</si>
  <si>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</si>
  <si>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</si>
  <si>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</si>
  <si>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</si>
  <si>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</si>
  <si>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</si>
  <si>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</si>
  <si>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</si>
  <si>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Liabilities from Restricted Assets</t>
  </si>
  <si>
    <t>Gen Fund - RSS</t>
  </si>
  <si>
    <t>Gen Fund - Nonspendable</t>
  </si>
  <si>
    <t>Gen Fund - Powell Bill in FB</t>
  </si>
  <si>
    <t>Gen Fund - Total Fund Balance per report</t>
  </si>
  <si>
    <t>Gen Fund - Intergov Rev</t>
  </si>
  <si>
    <t>Gen Fund - Total Revenue</t>
  </si>
  <si>
    <t>Gen Fund - Debt Annual P &amp; I</t>
  </si>
  <si>
    <t xml:space="preserve">Gen Fund - Total Expenditures </t>
  </si>
  <si>
    <t>Gen Fund - Transfers In</t>
  </si>
  <si>
    <t>Gen Fund - Transfers Out</t>
  </si>
  <si>
    <t xml:space="preserve">Gen Fund - Proceeds from LTD </t>
  </si>
  <si>
    <t>Gen Fund - Other items</t>
  </si>
  <si>
    <t>Gen Fund - Positive debt refund</t>
  </si>
  <si>
    <t>Gen fund - Negative debt refund</t>
  </si>
  <si>
    <t>Gen Fund - Change in Fund Balance</t>
  </si>
  <si>
    <t>Gen Fund - Any Adj. to Beginning Net Assets</t>
  </si>
  <si>
    <t>Gov - Debt P &amp; I</t>
  </si>
  <si>
    <t>WS - Unrestricted Cash &amp; Investments</t>
  </si>
  <si>
    <t>WS - Customer AR Net</t>
  </si>
  <si>
    <t>WS - Inventories &amp; Prepaids in Curr Assets</t>
  </si>
  <si>
    <t>WS - Unearned revenue</t>
  </si>
  <si>
    <t>WS - Unrestricted Net Position</t>
  </si>
  <si>
    <t>Electric - Unrestricted Cash &amp; Investments</t>
  </si>
  <si>
    <t>Electric - Customer AR Net</t>
  </si>
  <si>
    <t>Electric - Inventories &amp; Prepaids in Curr Assets</t>
  </si>
  <si>
    <t>WS - Charges for Services</t>
  </si>
  <si>
    <t>WS - Total Operating Revenue</t>
  </si>
  <si>
    <t>WS - Depreciation &amp; Amortization Exp.</t>
  </si>
  <si>
    <t>WS - Total Operating Expenses</t>
  </si>
  <si>
    <t>WS - Interest Expense</t>
  </si>
  <si>
    <t>WS - Total Non-Operating Revenues</t>
  </si>
  <si>
    <t>WS - Total Non-Operating Expenses</t>
  </si>
  <si>
    <t>WS - Capital Contributions</t>
  </si>
  <si>
    <t>WS - Total Transfer In</t>
  </si>
  <si>
    <t>WS - Total Transfer Out</t>
  </si>
  <si>
    <t>Electric - Charges for Services</t>
  </si>
  <si>
    <t>Electric - Total Operating Revenues</t>
  </si>
  <si>
    <t>Electric - Electrical Power Purchases</t>
  </si>
  <si>
    <t>Electric - Depreciation and Amortization Exp.</t>
  </si>
  <si>
    <t>Electric - Total Operating Expenses</t>
  </si>
  <si>
    <t>Electric - Interest Expense</t>
  </si>
  <si>
    <t>Electric - Total Non-Operating Revenues</t>
  </si>
  <si>
    <t>Electric - Total Non-Operating Expenses</t>
  </si>
  <si>
    <t>Electric - Capital Contributions</t>
  </si>
  <si>
    <t>Electric - Total Transfers In</t>
  </si>
  <si>
    <t>WS - Cash Flow from Operating Activities</t>
  </si>
  <si>
    <t>WS - Principal Paid - Cash Flow</t>
  </si>
  <si>
    <t>WS - Capital Outlay - Cashflow</t>
  </si>
  <si>
    <t>Electric - Cash Flow from Operating Activities</t>
  </si>
  <si>
    <t>Electric - Capital Outlay - Cash Flow</t>
  </si>
  <si>
    <t>Electric - Principal Paid - Cash Flow</t>
  </si>
  <si>
    <t>Fiduciary - Cash and Investments</t>
  </si>
  <si>
    <t>Cash and Investment - Bond Proceeds - all Funds</t>
  </si>
  <si>
    <t>Gov - Debt Liability</t>
  </si>
  <si>
    <t>Gov - Principal Paid</t>
  </si>
  <si>
    <t>Electric - Debt Liability</t>
  </si>
  <si>
    <t>OPEB- Actuarial Value of Assets</t>
  </si>
  <si>
    <t>Transfer from General to Debt Fund</t>
  </si>
  <si>
    <t>Transfer from General Fund to Electric</t>
  </si>
  <si>
    <t>Transfer from Electric to General Fund</t>
  </si>
  <si>
    <t>Gen Fund - Encumbrances</t>
  </si>
  <si>
    <t>Amt of the WS Fund Balance approp. in next year's budget</t>
  </si>
  <si>
    <t>Amt of the GF Fund Bal. approp. in next year's budget</t>
  </si>
  <si>
    <t>Tax Collection Rate - Unit Wide</t>
  </si>
  <si>
    <t>Tax collection Rate - Excluding Vehicles</t>
  </si>
  <si>
    <t>Tax Collection Rate - Vehicles</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</si>
  <si>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</si>
  <si>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</si>
  <si>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</si>
  <si>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</si>
  <si>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</si>
  <si>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GA-Total Depreciable capital assets, gross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</si>
  <si>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</si>
  <si>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</si>
  <si>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</si>
  <si>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</si>
  <si>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</si>
  <si>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</si>
  <si>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</si>
  <si>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</si>
  <si>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</si>
  <si>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</si>
  <si>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</si>
  <si>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</si>
  <si>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</si>
  <si>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Units with Electric Operations have $.07, $.08, $.09</t>
  </si>
  <si>
    <t>Units with Water Sewer Operations have $.01</t>
  </si>
  <si>
    <t>CCH Unit Type</t>
  </si>
  <si>
    <t>CCH Unit Code</t>
  </si>
  <si>
    <t>Were WS rates raised in next year's budget</t>
  </si>
  <si>
    <t>Were WS rates raised during the audited fiscal period</t>
  </si>
  <si>
    <t>Prior Year Amts.</t>
  </si>
  <si>
    <t>Unit Number</t>
  </si>
  <si>
    <t>CCH 4</t>
  </si>
  <si>
    <t>CCH 5</t>
  </si>
  <si>
    <t>CCH 6</t>
  </si>
  <si>
    <t>CCH 7</t>
  </si>
  <si>
    <t>CCH 9</t>
  </si>
  <si>
    <t>CCH 11</t>
  </si>
  <si>
    <t>CCH 12</t>
  </si>
  <si>
    <t>CCH 13</t>
  </si>
  <si>
    <t>C-EF- Current liabilities (Inc. Def Rev, Excl. BANs &amp; Comp Abs)</t>
  </si>
  <si>
    <t>CCH 14</t>
  </si>
  <si>
    <t>CCH 16</t>
  </si>
  <si>
    <t>CCH 17</t>
  </si>
  <si>
    <t>CCH 19</t>
  </si>
  <si>
    <t>CCH 20</t>
  </si>
  <si>
    <t>CCH 21</t>
  </si>
  <si>
    <t>CCH 22</t>
  </si>
  <si>
    <t>CCH 23</t>
  </si>
  <si>
    <t>CCH 31</t>
  </si>
  <si>
    <t xml:space="preserve">Combined Totals of all Proprietary Funds - Depreciation &amp; Amortization Expense </t>
  </si>
  <si>
    <t>CCH 32</t>
  </si>
  <si>
    <t>Combined Totals of all Proprietary Funds - Cash Flow from Operating</t>
  </si>
  <si>
    <t>CCH 33</t>
  </si>
  <si>
    <t>Hospital-EF- Unrestricted Cash &amp; Invest</t>
  </si>
  <si>
    <t>CCH 34</t>
  </si>
  <si>
    <t>CCH 35</t>
  </si>
  <si>
    <t>CCH 36</t>
  </si>
  <si>
    <t xml:space="preserve">Hospital-EF- Total LT Debt (non current portion only) (BS) </t>
  </si>
  <si>
    <t>CCH 37</t>
  </si>
  <si>
    <t>CCH 38</t>
  </si>
  <si>
    <t>Hospital-EF- Principal Paid on LTD (SCF)</t>
  </si>
  <si>
    <t>CCH 39</t>
  </si>
  <si>
    <t>Hospital-EF- Net Patient Revenue (IS)</t>
  </si>
  <si>
    <t>CCH 40</t>
  </si>
  <si>
    <t>Hospital-EF- Interest expenses (IS)</t>
  </si>
  <si>
    <t>CCH 41</t>
  </si>
  <si>
    <t>WS-EF- Current Assets (unrestricted, excl. inventory and prepaids)</t>
  </si>
  <si>
    <t>CCH 43</t>
  </si>
  <si>
    <t>CCH 44</t>
  </si>
  <si>
    <t>CCH 45</t>
  </si>
  <si>
    <t>CCH 46</t>
  </si>
  <si>
    <t>CCH 47</t>
  </si>
  <si>
    <t>CCH 48</t>
  </si>
  <si>
    <t>CCH 49</t>
  </si>
  <si>
    <t>CCH 50</t>
  </si>
  <si>
    <t>CCH 51</t>
  </si>
  <si>
    <t>CCH 52</t>
  </si>
  <si>
    <t>CCH 53</t>
  </si>
  <si>
    <t>CCH 54</t>
  </si>
  <si>
    <t>CCH 55</t>
  </si>
  <si>
    <t>CCH 61</t>
  </si>
  <si>
    <t>CCH 80</t>
  </si>
  <si>
    <t>CCH 81</t>
  </si>
  <si>
    <t>CCH 82</t>
  </si>
  <si>
    <t>CCH 83</t>
  </si>
  <si>
    <t>CCH 84</t>
  </si>
  <si>
    <t>CCH 85</t>
  </si>
  <si>
    <t>CCH 88</t>
  </si>
  <si>
    <t>CCH 89</t>
  </si>
  <si>
    <t>CCH 90</t>
  </si>
  <si>
    <t>CCH 91</t>
  </si>
  <si>
    <t>CCH 92</t>
  </si>
  <si>
    <t>CCH 93</t>
  </si>
  <si>
    <t>CCH 94</t>
  </si>
  <si>
    <t>CCH 97</t>
  </si>
  <si>
    <t>CCH 98</t>
  </si>
  <si>
    <t>CCH 99</t>
  </si>
  <si>
    <t>CCH 100</t>
  </si>
  <si>
    <t>CCH 101</t>
  </si>
  <si>
    <t>CCH 102</t>
  </si>
  <si>
    <t>CCH 103</t>
  </si>
  <si>
    <t>Hospital-EF- Capital Outlays</t>
  </si>
  <si>
    <t>CCH 104</t>
  </si>
  <si>
    <t>CCH 107</t>
  </si>
  <si>
    <t>CCH 108</t>
  </si>
  <si>
    <t xml:space="preserve">Counties Only- Local Current Expense to BOEs </t>
  </si>
  <si>
    <t>CCH 147</t>
  </si>
  <si>
    <t xml:space="preserve">Counties Only- Capital Outlay Contribution to BOEs </t>
  </si>
  <si>
    <t>CCH 148</t>
  </si>
  <si>
    <t xml:space="preserve">BOE Only-- Local Current Exp. Revenue from County. </t>
  </si>
  <si>
    <t>CCH 149</t>
  </si>
  <si>
    <t xml:space="preserve">BOE- Only-- Capital outlay revenue from county (GF, SRF, CPF) </t>
  </si>
  <si>
    <t>CCH 150</t>
  </si>
  <si>
    <t>CCH 171</t>
  </si>
  <si>
    <t>CCH 191</t>
  </si>
  <si>
    <t>CCH 192</t>
  </si>
  <si>
    <t>Combined Totals of all Proprietary Funds - Capital Contributions</t>
  </si>
  <si>
    <t>CCH 193</t>
  </si>
  <si>
    <t>Hospital-EF- Capital contributions (only positive)</t>
  </si>
  <si>
    <t>CCH 194</t>
  </si>
  <si>
    <t>GF- Total cash &amp; investments (restricted &amp; unrestricted)</t>
  </si>
  <si>
    <t>CCH 231</t>
  </si>
  <si>
    <t>All cash and investments (unit-wide, w/ fiduciary fds, &amp; restricted cash)</t>
  </si>
  <si>
    <t>CCH 251</t>
  </si>
  <si>
    <t>CCH 252</t>
  </si>
  <si>
    <t>CCH 253</t>
  </si>
  <si>
    <t>CCH 254</t>
  </si>
  <si>
    <t>CCH 255</t>
  </si>
  <si>
    <t>BOE Only- Timber Receipts Revenue</t>
  </si>
  <si>
    <t>CCH 274</t>
  </si>
  <si>
    <t>CCH 294</t>
  </si>
  <si>
    <t>Public Housing Authority- HUD Capital grants amount (SCF, don't include operating grants)</t>
  </si>
  <si>
    <t>CCH 314</t>
  </si>
  <si>
    <t>Public Housing Authority- Amount paid for capital asset acquisition (SCF)</t>
  </si>
  <si>
    <t>CCH 315</t>
  </si>
  <si>
    <t>Public Housing Authority - Operating income (loss)</t>
  </si>
  <si>
    <t>CCH 316</t>
  </si>
  <si>
    <t>CCH 320</t>
  </si>
  <si>
    <t>CCH 321</t>
  </si>
  <si>
    <t>CCH 322</t>
  </si>
  <si>
    <t>CCH 323</t>
  </si>
  <si>
    <t>CCH 324</t>
  </si>
  <si>
    <t>CCH 325</t>
  </si>
  <si>
    <t>CCH 326</t>
  </si>
  <si>
    <t>CCH 327</t>
  </si>
  <si>
    <t>CCH 328</t>
  </si>
  <si>
    <t>CCH 330</t>
  </si>
  <si>
    <t>CCH 331</t>
  </si>
  <si>
    <t>CCH 332</t>
  </si>
  <si>
    <t>CCH 333</t>
  </si>
  <si>
    <t>CCH 334</t>
  </si>
  <si>
    <t>CCH 335</t>
  </si>
  <si>
    <t>CCH 336</t>
  </si>
  <si>
    <t>CCH 337</t>
  </si>
  <si>
    <t>CCH 338</t>
  </si>
  <si>
    <t>CCH 339</t>
  </si>
  <si>
    <t>CCH 340</t>
  </si>
  <si>
    <t>CCH 341</t>
  </si>
  <si>
    <t>CCH 342</t>
  </si>
  <si>
    <t>CCH 343</t>
  </si>
  <si>
    <t>CCH 344</t>
  </si>
  <si>
    <t>CCH 346</t>
  </si>
  <si>
    <t>CCH 347</t>
  </si>
  <si>
    <t>CCH 349</t>
  </si>
  <si>
    <t>CCH 350</t>
  </si>
  <si>
    <t>CCH 351</t>
  </si>
  <si>
    <t>CCH 352</t>
  </si>
  <si>
    <t>CCH 353</t>
  </si>
  <si>
    <t>CCH 357</t>
  </si>
  <si>
    <t>CCH 359</t>
  </si>
  <si>
    <t>CCH 360</t>
  </si>
  <si>
    <t>CCH 361</t>
  </si>
  <si>
    <t>CCH 362</t>
  </si>
  <si>
    <t>CCH 363</t>
  </si>
  <si>
    <t>CCH 364</t>
  </si>
  <si>
    <t>CCH 365</t>
  </si>
  <si>
    <t>CCH 366</t>
  </si>
  <si>
    <t>CCH 367</t>
  </si>
  <si>
    <t>CCH 368</t>
  </si>
  <si>
    <t>CCH 369</t>
  </si>
  <si>
    <t>CCH 370</t>
  </si>
  <si>
    <t>CCH 371</t>
  </si>
  <si>
    <t>CCH 373</t>
  </si>
  <si>
    <t>CCH 375</t>
  </si>
  <si>
    <t>CCH 376</t>
  </si>
  <si>
    <t>CCH 377</t>
  </si>
  <si>
    <t>CCH 378</t>
  </si>
  <si>
    <t>CCH 379</t>
  </si>
  <si>
    <t>CCH 380</t>
  </si>
  <si>
    <t>CCH 381</t>
  </si>
  <si>
    <t>CCH 382</t>
  </si>
  <si>
    <t>CCH 383</t>
  </si>
  <si>
    <t>CCH 384</t>
  </si>
  <si>
    <t>CCH 385</t>
  </si>
  <si>
    <t>CCH 386</t>
  </si>
  <si>
    <t>CCH 387</t>
  </si>
  <si>
    <t>CCH 388</t>
  </si>
  <si>
    <t>CCH 389</t>
  </si>
  <si>
    <t>CCH 391</t>
  </si>
  <si>
    <t>CCH 500</t>
  </si>
  <si>
    <t>CCH 501</t>
  </si>
  <si>
    <t>CCH 502</t>
  </si>
  <si>
    <t>CCH 503</t>
  </si>
  <si>
    <t>CCH 504</t>
  </si>
  <si>
    <t>CCH 505</t>
  </si>
  <si>
    <t>CCH 506</t>
  </si>
  <si>
    <t>CCH 507</t>
  </si>
  <si>
    <t>CCH 508</t>
  </si>
  <si>
    <t>CCH 509</t>
  </si>
  <si>
    <t>CCH 510</t>
  </si>
  <si>
    <t>CCH 511</t>
  </si>
  <si>
    <t>CCH 512</t>
  </si>
  <si>
    <t>CCH 513</t>
  </si>
  <si>
    <t>CCH 514</t>
  </si>
  <si>
    <t>CCH 515</t>
  </si>
  <si>
    <t>CCH 516</t>
  </si>
  <si>
    <t>CCH 517</t>
  </si>
  <si>
    <t>CCH 518</t>
  </si>
  <si>
    <t>CCH 519</t>
  </si>
  <si>
    <t>CCH 520</t>
  </si>
  <si>
    <t>CCH 521</t>
  </si>
  <si>
    <t>CCH 522</t>
  </si>
  <si>
    <t>CCH 523</t>
  </si>
  <si>
    <t>CCH 524</t>
  </si>
  <si>
    <t>CCH 525</t>
  </si>
  <si>
    <t>CCH 526</t>
  </si>
  <si>
    <t>CCH 527</t>
  </si>
  <si>
    <t>CCH 528</t>
  </si>
  <si>
    <t>CCH 529</t>
  </si>
  <si>
    <t>CCH 530</t>
  </si>
  <si>
    <t>CCH 531</t>
  </si>
  <si>
    <t>CCH 532</t>
  </si>
  <si>
    <t>CCH 533</t>
  </si>
  <si>
    <t>CCH 534</t>
  </si>
  <si>
    <t>CCH 535</t>
  </si>
  <si>
    <t>CCH 536</t>
  </si>
  <si>
    <t>CCH 537</t>
  </si>
  <si>
    <t>CCH 538</t>
  </si>
  <si>
    <t>CCH 539</t>
  </si>
  <si>
    <t>CCH 540</t>
  </si>
  <si>
    <t>CCH 541</t>
  </si>
  <si>
    <t>CCH 542</t>
  </si>
  <si>
    <t>CCH 543</t>
  </si>
  <si>
    <t>CCH 544</t>
  </si>
  <si>
    <t>CCH 545</t>
  </si>
  <si>
    <t>CCH 546</t>
  </si>
  <si>
    <t>CCH 547</t>
  </si>
  <si>
    <t>Hospital - No Budget required</t>
  </si>
  <si>
    <t>CCH 993</t>
  </si>
  <si>
    <t>Hospital - No Contract required</t>
  </si>
  <si>
    <t>CCH 994</t>
  </si>
  <si>
    <t>Units with Electric Operations have. 07,. 08,. 09</t>
  </si>
  <si>
    <t>CCH 995</t>
  </si>
  <si>
    <t>Units with Water Sewer Operations have. 01</t>
  </si>
  <si>
    <t>CCH 996</t>
  </si>
  <si>
    <t>CCH 998</t>
  </si>
  <si>
    <t>CCH 999</t>
  </si>
  <si>
    <t>Select Your Unit's Name from the drop down box in cell D2</t>
  </si>
  <si>
    <r>
      <t xml:space="preserve">Long-Term Liability Note - </t>
    </r>
    <r>
      <rPr>
        <b/>
        <sz val="11"/>
        <color indexed="8"/>
        <rFont val="Century Schoolbook"/>
        <family val="1"/>
      </rPr>
      <t>Water Sewer Activities</t>
    </r>
  </si>
  <si>
    <r>
      <t>Long-Term Liability Note -</t>
    </r>
    <r>
      <rPr>
        <b/>
        <sz val="9"/>
        <color indexed="8"/>
        <rFont val="Century Schoolbook"/>
        <family val="1"/>
      </rPr>
      <t xml:space="preserve"> </t>
    </r>
    <r>
      <rPr>
        <b/>
        <sz val="11"/>
        <color indexed="8"/>
        <rFont val="Century Schoolbook"/>
        <family val="1"/>
      </rPr>
      <t>Electric Activities</t>
    </r>
  </si>
  <si>
    <t>Dashboard,
Water Sewer Dashboard</t>
  </si>
  <si>
    <t>Water Sewer Memo,
Water Sewer Dashboard</t>
  </si>
  <si>
    <r>
      <rPr>
        <u/>
        <sz val="11"/>
        <color indexed="8"/>
        <rFont val="Calibri"/>
        <family val="2"/>
      </rPr>
      <t xml:space="preserve"> 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cash held by a third party. </t>
    </r>
  </si>
  <si>
    <r>
      <t xml:space="preserve">All unrestricted cash and investments.  
</t>
    </r>
    <r>
      <rPr>
        <b/>
        <sz val="11"/>
        <color indexed="8"/>
        <rFont val="Calibri"/>
        <family val="2"/>
      </rPr>
      <t>Exclude</t>
    </r>
    <r>
      <rPr>
        <sz val="11"/>
        <color indexed="8"/>
        <rFont val="Calibri"/>
        <family val="2"/>
      </rPr>
      <t xml:space="preserve"> restricted cash and cash held by a third party. </t>
    </r>
  </si>
  <si>
    <r>
      <t xml:space="preserve">Total Transfers in   </t>
    </r>
    <r>
      <rPr>
        <sz val="11"/>
        <color indexed="60"/>
        <rFont val="Calibri"/>
        <family val="2"/>
      </rPr>
      <t xml:space="preserve"> (Preference is that transfers-in  are not netted against transfers-out)</t>
    </r>
  </si>
  <si>
    <r>
      <t xml:space="preserve">Total Transfers out   </t>
    </r>
    <r>
      <rPr>
        <sz val="11"/>
        <color theme="1"/>
        <rFont val="Calibri"/>
        <family val="2"/>
        <scheme val="minor"/>
      </rPr>
      <t xml:space="preserve"> </t>
    </r>
    <r>
      <rPr>
        <sz val="11"/>
        <color indexed="60"/>
        <rFont val="Calibri"/>
        <family val="2"/>
      </rPr>
      <t>(Preference is that transfers-in  are not netted against transfers-out)</t>
    </r>
  </si>
  <si>
    <r>
      <rPr>
        <u/>
        <sz val="11"/>
        <color indexed="8"/>
        <rFont val="Calibri"/>
        <family val="2"/>
      </rPr>
      <t xml:space="preserve">Total all the non-operating </t>
    </r>
    <r>
      <rPr>
        <u/>
        <sz val="11"/>
        <color indexed="8"/>
        <rFont val="Calibri"/>
        <family val="2"/>
      </rPr>
      <t>revenues</t>
    </r>
    <r>
      <rPr>
        <u/>
        <sz val="11"/>
        <color indexed="8"/>
        <rFont val="Calibri"/>
        <family val="2"/>
      </rPr>
      <t xml:space="preserve"> </t>
    </r>
    <r>
      <rPr>
        <u/>
        <sz val="11"/>
        <color indexed="8"/>
        <rFont val="Calibri"/>
        <family val="2"/>
      </rPr>
      <t xml:space="preserve"> </t>
    </r>
    <r>
      <rPr>
        <sz val="11"/>
        <color indexed="8"/>
        <rFont val="Calibri"/>
        <family val="2"/>
      </rPr>
      <t xml:space="preserve">
</t>
    </r>
    <r>
      <rPr>
        <b/>
        <sz val="11"/>
        <color indexed="8"/>
        <rFont val="Calibri"/>
        <family val="2"/>
      </rPr>
      <t>Exclude</t>
    </r>
    <r>
      <rPr>
        <sz val="11"/>
        <color indexed="8"/>
        <rFont val="Calibri"/>
        <family val="2"/>
      </rPr>
      <t xml:space="preserve"> Capital Contributions.</t>
    </r>
  </si>
  <si>
    <r>
      <rPr>
        <u/>
        <sz val="11"/>
        <color indexed="8"/>
        <rFont val="Calibri"/>
        <family val="2"/>
      </rPr>
      <t>Total current and non-current portion of Debt</t>
    </r>
    <r>
      <rPr>
        <sz val="11"/>
        <color theme="1"/>
        <rFont val="Calibri"/>
        <family val="2"/>
        <scheme val="minor"/>
      </rPr>
      <t xml:space="preserve">. 
</t>
    </r>
    <r>
      <rPr>
        <b/>
        <sz val="11"/>
        <color indexed="8"/>
        <rFont val="Calibri"/>
        <family val="2"/>
      </rPr>
      <t xml:space="preserve">Include:  </t>
    </r>
    <r>
      <rPr>
        <sz val="11"/>
        <color indexed="8"/>
        <rFont val="Calibri"/>
        <family val="2"/>
      </rPr>
      <t>Bonds, b</t>
    </r>
    <r>
      <rPr>
        <sz val="11"/>
        <color theme="1"/>
        <rFont val="Calibri"/>
        <family val="2"/>
        <scheme val="minor"/>
      </rPr>
      <t>ond anticipation notes, 
                 Capital leases,
                 Premiums and discounts,
                 Installment purchases.</t>
    </r>
    <r>
      <rPr>
        <b/>
        <sz val="11"/>
        <color indexed="8"/>
        <rFont val="Calibri"/>
        <family val="2"/>
      </rPr>
      <t xml:space="preserve"> 
Exclude:</t>
    </r>
    <r>
      <rPr>
        <sz val="11"/>
        <color theme="1"/>
        <rFont val="Calibri"/>
        <family val="2"/>
        <scheme val="minor"/>
      </rPr>
      <t xml:space="preserve"> Compensated absences, 
                 Pensions, 
                 Other post-employment benefits (OPEB), 
                 Debt </t>
    </r>
    <r>
      <rPr>
        <u/>
        <sz val="11"/>
        <color indexed="8"/>
        <rFont val="Calibri"/>
        <family val="2"/>
      </rPr>
      <t>within</t>
    </r>
    <r>
      <rPr>
        <sz val="11"/>
        <color theme="1"/>
        <rFont val="Calibri"/>
        <family val="2"/>
        <scheme val="minor"/>
      </rPr>
      <t xml:space="preserve"> the primary government, 
                 Amounts due to participants from internal 
                       service funds, 
                 Landfill closure/postclosure liability, 
                 Any other debt not directly related to
                       long-term contracts.</t>
    </r>
  </si>
  <si>
    <r>
      <rPr>
        <u/>
        <sz val="11"/>
        <color indexed="8"/>
        <rFont val="Calibri"/>
        <family val="2"/>
      </rPr>
      <t>Total current and non-current portion of Debt</t>
    </r>
    <r>
      <rPr>
        <sz val="11"/>
        <color theme="1"/>
        <rFont val="Calibri"/>
        <family val="2"/>
        <scheme val="minor"/>
      </rPr>
      <t xml:space="preserve">. 
</t>
    </r>
    <r>
      <rPr>
        <b/>
        <sz val="11"/>
        <color indexed="8"/>
        <rFont val="Calibri"/>
        <family val="2"/>
      </rPr>
      <t xml:space="preserve">Include:  </t>
    </r>
    <r>
      <rPr>
        <sz val="11"/>
        <color indexed="8"/>
        <rFont val="Calibri"/>
        <family val="2"/>
      </rPr>
      <t>Bonds, b</t>
    </r>
    <r>
      <rPr>
        <sz val="11"/>
        <color theme="1"/>
        <rFont val="Calibri"/>
        <family val="2"/>
        <scheme val="minor"/>
      </rPr>
      <t>ond anticipation notes, 
                 Capital leases,
                 Premiums and discounts,
                 Installment purchases.</t>
    </r>
    <r>
      <rPr>
        <b/>
        <sz val="11"/>
        <color indexed="8"/>
        <rFont val="Calibri"/>
        <family val="2"/>
      </rPr>
      <t xml:space="preserve"> 
Exclude:</t>
    </r>
    <r>
      <rPr>
        <sz val="11"/>
        <color theme="1"/>
        <rFont val="Calibri"/>
        <family val="2"/>
        <scheme val="minor"/>
      </rPr>
      <t xml:space="preserve"> Compensated absences, 
                 Pensions, 
                 Other post-employment benefits (OPEB), 
                 Debt </t>
    </r>
    <r>
      <rPr>
        <u/>
        <sz val="11"/>
        <color indexed="8"/>
        <rFont val="Calibri"/>
        <family val="2"/>
      </rPr>
      <t>within</t>
    </r>
    <r>
      <rPr>
        <sz val="11"/>
        <color theme="1"/>
        <rFont val="Calibri"/>
        <family val="2"/>
        <scheme val="minor"/>
      </rPr>
      <t xml:space="preserve"> the primary government, 
                 Amounts due to participants from internal 
                         service funds, 
                 Landfill closure/postclosure liability, 
                 Any other debt not directly related to 
                        long-term contracts.</t>
    </r>
  </si>
  <si>
    <r>
      <rPr>
        <u/>
        <sz val="11"/>
        <color indexed="8"/>
        <rFont val="Calibri"/>
        <family val="2"/>
      </rPr>
      <t>Total current and non-current portion of Debt</t>
    </r>
    <r>
      <rPr>
        <sz val="11"/>
        <color theme="1"/>
        <rFont val="Calibri"/>
        <family val="2"/>
        <scheme val="minor"/>
      </rPr>
      <t xml:space="preserve">. 
</t>
    </r>
    <r>
      <rPr>
        <b/>
        <sz val="11"/>
        <color indexed="8"/>
        <rFont val="Calibri"/>
        <family val="2"/>
      </rPr>
      <t xml:space="preserve">Include:  </t>
    </r>
    <r>
      <rPr>
        <sz val="11"/>
        <color indexed="8"/>
        <rFont val="Calibri"/>
        <family val="2"/>
      </rPr>
      <t>Bonds, b</t>
    </r>
    <r>
      <rPr>
        <sz val="11"/>
        <color theme="1"/>
        <rFont val="Calibri"/>
        <family val="2"/>
        <scheme val="minor"/>
      </rPr>
      <t>ond anticipation notes, 
                 Capital leases,
                 Premiums and discounts,
                 Installment purchases.</t>
    </r>
    <r>
      <rPr>
        <b/>
        <sz val="11"/>
        <color indexed="8"/>
        <rFont val="Calibri"/>
        <family val="2"/>
      </rPr>
      <t xml:space="preserve"> 
Exclude:</t>
    </r>
    <r>
      <rPr>
        <sz val="11"/>
        <color theme="1"/>
        <rFont val="Calibri"/>
        <family val="2"/>
        <scheme val="minor"/>
      </rPr>
      <t xml:space="preserve"> Compensated absences, 
                 Pensions, 
                 Other post-employment benefits (OPEB), 
                 Debt </t>
    </r>
    <r>
      <rPr>
        <u/>
        <sz val="11"/>
        <color indexed="8"/>
        <rFont val="Calibri"/>
        <family val="2"/>
      </rPr>
      <t>within</t>
    </r>
    <r>
      <rPr>
        <sz val="11"/>
        <color theme="1"/>
        <rFont val="Calibri"/>
        <family val="2"/>
        <scheme val="minor"/>
      </rPr>
      <t xml:space="preserve"> the primary government, 
                 Amounts due to participants from internal 
                      service funds, 
                 Landfill closure/postclosure liability, 
                 Any other debt not directly related to 
                     long-term contracts.</t>
    </r>
  </si>
  <si>
    <t>Notes to the Financial Statements - Law Enforcement Officers' Special Separation Allowance Note</t>
  </si>
  <si>
    <t>LEO Note</t>
  </si>
  <si>
    <r>
      <rPr>
        <u/>
        <sz val="11"/>
        <color indexed="8"/>
        <rFont val="Calibri"/>
        <family val="2"/>
      </rPr>
      <t>Debt service expenditures from all governmental funds</t>
    </r>
    <r>
      <rPr>
        <sz val="11"/>
        <color theme="1"/>
        <rFont val="Calibri"/>
        <family val="2"/>
        <scheme val="minor"/>
      </rPr>
      <t>.  Include principal, interest paid, and debt issuance costs on long-term debt.</t>
    </r>
  </si>
  <si>
    <r>
      <rPr>
        <u/>
        <sz val="11"/>
        <color indexed="8"/>
        <rFont val="Calibri"/>
        <family val="2"/>
      </rPr>
      <t>Debt service expenditures</t>
    </r>
    <r>
      <rPr>
        <sz val="11"/>
        <color theme="1"/>
        <rFont val="Calibri"/>
        <family val="2"/>
        <scheme val="minor"/>
      </rPr>
      <t xml:space="preserve">. 
</t>
    </r>
    <r>
      <rPr>
        <b/>
        <sz val="11"/>
        <color indexed="8"/>
        <rFont val="Calibri"/>
        <family val="2"/>
      </rPr>
      <t>Include</t>
    </r>
    <r>
      <rPr>
        <sz val="11"/>
        <color theme="1"/>
        <rFont val="Calibri"/>
        <family val="2"/>
        <scheme val="minor"/>
      </rPr>
      <t xml:space="preserve"> principal, interest paid, and bond/debt issuance costs on long-term debt</t>
    </r>
  </si>
  <si>
    <t>Notes to the Financial Statements -Cash and Investments - Bond/Debt Proceeds</t>
  </si>
  <si>
    <t>995</t>
  </si>
  <si>
    <t>996</t>
  </si>
  <si>
    <t>998</t>
  </si>
  <si>
    <t>999</t>
  </si>
  <si>
    <r>
      <rPr>
        <u/>
        <sz val="11"/>
        <color indexed="8"/>
        <rFont val="Calibri"/>
        <family val="2"/>
      </rPr>
      <t xml:space="preserve">Total General revenues
</t>
    </r>
    <r>
      <rPr>
        <b/>
        <u/>
        <sz val="11"/>
        <color indexed="8"/>
        <rFont val="Calibri"/>
        <family val="2"/>
      </rPr>
      <t>E</t>
    </r>
    <r>
      <rPr>
        <b/>
        <sz val="11"/>
        <color indexed="8"/>
        <rFont val="Calibri"/>
        <family val="2"/>
      </rPr>
      <t>xclude:</t>
    </r>
    <r>
      <rPr>
        <sz val="11"/>
        <color indexed="8"/>
        <rFont val="Calibri"/>
        <family val="2"/>
      </rPr>
      <t xml:space="preserve"> transfers-in or out,
                 special items,
                 extraordinary amounts</t>
    </r>
  </si>
  <si>
    <r>
      <rPr>
        <u/>
        <sz val="11"/>
        <color indexed="8"/>
        <rFont val="Calibri"/>
        <family val="2"/>
      </rPr>
      <t>Any adjustment to beginning net position including rounding, prior period adjustments and restatements</t>
    </r>
    <r>
      <rPr>
        <sz val="11"/>
        <color theme="1"/>
        <rFont val="Calibri"/>
        <family val="2"/>
        <scheme val="minor"/>
      </rPr>
      <t xml:space="preserve">.  </t>
    </r>
    <r>
      <rPr>
        <sz val="11"/>
        <color indexed="60"/>
        <rFont val="Calibri"/>
        <family val="2"/>
      </rPr>
      <t xml:space="preserve"> (Increases to net position are positive; decreases to net position are negative)</t>
    </r>
  </si>
  <si>
    <r>
      <rPr>
        <u/>
        <sz val="11"/>
        <color indexed="8"/>
        <rFont val="Calibri"/>
        <family val="2"/>
      </rPr>
      <t>Total Liabilities payable from restricted assets</t>
    </r>
    <r>
      <rPr>
        <sz val="11"/>
        <color theme="1"/>
        <rFont val="Calibri"/>
        <family val="2"/>
        <scheme val="minor"/>
      </rPr>
      <t xml:space="preserve"> </t>
    </r>
    <r>
      <rPr>
        <sz val="11"/>
        <color indexed="60"/>
        <rFont val="Calibri"/>
        <family val="2"/>
      </rPr>
      <t>(only complete if this is listed in your financial statements for the general fund and the auditor has listed the cash to be used to pay the liabilities as restricted)</t>
    </r>
  </si>
  <si>
    <r>
      <rPr>
        <u/>
        <sz val="11"/>
        <color indexed="8"/>
        <rFont val="Calibri"/>
        <family val="2"/>
      </rPr>
      <t>Total Fund balance</t>
    </r>
    <r>
      <rPr>
        <sz val="11"/>
        <color theme="1"/>
        <rFont val="Calibri"/>
        <family val="2"/>
        <scheme val="minor"/>
      </rPr>
      <t xml:space="preserve"> </t>
    </r>
    <r>
      <rPr>
        <sz val="11"/>
        <color indexed="60"/>
        <rFont val="Calibri"/>
        <family val="2"/>
      </rPr>
      <t>(enter fund deficits as negative)</t>
    </r>
  </si>
  <si>
    <t>Amount of Inventories and Prepaid expenses in current assets</t>
  </si>
  <si>
    <r>
      <rPr>
        <u/>
        <sz val="11"/>
        <color indexed="8"/>
        <rFont val="Calibri"/>
        <family val="2"/>
      </rPr>
      <t>Total Net position, Unrestricted</t>
    </r>
    <r>
      <rPr>
        <sz val="11"/>
        <color theme="1"/>
        <rFont val="Calibri"/>
        <family val="2"/>
        <scheme val="minor"/>
      </rPr>
      <t xml:space="preserve"> - </t>
    </r>
    <r>
      <rPr>
        <sz val="11"/>
        <color indexed="60"/>
        <rFont val="Calibri"/>
        <family val="2"/>
      </rPr>
      <t>enter negative unrestricted net position as a negative</t>
    </r>
  </si>
  <si>
    <t>Unearned revenue (arising from cash receipts) that were included in Current Liabilities above</t>
  </si>
  <si>
    <t>Unearned revenue (arising from cash receipts) that were included in Current Liabilities in the question above</t>
  </si>
  <si>
    <r>
      <rPr>
        <u/>
        <sz val="11"/>
        <color indexed="8"/>
        <rFont val="Calibri"/>
        <family val="2"/>
      </rPr>
      <t>Total all non-operating expenses</t>
    </r>
    <r>
      <rPr>
        <sz val="11"/>
        <color theme="1"/>
        <rFont val="Calibri"/>
        <family val="2"/>
        <scheme val="minor"/>
      </rPr>
      <t xml:space="preserve">. </t>
    </r>
    <r>
      <rPr>
        <sz val="11"/>
        <color indexed="60"/>
        <rFont val="Calibri"/>
        <family val="2"/>
      </rPr>
      <t xml:space="preserve"> 
</t>
    </r>
    <r>
      <rPr>
        <b/>
        <sz val="11"/>
        <color indexed="8"/>
        <rFont val="Calibri"/>
        <family val="2"/>
      </rPr>
      <t>Include</t>
    </r>
    <r>
      <rPr>
        <sz val="11"/>
        <color indexed="8"/>
        <rFont val="Calibri"/>
        <family val="2"/>
      </rPr>
      <t xml:space="preserve"> any </t>
    </r>
    <r>
      <rPr>
        <b/>
        <sz val="11"/>
        <color indexed="8"/>
        <rFont val="Calibri"/>
        <family val="2"/>
      </rPr>
      <t>negative</t>
    </r>
    <r>
      <rPr>
        <sz val="11"/>
        <color indexed="8"/>
        <rFont val="Calibri"/>
        <family val="2"/>
      </rPr>
      <t xml:space="preserve"> special, extraordinary, or capital contribution.</t>
    </r>
  </si>
  <si>
    <r>
      <rPr>
        <u/>
        <sz val="11"/>
        <color indexed="8"/>
        <rFont val="Calibri"/>
        <family val="2"/>
      </rPr>
      <t>Total all non-operating expenses</t>
    </r>
    <r>
      <rPr>
        <sz val="11"/>
        <color theme="1"/>
        <rFont val="Calibri"/>
        <family val="2"/>
        <scheme val="minor"/>
      </rPr>
      <t xml:space="preserve">. </t>
    </r>
    <r>
      <rPr>
        <sz val="11"/>
        <color indexed="60"/>
        <rFont val="Calibri"/>
        <family val="2"/>
      </rPr>
      <t xml:space="preserve"> 
</t>
    </r>
    <r>
      <rPr>
        <b/>
        <sz val="11"/>
        <color indexed="8"/>
        <rFont val="Calibri"/>
        <family val="2"/>
      </rPr>
      <t>Include</t>
    </r>
    <r>
      <rPr>
        <sz val="11"/>
        <color indexed="8"/>
        <rFont val="Calibri"/>
        <family val="2"/>
      </rPr>
      <t xml:space="preserve"> </t>
    </r>
    <r>
      <rPr>
        <b/>
        <sz val="11"/>
        <color indexed="8"/>
        <rFont val="Calibri"/>
        <family val="2"/>
      </rPr>
      <t>negative</t>
    </r>
    <r>
      <rPr>
        <sz val="11"/>
        <color indexed="8"/>
        <rFont val="Calibri"/>
        <family val="2"/>
      </rPr>
      <t xml:space="preserve"> special, extraordinary, or capital contribution.</t>
    </r>
  </si>
  <si>
    <r>
      <rPr>
        <u/>
        <sz val="11"/>
        <color indexed="8"/>
        <rFont val="Calibri"/>
        <family val="2"/>
      </rPr>
      <t xml:space="preserve">Total Cash flow from </t>
    </r>
    <r>
      <rPr>
        <b/>
        <u/>
        <sz val="11"/>
        <color indexed="8"/>
        <rFont val="Calibri"/>
        <family val="2"/>
      </rPr>
      <t>operating</t>
    </r>
    <r>
      <rPr>
        <u/>
        <sz val="11"/>
        <color indexed="8"/>
        <rFont val="Calibri"/>
        <family val="2"/>
      </rPr>
      <t xml:space="preserve"> activities</t>
    </r>
    <r>
      <rPr>
        <sz val="11"/>
        <color theme="1"/>
        <rFont val="Calibri"/>
        <family val="2"/>
        <scheme val="minor"/>
      </rPr>
      <t xml:space="preserve">  - </t>
    </r>
    <r>
      <rPr>
        <sz val="11"/>
        <color indexed="60"/>
        <rFont val="Calibri"/>
        <family val="2"/>
      </rPr>
      <t>(Enter negative cash flows as negative)</t>
    </r>
  </si>
  <si>
    <r>
      <rPr>
        <u/>
        <sz val="11"/>
        <color indexed="8"/>
        <rFont val="Calibri"/>
        <family val="2"/>
      </rPr>
      <t xml:space="preserve">Cash flow from </t>
    </r>
    <r>
      <rPr>
        <b/>
        <u/>
        <sz val="11"/>
        <color indexed="8"/>
        <rFont val="Calibri"/>
        <family val="2"/>
      </rPr>
      <t>operating</t>
    </r>
    <r>
      <rPr>
        <u/>
        <sz val="11"/>
        <color indexed="8"/>
        <rFont val="Calibri"/>
        <family val="2"/>
      </rPr>
      <t xml:space="preserve"> activities</t>
    </r>
    <r>
      <rPr>
        <sz val="11"/>
        <color theme="1"/>
        <rFont val="Calibri"/>
        <family val="2"/>
        <scheme val="minor"/>
      </rPr>
      <t xml:space="preserve"> - </t>
    </r>
    <r>
      <rPr>
        <sz val="11"/>
        <color indexed="60"/>
        <rFont val="Calibri"/>
        <family val="2"/>
      </rPr>
      <t>(enter negative cash flows as negative)</t>
    </r>
  </si>
  <si>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</si>
  <si>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Debt Refunding - Net refunding proceeds against debt payoff and if negative place results on this line.</t>
  </si>
  <si>
    <t xml:space="preserve">All other items on this statement that were not included in total revenues, total expenditures, transfers in or out, or proceeds from long-term debt above.  </t>
  </si>
  <si>
    <t>Debt Refunding - Net refunding proceeds against debt payoff and if positive place results on this line.</t>
  </si>
  <si>
    <t>Electric - Total Transfers Out(to all funds)</t>
  </si>
  <si>
    <t>Fund Statements - all Governmental Funds</t>
  </si>
  <si>
    <t>Information</t>
  </si>
  <si>
    <t>If your unit is not on the Drop Down list in cell D2 please select the blank space at the top of the drop down list in cell D2 and enter your units name here and complete the worksheet</t>
  </si>
  <si>
    <t>Unit paid to Officers under LEO</t>
  </si>
  <si>
    <t xml:space="preserve">OPEB 
1-implicit rate only  
2-no benefit 
3-benfit 
4- state health plan  </t>
  </si>
  <si>
    <r>
      <rPr>
        <u/>
        <sz val="11"/>
        <color indexed="8"/>
        <rFont val="Calibri"/>
        <family val="2"/>
      </rPr>
      <t>Amount of Transfers from the Electric Fund to the General Fund</t>
    </r>
    <r>
      <rPr>
        <sz val="11"/>
        <color theme="1"/>
        <rFont val="Calibri"/>
        <family val="2"/>
        <scheme val="minor"/>
      </rPr>
      <t xml:space="preserve">  </t>
    </r>
    <r>
      <rPr>
        <sz val="11"/>
        <color indexed="60"/>
        <rFont val="Calibri"/>
        <family val="2"/>
      </rPr>
      <t xml:space="preserve">(Enter as positive)
</t>
    </r>
    <r>
      <rPr>
        <b/>
        <sz val="11"/>
        <rFont val="Calibri"/>
        <family val="2"/>
      </rPr>
      <t>Include</t>
    </r>
    <r>
      <rPr>
        <sz val="11"/>
        <rFont val="Calibri"/>
        <family val="2"/>
      </rPr>
      <t>:  Payment in Lieu of Taxes (PILOT)</t>
    </r>
  </si>
  <si>
    <t>Law Enforcement Officers - Actuarial value of Assets</t>
  </si>
  <si>
    <t>Pension Notes</t>
  </si>
  <si>
    <r>
      <rPr>
        <u/>
        <sz val="11"/>
        <color indexed="8"/>
        <rFont val="Calibri"/>
        <family val="2"/>
      </rPr>
      <t>Charges for services</t>
    </r>
    <r>
      <rPr>
        <sz val="11"/>
        <color theme="1"/>
        <rFont val="Calibri"/>
        <family val="2"/>
        <scheme val="minor"/>
      </rPr>
      <t xml:space="preserve">. 
</t>
    </r>
    <r>
      <rPr>
        <b/>
        <sz val="11"/>
        <color indexed="8"/>
        <rFont val="Calibri"/>
        <family val="2"/>
      </rPr>
      <t>Exclude</t>
    </r>
    <r>
      <rPr>
        <sz val="11"/>
        <color theme="1"/>
        <rFont val="Calibri"/>
        <family val="2"/>
        <scheme val="minor"/>
      </rPr>
      <t xml:space="preserve"> tap, capacity fees and other misc. income .</t>
    </r>
  </si>
  <si>
    <t>Note this number is adjusted for any negative internal balances</t>
  </si>
  <si>
    <t>Formula Results</t>
  </si>
  <si>
    <r>
      <t xml:space="preserve">Tax collection rate- Total Levy UNIT-WIDE
</t>
    </r>
    <r>
      <rPr>
        <b/>
        <sz val="11"/>
        <color indexed="8"/>
        <rFont val="Calibri"/>
        <family val="2"/>
      </rPr>
      <t>Exclude</t>
    </r>
    <r>
      <rPr>
        <sz val="11"/>
        <color theme="1"/>
        <rFont val="Calibri"/>
        <family val="2"/>
        <scheme val="minor"/>
      </rPr>
      <t xml:space="preserve"> supplemental taxes
(</t>
    </r>
    <r>
      <rPr>
        <sz val="11"/>
        <color indexed="60"/>
        <rFont val="Calibri"/>
        <family val="2"/>
      </rPr>
      <t>Enter as a percentage with two decimal places)</t>
    </r>
  </si>
  <si>
    <r>
      <rPr>
        <u/>
        <sz val="11"/>
        <rFont val="Calibri"/>
        <family val="2"/>
      </rPr>
      <t>Tax collection rate - Excluding Registered motor vehicles</t>
    </r>
    <r>
      <rPr>
        <u/>
        <sz val="11"/>
        <color indexed="60"/>
        <rFont val="Calibri"/>
        <family val="2"/>
      </rPr>
      <t xml:space="preserve">
</t>
    </r>
    <r>
      <rPr>
        <b/>
        <sz val="11"/>
        <rFont val="Calibri"/>
        <family val="2"/>
      </rPr>
      <t>Exclude</t>
    </r>
    <r>
      <rPr>
        <sz val="11"/>
        <rFont val="Calibri"/>
        <family val="2"/>
      </rPr>
      <t xml:space="preserve"> supplemental taxes</t>
    </r>
    <r>
      <rPr>
        <sz val="11"/>
        <color indexed="60"/>
        <rFont val="Calibri"/>
        <family val="2"/>
      </rPr>
      <t xml:space="preserve">
(Enter as a percentage with two decimal places)</t>
    </r>
  </si>
  <si>
    <r>
      <t xml:space="preserve">Tax collection rate - Registered motor vehicles
</t>
    </r>
    <r>
      <rPr>
        <b/>
        <sz val="11"/>
        <color indexed="8"/>
        <rFont val="Calibri"/>
        <family val="2"/>
      </rPr>
      <t>Exclude</t>
    </r>
    <r>
      <rPr>
        <sz val="11"/>
        <color theme="1"/>
        <rFont val="Calibri"/>
        <family val="2"/>
        <scheme val="minor"/>
      </rPr>
      <t xml:space="preserve"> supplemental taxes
</t>
    </r>
    <r>
      <rPr>
        <sz val="11"/>
        <color indexed="60"/>
        <rFont val="Calibri"/>
        <family val="2"/>
      </rPr>
      <t>(Enter as a percentage with two decimal places)</t>
    </r>
  </si>
  <si>
    <t>If unit does not answer you do not have to pursue</t>
  </si>
  <si>
    <t>GW-positive internal balance</t>
  </si>
  <si>
    <t>GW-negative internal balance</t>
  </si>
  <si>
    <t>Gov Acc Dep - Capital Assets</t>
  </si>
  <si>
    <t xml:space="preserve">WS Cap Asset - Land &amp; other Non-Construction </t>
  </si>
  <si>
    <t>WS Cap Asset - Construction in Progress</t>
  </si>
  <si>
    <t>Electric Cap Asset - Gross Value of Depreciable Capital Assets</t>
  </si>
  <si>
    <t>Electric Acc Dep - Capital Assets</t>
  </si>
  <si>
    <t>WS-EF- Total LT Debt (ST &amp;LT; normal exclusions)</t>
  </si>
  <si>
    <t>WS-revenues and other financing sources over expenditures and other uses-excl. transfers, capital Cont.</t>
  </si>
  <si>
    <t>If unit did not answer you do not need to pursue.</t>
  </si>
  <si>
    <t>Error Amounts</t>
  </si>
  <si>
    <t>Error Count</t>
  </si>
  <si>
    <t xml:space="preserve">Review Summary </t>
  </si>
  <si>
    <t>Review Summary; Electric Memo</t>
  </si>
  <si>
    <r>
      <rPr>
        <u/>
        <sz val="11"/>
        <color indexed="8"/>
        <rFont val="Calibri"/>
        <family val="2"/>
      </rPr>
      <t>Cash and Investment</t>
    </r>
    <r>
      <rPr>
        <sz val="11"/>
        <color indexed="8"/>
        <rFont val="Calibri"/>
        <family val="2"/>
      </rPr>
      <t xml:space="preserve"> - </t>
    </r>
    <r>
      <rPr>
        <sz val="11"/>
        <color indexed="60"/>
        <rFont val="Calibri"/>
        <family val="2"/>
      </rPr>
      <t>Please list the book value of any unspent debt proceeds (bonds, installment, etc.) in any funds as of June 30.  This information may be on the face of your statements or in the notes</t>
    </r>
  </si>
  <si>
    <r>
      <rPr>
        <u/>
        <sz val="11"/>
        <color indexed="8"/>
        <rFont val="Calibri"/>
        <family val="2"/>
      </rPr>
      <t>Total Current assets</t>
    </r>
    <r>
      <rPr>
        <sz val="11"/>
        <color indexed="8"/>
        <rFont val="Calibri"/>
        <family val="2"/>
      </rPr>
      <t xml:space="preserve">.  
</t>
    </r>
    <r>
      <rPr>
        <b/>
        <sz val="11"/>
        <rFont val="Calibri"/>
        <family val="2"/>
      </rPr>
      <t>Include</t>
    </r>
    <r>
      <rPr>
        <sz val="11"/>
        <rFont val="Calibri"/>
        <family val="2"/>
      </rPr>
      <t xml:space="preserve"> amounts of prepaids and inventory.  
</t>
    </r>
    <r>
      <rPr>
        <b/>
        <sz val="11"/>
        <rFont val="Calibri"/>
        <family val="2"/>
      </rPr>
      <t>Exclude</t>
    </r>
    <r>
      <rPr>
        <sz val="11"/>
        <rFont val="Calibri"/>
        <family val="2"/>
      </rPr>
      <t xml:space="preserve"> any current assets identified as restricted.
</t>
    </r>
    <r>
      <rPr>
        <b/>
        <sz val="12"/>
        <color indexed="17"/>
        <rFont val="Calibri"/>
        <family val="2"/>
      </rPr>
      <t>Exclude "Advance To:-portion of interfund loans with repayment longer than 12 months</t>
    </r>
  </si>
  <si>
    <r>
      <rPr>
        <u/>
        <sz val="11"/>
        <color indexed="8"/>
        <rFont val="Calibri"/>
        <family val="2"/>
      </rPr>
      <t xml:space="preserve">Unearned revenues that were included in current liabilities in your audit report or entered in acct # 336 above. </t>
    </r>
    <r>
      <rPr>
        <sz val="11"/>
        <color theme="1"/>
        <rFont val="Calibri"/>
        <family val="2"/>
        <scheme val="minor"/>
      </rPr>
      <t xml:space="preserve">
</t>
    </r>
    <r>
      <rPr>
        <b/>
        <sz val="11"/>
        <color indexed="8"/>
        <rFont val="Calibri"/>
        <family val="2"/>
      </rPr>
      <t xml:space="preserve">Exclude - </t>
    </r>
    <r>
      <rPr>
        <sz val="11"/>
        <color theme="1"/>
        <rFont val="Calibri"/>
        <family val="2"/>
        <scheme val="minor"/>
      </rPr>
      <t>unearned revenues that are listed in deferred inflows.</t>
    </r>
  </si>
  <si>
    <t>Errors :  The cell to the left indicates the number of error messages on the data input tab</t>
  </si>
  <si>
    <t>Accounts used to calculate the RSS are shaded in Green</t>
  </si>
  <si>
    <r>
      <rPr>
        <u/>
        <sz val="11"/>
        <color indexed="8"/>
        <rFont val="Calibri"/>
        <family val="2"/>
      </rPr>
      <t>Current Liabilities</t>
    </r>
    <r>
      <rPr>
        <sz val="11"/>
        <color theme="1"/>
        <rFont val="Calibri"/>
        <family val="2"/>
        <scheme val="minor"/>
      </rPr>
      <t xml:space="preserve"> 
</t>
    </r>
    <r>
      <rPr>
        <b/>
        <sz val="11"/>
        <color indexed="8"/>
        <rFont val="Calibri"/>
        <family val="2"/>
      </rPr>
      <t>Exclude</t>
    </r>
    <r>
      <rPr>
        <sz val="11"/>
        <color indexed="60"/>
        <rFont val="Calibri"/>
        <family val="2"/>
      </rPr>
      <t xml:space="preserve"> </t>
    </r>
    <r>
      <rPr>
        <sz val="11"/>
        <color indexed="8"/>
        <rFont val="Calibri"/>
        <family val="2"/>
      </rPr>
      <t xml:space="preserve">all deferred inflows. 
</t>
    </r>
    <r>
      <rPr>
        <b/>
        <sz val="11"/>
        <color indexed="8"/>
        <rFont val="Calibri"/>
        <family val="2"/>
      </rPr>
      <t>Include</t>
    </r>
    <r>
      <rPr>
        <sz val="11"/>
        <color indexed="8"/>
        <rFont val="Calibri"/>
        <family val="2"/>
      </rPr>
      <t xml:space="preserve"> advance from(long-term portion of interfund loans)</t>
    </r>
  </si>
  <si>
    <t>Advance To: Interfund loan receivable-portion of repayment plan longer than 12 months</t>
  </si>
  <si>
    <r>
      <rPr>
        <u/>
        <sz val="11"/>
        <rFont val="Calibri"/>
        <family val="2"/>
      </rPr>
      <t>Water Sewer - Advance To:</t>
    </r>
    <r>
      <rPr>
        <sz val="11"/>
        <rFont val="Calibri"/>
        <family val="2"/>
      </rPr>
      <t xml:space="preserve">
Interfund loan receivable-portion of repayment plan longer than 12 months</t>
    </r>
  </si>
  <si>
    <r>
      <rPr>
        <u/>
        <sz val="11"/>
        <rFont val="Calibri"/>
        <family val="2"/>
      </rPr>
      <t xml:space="preserve">Water Sewer - Advance From: 
</t>
    </r>
    <r>
      <rPr>
        <sz val="11"/>
        <rFont val="Calibri"/>
        <family val="2"/>
      </rPr>
      <t>Interfund loan Payable-portion of repayment plan longer than 12 months</t>
    </r>
  </si>
  <si>
    <r>
      <rPr>
        <u/>
        <sz val="11"/>
        <rFont val="Calibri"/>
        <family val="2"/>
      </rPr>
      <t>Electric Fund - AdvanceTo:</t>
    </r>
    <r>
      <rPr>
        <sz val="11"/>
        <rFont val="Calibri"/>
        <family val="2"/>
      </rPr>
      <t xml:space="preserve">
Interfund loan receivable-portion of repayment plan longer than 12 months</t>
    </r>
  </si>
  <si>
    <r>
      <rPr>
        <u/>
        <sz val="11"/>
        <rFont val="Calibri"/>
        <family val="2"/>
      </rPr>
      <t>Electric Fund - Advance From:</t>
    </r>
    <r>
      <rPr>
        <sz val="11"/>
        <rFont val="Calibri"/>
        <family val="2"/>
      </rPr>
      <t xml:space="preserve">
Interfund loans payable-portion of repayment plan longer than 12 months</t>
    </r>
  </si>
  <si>
    <t>GF-Advance To - Asset</t>
  </si>
  <si>
    <t>WS -  Advance To - Asset</t>
  </si>
  <si>
    <t>WS - Advance From - Liability</t>
  </si>
  <si>
    <t>EF - Advance To - Asset</t>
  </si>
  <si>
    <t>EF - Advance from - Liability</t>
  </si>
  <si>
    <t>use on upload template</t>
  </si>
  <si>
    <t>CCH 548</t>
  </si>
  <si>
    <t>CCH 549</t>
  </si>
  <si>
    <t>Debt Service payments made from Bond investments</t>
  </si>
  <si>
    <t>CCH 550</t>
  </si>
  <si>
    <t>CCH 551</t>
  </si>
  <si>
    <t>CCH 552</t>
  </si>
  <si>
    <t>CCH 553</t>
  </si>
  <si>
    <t>CCH 554</t>
  </si>
  <si>
    <t>CCH 555</t>
  </si>
  <si>
    <t>CCH 556</t>
  </si>
  <si>
    <t>CCH 557</t>
  </si>
  <si>
    <t>CCH 558</t>
  </si>
  <si>
    <t>CCH 559</t>
  </si>
  <si>
    <t>CCH 560</t>
  </si>
  <si>
    <t>CCH 561</t>
  </si>
  <si>
    <t>CCH 562</t>
  </si>
  <si>
    <t>CCH 563</t>
  </si>
  <si>
    <t>CCH 564</t>
  </si>
  <si>
    <t>CCH 565</t>
  </si>
  <si>
    <t>CCH 566</t>
  </si>
  <si>
    <t>CCH 567</t>
  </si>
  <si>
    <t>CCH 568</t>
  </si>
  <si>
    <t>CCH 569</t>
  </si>
  <si>
    <t>CCH 570</t>
  </si>
  <si>
    <t>CCH 571</t>
  </si>
  <si>
    <t>CCH 572</t>
  </si>
  <si>
    <t>CCH 573</t>
  </si>
  <si>
    <t>CCH 574</t>
  </si>
  <si>
    <t>CCH 992</t>
  </si>
  <si>
    <t>Fiscal Review</t>
  </si>
  <si>
    <t>Capital</t>
  </si>
  <si>
    <t>Operations</t>
  </si>
  <si>
    <t>If you have any questions please call 919-814-4299.</t>
  </si>
  <si>
    <t>Government Wide Statements - Statement of Activities  - Business Type Activities Column</t>
  </si>
  <si>
    <t>Reporting</t>
  </si>
  <si>
    <t>Statement of Activities - Business Activities</t>
  </si>
  <si>
    <t>Total Expenses - Exclude Transfers</t>
  </si>
  <si>
    <r>
      <rPr>
        <u/>
        <sz val="11"/>
        <color indexed="8"/>
        <rFont val="Calibri"/>
        <family val="2"/>
      </rPr>
      <t xml:space="preserve">Total Change in net position Business Type </t>
    </r>
    <r>
      <rPr>
        <sz val="11"/>
        <color theme="1"/>
        <rFont val="Calibri"/>
        <family val="2"/>
        <scheme val="minor"/>
      </rPr>
      <t xml:space="preserve">
</t>
    </r>
    <r>
      <rPr>
        <sz val="11"/>
        <color indexed="60"/>
        <rFont val="Calibri"/>
        <family val="2"/>
      </rPr>
      <t>(Increase in net position is recorded as a positive and a decrease in net position is recorded as a negative)</t>
    </r>
  </si>
  <si>
    <t>Business Type - Total Expenses</t>
  </si>
  <si>
    <t>Business Type - Change in Net Position</t>
  </si>
  <si>
    <t>Reviewer if you need to change what the unit entered, do so directly in cell to the right.  Enter "1" to the right if the unit has defined benefit other than the ones adm.   Leave blank if the unit does not answer</t>
  </si>
  <si>
    <t>Indicate if your water/sewer system:
50 - Became Operational
51 - Ceased Operations
52 - No Change</t>
  </si>
  <si>
    <t>50 - Became Operational</t>
  </si>
  <si>
    <t>51 - Ceased Operations</t>
  </si>
  <si>
    <t>52 - No Change</t>
  </si>
  <si>
    <t>Status of Water Sewer</t>
  </si>
  <si>
    <t>C-EF- Current Assets (unrestricted, excl. inventory and prepaids)</t>
  </si>
  <si>
    <t>C-EF Current Assets (unrestricted, incl. inventory and prepaids)</t>
  </si>
  <si>
    <t>GF- Total expenditures</t>
  </si>
  <si>
    <t>GF- Proceeds from all LT debt issuance (COPs, IPs, Notes, CLs, etc.)</t>
  </si>
  <si>
    <t>C-EF- Change in Net Assets</t>
  </si>
  <si>
    <t>Hospital-EF - Patient A/Rec, net</t>
  </si>
  <si>
    <t>Hospital-EF- Total Gross Capital Assets (BS), w/o acc. dep.</t>
  </si>
  <si>
    <t xml:space="preserve">Hospital-EF- Unrestricted Fund Equity/Net Assets </t>
  </si>
  <si>
    <t>E-EF- Current Assets (unrestricted, excl. inventory and prepaids)</t>
  </si>
  <si>
    <t>E-EF- Net Transfers In(Out)- with GF only</t>
  </si>
  <si>
    <t>E-EF- Gross Capital Assets</t>
  </si>
  <si>
    <t>Hospital-EF - Total Operating Revenues</t>
  </si>
  <si>
    <t xml:space="preserve">Hospital-EF- Total Operating Expenses. May include Interest Exp. </t>
  </si>
  <si>
    <t>WS-EF- Accumulated Infrastructure Deprec Expense</t>
  </si>
  <si>
    <t>GA- Total Program revenues (SOA)</t>
  </si>
  <si>
    <t>GA- Total Net transfers in(out) (SOA)</t>
  </si>
  <si>
    <t>WS-EF- Total depreciable capital assets, gross</t>
  </si>
  <si>
    <t>WS-EF- Total Accum Deprec on all capital assets.</t>
  </si>
  <si>
    <t>GF- Restricted cash &amp; investments</t>
  </si>
  <si>
    <t>CCH 575</t>
  </si>
  <si>
    <t>CCH 576</t>
  </si>
  <si>
    <t>Yes  or "1" indicates unit has defined benefit other than the ones adm. By the state</t>
  </si>
  <si>
    <t>CCH 577</t>
  </si>
  <si>
    <t>WS-Advance From - Liability</t>
  </si>
  <si>
    <t>CCH 578</t>
  </si>
  <si>
    <t>WS-Advance To - Asset</t>
  </si>
  <si>
    <t>CCH 579</t>
  </si>
  <si>
    <t>EF-Advance From - Liability</t>
  </si>
  <si>
    <t>CCH 580</t>
  </si>
  <si>
    <t>EF-Advance To - Asset</t>
  </si>
  <si>
    <t>CCH 581</t>
  </si>
  <si>
    <t>TDA- Government Wide current and long-term debt</t>
  </si>
  <si>
    <t>CCH 582</t>
  </si>
  <si>
    <t>Bus- Total Expenses</t>
  </si>
  <si>
    <t>CCH 583</t>
  </si>
  <si>
    <t>Bus-Total Revenues</t>
  </si>
  <si>
    <t>CCH 584</t>
  </si>
  <si>
    <t>County only-timber receipts sent to the schools</t>
  </si>
  <si>
    <t>CCH 585</t>
  </si>
  <si>
    <t>GF - Advance from</t>
  </si>
  <si>
    <t>CCH 586</t>
  </si>
  <si>
    <t>Local Curr Exp trx to Fund 8</t>
  </si>
  <si>
    <t>CCH 587</t>
  </si>
  <si>
    <t>Capital Outlay trx to Fund 8</t>
  </si>
  <si>
    <t>CCH 588</t>
  </si>
  <si>
    <t>County-supplemental school tax reported in Agency fund</t>
  </si>
  <si>
    <t>CCH 589</t>
  </si>
  <si>
    <t xml:space="preserve">This is a description question that is retained on the data input tab - This information is not uploaded to CCH or our data base </t>
  </si>
  <si>
    <t>CCH 590</t>
  </si>
  <si>
    <t>Statement of Activities                               (all governmental and business funds)</t>
  </si>
  <si>
    <r>
      <t xml:space="preserve">Amount of interest income and investment income recognized as revenue in your audit report for all governmental and proprietary funds.  </t>
    </r>
    <r>
      <rPr>
        <sz val="11"/>
        <color indexed="60"/>
        <rFont val="Calibri"/>
        <family val="2"/>
      </rPr>
      <t xml:space="preserve">In the past we have asked you to adjust this number, but this year we would like the number as it appears on your Statement of Activities </t>
    </r>
    <r>
      <rPr>
        <u/>
        <sz val="11"/>
        <color indexed="60"/>
        <rFont val="Calibri"/>
        <family val="2"/>
      </rPr>
      <t>without</t>
    </r>
    <r>
      <rPr>
        <sz val="11"/>
        <color indexed="60"/>
        <rFont val="Calibri"/>
        <family val="2"/>
      </rPr>
      <t xml:space="preserve"> adjustment.</t>
    </r>
  </si>
  <si>
    <r>
      <t xml:space="preserve">Record any </t>
    </r>
    <r>
      <rPr>
        <b/>
        <u/>
        <sz val="11"/>
        <color indexed="8"/>
        <rFont val="Calibri"/>
        <family val="2"/>
      </rPr>
      <t>positive</t>
    </r>
    <r>
      <rPr>
        <u/>
        <sz val="11"/>
        <color indexed="8"/>
        <rFont val="Calibri"/>
        <family val="2"/>
      </rPr>
      <t xml:space="preserve"> Internal balances on the net position statements that appear in the Asset Section of the Net Position Statement
</t>
    </r>
  </si>
  <si>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</si>
  <si>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t>Only for Review Summary</t>
  </si>
  <si>
    <t>County and Municipality Fiscal Analysis</t>
  </si>
  <si>
    <t>https://www.nctreasurer.com/slg/lfm/financial-analysis/Pages/Analysis-by-Population.aspx</t>
  </si>
  <si>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Cell G71 will contain the message “Water Sewer Section must be completed” if the Water Sewer Sections is specific to your unit.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</si>
  <si>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r>
      <t>Record any</t>
    </r>
    <r>
      <rPr>
        <b/>
        <u/>
        <sz val="11"/>
        <color indexed="8"/>
        <rFont val="Calibri"/>
        <family val="2"/>
      </rPr>
      <t xml:space="preserve"> negative</t>
    </r>
    <r>
      <rPr>
        <u/>
        <sz val="11"/>
        <color indexed="8"/>
        <rFont val="Calibri"/>
        <family val="2"/>
      </rPr>
      <t xml:space="preserve"> Internal balances on the net position statements that appear in the Asset Section of the Net Position Statement.
</t>
    </r>
    <r>
      <rPr>
        <b/>
        <sz val="11"/>
        <color indexed="60"/>
        <rFont val="Calibri"/>
        <family val="2"/>
      </rPr>
      <t xml:space="preserve">
Enter as a positive</t>
    </r>
    <r>
      <rPr>
        <u/>
        <sz val="11"/>
        <color indexed="8"/>
        <rFont val="Calibri"/>
        <family val="2"/>
      </rPr>
      <t xml:space="preserve">
</t>
    </r>
  </si>
  <si>
    <r>
      <t xml:space="preserve">Long-Term Liability Note - </t>
    </r>
    <r>
      <rPr>
        <b/>
        <sz val="10"/>
        <color indexed="8"/>
        <rFont val="Century Schoolbook"/>
        <family val="1"/>
      </rPr>
      <t>Governmental Activities</t>
    </r>
  </si>
  <si>
    <t>Interest income from statement of activities</t>
  </si>
  <si>
    <r>
      <rPr>
        <u/>
        <sz val="11"/>
        <color indexed="8"/>
        <rFont val="Calibri"/>
        <family val="2"/>
      </rPr>
      <t>Current liabilities</t>
    </r>
    <r>
      <rPr>
        <sz val="11"/>
        <color indexed="8"/>
        <rFont val="Calibri"/>
        <family val="2"/>
      </rPr>
      <t xml:space="preserve">
</t>
    </r>
    <r>
      <rPr>
        <b/>
        <sz val="11"/>
        <color indexed="8"/>
        <rFont val="Calibri"/>
        <family val="2"/>
      </rPr>
      <t>Include:</t>
    </r>
    <r>
      <rPr>
        <sz val="11"/>
        <color indexed="8"/>
        <rFont val="Calibri"/>
        <family val="2"/>
      </rPr>
      <t xml:space="preserve">   Current liabilities and current portion of long-term debt. 
</t>
    </r>
    <r>
      <rPr>
        <b/>
        <sz val="11"/>
        <color indexed="8"/>
        <rFont val="Calibri"/>
        <family val="2"/>
      </rPr>
      <t>Exclude</t>
    </r>
    <r>
      <rPr>
        <sz val="11"/>
        <color indexed="8"/>
        <rFont val="Calibri"/>
        <family val="2"/>
      </rPr>
      <t xml:space="preserve">:   Bond Anticipation Notes
                  Compensated  Absences
                  Pension liabilities
                  Liabilities payable from restricted assets
                  Other post employment liabilities (OPEB)
                  Deferred inflows.
</t>
    </r>
  </si>
  <si>
    <t>Long-Term Liability Note - Governmental Activities</t>
  </si>
  <si>
    <r>
      <rPr>
        <u/>
        <sz val="11"/>
        <color indexed="8"/>
        <rFont val="Calibri"/>
        <family val="2"/>
      </rPr>
      <t>Any adjustment to beginning fund balance including rounding, prior period adjustments and restatements.</t>
    </r>
    <r>
      <rPr>
        <sz val="11"/>
        <color theme="1"/>
        <rFont val="Calibri"/>
        <family val="2"/>
        <scheme val="minor"/>
      </rPr>
      <t xml:space="preserve">  </t>
    </r>
    <r>
      <rPr>
        <sz val="11"/>
        <color indexed="60"/>
        <rFont val="Calibri"/>
        <family val="2"/>
      </rPr>
      <t xml:space="preserve"> (Amounts that increase fund balance are recorded as positive and amounts that decrease fund balance are recorded as negative)</t>
    </r>
  </si>
  <si>
    <t>Amount the unit paid out in benefits under LEO special separation allowance to retired law enforcement officers this fiscal year if you report under GASB 68 or GASB 73.</t>
  </si>
  <si>
    <t>The total LEO pension liability if you report under GASB 68 or GASB 73.</t>
  </si>
  <si>
    <t>598</t>
  </si>
  <si>
    <t>Total LEO pension liability under GASB 68 or 73</t>
  </si>
  <si>
    <t>Unit paid to Officers under LEO under 68 or 73</t>
  </si>
  <si>
    <t>LEO Plan fiduciary net position</t>
  </si>
  <si>
    <t>https://efc.sog.unc.edu/reslib/item/north-carolina-water-and-wastewater-rates-dashboard#</t>
  </si>
  <si>
    <r>
      <t xml:space="preserve">The worksheet is organized based on how your audit report is laid out.  Titles on this worksheet appear in highlighted colors and correspond to various exhibits, statements, notes and schedules where the requested amounts should be found.  We have also provided the previous year of data in column E so that you can reference last years amounts to aid your completion of the worksheet.  </t>
    </r>
    <r>
      <rPr>
        <b/>
        <sz val="12"/>
        <color indexed="8"/>
        <rFont val="Century Schoolbook"/>
        <family val="1"/>
      </rPr>
      <t>Please record your numbers in the shaded column F.  Please enter All numbers as positive</t>
    </r>
    <r>
      <rPr>
        <sz val="12"/>
        <color indexed="8"/>
        <rFont val="Century Schoolbook"/>
        <family val="1"/>
      </rPr>
      <t xml:space="preserve"> unless specifically stated otherwise in the description of the amount requested.  </t>
    </r>
  </si>
  <si>
    <r>
      <t>Total Net Position, Unrestricted -</t>
    </r>
    <r>
      <rPr>
        <u/>
        <sz val="11"/>
        <color indexed="60"/>
        <rFont val="Calibri"/>
        <family val="2"/>
      </rPr>
      <t xml:space="preserve"> enter negative unrestricted net position as a negative)</t>
    </r>
  </si>
  <si>
    <r>
      <rPr>
        <u/>
        <sz val="11"/>
        <color indexed="8"/>
        <rFont val="Calibri"/>
        <family val="2"/>
      </rPr>
      <t>Total Current assets</t>
    </r>
    <r>
      <rPr>
        <sz val="11"/>
        <color indexed="8"/>
        <rFont val="Calibri"/>
        <family val="2"/>
      </rPr>
      <t xml:space="preserve">.  
</t>
    </r>
    <r>
      <rPr>
        <b/>
        <sz val="11"/>
        <rFont val="Calibri"/>
        <family val="2"/>
      </rPr>
      <t>Exclude</t>
    </r>
    <r>
      <rPr>
        <sz val="11"/>
        <rFont val="Calibri"/>
        <family val="2"/>
      </rPr>
      <t xml:space="preserve"> any current assets identified as restricted.
</t>
    </r>
    <r>
      <rPr>
        <b/>
        <sz val="12"/>
        <color indexed="17"/>
        <rFont val="Calibri"/>
        <family val="2"/>
      </rPr>
      <t>Exclude "Advance To": portion of interfund loan with repayment longer than 12 months.</t>
    </r>
  </si>
  <si>
    <r>
      <rPr>
        <u/>
        <sz val="11"/>
        <rFont val="Calibri"/>
        <family val="2"/>
      </rPr>
      <t>Current liabilities</t>
    </r>
    <r>
      <rPr>
        <sz val="11"/>
        <rFont val="Calibri"/>
        <family val="2"/>
      </rPr>
      <t xml:space="preserve">.  
</t>
    </r>
    <r>
      <rPr>
        <b/>
        <sz val="11"/>
        <rFont val="Calibri"/>
        <family val="2"/>
      </rPr>
      <t xml:space="preserve">Include:  </t>
    </r>
    <r>
      <rPr>
        <sz val="11"/>
        <rFont val="Calibri"/>
        <family val="2"/>
      </rPr>
      <t xml:space="preserve"> Current liabilities and current portions of long-term debt
</t>
    </r>
    <r>
      <rPr>
        <b/>
        <sz val="11"/>
        <rFont val="Calibri"/>
        <family val="2"/>
      </rPr>
      <t xml:space="preserve">Exclude:  </t>
    </r>
    <r>
      <rPr>
        <b/>
        <sz val="12"/>
        <color indexed="17"/>
        <rFont val="Calibri"/>
        <family val="2"/>
      </rPr>
      <t xml:space="preserve">"Advance From"-portion of interfund loans with repayment longer than 12 months,
                   Bond anticipation notes, </t>
    </r>
    <r>
      <rPr>
        <sz val="11"/>
        <rFont val="Calibri"/>
        <family val="2"/>
      </rPr>
      <t xml:space="preserve">
                   Compensated absences, 
                   Pension liabilities, 
                   Other post-employment liabilities (OPEB), 
                   Closure/postclosure liabilities, 
                   Payables from restricted assets
                   Deferred inflows.</t>
    </r>
  </si>
  <si>
    <r>
      <rPr>
        <u/>
        <sz val="11"/>
        <rFont val="Calibri"/>
        <family val="2"/>
      </rPr>
      <t>Current liabilities</t>
    </r>
    <r>
      <rPr>
        <sz val="11"/>
        <rFont val="Calibri"/>
        <family val="2"/>
      </rPr>
      <t xml:space="preserve">.  
</t>
    </r>
    <r>
      <rPr>
        <b/>
        <sz val="11"/>
        <rFont val="Calibri"/>
        <family val="2"/>
      </rPr>
      <t xml:space="preserve">Include:  </t>
    </r>
    <r>
      <rPr>
        <sz val="11"/>
        <rFont val="Calibri"/>
        <family val="2"/>
      </rPr>
      <t xml:space="preserve"> Current portions of long-term debt
</t>
    </r>
    <r>
      <rPr>
        <b/>
        <sz val="11"/>
        <rFont val="Calibri"/>
        <family val="2"/>
      </rPr>
      <t xml:space="preserve">Exclude:  </t>
    </r>
    <r>
      <rPr>
        <b/>
        <sz val="12"/>
        <color indexed="17"/>
        <rFont val="Calibri"/>
        <family val="2"/>
      </rPr>
      <t>"Advance From"-portion of interfund loans with repayment longer than 12 months,</t>
    </r>
    <r>
      <rPr>
        <sz val="11"/>
        <rFont val="Calibri"/>
        <family val="2"/>
      </rPr>
      <t xml:space="preserve">
                   Bond anticipation notes, 
                   Compensated absences, 
                   Pension liabilities, 
                   Other post-employment liabilities (OPEB), 
                   Closure/postclosure liabilities, 
                   Payables from restricted assets
                   Deferred inflows.</t>
    </r>
  </si>
  <si>
    <t>If you have LEO pension assets and are reporting under GASB 68 please enter "Plan Fiduciary Net Position" which can be found on your RSI schedules and the Notes.</t>
  </si>
  <si>
    <t>Health benefits - total OPEB liability</t>
  </si>
  <si>
    <t>Health benefits- OPEB plan fiduciary net position</t>
  </si>
  <si>
    <t>Vision benefits - total OPEB liability</t>
  </si>
  <si>
    <t>Vision benefits - OPEB plan fiduciary net position</t>
  </si>
  <si>
    <t>Dental benefits - OPEB plan fiduciary net position</t>
  </si>
  <si>
    <t>Other benefits - total OPEB liability</t>
  </si>
  <si>
    <t>Other benefits - OPEB plan fiduciary net position</t>
  </si>
  <si>
    <t>603</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</si>
  <si>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</si>
  <si>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</si>
  <si>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605</t>
  </si>
  <si>
    <t>OPEB
 Note or RSI</t>
  </si>
  <si>
    <t>Financial opinion - enter "1" for clean Opinion or "2" for other than clean opinion</t>
  </si>
  <si>
    <t>Vision benefits - What is the plan’s fiduciary net position as a percentage of the total OPEB liability?  Please enter as percentage value; for example, 83.5% should be entered as 83.5.  If assets have not been set aside in a trust, please enter 0.0</t>
  </si>
  <si>
    <t>Dental benefits - What is the plan’s fiduciary net position as a percentage of the total OPEB liability?  Please enter as percentage value; for example, 83.5% should be entered as 83.5.  If assets have not been set aside in a trust, please enter 0.0</t>
  </si>
  <si>
    <t>Other benefits  - What is the plan’s fiduciary net position as a percentage of the total OPEB liability?  Please enter as percentage value; for example, 83.5% should be entered as 83.5.  If assets have not been set aside in a trust, please enter 0.0</t>
  </si>
  <si>
    <t>Health benefits - What is the plan’s fiduciary net position as a percentage of the total OPEB liability?  Please enter as percentage value; for example, 83.5% should be entered as 83.5.  If assets have not been set aside in a trust, please enter 0.0</t>
  </si>
  <si>
    <t>Dental benefits - total OPEB liability</t>
  </si>
  <si>
    <t>Notes or formulas</t>
  </si>
  <si>
    <t>OPEB
RSI</t>
  </si>
  <si>
    <t>LEO
RSI</t>
  </si>
  <si>
    <t>If you appropriated General Fund Balance in your 2018 budget and your "change in fund balance": (row 62 above) is negative, please select from the drop down box in column F either "operations" or "capital", whichever best describes what the fund balance was used for.  If you select "Capital" please briefly describe in column G to the right the capital items.</t>
  </si>
  <si>
    <t>Do you expect to issue debt requiring LGC approval within 12 months from the date that the audit is submitted - select "1" for year and "2" for no</t>
  </si>
  <si>
    <t>Do you expect to issue debt requiring LGC approval within 12 months from the date that the audit is submitted - select "1" for yes and "2" for no</t>
  </si>
  <si>
    <t>Debt Issued within next 12 months</t>
  </si>
  <si>
    <t/>
  </si>
  <si>
    <t>Health benefits - total OPEB liability
If you do not provide benefit, please enter 0</t>
  </si>
  <si>
    <t>Health benefits- OPEB plan fiduciary net position
If no fiduciary net position, enter 0</t>
  </si>
  <si>
    <t>Health benefits - plan's fiduary net postion as a % of total OPEB liability</t>
  </si>
  <si>
    <t>Vision benefits - plan's fiduary net postion as a % of total OPEB liability</t>
  </si>
  <si>
    <t>Dental benefits - plan's fiduary net postion as a % of total OPEB liability</t>
  </si>
  <si>
    <t>Other benefits - plan's fiduary net postion as a % of total OPEB liability</t>
  </si>
  <si>
    <t>LEOSSA – What is the plan’s fiduciary net position as a percentage of the total pension liability?  Please enter as percentage value; for example, 83.5% should be entered as 83.5.  If assets have not been set aside in a trust, please enter 0.0</t>
  </si>
  <si>
    <t>LEO - plan's fiduary net position as a % of total pension liability</t>
  </si>
  <si>
    <t>FS., OPEB  note or RSI</t>
  </si>
  <si>
    <t>Compliance opinion - enter "1" for clean Opinion or "2" for other than clean opinion</t>
  </si>
  <si>
    <t>FS., Pension note or RSI</t>
  </si>
  <si>
    <t>Notes to the Financial Statements - Pension Note</t>
  </si>
  <si>
    <t>Net OPEB Liabilty</t>
  </si>
  <si>
    <t>Unit was issued:
1) No UL
2) No UL but visit is needed
3) UL with response
4) SUL requiring written response
5) Communication to DPI</t>
  </si>
  <si>
    <r>
      <rPr>
        <u/>
        <sz val="11"/>
        <color indexed="8"/>
        <rFont val="Calibri"/>
        <family val="2"/>
      </rPr>
      <t xml:space="preserve">Amount of Water Sewer revenues and other financing sources over expenditures and other uses
</t>
    </r>
    <r>
      <rPr>
        <b/>
        <u/>
        <sz val="11"/>
        <color indexed="8"/>
        <rFont val="Calibri"/>
        <family val="2"/>
      </rPr>
      <t xml:space="preserve">Exclude:  All transfers and capital contributions
Exclude:  Capital Projects
</t>
    </r>
    <r>
      <rPr>
        <sz val="11"/>
        <color indexed="60"/>
        <rFont val="Calibri"/>
        <family val="2"/>
      </rPr>
      <t>This schedule is usually found behind the notes and should be entered as a positive or negative as indicated on your audit report</t>
    </r>
  </si>
  <si>
    <t>Net OPEB Liability (RHBF)</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</si>
  <si>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</si>
  <si>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See prior year's audited financial statements</t>
  </si>
  <si>
    <t>FS., OPEB note or RSI</t>
  </si>
  <si>
    <t>Internal</t>
  </si>
  <si>
    <t>Does the County collect real estate property taxes on your behalf? Select "1" for "yes and "2" for "No"</t>
  </si>
  <si>
    <r>
      <t xml:space="preserve">Unit's share of RBHF Net OPEB Liability ($s)
- unit of government is a participating employer in the </t>
    </r>
    <r>
      <rPr>
        <b/>
        <sz val="11"/>
        <color theme="1"/>
        <rFont val="Calibri"/>
        <family val="2"/>
        <scheme val="minor"/>
      </rPr>
      <t>State's RHBF</t>
    </r>
    <r>
      <rPr>
        <sz val="11"/>
        <color theme="1"/>
        <rFont val="Calibri"/>
        <family val="2"/>
        <scheme val="minor"/>
      </rPr>
      <t xml:space="preserve"> (Retiree Health Benefit Fund)</t>
    </r>
  </si>
  <si>
    <t>Not collected for Year 2018</t>
  </si>
  <si>
    <t>Please provide the name of any additional agencies included in the above net pension liability</t>
  </si>
  <si>
    <t>Unit's Share of Net Pension Liability</t>
  </si>
  <si>
    <t>Not loaded to CCH</t>
  </si>
  <si>
    <t>County collects real estate property on your behalf</t>
  </si>
  <si>
    <t>Hospital-EF- Change in Net Assets</t>
  </si>
  <si>
    <t>Did unit raise Water Sewer rates during the audited fiscal period? - answer Yes or No</t>
  </si>
  <si>
    <t>Did unit raise Water Sewer rates during the budget year following the audited fiscal year? - answer Yes or No</t>
  </si>
  <si>
    <t>Amount employer expends for any retiree health care premiums or retiree health care cost.</t>
  </si>
  <si>
    <t>Amount of the General Fund Balance appropriated in next year's budget</t>
  </si>
  <si>
    <t>Amount of Water Sewer revenues and other financing sources over expenditures and other uses</t>
  </si>
  <si>
    <t>Amount of the Water Sewer Fund Balance appropriated in next year's budget</t>
  </si>
  <si>
    <t>Amount of interest income and investment income recognized as revenue in your audit report for all governmental and proprietary funds.</t>
  </si>
  <si>
    <t>Supplemental School Tax</t>
  </si>
  <si>
    <t>The Unfunded actuarially accrued liability for the unit's Leo benefit.</t>
  </si>
  <si>
    <t>Internal Control-
1) no IC issues 
2)Immaterial 
3) Unit letter for IC 
4) Unit visit for IC</t>
  </si>
  <si>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</si>
  <si>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</si>
  <si>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Gen Fund - Current Liabilities</t>
  </si>
  <si>
    <t>WS - Total Current Assets</t>
  </si>
  <si>
    <t>WS - Select Current Liabilities</t>
  </si>
  <si>
    <t>Electric - Total Current Assets</t>
  </si>
  <si>
    <t>OPEB- Obligation</t>
  </si>
  <si>
    <t>OPEB- Annual Expenses</t>
  </si>
  <si>
    <t>OPEB- UAAL</t>
  </si>
  <si>
    <t>OPEB- ARC</t>
  </si>
  <si>
    <t>OPEB- UAAL % of Payroll</t>
  </si>
  <si>
    <t>#VALUE!</t>
  </si>
  <si>
    <t>WS Cap Asset - Land &amp; other Non-Construction</t>
  </si>
  <si>
    <t>Gov - Select Current Liabilities</t>
  </si>
  <si>
    <t>CCH 354</t>
  </si>
  <si>
    <t>Gen Fund - Total Expenditures</t>
  </si>
  <si>
    <t>Gen Fund - Proceeds from LTD</t>
  </si>
  <si>
    <r>
      <t xml:space="preserve">Indicate if the </t>
    </r>
    <r>
      <rPr>
        <b/>
        <sz val="11"/>
        <color indexed="8"/>
        <rFont val="Calibri"/>
        <family val="2"/>
      </rPr>
      <t xml:space="preserve">Unit </t>
    </r>
    <r>
      <rPr>
        <sz val="11"/>
        <color indexed="8"/>
        <rFont val="Calibri"/>
        <family val="2"/>
      </rPr>
      <t xml:space="preserve">does not pay any portion of the retiree's cost other than implicit rate subsidy (1), does not have a plan (2),  has an OPEB plan for which the </t>
    </r>
    <r>
      <rPr>
        <b/>
        <sz val="11"/>
        <color indexed="8"/>
        <rFont val="Calibri"/>
        <family val="2"/>
      </rPr>
      <t>unit</t>
    </r>
    <r>
      <rPr>
        <sz val="11"/>
        <color indexed="8"/>
        <rFont val="Calibri"/>
        <family val="2"/>
      </rPr>
      <t xml:space="preserve"> pays at least a portion of retiree’s health care cost (3) or is part of the State Health System (4).  </t>
    </r>
  </si>
  <si>
    <r>
      <rPr>
        <b/>
        <sz val="11"/>
        <color indexed="8"/>
        <rFont val="Calibri"/>
        <family val="2"/>
      </rPr>
      <t>Single Audit Only</t>
    </r>
    <r>
      <rPr>
        <sz val="11"/>
        <color indexed="8"/>
        <rFont val="Century Schoolbook"/>
        <family val="2"/>
      </rPr>
      <t xml:space="preserve"> - total amount of federal awards and grants expended as found on SEFSA</t>
    </r>
  </si>
  <si>
    <r>
      <rPr>
        <b/>
        <sz val="11"/>
        <color indexed="8"/>
        <rFont val="Calibri"/>
        <family val="2"/>
      </rPr>
      <t>Single Audit Only</t>
    </r>
    <r>
      <rPr>
        <sz val="11"/>
        <color indexed="8"/>
        <rFont val="Century Schoolbook"/>
        <family val="2"/>
      </rPr>
      <t xml:space="preserve"> - Total amount of federal awards and grants that were audited as major as found on SEFSA</t>
    </r>
  </si>
  <si>
    <r>
      <rPr>
        <b/>
        <sz val="11"/>
        <color indexed="8"/>
        <rFont val="Calibri"/>
        <family val="2"/>
      </rPr>
      <t>Single Audit Only</t>
    </r>
    <r>
      <rPr>
        <sz val="11"/>
        <color indexed="8"/>
        <rFont val="Century Schoolbook"/>
        <family val="2"/>
      </rPr>
      <t xml:space="preserve"> - total amount of state awards and grants expended as found on SEFSA</t>
    </r>
  </si>
  <si>
    <r>
      <rPr>
        <b/>
        <sz val="11"/>
        <color indexed="8"/>
        <rFont val="Calibri"/>
        <family val="2"/>
      </rPr>
      <t>Single Audit Only</t>
    </r>
    <r>
      <rPr>
        <sz val="11"/>
        <color indexed="8"/>
        <rFont val="Century Schoolbook"/>
        <family val="2"/>
      </rPr>
      <t xml:space="preserve"> - Total amount of state awards and grants that were audited as major as found on SEFSA</t>
    </r>
  </si>
  <si>
    <t>LGC Records indicate that your unit has an operational Water and/or Sewer system and needs to complete the Water Sewer Questions</t>
  </si>
  <si>
    <t>Unit Contact Question</t>
  </si>
  <si>
    <t>Interest income from statement of activitites</t>
  </si>
  <si>
    <t>If you have LEO pension assets and are reporting under GASB 68 please enter "Plan Fiduciary Net Position" which can be found on your RSI schedules.</t>
  </si>
  <si>
    <t>not currently used</t>
  </si>
  <si>
    <t>Data Import 2018</t>
  </si>
  <si>
    <t>Micro</t>
  </si>
  <si>
    <t>Middleburg</t>
  </si>
  <si>
    <t>Middlesex</t>
  </si>
  <si>
    <t>Midland</t>
  </si>
  <si>
    <t>Midway</t>
  </si>
  <si>
    <t>Mills River</t>
  </si>
  <si>
    <t>Milton</t>
  </si>
  <si>
    <t>Mineral Springs</t>
  </si>
  <si>
    <t>Minnesott Beach</t>
  </si>
  <si>
    <t>Mint Hill</t>
  </si>
  <si>
    <t>Misenheimer</t>
  </si>
  <si>
    <t>Mocksville</t>
  </si>
  <si>
    <t>Momeyer</t>
  </si>
  <si>
    <t>Monroe</t>
  </si>
  <si>
    <t>Montreat</t>
  </si>
  <si>
    <t>Mooresboro</t>
  </si>
  <si>
    <t>Mooresville</t>
  </si>
  <si>
    <t>Morehead City</t>
  </si>
  <si>
    <t>Morganton</t>
  </si>
  <si>
    <t>Morrisville</t>
  </si>
  <si>
    <t>Morven</t>
  </si>
  <si>
    <t>Mount Airy</t>
  </si>
  <si>
    <t>Mount Gilead</t>
  </si>
  <si>
    <t>Mount Holly</t>
  </si>
  <si>
    <t>Mount Olive</t>
  </si>
  <si>
    <t>Mount Pleasant</t>
  </si>
  <si>
    <t>Murfreesboro</t>
  </si>
  <si>
    <t>Murphy</t>
  </si>
  <si>
    <t>Nags Head</t>
  </si>
  <si>
    <t>Nashville</t>
  </si>
  <si>
    <t>Navassa</t>
  </si>
  <si>
    <t>New Bern</t>
  </si>
  <si>
    <t>New London</t>
  </si>
  <si>
    <t>Newland</t>
  </si>
  <si>
    <t>Newport</t>
  </si>
  <si>
    <t>Newton</t>
  </si>
  <si>
    <t>Newton Grove</t>
  </si>
  <si>
    <t>Norlina</t>
  </si>
  <si>
    <t>Norman</t>
  </si>
  <si>
    <t>North Topsail Beach</t>
  </si>
  <si>
    <t>North Wilkesboro</t>
  </si>
  <si>
    <t>Northwest</t>
  </si>
  <si>
    <t>Norwood</t>
  </si>
  <si>
    <t>Oak City</t>
  </si>
  <si>
    <t>Oak Island</t>
  </si>
  <si>
    <t>Oak Ridge</t>
  </si>
  <si>
    <t>Oakboro</t>
  </si>
  <si>
    <t>Ocean Isle Beach</t>
  </si>
  <si>
    <t>Old Fort</t>
  </si>
  <si>
    <t>Oriental</t>
  </si>
  <si>
    <t>Orrum</t>
  </si>
  <si>
    <t>Ossipee</t>
  </si>
  <si>
    <t>Oxford</t>
  </si>
  <si>
    <t>Pantego</t>
  </si>
  <si>
    <t>Parkton</t>
  </si>
  <si>
    <t>Parmele</t>
  </si>
  <si>
    <t>Patterson Springs</t>
  </si>
  <si>
    <t>Peachland</t>
  </si>
  <si>
    <t>Peletier</t>
  </si>
  <si>
    <t>Pembroke</t>
  </si>
  <si>
    <t>Pikeville</t>
  </si>
  <si>
    <t>Pilot Mountain</t>
  </si>
  <si>
    <t>Pine Knoll Shores</t>
  </si>
  <si>
    <t>Pine Level</t>
  </si>
  <si>
    <t>Pinebluff</t>
  </si>
  <si>
    <t>Pinehurst</t>
  </si>
  <si>
    <t>Pinetops</t>
  </si>
  <si>
    <t>Pineville</t>
  </si>
  <si>
    <t>Pink Hill</t>
  </si>
  <si>
    <t>Pittsboro</t>
  </si>
  <si>
    <t>Pleasant Garden</t>
  </si>
  <si>
    <t>Plymouth</t>
  </si>
  <si>
    <t>Polkton</t>
  </si>
  <si>
    <t>Polkville</t>
  </si>
  <si>
    <t>Pollocksville</t>
  </si>
  <si>
    <t>Powellsville</t>
  </si>
  <si>
    <t>Princeton</t>
  </si>
  <si>
    <t>Princeville</t>
  </si>
  <si>
    <t>Proctorville</t>
  </si>
  <si>
    <t>Batch Totals</t>
  </si>
  <si>
    <t>Review
 Summary</t>
  </si>
  <si>
    <t>Financial opinion - enter "1" for Unmodified Opinion or "2" for other than uunmodified opinion</t>
  </si>
  <si>
    <t>CCH385-CCH576</t>
  </si>
  <si>
    <t>CCH336-CCH576</t>
  </si>
  <si>
    <t>CCH338-CCH576</t>
  </si>
  <si>
    <t>Version date 7/31/2019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</si>
</sst>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0"/>
    <numFmt numFmtId="169" formatCode="0_);\(0\)"/>
    <numFmt numFmtId="170" formatCode="0.00_);\(0.00\)"/>
    <numFmt numFmtId="171" formatCode="0.0_);\(0.0\)"/>
    <numFmt numFmtId="172" formatCode="_(* #,##0.0000_);_(* \(#,##0.0000\);_(* &quot;-&quot;??_);_(@_)"/>
    <numFmt numFmtId="173" formatCode="#,##0.0000_);[Red]\(#,##0.0000\)"/>
    <numFmt numFmtId="174" formatCode="#,##0.0_);\(#,##0.0\)"/>
    <numFmt numFmtId="175" formatCode="_(* ###0_);_(* \(###0\);_(* &quot;-&quot;??_);_(@_)"/>
    <numFmt numFmtId="176" formatCode="#,##0.0000_);\(#,##0.0000\)"/>
    <numFmt numFmtId="177" formatCode="_(* #,##0.00_);_(* \(#,##0.00\);_(* &quot;-&quot;_);_(@_)"/>
  </numFmts>
  <fonts count="131"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b/>
      <sz val="9"/>
      <color indexed="8"/>
      <name val="Calibri"/>
      <family val="2"/>
    </font>
    <font>
      <u/>
      <sz val="11"/>
      <color indexed="8"/>
      <name val="Calibri"/>
      <family val="2"/>
    </font>
    <font>
      <sz val="11"/>
      <name val="Calibri"/>
      <family val="2"/>
    </font>
    <font>
      <b/>
      <sz val="11"/>
      <name val="Calibri"/>
      <family val="2"/>
    </font>
    <font>
      <sz val="11"/>
      <name val="Century Schoolbook"/>
      <family val="1"/>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name val="Century Schoolbook"/>
      <family val="1"/>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sz val="11"/>
      <color indexed="8"/>
      <name val="Century Schoolbook"/>
      <family val="1"/>
    </font>
    <font>
      <b/>
      <sz val="11"/>
      <color indexed="8"/>
      <name val="Century Schoolbook"/>
      <family val="1"/>
    </font>
    <font>
      <sz val="9"/>
      <color indexed="8"/>
      <name val="Century Schoolbook"/>
      <family val="1"/>
    </font>
    <font>
      <sz val="9"/>
      <color indexed="8"/>
      <name val="Calibri"/>
      <family val="2"/>
    </font>
    <font>
      <b/>
      <sz val="11"/>
      <name val="Century Schoolbook"/>
      <family val="1"/>
    </font>
    <font>
      <b/>
      <u/>
      <sz val="11"/>
      <color indexed="8"/>
      <name val="Calibri"/>
      <family val="2"/>
    </font>
    <font>
      <u/>
      <sz val="11"/>
      <name val="Calibri"/>
      <family val="2"/>
    </font>
    <font>
      <b/>
      <sz val="9"/>
      <color indexed="8"/>
      <name val="Century Schoolbook"/>
      <family val="1"/>
    </font>
    <font>
      <sz val="9"/>
      <name val="Century Schoolbook"/>
      <family val="1"/>
    </font>
    <font>
      <b/>
      <sz val="11"/>
      <color indexed="60"/>
      <name val="Century Schoolbook"/>
      <family val="1"/>
    </font>
    <font>
      <b/>
      <sz val="10"/>
      <color indexed="8"/>
      <name val="Century Schoolbook"/>
      <family val="1"/>
    </font>
    <font>
      <sz val="9"/>
      <color indexed="60"/>
      <name val="Calibri"/>
      <family val="2"/>
    </font>
    <font>
      <sz val="8"/>
      <name val="Arial"/>
      <family val="2"/>
    </font>
    <font>
      <sz val="10"/>
      <name val="Arial"/>
      <family val="2"/>
    </font>
    <font>
      <sz val="12"/>
      <name val="Garamond"/>
      <family val="1"/>
    </font>
    <font>
      <u/>
      <sz val="11"/>
      <color indexed="60"/>
      <name val="Calibri"/>
      <family val="2"/>
    </font>
    <font>
      <b/>
      <sz val="12"/>
      <color indexed="17"/>
      <name val="Calibri"/>
      <family val="2"/>
    </font>
    <font>
      <sz val="8"/>
      <name val="Arial"/>
      <family val="2"/>
    </font>
    <font>
      <sz val="10"/>
      <name val="Arial"/>
      <family val="2"/>
    </font>
    <font>
      <sz val="12"/>
      <name val="Garamond"/>
      <family val="1"/>
    </font>
    <font>
      <sz val="11"/>
      <color indexed="8"/>
      <name val="Century Schoolbook"/>
      <family val="2"/>
    </font>
    <font>
      <b/>
      <sz val="22"/>
      <color indexed="8"/>
      <name val="Calibri"/>
      <family val="2"/>
    </font>
    <font>
      <b/>
      <sz val="11"/>
      <color indexed="60"/>
      <name val="Calibri"/>
      <family val="2"/>
    </font>
    <font>
      <sz val="11"/>
      <color theme="1"/>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sz val="11"/>
      <color rgb="FF0070C0"/>
      <name val="Calibri"/>
      <family val="2"/>
      <scheme val="minor"/>
    </font>
    <font>
      <sz val="11"/>
      <color theme="1"/>
      <name val="Century Schoolbook"/>
      <family val="1"/>
    </font>
    <font>
      <sz val="11"/>
      <name val="Calibri"/>
      <family val="2"/>
      <scheme val="minor"/>
    </font>
    <font>
      <sz val="14"/>
      <color theme="1"/>
      <name val="Calibri"/>
      <family val="2"/>
      <scheme val="minor"/>
    </font>
    <font>
      <b/>
      <sz val="11"/>
      <color theme="1"/>
      <name val="Century Schoolbook"/>
      <family val="1"/>
    </font>
    <font>
      <b/>
      <sz val="20"/>
      <color theme="1"/>
      <name val="Calibri"/>
      <family val="2"/>
      <scheme val="minor"/>
    </font>
    <font>
      <sz val="26"/>
      <color rgb="FF17365D"/>
      <name val="Cambria"/>
      <family val="1"/>
    </font>
    <font>
      <i/>
      <sz val="12"/>
      <color rgb="FF4F81BD"/>
      <name val="Cambria"/>
      <family val="1"/>
    </font>
    <font>
      <sz val="12"/>
      <color theme="1"/>
      <name val="Century Schoolbook"/>
      <family val="1"/>
    </font>
    <font>
      <sz val="14"/>
      <name val="Calibri"/>
      <family val="2"/>
      <scheme val="minor"/>
    </font>
    <font>
      <b/>
      <sz val="24"/>
      <color theme="2"/>
      <name val="Century Schoolbook"/>
      <family val="1"/>
    </font>
    <font>
      <b/>
      <sz val="9"/>
      <color theme="1"/>
      <name val="Calibri"/>
      <family val="2"/>
      <scheme val="minor"/>
    </font>
    <font>
      <b/>
      <sz val="16"/>
      <color theme="1"/>
      <name val="Calibri"/>
      <family val="2"/>
      <scheme val="minor"/>
    </font>
    <font>
      <sz val="24"/>
      <color theme="0"/>
      <name val="Century Schoolbook"/>
      <family val="1"/>
    </font>
    <font>
      <b/>
      <sz val="48"/>
      <color theme="0"/>
      <name val="Century Schoolbook"/>
      <family val="1"/>
    </font>
    <font>
      <b/>
      <sz val="10"/>
      <color theme="1"/>
      <name val="Calibri"/>
      <family val="2"/>
      <scheme val="minor"/>
    </font>
    <font>
      <sz val="24"/>
      <color theme="2"/>
      <name val="Century Schoolbook"/>
      <family val="1"/>
    </font>
    <font>
      <b/>
      <sz val="12"/>
      <color theme="0"/>
      <name val="Calibri"/>
      <family val="2"/>
      <scheme val="minor"/>
    </font>
    <font>
      <b/>
      <sz val="12"/>
      <color theme="1"/>
      <name val="Calibri"/>
      <family val="2"/>
      <scheme val="minor"/>
    </font>
    <font>
      <sz val="10"/>
      <color theme="1"/>
      <name val="Calibri"/>
      <family val="2"/>
      <scheme val="minor"/>
    </font>
    <font>
      <sz val="10"/>
      <color theme="1"/>
      <name val="Century Schoolbook"/>
      <family val="1"/>
    </font>
    <font>
      <b/>
      <u/>
      <sz val="12"/>
      <color theme="1"/>
      <name val="Times New Roman"/>
      <family val="1"/>
    </font>
    <font>
      <u/>
      <sz val="11"/>
      <color theme="1"/>
      <name val="Calibri"/>
      <family val="2"/>
      <scheme val="minor"/>
    </font>
    <font>
      <b/>
      <u/>
      <sz val="16"/>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Wingdings"/>
      <charset val="2"/>
    </font>
    <font>
      <u/>
      <sz val="10"/>
      <color theme="1"/>
      <name val="Times New Roman"/>
      <family val="1"/>
    </font>
    <font>
      <sz val="11"/>
      <color indexed="9"/>
      <name val="Calibri"/>
      <family val="2"/>
      <scheme val="minor"/>
    </font>
    <font>
      <b/>
      <sz val="11"/>
      <color theme="1"/>
      <name val="Garamond"/>
      <family val="1"/>
    </font>
    <font>
      <sz val="11"/>
      <color theme="1"/>
      <name val="Calibri"/>
      <family val="2"/>
    </font>
    <font>
      <sz val="8"/>
      <name val="Calibri"/>
      <family val="2"/>
      <scheme val="minor"/>
    </font>
    <font>
      <b/>
      <sz val="9"/>
      <color theme="1"/>
      <name val="Century Schoolbook"/>
      <family val="1"/>
    </font>
    <font>
      <sz val="11"/>
      <color rgb="FFC00000"/>
      <name val="Calibri"/>
      <family val="2"/>
      <scheme val="minor"/>
    </font>
    <font>
      <b/>
      <sz val="11"/>
      <color rgb="FFC00000"/>
      <name val="Century Schoolbook"/>
      <family val="1"/>
    </font>
    <font>
      <sz val="9"/>
      <color theme="1"/>
      <name val="Century Schoolbook"/>
      <family val="1"/>
    </font>
    <font>
      <sz val="8"/>
      <color theme="1"/>
      <name val="Century Schoolbook"/>
      <family val="1"/>
    </font>
    <font>
      <sz val="8"/>
      <color theme="1"/>
      <name val="Calibri"/>
      <family val="2"/>
      <scheme val="minor"/>
    </font>
    <font>
      <b/>
      <sz val="11"/>
      <name val="Calibri"/>
      <family val="2"/>
      <scheme val="minor"/>
    </font>
    <font>
      <b/>
      <sz val="11"/>
      <color indexed="8"/>
      <name val="Calibri"/>
      <family val="2"/>
      <scheme val="minor"/>
    </font>
    <font>
      <b/>
      <sz val="18"/>
      <color theme="1"/>
      <name val="Calibri"/>
      <family val="2"/>
      <scheme val="minor"/>
    </font>
    <font>
      <sz val="12"/>
      <color rgb="FFFF0000"/>
      <name val="Calibri"/>
      <family val="2"/>
      <scheme val="minor"/>
    </font>
    <font>
      <u/>
      <sz val="11"/>
      <color theme="1"/>
      <name val="Century Schoolbook"/>
      <family val="1"/>
    </font>
    <font>
      <sz val="10"/>
      <color rgb="FFFF0000"/>
      <name val="Calibri"/>
      <family val="2"/>
      <scheme val="minor"/>
    </font>
    <font>
      <u/>
      <sz val="11"/>
      <color theme="5" tint="-0.249977111117893"/>
      <name val="Calibri"/>
      <family val="2"/>
      <scheme val="minor"/>
    </font>
    <font>
      <b/>
      <sz val="8"/>
      <color theme="1"/>
      <name val="Calibri"/>
      <family val="2"/>
      <scheme val="minor"/>
    </font>
    <font>
      <sz val="11"/>
      <color indexed="8"/>
      <name val="Calibri"/>
      <family val="2"/>
      <scheme val="minor"/>
    </font>
    <font>
      <sz val="28"/>
      <color theme="1"/>
      <name val="Calibri"/>
      <family val="2"/>
      <scheme val="minor"/>
    </font>
    <font>
      <b/>
      <sz val="9"/>
      <name val="Calibri"/>
      <family val="2"/>
      <scheme val="minor"/>
    </font>
    <font>
      <sz val="9"/>
      <name val="Calibri"/>
      <family val="2"/>
      <scheme val="minor"/>
    </font>
    <font>
      <sz val="9"/>
      <color rgb="FFFF0000"/>
      <name val="Calibri"/>
      <family val="2"/>
      <scheme val="minor"/>
    </font>
    <font>
      <b/>
      <i/>
      <u/>
      <sz val="10"/>
      <color theme="1"/>
      <name val="Times New Roman"/>
      <family val="1"/>
    </font>
    <font>
      <sz val="8"/>
      <name val="Arial"/>
    </font>
    <font>
      <sz val="10"/>
      <name val="Arial"/>
    </font>
    <font>
      <sz val="12"/>
      <name val="Garamond"/>
    </font>
    <font>
      <b/>
      <sz val="10"/>
      <color indexed="8"/>
      <name val="Century Schoolbook"/>
      <family val="2"/>
    </font>
    <font>
      <b/>
      <sz val="10"/>
      <color theme="1"/>
      <name val="Century Schoolbook"/>
      <family val="2"/>
    </font>
    <font>
      <b/>
      <sz val="10"/>
      <color indexed="8"/>
      <name val="Calibri"/>
      <family val="2"/>
      <scheme val="minor"/>
    </font>
    <font>
      <sz val="11"/>
      <color rgb="FFFF0000"/>
      <name val="Century Schoolbook"/>
      <family val="1"/>
    </font>
    <font>
      <sz val="8"/>
      <color indexed="8"/>
      <name val="Calibri"/>
      <family val="2"/>
    </font>
    <font>
      <sz val="10"/>
      <name val="Calibri"/>
      <family val="2"/>
    </font>
    <font>
      <sz val="12"/>
      <name val="Calibri"/>
      <family val="2"/>
    </font>
  </fonts>
  <fills count="37">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00FFFF"/>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thin">
        <color theme="3" tint="0.59999389629810485"/>
      </left>
      <right style="thin">
        <color theme="3" tint="0.59996337778862885"/>
      </right>
      <top style="thin">
        <color theme="3" tint="0.59996337778862885"/>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indexed="64"/>
      </top>
      <bottom style="thin">
        <color indexed="64"/>
      </bottom>
      <diagonal/>
    </border>
    <border>
      <left style="thin">
        <color indexed="44"/>
      </left>
      <right style="thin">
        <color indexed="44"/>
      </right>
      <top style="thin">
        <color indexed="44"/>
      </top>
      <bottom style="thin">
        <color indexed="44"/>
      </bottom>
      <diagonal/>
    </border>
    <border>
      <left/>
      <right/>
      <top style="thin">
        <color indexed="30"/>
      </top>
      <bottom style="thin">
        <color indexed="30"/>
      </bottom>
      <diagonal/>
    </border>
    <border>
      <left style="thin">
        <color indexed="30"/>
      </left>
      <right/>
      <top style="thin">
        <color indexed="30"/>
      </top>
      <bottom style="thin">
        <color indexed="30"/>
      </bottom>
      <diagonal/>
    </border>
    <border>
      <left/>
      <right/>
      <top/>
      <bottom style="medium">
        <color indexed="22"/>
      </bottom>
      <diagonal/>
    </border>
  </borders>
  <cellStyleXfs count="11569">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5" borderId="1" applyNumberFormat="0" applyAlignment="0" applyProtection="0"/>
    <xf numFmtId="0" fontId="25" fillId="15" borderId="1" applyNumberFormat="0" applyAlignment="0" applyProtection="0"/>
    <xf numFmtId="0" fontId="16" fillId="7" borderId="2" applyNumberFormat="0" applyAlignment="0" applyProtection="0"/>
    <xf numFmtId="0" fontId="16" fillId="7" borderId="2" applyNumberFormat="0" applyAlignment="0" applyProtection="0"/>
    <xf numFmtId="43" fontId="5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5"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9" fillId="12" borderId="1" applyNumberFormat="0" applyAlignment="0" applyProtection="0"/>
    <xf numFmtId="0" fontId="9" fillId="12" borderId="1" applyNumberFormat="0" applyAlignment="0" applyProtection="0"/>
    <xf numFmtId="0" fontId="26" fillId="0" borderId="6" applyNumberFormat="0" applyFill="0" applyAlignment="0" applyProtection="0"/>
    <xf numFmtId="0" fontId="26" fillId="0" borderId="6" applyNumberFormat="0" applyFill="0" applyAlignment="0" applyProtection="0"/>
    <xf numFmtId="0" fontId="10" fillId="19" borderId="0" applyNumberFormat="0" applyBorder="0" applyAlignment="0" applyProtection="0"/>
    <xf numFmtId="0" fontId="10" fillId="19"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6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27" fillId="0" borderId="0"/>
    <xf numFmtId="0" fontId="28" fillId="0" borderId="0"/>
    <xf numFmtId="0" fontId="27" fillId="0" borderId="0"/>
    <xf numFmtId="0" fontId="52" fillId="0" borderId="0"/>
    <xf numFmtId="0" fontId="27" fillId="0" borderId="0"/>
    <xf numFmtId="0" fontId="27" fillId="0" borderId="0"/>
    <xf numFmtId="0" fontId="27" fillId="0" borderId="0"/>
    <xf numFmtId="0" fontId="4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1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28" fillId="0" borderId="0"/>
    <xf numFmtId="0" fontId="34"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7" fillId="0" borderId="0"/>
    <xf numFmtId="0" fontId="27"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19" fillId="0" borderId="0"/>
    <xf numFmtId="0" fontId="19" fillId="0" borderId="0"/>
    <xf numFmtId="0" fontId="27"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2" fillId="0" borderId="0"/>
    <xf numFmtId="0" fontId="27" fillId="0" borderId="0"/>
    <xf numFmtId="0" fontId="27" fillId="0" borderId="0"/>
    <xf numFmtId="0" fontId="4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0" borderId="0"/>
    <xf numFmtId="0" fontId="27" fillId="0" borderId="0"/>
    <xf numFmtId="0" fontId="5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2" fillId="0" borderId="0"/>
    <xf numFmtId="0" fontId="52" fillId="0" borderId="0"/>
    <xf numFmtId="0" fontId="27" fillId="0" borderId="0"/>
    <xf numFmtId="0" fontId="27" fillId="0" borderId="0"/>
    <xf numFmtId="0" fontId="27" fillId="0" borderId="0"/>
    <xf numFmtId="0" fontId="27" fillId="0" borderId="0"/>
    <xf numFmtId="0" fontId="58" fillId="0" borderId="0"/>
    <xf numFmtId="0" fontId="52" fillId="0" borderId="0"/>
    <xf numFmtId="0" fontId="27" fillId="0" borderId="0"/>
    <xf numFmtId="0" fontId="27" fillId="0" borderId="0"/>
    <xf numFmtId="0" fontId="58" fillId="0" borderId="0"/>
    <xf numFmtId="0" fontId="19" fillId="0" borderId="0"/>
    <xf numFmtId="0" fontId="19" fillId="0" borderId="0"/>
    <xf numFmtId="0" fontId="58" fillId="0" borderId="0"/>
    <xf numFmtId="0" fontId="27" fillId="0" borderId="0"/>
    <xf numFmtId="0" fontId="27" fillId="0" borderId="0"/>
    <xf numFmtId="0" fontId="27" fillId="0" borderId="0"/>
    <xf numFmtId="0" fontId="58" fillId="0" borderId="0"/>
    <xf numFmtId="0" fontId="58" fillId="0" borderId="0"/>
    <xf numFmtId="0" fontId="58" fillId="0" borderId="0"/>
    <xf numFmtId="0" fontId="27" fillId="0" borderId="0"/>
    <xf numFmtId="0" fontId="58" fillId="0" borderId="0"/>
    <xf numFmtId="0" fontId="27" fillId="0" borderId="0"/>
    <xf numFmtId="0" fontId="58" fillId="0" borderId="0"/>
    <xf numFmtId="0" fontId="58" fillId="0" borderId="0"/>
    <xf numFmtId="0" fontId="27" fillId="0" borderId="0"/>
    <xf numFmtId="0" fontId="58" fillId="0" borderId="0"/>
    <xf numFmtId="0" fontId="58" fillId="0" borderId="0"/>
    <xf numFmtId="0" fontId="58" fillId="0" borderId="0"/>
    <xf numFmtId="0" fontId="52" fillId="0" borderId="0"/>
    <xf numFmtId="0" fontId="27" fillId="0" borderId="0"/>
    <xf numFmtId="0" fontId="27"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27" fillId="0" borderId="0"/>
    <xf numFmtId="0" fontId="19" fillId="0" borderId="0"/>
    <xf numFmtId="0" fontId="19" fillId="0" borderId="0"/>
    <xf numFmtId="0" fontId="32" fillId="0" borderId="0"/>
    <xf numFmtId="0" fontId="31" fillId="0" borderId="0"/>
    <xf numFmtId="0" fontId="31" fillId="0" borderId="0"/>
    <xf numFmtId="0" fontId="53" fillId="0" borderId="0"/>
    <xf numFmtId="0" fontId="19" fillId="0" borderId="0"/>
    <xf numFmtId="0" fontId="19" fillId="0" borderId="0"/>
    <xf numFmtId="0" fontId="19" fillId="0" borderId="0"/>
    <xf numFmtId="0" fontId="19" fillId="0" borderId="0"/>
    <xf numFmtId="0" fontId="34"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48"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27" fillId="0" borderId="0"/>
    <xf numFmtId="0" fontId="53" fillId="0" borderId="0"/>
    <xf numFmtId="0" fontId="19" fillId="0" borderId="0"/>
    <xf numFmtId="0" fontId="19" fillId="0" borderId="0"/>
    <xf numFmtId="0" fontId="19" fillId="0" borderId="0"/>
    <xf numFmtId="0" fontId="19"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2" fillId="0" borderId="0"/>
    <xf numFmtId="0" fontId="31" fillId="0" borderId="0"/>
    <xf numFmtId="0" fontId="49" fillId="0" borderId="0"/>
    <xf numFmtId="0" fontId="31" fillId="0" borderId="0"/>
    <xf numFmtId="0" fontId="31" fillId="0" borderId="0"/>
    <xf numFmtId="0" fontId="54" fillId="0" borderId="0"/>
    <xf numFmtId="0" fontId="31" fillId="0" borderId="0"/>
    <xf numFmtId="0" fontId="54" fillId="0" borderId="0"/>
    <xf numFmtId="0" fontId="31" fillId="0" borderId="0"/>
    <xf numFmtId="0" fontId="31" fillId="0" borderId="0"/>
    <xf numFmtId="0" fontId="31" fillId="0" borderId="0"/>
    <xf numFmtId="0" fontId="31" fillId="0" borderId="0"/>
    <xf numFmtId="0" fontId="54" fillId="0" borderId="0"/>
    <xf numFmtId="0" fontId="31" fillId="0" borderId="0"/>
    <xf numFmtId="0" fontId="54" fillId="0" borderId="0"/>
    <xf numFmtId="0" fontId="31" fillId="0" borderId="0"/>
    <xf numFmtId="0" fontId="31" fillId="0" borderId="0"/>
    <xf numFmtId="0" fontId="31" fillId="0" borderId="0"/>
    <xf numFmtId="0" fontId="54" fillId="0" borderId="0"/>
    <xf numFmtId="0" fontId="31" fillId="0" borderId="0"/>
    <xf numFmtId="0" fontId="31" fillId="0" borderId="0"/>
    <xf numFmtId="0" fontId="31" fillId="0" borderId="0"/>
    <xf numFmtId="0" fontId="31" fillId="0" borderId="0"/>
    <xf numFmtId="0" fontId="31" fillId="0" borderId="0"/>
    <xf numFmtId="0" fontId="54" fillId="0" borderId="0"/>
    <xf numFmtId="0" fontId="31" fillId="0" borderId="0"/>
    <xf numFmtId="0" fontId="54" fillId="0" borderId="0"/>
    <xf numFmtId="0" fontId="31" fillId="0" borderId="0"/>
    <xf numFmtId="0" fontId="31" fillId="0" borderId="0"/>
    <xf numFmtId="0" fontId="31" fillId="0" borderId="0"/>
    <xf numFmtId="0" fontId="31"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4" fillId="0" borderId="0"/>
    <xf numFmtId="0" fontId="54" fillId="0" borderId="0"/>
    <xf numFmtId="0" fontId="31" fillId="0" borderId="0"/>
    <xf numFmtId="0" fontId="31" fillId="0" borderId="0"/>
    <xf numFmtId="0" fontId="31" fillId="0" borderId="0"/>
    <xf numFmtId="0" fontId="31" fillId="0" borderId="0"/>
    <xf numFmtId="0" fontId="58" fillId="0" borderId="0"/>
    <xf numFmtId="0" fontId="54" fillId="0" borderId="0"/>
    <xf numFmtId="0" fontId="31" fillId="0" borderId="0"/>
    <xf numFmtId="0" fontId="58" fillId="0" borderId="0"/>
    <xf numFmtId="0" fontId="31" fillId="0" borderId="0"/>
    <xf numFmtId="0" fontId="58" fillId="0" borderId="0"/>
    <xf numFmtId="0" fontId="31" fillId="0" borderId="0"/>
    <xf numFmtId="0" fontId="31" fillId="0" borderId="0"/>
    <xf numFmtId="0" fontId="31" fillId="0" borderId="0"/>
    <xf numFmtId="0" fontId="31" fillId="0" borderId="0"/>
    <xf numFmtId="0" fontId="31" fillId="0" borderId="0"/>
    <xf numFmtId="0" fontId="58" fillId="0" borderId="0"/>
    <xf numFmtId="0" fontId="58" fillId="0" borderId="0"/>
    <xf numFmtId="0" fontId="58" fillId="0" borderId="0"/>
    <xf numFmtId="0" fontId="31" fillId="0" borderId="0"/>
    <xf numFmtId="0" fontId="58" fillId="0" borderId="0"/>
    <xf numFmtId="0" fontId="58" fillId="0" borderId="0"/>
    <xf numFmtId="0" fontId="31" fillId="0" borderId="0"/>
    <xf numFmtId="0" fontId="58" fillId="0" borderId="0"/>
    <xf numFmtId="0" fontId="58" fillId="0" borderId="0"/>
    <xf numFmtId="0" fontId="58" fillId="0" borderId="0"/>
    <xf numFmtId="0" fontId="54" fillId="0" borderId="0"/>
    <xf numFmtId="0" fontId="31" fillId="0" borderId="0"/>
    <xf numFmtId="0" fontId="31"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9" fillId="0" borderId="0"/>
    <xf numFmtId="3" fontId="11" fillId="0" borderId="0"/>
    <xf numFmtId="0" fontId="19" fillId="5" borderId="7" applyNumberFormat="0" applyFont="0" applyAlignment="0" applyProtection="0"/>
    <xf numFmtId="0" fontId="19" fillId="5" borderId="7" applyNumberFormat="0" applyFont="0" applyAlignment="0" applyProtection="0"/>
    <xf numFmtId="0" fontId="53" fillId="5" borderId="7" applyNumberFormat="0" applyFont="0" applyAlignment="0" applyProtection="0"/>
    <xf numFmtId="0" fontId="19" fillId="5" borderId="7" applyNumberFormat="0" applyFont="0" applyAlignment="0" applyProtection="0"/>
    <xf numFmtId="0" fontId="19" fillId="5" borderId="7" applyNumberFormat="0" applyFont="0" applyAlignment="0" applyProtection="0"/>
    <xf numFmtId="0" fontId="18" fillId="15" borderId="8" applyNumberFormat="0" applyAlignment="0" applyProtection="0"/>
    <xf numFmtId="0" fontId="18" fillId="15" borderId="8" applyNumberFormat="0" applyAlignment="0" applyProtection="0"/>
    <xf numFmtId="9" fontId="32" fillId="0" borderId="0" applyFont="0" applyFill="0" applyBorder="0" applyAlignment="0" applyProtection="0"/>
    <xf numFmtId="9" fontId="31"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0" fontId="20" fillId="0" borderId="0" applyNumberFormat="0" applyFill="0" applyBorder="0" applyAlignment="0" applyProtection="0"/>
    <xf numFmtId="0" fontId="63" fillId="20" borderId="0" applyFont="0" applyBorder="0" applyAlignment="0">
      <alignment horizontal="center" wrapText="1"/>
    </xf>
    <xf numFmtId="0" fontId="63" fillId="20" borderId="0" applyFont="0" applyBorder="0" applyAlignment="0">
      <alignment horizontal="center" wrapText="1"/>
    </xf>
    <xf numFmtId="0" fontId="56" fillId="2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6" fillId="20" borderId="0" applyFont="0" applyBorder="0" applyAlignment="0">
      <alignment horizontal="center" wrapText="1"/>
    </xf>
    <xf numFmtId="0" fontId="56" fillId="20" borderId="0" applyFont="0" applyBorder="0" applyAlignment="0">
      <alignment horizontal="center" wrapText="1"/>
    </xf>
    <xf numFmtId="0" fontId="56" fillId="20" borderId="0" applyFont="0" applyBorder="0" applyAlignment="0">
      <alignment horizontal="center" wrapText="1"/>
    </xf>
    <xf numFmtId="0" fontId="56" fillId="20" borderId="0" applyFont="0" applyBorder="0" applyAlignment="0">
      <alignment horizontal="center" wrapText="1"/>
    </xf>
    <xf numFmtId="43" fontId="1" fillId="0" borderId="0" applyFont="0" applyFill="0" applyBorder="0" applyAlignment="0" applyProtection="0"/>
    <xf numFmtId="43" fontId="1" fillId="0" borderId="0" applyFont="0" applyFill="0" applyBorder="0" applyAlignment="0" applyProtection="0"/>
    <xf numFmtId="0" fontId="27" fillId="0" borderId="0"/>
    <xf numFmtId="43" fontId="1" fillId="0" borderId="0" applyFont="0" applyFill="0" applyBorder="0" applyAlignment="0" applyProtection="0"/>
    <xf numFmtId="0" fontId="3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1" fillId="0" borderId="0"/>
    <xf numFmtId="0" fontId="122" fillId="0" borderId="0"/>
    <xf numFmtId="0" fontId="122" fillId="0" borderId="0"/>
    <xf numFmtId="0" fontId="121" fillId="0" borderId="0"/>
    <xf numFmtId="0" fontId="122" fillId="0" borderId="0"/>
    <xf numFmtId="0" fontId="122" fillId="0" borderId="0"/>
    <xf numFmtId="0" fontId="123" fillId="0" borderId="0"/>
    <xf numFmtId="0" fontId="122"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2" fillId="0" borderId="0"/>
    <xf numFmtId="0" fontId="123" fillId="0" borderId="0"/>
    <xf numFmtId="43" fontId="1"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43" fontId="59"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8" fillId="0" borderId="0"/>
    <xf numFmtId="0" fontId="31" fillId="0" borderId="0"/>
    <xf numFmtId="0" fontId="31" fillId="0" borderId="0"/>
    <xf numFmtId="0" fontId="31"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5" borderId="7" applyNumberFormat="0" applyFont="0" applyAlignment="0" applyProtection="0"/>
    <xf numFmtId="0" fontId="19" fillId="5"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7" fillId="0" borderId="0"/>
    <xf numFmtId="44" fontId="1" fillId="0" borderId="0" applyFont="0" applyFill="0" applyBorder="0" applyAlignment="0" applyProtection="0"/>
    <xf numFmtId="44"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1" fillId="0" borderId="0"/>
    <xf numFmtId="43" fontId="1" fillId="0" borderId="0" applyFont="0" applyFill="0" applyBorder="0" applyAlignment="0" applyProtection="0"/>
    <xf numFmtId="43" fontId="1" fillId="0" borderId="0" applyFont="0" applyFill="0" applyBorder="0" applyAlignment="0" applyProtection="0"/>
    <xf numFmtId="0" fontId="59"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2" fillId="5" borderId="7" applyNumberFormat="0" applyFont="0" applyAlignment="0" applyProtection="0"/>
    <xf numFmtId="44" fontId="58" fillId="0" borderId="0" applyFont="0" applyFill="0" applyBorder="0" applyAlignment="0" applyProtection="0"/>
    <xf numFmtId="44" fontId="58" fillId="0" borderId="0" applyFont="0" applyFill="0" applyBorder="0" applyAlignment="0" applyProtection="0"/>
    <xf numFmtId="0" fontId="19" fillId="0" borderId="0"/>
    <xf numFmtId="0" fontId="121" fillId="0" borderId="0"/>
    <xf numFmtId="43" fontId="58" fillId="0" borderId="0" applyFont="0" applyFill="0" applyBorder="0" applyAlignment="0" applyProtection="0"/>
    <xf numFmtId="44" fontId="58" fillId="0" borderId="0" applyFont="0" applyFill="0" applyBorder="0" applyAlignment="0" applyProtection="0"/>
    <xf numFmtId="0" fontId="19" fillId="0" borderId="0"/>
    <xf numFmtId="43" fontId="58" fillId="0" borderId="0" applyFont="0" applyFill="0" applyBorder="0" applyAlignment="0" applyProtection="0"/>
    <xf numFmtId="0" fontId="27" fillId="0" borderId="0"/>
    <xf numFmtId="0" fontId="58" fillId="0" borderId="0"/>
    <xf numFmtId="0" fontId="58" fillId="0" borderId="0"/>
    <xf numFmtId="0" fontId="58" fillId="0" borderId="0"/>
    <xf numFmtId="0" fontId="58" fillId="0" borderId="0"/>
    <xf numFmtId="0" fontId="19" fillId="0" borderId="0"/>
    <xf numFmtId="0" fontId="58" fillId="0" borderId="0"/>
    <xf numFmtId="0" fontId="58" fillId="0" borderId="0"/>
    <xf numFmtId="0" fontId="58" fillId="0" borderId="0"/>
    <xf numFmtId="0" fontId="58" fillId="0" borderId="0"/>
    <xf numFmtId="0" fontId="58" fillId="0" borderId="0"/>
    <xf numFmtId="0" fontId="27" fillId="0" borderId="0"/>
    <xf numFmtId="0" fontId="27" fillId="0" borderId="0"/>
    <xf numFmtId="0" fontId="19"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27" fillId="0" borderId="0"/>
    <xf numFmtId="0" fontId="58" fillId="0" borderId="0"/>
    <xf numFmtId="0" fontId="58" fillId="0" borderId="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121" fillId="0" borderId="0"/>
    <xf numFmtId="0" fontId="121" fillId="0" borderId="0"/>
    <xf numFmtId="0" fontId="121" fillId="0" borderId="0"/>
    <xf numFmtId="0" fontId="121" fillId="0" borderId="0"/>
    <xf numFmtId="0" fontId="19" fillId="0" borderId="0"/>
    <xf numFmtId="0" fontId="121" fillId="0" borderId="0"/>
    <xf numFmtId="0" fontId="12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58" fillId="0" borderId="0"/>
    <xf numFmtId="0" fontId="58" fillId="0" borderId="0"/>
    <xf numFmtId="0" fontId="31" fillId="0" borderId="0"/>
    <xf numFmtId="0" fontId="58" fillId="0" borderId="0"/>
    <xf numFmtId="0" fontId="58" fillId="0" borderId="0"/>
    <xf numFmtId="0" fontId="58" fillId="0" borderId="0"/>
    <xf numFmtId="0" fontId="121" fillId="0" borderId="0"/>
    <xf numFmtId="0" fontId="58" fillId="0" borderId="0"/>
    <xf numFmtId="0" fontId="58" fillId="0" borderId="0"/>
    <xf numFmtId="0" fontId="58" fillId="0" borderId="0"/>
    <xf numFmtId="0" fontId="58" fillId="0" borderId="0"/>
    <xf numFmtId="0" fontId="58"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58" fillId="0" borderId="0"/>
    <xf numFmtId="0" fontId="58" fillId="0" borderId="0"/>
    <xf numFmtId="0" fontId="58" fillId="0" borderId="0"/>
    <xf numFmtId="0" fontId="58" fillId="0" borderId="0"/>
    <xf numFmtId="0" fontId="58" fillId="0" borderId="0"/>
    <xf numFmtId="0" fontId="19" fillId="0" borderId="0"/>
    <xf numFmtId="0" fontId="123" fillId="0" borderId="0"/>
    <xf numFmtId="0" fontId="123" fillId="0" borderId="0"/>
    <xf numFmtId="0" fontId="123" fillId="0" borderId="0"/>
    <xf numFmtId="0" fontId="123" fillId="0" borderId="0"/>
    <xf numFmtId="0" fontId="12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3" fillId="0" borderId="0"/>
    <xf numFmtId="0" fontId="123" fillId="0" borderId="0"/>
    <xf numFmtId="0" fontId="58" fillId="0" borderId="0"/>
    <xf numFmtId="0" fontId="58" fillId="0" borderId="0"/>
    <xf numFmtId="0" fontId="58" fillId="0" borderId="0"/>
    <xf numFmtId="0" fontId="58" fillId="0" borderId="0"/>
    <xf numFmtId="0" fontId="123"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xf numFmtId="0" fontId="58" fillId="0" borderId="0"/>
    <xf numFmtId="0" fontId="31" fillId="0" borderId="0"/>
    <xf numFmtId="0" fontId="1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3"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0" fontId="19" fillId="0" borderId="0"/>
    <xf numFmtId="0" fontId="122" fillId="0" borderId="0"/>
    <xf numFmtId="0" fontId="19" fillId="0" borderId="0"/>
    <xf numFmtId="0" fontId="19" fillId="0" borderId="0"/>
    <xf numFmtId="0" fontId="19" fillId="0" borderId="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0" fontId="19" fillId="0" borderId="0"/>
    <xf numFmtId="0" fontId="31" fillId="0" borderId="0"/>
    <xf numFmtId="0" fontId="19" fillId="0" borderId="0"/>
    <xf numFmtId="0" fontId="19" fillId="0" borderId="0"/>
    <xf numFmtId="44" fontId="58" fillId="0" borderId="0" applyFont="0" applyFill="0" applyBorder="0" applyAlignment="0" applyProtection="0"/>
    <xf numFmtId="0" fontId="31" fillId="0" borderId="0"/>
    <xf numFmtId="0" fontId="19" fillId="0" borderId="0"/>
    <xf numFmtId="0" fontId="19" fillId="0" borderId="0"/>
    <xf numFmtId="0" fontId="27" fillId="0" borderId="0"/>
    <xf numFmtId="0" fontId="19" fillId="0" borderId="0"/>
    <xf numFmtId="43" fontId="58" fillId="0" borderId="0" applyFont="0" applyFill="0" applyBorder="0" applyAlignment="0" applyProtection="0"/>
    <xf numFmtId="0" fontId="27" fillId="0" borderId="0"/>
    <xf numFmtId="0" fontId="19" fillId="0" borderId="0"/>
    <xf numFmtId="43" fontId="58" fillId="0" borderId="0" applyFont="0" applyFill="0" applyBorder="0" applyAlignment="0" applyProtection="0"/>
    <xf numFmtId="0" fontId="19" fillId="0" borderId="0"/>
    <xf numFmtId="0" fontId="27" fillId="0" borderId="0"/>
    <xf numFmtId="0" fontId="27" fillId="0" borderId="0"/>
    <xf numFmtId="43" fontId="58" fillId="0" borderId="0" applyFont="0" applyFill="0" applyBorder="0" applyAlignment="0" applyProtection="0"/>
    <xf numFmtId="0" fontId="2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123" fillId="0" borderId="0"/>
    <xf numFmtId="0" fontId="19" fillId="0" borderId="0"/>
    <xf numFmtId="0" fontId="19" fillId="0" borderId="0"/>
    <xf numFmtId="43" fontId="58" fillId="0" borderId="0" applyFont="0" applyFill="0" applyBorder="0" applyAlignment="0" applyProtection="0"/>
    <xf numFmtId="43" fontId="58" fillId="0" borderId="0" applyFont="0" applyFill="0" applyBorder="0" applyAlignment="0" applyProtection="0"/>
    <xf numFmtId="0" fontId="31" fillId="0" borderId="0"/>
    <xf numFmtId="43" fontId="58" fillId="0" borderId="0" applyFont="0" applyFill="0" applyBorder="0" applyAlignment="0" applyProtection="0"/>
    <xf numFmtId="0" fontId="19" fillId="0" borderId="0"/>
    <xf numFmtId="0" fontId="27" fillId="0" borderId="0"/>
    <xf numFmtId="0" fontId="27" fillId="0" borderId="0"/>
    <xf numFmtId="0" fontId="19" fillId="0" borderId="0"/>
    <xf numFmtId="0" fontId="31" fillId="0" borderId="0"/>
    <xf numFmtId="0" fontId="27" fillId="0" borderId="0"/>
    <xf numFmtId="0" fontId="27" fillId="0" borderId="0"/>
    <xf numFmtId="0" fontId="19" fillId="0" borderId="0"/>
    <xf numFmtId="44" fontId="58" fillId="0" borderId="0" applyFont="0" applyFill="0" applyBorder="0" applyAlignment="0" applyProtection="0"/>
    <xf numFmtId="44" fontId="58" fillId="0" borderId="0" applyFont="0" applyFill="0" applyBorder="0" applyAlignment="0" applyProtection="0"/>
    <xf numFmtId="43" fontId="59" fillId="0" borderId="0" applyFont="0" applyFill="0" applyBorder="0" applyAlignment="0" applyProtection="0"/>
    <xf numFmtId="0" fontId="31" fillId="0" borderId="0"/>
    <xf numFmtId="43" fontId="58" fillId="0" borderId="0" applyFont="0" applyFill="0" applyBorder="0" applyAlignment="0" applyProtection="0"/>
    <xf numFmtId="43" fontId="58" fillId="0" borderId="0" applyFont="0" applyFill="0" applyBorder="0" applyAlignment="0" applyProtection="0"/>
    <xf numFmtId="0" fontId="19" fillId="0" borderId="0"/>
    <xf numFmtId="0" fontId="19" fillId="0" borderId="0"/>
    <xf numFmtId="0" fontId="31" fillId="0" borderId="0"/>
    <xf numFmtId="43" fontId="58" fillId="0" borderId="0" applyFont="0" applyFill="0" applyBorder="0" applyAlignment="0" applyProtection="0"/>
    <xf numFmtId="44" fontId="58" fillId="0" borderId="0" applyFont="0" applyFill="0" applyBorder="0" applyAlignment="0" applyProtection="0"/>
    <xf numFmtId="0" fontId="19" fillId="0" borderId="0"/>
    <xf numFmtId="0" fontId="122" fillId="0" borderId="0"/>
    <xf numFmtId="0" fontId="27" fillId="0" borderId="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21" fillId="0" borderId="0"/>
    <xf numFmtId="0" fontId="121" fillId="0" borderId="0"/>
    <xf numFmtId="0" fontId="27" fillId="0" borderId="0"/>
    <xf numFmtId="0" fontId="122" fillId="0" borderId="0"/>
    <xf numFmtId="0" fontId="19" fillId="0" borderId="0"/>
    <xf numFmtId="0" fontId="122" fillId="0" borderId="0"/>
    <xf numFmtId="0" fontId="19" fillId="0" borderId="0"/>
    <xf numFmtId="0" fontId="27" fillId="0" borderId="0"/>
    <xf numFmtId="0" fontId="122" fillId="0" borderId="0"/>
    <xf numFmtId="0" fontId="19" fillId="0" borderId="0"/>
    <xf numFmtId="0" fontId="122" fillId="0" borderId="0"/>
    <xf numFmtId="0" fontId="19" fillId="0" borderId="0"/>
    <xf numFmtId="0" fontId="123" fillId="0" borderId="0"/>
    <xf numFmtId="0" fontId="31"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3" fillId="0" borderId="0"/>
    <xf numFmtId="0" fontId="123" fillId="0" borderId="0"/>
    <xf numFmtId="0" fontId="123" fillId="0" borderId="0"/>
    <xf numFmtId="0" fontId="123"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19"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122" fillId="0" borderId="0"/>
    <xf numFmtId="0" fontId="122" fillId="0" borderId="0"/>
    <xf numFmtId="0" fontId="121" fillId="0" borderId="0"/>
    <xf numFmtId="0" fontId="121" fillId="0" borderId="0"/>
    <xf numFmtId="0" fontId="122" fillId="0" borderId="0"/>
    <xf numFmtId="0" fontId="122" fillId="0" borderId="0"/>
    <xf numFmtId="0" fontId="122" fillId="0" borderId="0"/>
    <xf numFmtId="0" fontId="123" fillId="0" borderId="0"/>
    <xf numFmtId="0" fontId="123" fillId="0" borderId="0"/>
    <xf numFmtId="43" fontId="58" fillId="0" borderId="0" applyFont="0" applyFill="0" applyBorder="0" applyAlignment="0" applyProtection="0"/>
    <xf numFmtId="44" fontId="59" fillId="0" borderId="0" applyFont="0" applyFill="0" applyBorder="0" applyAlignment="0" applyProtection="0"/>
    <xf numFmtId="43" fontId="58" fillId="0" borderId="0" applyFont="0" applyFill="0" applyBorder="0" applyAlignment="0" applyProtection="0"/>
    <xf numFmtId="0" fontId="58" fillId="0" borderId="0"/>
    <xf numFmtId="44"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4"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9" fillId="0" borderId="0"/>
    <xf numFmtId="0" fontId="27" fillId="0" borderId="0"/>
    <xf numFmtId="0" fontId="19" fillId="0" borderId="0"/>
    <xf numFmtId="0" fontId="31" fillId="0" borderId="0"/>
    <xf numFmtId="0" fontId="19" fillId="0" borderId="0"/>
    <xf numFmtId="0" fontId="19" fillId="0" borderId="0"/>
    <xf numFmtId="0" fontId="19" fillId="0" borderId="0"/>
    <xf numFmtId="0" fontId="27" fillId="0" borderId="0"/>
    <xf numFmtId="44" fontId="1"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43" fontId="1" fillId="0" borderId="0" applyFont="0" applyFill="0" applyBorder="0" applyAlignment="0" applyProtection="0"/>
    <xf numFmtId="0" fontId="58" fillId="0" borderId="0"/>
    <xf numFmtId="0" fontId="58" fillId="0" borderId="0"/>
    <xf numFmtId="9"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4" fontId="1"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9" fillId="0" borderId="0" applyFont="0" applyFill="0" applyBorder="0" applyAlignment="0" applyProtection="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9" fillId="0" borderId="0"/>
    <xf numFmtId="44" fontId="58" fillId="0" borderId="0" applyFont="0" applyFill="0" applyBorder="0" applyAlignment="0" applyProtection="0"/>
    <xf numFmtId="0" fontId="19" fillId="0" borderId="0"/>
    <xf numFmtId="0" fontId="58" fillId="0" borderId="0"/>
    <xf numFmtId="0" fontId="58" fillId="0" borderId="0"/>
    <xf numFmtId="0" fontId="58" fillId="0" borderId="0"/>
    <xf numFmtId="44"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44"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58" fillId="0" borderId="0"/>
    <xf numFmtId="44"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0" fontId="27" fillId="0" borderId="0"/>
    <xf numFmtId="0" fontId="19" fillId="0" borderId="0"/>
    <xf numFmtId="43" fontId="58" fillId="0" borderId="0" applyFont="0" applyFill="0" applyBorder="0" applyAlignment="0" applyProtection="0"/>
    <xf numFmtId="0" fontId="63" fillId="20" borderId="0" applyFont="0" applyBorder="0" applyAlignment="0">
      <alignment horizontal="center" wrapText="1"/>
    </xf>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31" fillId="0" borderId="0"/>
    <xf numFmtId="0" fontId="58" fillId="0" borderId="0"/>
    <xf numFmtId="44" fontId="58" fillId="0" borderId="0" applyFont="0" applyFill="0" applyBorder="0" applyAlignment="0" applyProtection="0"/>
    <xf numFmtId="44" fontId="58" fillId="0" borderId="0" applyFont="0" applyFill="0" applyBorder="0" applyAlignment="0" applyProtection="0"/>
    <xf numFmtId="0" fontId="31" fillId="0" borderId="0"/>
    <xf numFmtId="0" fontId="58" fillId="0" borderId="0"/>
    <xf numFmtId="0" fontId="58" fillId="0" borderId="0"/>
    <xf numFmtId="0" fontId="58" fillId="0" borderId="0"/>
    <xf numFmtId="0" fontId="58" fillId="0" borderId="0"/>
    <xf numFmtId="44" fontId="58" fillId="0" borderId="0" applyFont="0" applyFill="0" applyBorder="0" applyAlignment="0" applyProtection="0"/>
    <xf numFmtId="0" fontId="19" fillId="0" borderId="0"/>
    <xf numFmtId="44" fontId="58" fillId="0" borderId="0" applyFont="0" applyFill="0" applyBorder="0" applyAlignment="0" applyProtection="0"/>
    <xf numFmtId="0" fontId="58" fillId="0" borderId="0"/>
    <xf numFmtId="0" fontId="27" fillId="0" borderId="0"/>
    <xf numFmtId="0" fontId="19" fillId="0" borderId="0"/>
    <xf numFmtId="43" fontId="58" fillId="0" borderId="0" applyFont="0" applyFill="0" applyBorder="0" applyAlignment="0" applyProtection="0"/>
    <xf numFmtId="44" fontId="59" fillId="0" borderId="0" applyFont="0" applyFill="0" applyBorder="0" applyAlignment="0" applyProtection="0"/>
    <xf numFmtId="44" fontId="58" fillId="0" borderId="0" applyFont="0" applyFill="0" applyBorder="0" applyAlignment="0" applyProtection="0"/>
    <xf numFmtId="43" fontId="59" fillId="0" borderId="0" applyFont="0" applyFill="0" applyBorder="0" applyAlignment="0" applyProtection="0"/>
    <xf numFmtId="0" fontId="27" fillId="0" borderId="0"/>
    <xf numFmtId="44" fontId="5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9" fontId="59"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63" fillId="20" borderId="0" applyFont="0" applyBorder="0" applyAlignment="0">
      <alignment horizontal="center" wrapText="1"/>
    </xf>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43" fontId="58" fillId="0" borderId="0" applyFont="0" applyFill="0" applyBorder="0" applyAlignment="0" applyProtection="0"/>
    <xf numFmtId="43" fontId="5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5" fillId="11" borderId="0" applyNumberFormat="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5" fillId="4" borderId="0" applyNumberFormat="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15" fillId="4" borderId="0" applyNumberFormat="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15" fillId="13" borderId="0" applyNumberFormat="0" applyBorder="0" applyAlignment="0" applyProtection="0"/>
    <xf numFmtId="0" fontId="15" fillId="7"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5" fillId="7"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5" fillId="8" borderId="0" applyNumberFormat="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5" fillId="8" borderId="0" applyNumberFormat="0" applyBorder="0" applyAlignment="0" applyProtection="0"/>
    <xf numFmtId="0" fontId="15" fillId="4" borderId="0" applyNumberFormat="0" applyBorder="0" applyAlignment="0" applyProtection="0"/>
    <xf numFmtId="0" fontId="58" fillId="0" borderId="0"/>
    <xf numFmtId="0" fontId="12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3" fillId="0" borderId="0"/>
    <xf numFmtId="0" fontId="58" fillId="0" borderId="0"/>
    <xf numFmtId="0" fontId="58" fillId="0" borderId="0"/>
    <xf numFmtId="0" fontId="3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9"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9" fontId="58"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2" fillId="0" borderId="0"/>
    <xf numFmtId="43" fontId="1" fillId="0" borderId="0" applyFont="0" applyFill="0" applyBorder="0" applyAlignment="0" applyProtection="0"/>
    <xf numFmtId="0" fontId="122" fillId="0" borderId="0"/>
    <xf numFmtId="43" fontId="1" fillId="0" borderId="0" applyFont="0" applyFill="0" applyBorder="0" applyAlignment="0" applyProtection="0"/>
    <xf numFmtId="0" fontId="123" fillId="0" borderId="0"/>
    <xf numFmtId="0" fontId="122" fillId="0" borderId="0"/>
    <xf numFmtId="43" fontId="1" fillId="0" borderId="0" applyFont="0" applyFill="0" applyBorder="0" applyAlignment="0" applyProtection="0"/>
    <xf numFmtId="0" fontId="122" fillId="0" borderId="0"/>
    <xf numFmtId="0" fontId="121" fillId="0" borderId="0"/>
    <xf numFmtId="0" fontId="122"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23" fillId="0" borderId="0"/>
    <xf numFmtId="0" fontId="121" fillId="0" borderId="0"/>
    <xf numFmtId="0" fontId="123" fillId="0" borderId="0"/>
    <xf numFmtId="0" fontId="121" fillId="0" borderId="0"/>
    <xf numFmtId="0" fontId="122" fillId="0" borderId="0"/>
    <xf numFmtId="43" fontId="1" fillId="0" borderId="0" applyFont="0" applyFill="0" applyBorder="0" applyAlignment="0" applyProtection="0"/>
    <xf numFmtId="0" fontId="122" fillId="0" borderId="0"/>
    <xf numFmtId="0" fontId="122" fillId="0" borderId="0"/>
    <xf numFmtId="0" fontId="122" fillId="0" borderId="0"/>
    <xf numFmtId="0" fontId="122" fillId="0" borderId="0"/>
    <xf numFmtId="0" fontId="123" fillId="0" borderId="0"/>
    <xf numFmtId="0" fontId="121" fillId="0" borderId="0"/>
    <xf numFmtId="43" fontId="1" fillId="0" borderId="0" applyFont="0" applyFill="0" applyBorder="0" applyAlignment="0" applyProtection="0"/>
    <xf numFmtId="44" fontId="1" fillId="0" borderId="0" applyFont="0" applyFill="0" applyBorder="0" applyAlignment="0" applyProtection="0"/>
    <xf numFmtId="0" fontId="123" fillId="0" borderId="0"/>
    <xf numFmtId="0" fontId="121" fillId="0" borderId="0"/>
    <xf numFmtId="0" fontId="122" fillId="0" borderId="0"/>
    <xf numFmtId="44" fontId="1" fillId="0" borderId="0" applyFont="0" applyFill="0" applyBorder="0" applyAlignment="0" applyProtection="0"/>
    <xf numFmtId="0" fontId="121" fillId="0" borderId="0"/>
    <xf numFmtId="0" fontId="121" fillId="0" borderId="0"/>
    <xf numFmtId="0" fontId="122" fillId="0" borderId="0"/>
    <xf numFmtId="0" fontId="121" fillId="0" borderId="0"/>
    <xf numFmtId="0" fontId="122" fillId="0" borderId="0"/>
    <xf numFmtId="0" fontId="121" fillId="0" borderId="0"/>
    <xf numFmtId="0" fontId="58" fillId="0" borderId="0"/>
    <xf numFmtId="0" fontId="121" fillId="0" borderId="0"/>
    <xf numFmtId="0" fontId="122" fillId="0" borderId="0"/>
    <xf numFmtId="43" fontId="58" fillId="0" borderId="0" applyFont="0" applyFill="0" applyBorder="0" applyAlignment="0" applyProtection="0"/>
    <xf numFmtId="0" fontId="122" fillId="0" borderId="0"/>
    <xf numFmtId="44" fontId="1" fillId="0" borderId="0" applyFont="0" applyFill="0" applyBorder="0" applyAlignment="0" applyProtection="0"/>
    <xf numFmtId="0" fontId="122" fillId="0" borderId="0"/>
    <xf numFmtId="0" fontId="122" fillId="0" borderId="0"/>
    <xf numFmtId="0" fontId="123" fillId="0" borderId="0"/>
    <xf numFmtId="0" fontId="122" fillId="0" borderId="0"/>
    <xf numFmtId="0" fontId="122" fillId="0" borderId="0"/>
    <xf numFmtId="43" fontId="58" fillId="0" borderId="0" applyFont="0" applyFill="0" applyBorder="0" applyAlignment="0" applyProtection="0"/>
    <xf numFmtId="0" fontId="122"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122" fillId="5" borderId="7" applyNumberFormat="0" applyFont="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21" fillId="0" borderId="0"/>
    <xf numFmtId="0" fontId="27" fillId="0" borderId="0"/>
    <xf numFmtId="0" fontId="19"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19" fillId="0" borderId="0"/>
    <xf numFmtId="0" fontId="31" fillId="0" borderId="0"/>
    <xf numFmtId="0" fontId="19" fillId="0" borderId="0"/>
    <xf numFmtId="0" fontId="27" fillId="0" borderId="0"/>
    <xf numFmtId="0" fontId="19" fillId="0" borderId="0"/>
    <xf numFmtId="0" fontId="31" fillId="0" borderId="0"/>
    <xf numFmtId="0" fontId="27" fillId="0" borderId="0"/>
    <xf numFmtId="0" fontId="19" fillId="0" borderId="0"/>
    <xf numFmtId="0" fontId="19" fillId="0" borderId="0"/>
    <xf numFmtId="0" fontId="19" fillId="0" borderId="0"/>
    <xf numFmtId="0" fontId="27" fillId="0" borderId="0"/>
    <xf numFmtId="43" fontId="58" fillId="0" borderId="0" applyFont="0" applyFill="0" applyBorder="0" applyAlignment="0" applyProtection="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27"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xf numFmtId="0" fontId="31" fillId="0" borderId="0"/>
    <xf numFmtId="0" fontId="31" fillId="0" borderId="0"/>
    <xf numFmtId="0" fontId="31" fillId="0" borderId="0"/>
    <xf numFmtId="0" fontId="19"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58"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cellStyleXfs>
  <cellXfs count="692">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65" fillId="21" borderId="10" xfId="0" applyFont="1" applyFill="1" applyBorder="1" applyAlignment="1" applyProtection="1">
      <alignment horizontal="center" wrapText="1"/>
    </xf>
    <xf numFmtId="164" fontId="64" fillId="0" borderId="0" xfId="439" applyNumberFormat="1" applyFont="1" applyFill="1" applyAlignment="1" applyProtection="1">
      <alignment horizontal="center" wrapText="1"/>
    </xf>
    <xf numFmtId="41" fontId="66" fillId="0" borderId="0" xfId="0" applyNumberFormat="1" applyFont="1" applyFill="1" applyAlignment="1" applyProtection="1">
      <alignment wrapText="1"/>
    </xf>
    <xf numFmtId="41" fontId="67" fillId="0" borderId="0" xfId="0" applyNumberFormat="1" applyFont="1" applyFill="1" applyAlignment="1" applyProtection="1">
      <alignment wrapText="1"/>
    </xf>
    <xf numFmtId="41" fontId="66" fillId="0" borderId="0" xfId="439" applyNumberFormat="1" applyFont="1" applyFill="1" applyAlignment="1" applyProtection="1">
      <alignment wrapText="1"/>
    </xf>
    <xf numFmtId="41" fontId="66" fillId="0" borderId="0" xfId="0" applyNumberFormat="1" applyFont="1" applyAlignment="1" applyProtection="1">
      <alignment wrapText="1"/>
    </xf>
    <xf numFmtId="164" fontId="64" fillId="22" borderId="0" xfId="439" applyNumberFormat="1" applyFont="1" applyFill="1" applyAlignment="1" applyProtection="1">
      <alignment horizontal="center" wrapText="1"/>
    </xf>
    <xf numFmtId="41" fontId="66" fillId="21" borderId="11" xfId="0" applyNumberFormat="1" applyFont="1" applyFill="1" applyBorder="1" applyAlignment="1" applyProtection="1">
      <alignment wrapText="1"/>
    </xf>
    <xf numFmtId="41" fontId="66" fillId="21" borderId="12" xfId="0" applyNumberFormat="1" applyFont="1" applyFill="1" applyBorder="1" applyAlignment="1" applyProtection="1">
      <alignment wrapText="1"/>
    </xf>
    <xf numFmtId="164" fontId="65" fillId="21" borderId="12" xfId="439" applyNumberFormat="1" applyFont="1" applyFill="1" applyBorder="1" applyAlignment="1" applyProtection="1">
      <alignment horizontal="center" wrapText="1"/>
    </xf>
    <xf numFmtId="0" fontId="0" fillId="21" borderId="0" xfId="0" applyFill="1" applyAlignment="1" applyProtection="1">
      <alignment wrapText="1"/>
    </xf>
    <xf numFmtId="0" fontId="0" fillId="0" borderId="0" xfId="0" applyAlignment="1" applyProtection="1">
      <alignment wrapText="1"/>
      <protection locked="0"/>
    </xf>
    <xf numFmtId="0" fontId="68" fillId="0" borderId="0" xfId="0" applyFont="1" applyProtection="1"/>
    <xf numFmtId="0" fontId="0" fillId="0" borderId="0" xfId="0" applyAlignment="1" applyProtection="1">
      <protection locked="0"/>
    </xf>
    <xf numFmtId="0" fontId="63" fillId="0" borderId="0" xfId="0" applyFont="1" applyFill="1" applyBorder="1" applyAlignment="1" applyProtection="1">
      <alignment horizontal="center"/>
    </xf>
    <xf numFmtId="0" fontId="0" fillId="0" borderId="0" xfId="0" applyFill="1" applyAlignment="1" applyProtection="1">
      <alignment wrapText="1"/>
      <protection locked="0"/>
    </xf>
    <xf numFmtId="0" fontId="69" fillId="21" borderId="10" xfId="0" applyFont="1" applyFill="1" applyBorder="1" applyAlignment="1" applyProtection="1">
      <alignment horizontal="center" vertical="center" wrapText="1"/>
    </xf>
    <xf numFmtId="0" fontId="69" fillId="0" borderId="0" xfId="0" applyFont="1" applyFill="1" applyAlignment="1" applyProtection="1">
      <alignment horizontal="center" vertical="center"/>
    </xf>
    <xf numFmtId="0" fontId="69" fillId="0" borderId="0" xfId="0" applyFont="1" applyAlignment="1" applyProtection="1">
      <alignment horizontal="center" vertical="center"/>
    </xf>
    <xf numFmtId="0" fontId="69" fillId="21" borderId="13" xfId="0" applyFont="1" applyFill="1" applyBorder="1" applyAlignment="1" applyProtection="1">
      <alignment horizontal="left" vertical="center"/>
    </xf>
    <xf numFmtId="0" fontId="0" fillId="0" borderId="0" xfId="0" applyNumberFormat="1" applyFill="1" applyAlignment="1" applyProtection="1">
      <alignment horizontal="left" vertical="center" wrapText="1" indent="6"/>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0" fillId="0" borderId="0" xfId="0" applyNumberFormat="1" applyFont="1" applyFill="1" applyAlignment="1" applyProtection="1">
      <alignment horizontal="left" vertical="center" wrapText="1" indent="6"/>
    </xf>
    <xf numFmtId="0" fontId="0" fillId="0" borderId="0" xfId="0" applyAlignment="1" applyProtection="1">
      <alignment vertical="center"/>
    </xf>
    <xf numFmtId="0" fontId="71" fillId="21" borderId="0" xfId="0" applyFont="1" applyFill="1" applyBorder="1" applyProtection="1"/>
    <xf numFmtId="0" fontId="69" fillId="21" borderId="15" xfId="0" applyFont="1" applyFill="1" applyBorder="1" applyAlignment="1" applyProtection="1">
      <alignment horizontal="left" vertical="center"/>
    </xf>
    <xf numFmtId="0" fontId="72" fillId="0" borderId="0" xfId="0" applyFont="1" applyFill="1" applyBorder="1" applyAlignment="1" applyProtection="1">
      <alignment horizontal="left" vertical="center"/>
    </xf>
    <xf numFmtId="0" fontId="0" fillId="0" borderId="0" xfId="0" applyAlignment="1" applyProtection="1">
      <alignment vertical="center"/>
      <protection locked="0"/>
    </xf>
    <xf numFmtId="0" fontId="0" fillId="0" borderId="0" xfId="0" applyProtection="1">
      <protection locked="0"/>
    </xf>
    <xf numFmtId="38" fontId="70" fillId="0" borderId="0" xfId="439" applyNumberFormat="1" applyFont="1" applyFill="1" applyAlignment="1" applyProtection="1">
      <alignment horizontal="center" vertical="center" wrapText="1"/>
    </xf>
    <xf numFmtId="0" fontId="73" fillId="0" borderId="0" xfId="0" applyFont="1" applyAlignment="1" applyProtection="1">
      <alignment horizontal="right"/>
    </xf>
    <xf numFmtId="0" fontId="69" fillId="21" borderId="0" xfId="0" applyFont="1" applyFill="1" applyBorder="1" applyAlignment="1" applyProtection="1">
      <alignment horizontal="center" vertical="center" wrapText="1"/>
    </xf>
    <xf numFmtId="0" fontId="65" fillId="21" borderId="0" xfId="0" applyFont="1" applyFill="1" applyBorder="1" applyAlignment="1" applyProtection="1">
      <alignment horizontal="center" wrapText="1"/>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horizontal="justify" vertical="center"/>
    </xf>
    <xf numFmtId="0" fontId="69" fillId="0" borderId="0" xfId="0" applyFont="1" applyAlignment="1">
      <alignment horizontal="justify" vertical="center"/>
    </xf>
    <xf numFmtId="0" fontId="69" fillId="0" borderId="0" xfId="0" applyFont="1" applyAlignment="1">
      <alignment vertical="center"/>
    </xf>
    <xf numFmtId="0" fontId="60" fillId="0" borderId="0" xfId="611" applyAlignment="1">
      <alignment vertical="center"/>
    </xf>
    <xf numFmtId="0" fontId="76" fillId="0" borderId="0" xfId="0" applyFont="1" applyAlignment="1">
      <alignment vertical="center"/>
    </xf>
    <xf numFmtId="0" fontId="0" fillId="23" borderId="0" xfId="0" applyFill="1" applyProtection="1"/>
    <xf numFmtId="40" fontId="77" fillId="21" borderId="16" xfId="0" applyNumberFormat="1" applyFont="1" applyFill="1" applyBorder="1" applyProtection="1"/>
    <xf numFmtId="0" fontId="72" fillId="0" borderId="0" xfId="0" applyFont="1" applyFill="1" applyAlignment="1" applyProtection="1">
      <alignment horizontal="center" vertical="center"/>
    </xf>
    <xf numFmtId="0" fontId="78" fillId="22" borderId="0" xfId="0" applyFont="1" applyFill="1" applyAlignment="1" applyProtection="1">
      <alignment horizontal="left" vertical="center"/>
    </xf>
    <xf numFmtId="0" fontId="79" fillId="24" borderId="10" xfId="0" applyFont="1" applyFill="1" applyBorder="1" applyAlignment="1" applyProtection="1">
      <alignment horizontal="center" wrapText="1"/>
    </xf>
    <xf numFmtId="0" fontId="66" fillId="23" borderId="0" xfId="0" applyFont="1" applyFill="1" applyAlignment="1" applyProtection="1">
      <alignment horizontal="left" wrapText="1"/>
    </xf>
    <xf numFmtId="0" fontId="66" fillId="0" borderId="0" xfId="0" applyFont="1" applyAlignment="1" applyProtection="1">
      <alignment horizontal="left" wrapText="1"/>
    </xf>
    <xf numFmtId="0" fontId="66" fillId="0" borderId="0" xfId="0" applyFont="1" applyAlignment="1" applyProtection="1">
      <alignment horizontal="left" vertical="center" wrapText="1"/>
    </xf>
    <xf numFmtId="0" fontId="66" fillId="24" borderId="0" xfId="0" applyFont="1" applyFill="1" applyBorder="1" applyAlignment="1" applyProtection="1">
      <alignment horizontal="left" wrapText="1"/>
    </xf>
    <xf numFmtId="0" fontId="64" fillId="0" borderId="0" xfId="0" applyFont="1" applyAlignment="1" applyProtection="1">
      <alignment horizontal="center"/>
    </xf>
    <xf numFmtId="0" fontId="80" fillId="21" borderId="10" xfId="0" applyFont="1" applyFill="1" applyBorder="1" applyAlignment="1" applyProtection="1">
      <alignment horizontal="center" wrapText="1"/>
    </xf>
    <xf numFmtId="164" fontId="70" fillId="22" borderId="0" xfId="439" applyNumberFormat="1" applyFont="1" applyFill="1" applyProtection="1"/>
    <xf numFmtId="0" fontId="81" fillId="22" borderId="0" xfId="0" applyFont="1" applyFill="1" applyAlignment="1" applyProtection="1">
      <alignment vertical="center"/>
    </xf>
    <xf numFmtId="0" fontId="82" fillId="22" borderId="0" xfId="0" applyFont="1" applyFill="1" applyAlignment="1" applyProtection="1">
      <alignment vertical="center"/>
    </xf>
    <xf numFmtId="0" fontId="83" fillId="0" borderId="0" xfId="0" applyFont="1" applyFill="1" applyAlignment="1" applyProtection="1">
      <alignment horizontal="center" vertical="center" wrapText="1"/>
    </xf>
    <xf numFmtId="167" fontId="64" fillId="23" borderId="0" xfId="545" applyNumberFormat="1" applyFont="1" applyFill="1" applyProtection="1"/>
    <xf numFmtId="0" fontId="84" fillId="22" borderId="0" xfId="0" applyFont="1" applyFill="1" applyAlignment="1" applyProtection="1">
      <alignment vertical="center"/>
      <protection locked="0"/>
    </xf>
    <xf numFmtId="0" fontId="0" fillId="21" borderId="0" xfId="0" applyFill="1" applyProtection="1"/>
    <xf numFmtId="0" fontId="0" fillId="0" borderId="0" xfId="0" applyFill="1" applyBorder="1" applyProtection="1"/>
    <xf numFmtId="0" fontId="0" fillId="0" borderId="0" xfId="0" applyBorder="1" applyProtection="1"/>
    <xf numFmtId="0" fontId="85" fillId="25" borderId="0" xfId="0" applyFont="1" applyFill="1" applyAlignment="1" applyProtection="1">
      <alignment horizontal="center" wrapText="1"/>
    </xf>
    <xf numFmtId="0" fontId="86" fillId="21" borderId="10" xfId="0" applyFont="1" applyFill="1" applyBorder="1" applyAlignment="1" applyProtection="1">
      <alignment horizontal="center" wrapText="1"/>
    </xf>
    <xf numFmtId="0" fontId="86" fillId="21" borderId="0" xfId="0" applyFont="1" applyFill="1" applyBorder="1" applyAlignment="1" applyProtection="1">
      <alignment horizontal="center" wrapText="1"/>
    </xf>
    <xf numFmtId="0" fontId="87" fillId="0" borderId="0" xfId="0" applyFont="1" applyBorder="1" applyAlignment="1" applyProtection="1">
      <alignment wrapText="1"/>
    </xf>
    <xf numFmtId="0" fontId="0" fillId="0" borderId="0" xfId="0" applyFont="1" applyAlignment="1" applyProtection="1">
      <alignment wrapText="1"/>
      <protection locked="0"/>
    </xf>
    <xf numFmtId="0" fontId="0" fillId="0" borderId="0" xfId="0" applyFont="1" applyFill="1" applyProtection="1"/>
    <xf numFmtId="0" fontId="88" fillId="0" borderId="0" xfId="0" applyFont="1" applyAlignment="1" applyProtection="1">
      <alignment horizontal="center" vertical="center" wrapText="1"/>
    </xf>
    <xf numFmtId="0" fontId="29" fillId="0" borderId="0" xfId="0" applyFont="1" applyFill="1" applyAlignment="1" applyProtection="1">
      <alignment horizontal="center" vertical="center" wrapText="1"/>
    </xf>
    <xf numFmtId="0" fontId="88" fillId="0" borderId="0" xfId="0" applyFont="1" applyAlignment="1" applyProtection="1">
      <alignment horizontal="center" vertical="center"/>
    </xf>
    <xf numFmtId="0" fontId="0" fillId="0" borderId="0" xfId="0" applyAlignment="1" applyProtection="1">
      <alignment wrapText="1"/>
      <protection locked="0"/>
    </xf>
    <xf numFmtId="0" fontId="0" fillId="0" borderId="0" xfId="0"/>
    <xf numFmtId="0" fontId="0" fillId="0" borderId="0" xfId="0" applyProtection="1"/>
    <xf numFmtId="41" fontId="67" fillId="0" borderId="0" xfId="0" applyNumberFormat="1" applyFont="1" applyFill="1" applyAlignment="1" applyProtection="1">
      <alignment wrapText="1"/>
    </xf>
    <xf numFmtId="0" fontId="69" fillId="0" borderId="0" xfId="0" applyFont="1" applyFill="1" applyAlignment="1" applyProtection="1">
      <alignment horizontal="center" vertical="center"/>
    </xf>
    <xf numFmtId="0" fontId="59" fillId="0" borderId="0" xfId="682"/>
    <xf numFmtId="0" fontId="89" fillId="26" borderId="0" xfId="682" applyFont="1" applyFill="1"/>
    <xf numFmtId="0" fontId="59" fillId="26" borderId="0" xfId="682" applyFill="1"/>
    <xf numFmtId="0" fontId="90" fillId="26" borderId="0" xfId="682" applyFont="1" applyFill="1"/>
    <xf numFmtId="0" fontId="90" fillId="0" borderId="0" xfId="682" applyFont="1" applyFill="1"/>
    <xf numFmtId="0" fontId="91" fillId="0" borderId="0" xfId="682" applyFont="1"/>
    <xf numFmtId="0" fontId="91" fillId="0" borderId="0" xfId="682" applyFont="1" applyAlignment="1">
      <alignment vertical="center"/>
    </xf>
    <xf numFmtId="0" fontId="92" fillId="0" borderId="17" xfId="682" applyFont="1" applyBorder="1" applyAlignment="1">
      <alignment horizontal="center"/>
    </xf>
    <xf numFmtId="0" fontId="92" fillId="0" borderId="14" xfId="682" applyFont="1" applyBorder="1" applyAlignment="1">
      <alignment horizontal="center" vertical="center" wrapText="1"/>
    </xf>
    <xf numFmtId="0" fontId="93" fillId="0" borderId="0" xfId="682" applyFont="1"/>
    <xf numFmtId="0" fontId="94" fillId="0" borderId="0" xfId="682" applyFont="1"/>
    <xf numFmtId="167" fontId="30" fillId="26" borderId="0" xfId="546" applyNumberFormat="1" applyFont="1" applyFill="1"/>
    <xf numFmtId="167" fontId="94" fillId="0" borderId="0" xfId="546" applyNumberFormat="1" applyFont="1"/>
    <xf numFmtId="38" fontId="30" fillId="26" borderId="0" xfId="682" applyNumberFormat="1" applyFont="1" applyFill="1"/>
    <xf numFmtId="38" fontId="94" fillId="0" borderId="0" xfId="682" applyNumberFormat="1" applyFont="1"/>
    <xf numFmtId="38" fontId="94" fillId="26" borderId="0" xfId="682" applyNumberFormat="1" applyFont="1" applyFill="1"/>
    <xf numFmtId="38" fontId="94" fillId="26" borderId="17" xfId="449" applyNumberFormat="1" applyFont="1" applyFill="1" applyBorder="1"/>
    <xf numFmtId="38" fontId="94" fillId="0" borderId="0" xfId="449" applyNumberFormat="1" applyFont="1"/>
    <xf numFmtId="0" fontId="95" fillId="0" borderId="0" xfId="682" applyFont="1"/>
    <xf numFmtId="0" fontId="92" fillId="27" borderId="0" xfId="682" applyFont="1" applyFill="1"/>
    <xf numFmtId="0" fontId="59" fillId="27" borderId="0" xfId="682" applyFill="1"/>
    <xf numFmtId="0" fontId="94" fillId="27" borderId="0" xfId="682" applyFont="1" applyFill="1"/>
    <xf numFmtId="167" fontId="92" fillId="27" borderId="0" xfId="546" applyNumberFormat="1" applyFont="1" applyFill="1"/>
    <xf numFmtId="167" fontId="94" fillId="27" borderId="0" xfId="546" applyNumberFormat="1" applyFont="1" applyFill="1"/>
    <xf numFmtId="164" fontId="94" fillId="26" borderId="17" xfId="449" applyNumberFormat="1" applyFont="1" applyFill="1" applyBorder="1"/>
    <xf numFmtId="164" fontId="94" fillId="0" borderId="0" xfId="449" applyNumberFormat="1" applyFont="1"/>
    <xf numFmtId="0" fontId="93" fillId="0" borderId="0" xfId="682" applyFont="1" applyAlignment="1">
      <alignment vertical="center"/>
    </xf>
    <xf numFmtId="0" fontId="96" fillId="0" borderId="0" xfId="682" applyFont="1"/>
    <xf numFmtId="38" fontId="94" fillId="26" borderId="0" xfId="449" applyNumberFormat="1" applyFont="1" applyFill="1"/>
    <xf numFmtId="167" fontId="92" fillId="27" borderId="18" xfId="546" applyNumberFormat="1" applyFont="1" applyFill="1" applyBorder="1"/>
    <xf numFmtId="167" fontId="94" fillId="26" borderId="19" xfId="546" applyNumberFormat="1" applyFont="1" applyFill="1" applyBorder="1"/>
    <xf numFmtId="0" fontId="92" fillId="0" borderId="0" xfId="682" applyFont="1"/>
    <xf numFmtId="167" fontId="92" fillId="0" borderId="20" xfId="546" applyNumberFormat="1" applyFont="1" applyBorder="1"/>
    <xf numFmtId="0" fontId="92" fillId="0" borderId="0" xfId="682" applyFont="1" applyAlignment="1">
      <alignment horizontal="center"/>
    </xf>
    <xf numFmtId="167" fontId="30" fillId="0" borderId="0" xfId="546" applyNumberFormat="1" applyFont="1" applyFill="1"/>
    <xf numFmtId="38" fontId="30" fillId="0" borderId="0" xfId="449" applyNumberFormat="1" applyFont="1" applyFill="1"/>
    <xf numFmtId="38" fontId="30" fillId="0" borderId="17" xfId="449" applyNumberFormat="1" applyFont="1" applyFill="1" applyBorder="1"/>
    <xf numFmtId="167" fontId="94" fillId="0" borderId="19" xfId="546" applyNumberFormat="1" applyFont="1" applyBorder="1"/>
    <xf numFmtId="0" fontId="64" fillId="0" borderId="0" xfId="682" applyFont="1"/>
    <xf numFmtId="10" fontId="92" fillId="0" borderId="19" xfId="682" applyNumberFormat="1" applyFont="1" applyBorder="1"/>
    <xf numFmtId="164" fontId="58" fillId="0" borderId="0" xfId="439" applyNumberFormat="1" applyFont="1"/>
    <xf numFmtId="40" fontId="97" fillId="0" borderId="0" xfId="0" applyNumberFormat="1" applyFont="1"/>
    <xf numFmtId="0" fontId="86" fillId="0" borderId="0" xfId="0" applyFont="1"/>
    <xf numFmtId="2" fontId="0" fillId="0" borderId="0" xfId="0" applyNumberFormat="1"/>
    <xf numFmtId="38" fontId="30" fillId="26" borderId="0" xfId="0" applyNumberFormat="1" applyFont="1" applyFill="1"/>
    <xf numFmtId="38" fontId="30" fillId="26" borderId="17" xfId="0" applyNumberFormat="1" applyFont="1" applyFill="1" applyBorder="1"/>
    <xf numFmtId="0" fontId="86" fillId="0" borderId="0" xfId="0" applyFont="1" applyAlignment="1" applyProtection="1">
      <alignment wrapText="1"/>
      <protection locked="0"/>
    </xf>
    <xf numFmtId="0" fontId="80" fillId="21" borderId="0" xfId="0" applyFont="1" applyFill="1" applyBorder="1" applyAlignment="1" applyProtection="1">
      <alignment horizontal="center"/>
    </xf>
    <xf numFmtId="0" fontId="59" fillId="0" borderId="0" xfId="682"/>
    <xf numFmtId="0" fontId="98" fillId="0" borderId="0" xfId="682" applyFont="1" applyFill="1" applyAlignment="1">
      <alignment wrapText="1"/>
    </xf>
    <xf numFmtId="166" fontId="71" fillId="21" borderId="16" xfId="0" applyNumberFormat="1" applyFont="1" applyFill="1" applyBorder="1" applyProtection="1"/>
    <xf numFmtId="0" fontId="69" fillId="21" borderId="16" xfId="0" applyFont="1" applyFill="1" applyBorder="1" applyAlignment="1" applyProtection="1">
      <alignment horizontal="left" vertical="center"/>
    </xf>
    <xf numFmtId="0" fontId="69" fillId="21" borderId="0" xfId="0" applyFont="1" applyFill="1" applyBorder="1" applyAlignment="1" applyProtection="1">
      <alignment horizontal="left" vertical="center"/>
    </xf>
    <xf numFmtId="0" fontId="99" fillId="0" borderId="0" xfId="0" applyFont="1" applyFill="1" applyAlignment="1" applyProtection="1">
      <alignment horizontal="left" vertical="center" wrapText="1"/>
    </xf>
    <xf numFmtId="0" fontId="0" fillId="28" borderId="0" xfId="0" applyFill="1" applyAlignment="1" applyProtection="1">
      <alignment vertical="center"/>
    </xf>
    <xf numFmtId="0" fontId="8" fillId="28" borderId="0" xfId="0" applyFont="1" applyFill="1" applyAlignment="1" applyProtection="1">
      <alignment horizontal="left" vertical="center"/>
    </xf>
    <xf numFmtId="0" fontId="0" fillId="28" borderId="0" xfId="0" applyNumberFormat="1" applyFill="1" applyAlignment="1" applyProtection="1">
      <alignment wrapText="1"/>
    </xf>
    <xf numFmtId="164" fontId="0" fillId="28" borderId="0" xfId="0" applyNumberFormat="1" applyFill="1" applyAlignment="1" applyProtection="1">
      <alignment vertical="center"/>
    </xf>
    <xf numFmtId="41" fontId="66" fillId="28" borderId="0" xfId="439" applyNumberFormat="1" applyFont="1" applyFill="1" applyAlignment="1" applyProtection="1">
      <alignment wrapText="1"/>
    </xf>
    <xf numFmtId="41" fontId="67" fillId="28" borderId="0" xfId="0" applyNumberFormat="1" applyFont="1" applyFill="1" applyAlignment="1" applyProtection="1">
      <alignment wrapText="1"/>
    </xf>
    <xf numFmtId="0" fontId="71" fillId="28" borderId="0" xfId="0" applyNumberFormat="1" applyFont="1" applyFill="1" applyAlignment="1" applyProtection="1">
      <alignment vertical="center" wrapText="1"/>
    </xf>
    <xf numFmtId="0" fontId="99" fillId="0" borderId="0" xfId="0" applyNumberFormat="1" applyFont="1" applyFill="1" applyAlignment="1" applyProtection="1">
      <alignment vertical="center" wrapText="1"/>
    </xf>
    <xf numFmtId="0" fontId="90" fillId="0" borderId="0" xfId="0" applyFont="1" applyFill="1" applyAlignment="1" applyProtection="1">
      <alignment vertical="center" wrapText="1"/>
    </xf>
    <xf numFmtId="0" fontId="39" fillId="28" borderId="0" xfId="0" applyFont="1" applyFill="1" applyAlignment="1" applyProtection="1">
      <alignment horizontal="left" vertical="center"/>
    </xf>
    <xf numFmtId="0" fontId="64" fillId="28" borderId="0" xfId="0" applyNumberFormat="1" applyFont="1" applyFill="1" applyAlignment="1" applyProtection="1">
      <alignment vertical="center" wrapText="1"/>
    </xf>
    <xf numFmtId="41" fontId="79" fillId="28" borderId="0" xfId="439" applyNumberFormat="1" applyFont="1" applyFill="1" applyAlignment="1" applyProtection="1">
      <alignment wrapText="1"/>
    </xf>
    <xf numFmtId="0" fontId="43" fillId="0" borderId="0" xfId="0" applyFont="1" applyFill="1" applyAlignment="1" applyProtection="1">
      <alignment horizontal="center" vertical="center" wrapText="1"/>
    </xf>
    <xf numFmtId="0" fontId="6" fillId="0" borderId="0" xfId="0" applyFont="1" applyFill="1" applyAlignment="1" applyProtection="1">
      <alignment vertical="center" wrapText="1"/>
      <protection hidden="1"/>
    </xf>
    <xf numFmtId="0" fontId="70" fillId="0" borderId="0" xfId="0" applyFont="1" applyFill="1" applyAlignment="1" applyProtection="1">
      <alignment vertical="center" wrapText="1"/>
      <protection hidden="1"/>
    </xf>
    <xf numFmtId="41" fontId="66" fillId="28" borderId="0" xfId="439" applyNumberFormat="1" applyFont="1" applyFill="1" applyAlignment="1" applyProtection="1">
      <alignment wrapText="1"/>
    </xf>
    <xf numFmtId="0" fontId="72" fillId="28" borderId="0" xfId="0" applyFont="1" applyFill="1" applyAlignment="1" applyProtection="1">
      <alignment vertical="center"/>
    </xf>
    <xf numFmtId="0" fontId="65" fillId="28" borderId="0" xfId="0" applyFont="1" applyFill="1" applyAlignment="1" applyProtection="1">
      <alignment vertical="center" wrapText="1"/>
    </xf>
    <xf numFmtId="0" fontId="65" fillId="28" borderId="0" xfId="0" applyFont="1" applyFill="1" applyAlignment="1" applyProtection="1">
      <alignment wrapText="1"/>
    </xf>
    <xf numFmtId="0" fontId="0" fillId="0" borderId="0" xfId="0" applyNumberFormat="1" applyFont="1" applyFill="1" applyAlignment="1" applyProtection="1">
      <alignment vertical="center" wrapText="1"/>
    </xf>
    <xf numFmtId="0" fontId="69" fillId="28" borderId="0" xfId="0" applyFont="1" applyFill="1" applyAlignment="1" applyProtection="1">
      <alignment vertical="center"/>
    </xf>
    <xf numFmtId="0" fontId="65" fillId="28" borderId="0" xfId="0" applyFont="1" applyFill="1" applyAlignment="1" applyProtection="1"/>
    <xf numFmtId="0" fontId="65" fillId="28" borderId="0" xfId="0" applyFont="1" applyFill="1" applyAlignment="1" applyProtection="1">
      <alignment horizontal="left" wrapText="1" indent="2"/>
    </xf>
    <xf numFmtId="0" fontId="65" fillId="28" borderId="0" xfId="0" applyFont="1" applyFill="1" applyAlignment="1" applyProtection="1"/>
    <xf numFmtId="0" fontId="90" fillId="0" borderId="0" xfId="0" applyNumberFormat="1" applyFont="1" applyFill="1" applyBorder="1" applyAlignment="1" applyProtection="1">
      <alignment vertical="center" wrapText="1"/>
    </xf>
    <xf numFmtId="0" fontId="65" fillId="28" borderId="0" xfId="0" applyFont="1" applyFill="1" applyAlignment="1" applyProtection="1"/>
    <xf numFmtId="0" fontId="0" fillId="0" borderId="0" xfId="0" applyNumberFormat="1" applyFont="1" applyFill="1" applyAlignment="1" applyProtection="1">
      <alignment horizontal="left" vertical="center" wrapText="1"/>
    </xf>
    <xf numFmtId="0" fontId="99" fillId="0" borderId="0" xfId="0" applyNumberFormat="1" applyFont="1" applyFill="1" applyAlignment="1" applyProtection="1">
      <alignment horizontal="left" vertical="center" wrapText="1"/>
    </xf>
    <xf numFmtId="41" fontId="66" fillId="28" borderId="0" xfId="439" applyNumberFormat="1" applyFont="1" applyFill="1" applyAlignment="1" applyProtection="1">
      <alignment wrapText="1"/>
    </xf>
    <xf numFmtId="164" fontId="58" fillId="28" borderId="0" xfId="439" applyNumberFormat="1" applyFont="1" applyFill="1" applyAlignment="1" applyProtection="1">
      <alignment vertical="center"/>
    </xf>
    <xf numFmtId="0" fontId="65" fillId="28" borderId="0" xfId="0" applyFont="1" applyFill="1" applyAlignment="1" applyProtection="1"/>
    <xf numFmtId="0" fontId="0" fillId="28" borderId="0" xfId="0" applyFont="1" applyFill="1" applyAlignment="1" applyProtection="1">
      <alignment vertical="center"/>
    </xf>
    <xf numFmtId="0" fontId="65" fillId="28" borderId="0" xfId="0" applyFont="1" applyFill="1" applyAlignment="1" applyProtection="1">
      <alignment horizontal="left" vertical="center" wrapText="1"/>
    </xf>
    <xf numFmtId="0" fontId="65" fillId="28" borderId="0" xfId="0" applyFont="1" applyFill="1" applyAlignment="1" applyProtection="1">
      <alignment horizontal="left" wrapText="1" indent="2"/>
    </xf>
    <xf numFmtId="0" fontId="65" fillId="28" borderId="0" xfId="0" applyFont="1" applyFill="1" applyAlignment="1" applyProtection="1">
      <alignment vertical="center"/>
    </xf>
    <xf numFmtId="38" fontId="100" fillId="28" borderId="0" xfId="439" applyNumberFormat="1" applyFont="1" applyFill="1" applyAlignment="1" applyProtection="1">
      <alignment horizontal="center" vertical="center" wrapText="1"/>
    </xf>
    <xf numFmtId="41" fontId="67" fillId="28" borderId="0" xfId="0" applyNumberFormat="1" applyFont="1" applyFill="1" applyAlignment="1" applyProtection="1">
      <alignment wrapText="1"/>
    </xf>
    <xf numFmtId="0" fontId="65" fillId="28" borderId="0" xfId="0" applyFont="1" applyFill="1" applyAlignment="1" applyProtection="1"/>
    <xf numFmtId="0" fontId="101" fillId="0" borderId="0" xfId="0" applyFont="1" applyAlignment="1" applyProtection="1">
      <alignment horizontal="center" vertical="center" wrapText="1"/>
    </xf>
    <xf numFmtId="164" fontId="58" fillId="28" borderId="0" xfId="439" applyNumberFormat="1" applyFont="1" applyFill="1" applyProtection="1"/>
    <xf numFmtId="41" fontId="66" fillId="28" borderId="0" xfId="439" applyNumberFormat="1" applyFont="1" applyFill="1" applyAlignment="1" applyProtection="1">
      <alignment wrapText="1"/>
    </xf>
    <xf numFmtId="0" fontId="0" fillId="0" borderId="0" xfId="0" applyFill="1" applyAlignment="1" applyProtection="1">
      <alignment wrapText="1"/>
      <protection locked="0"/>
    </xf>
    <xf numFmtId="0" fontId="88" fillId="0" borderId="0" xfId="0" applyFont="1" applyFill="1" applyAlignment="1" applyProtection="1">
      <alignment horizontal="center" vertical="center" wrapText="1"/>
    </xf>
    <xf numFmtId="0" fontId="102" fillId="0" borderId="0" xfId="0" applyNumberFormat="1" applyFont="1" applyFill="1" applyAlignment="1" applyProtection="1">
      <alignment vertical="center" wrapText="1"/>
    </xf>
    <xf numFmtId="41" fontId="66" fillId="28" borderId="0" xfId="439" applyNumberFormat="1" applyFont="1" applyFill="1" applyAlignment="1" applyProtection="1">
      <alignment wrapText="1"/>
    </xf>
    <xf numFmtId="38" fontId="70" fillId="28" borderId="0" xfId="439" applyNumberFormat="1" applyFont="1" applyFill="1" applyProtection="1"/>
    <xf numFmtId="41" fontId="66" fillId="28" borderId="0" xfId="439" applyNumberFormat="1" applyFont="1" applyFill="1" applyAlignment="1" applyProtection="1">
      <alignment wrapText="1"/>
    </xf>
    <xf numFmtId="41" fontId="67" fillId="28" borderId="0" xfId="0" applyNumberFormat="1" applyFont="1" applyFill="1" applyAlignment="1" applyProtection="1">
      <alignment wrapText="1"/>
    </xf>
    <xf numFmtId="0" fontId="0" fillId="28" borderId="0" xfId="0" applyNumberFormat="1" applyFill="1" applyAlignment="1" applyProtection="1">
      <alignment vertical="center" wrapText="1"/>
    </xf>
    <xf numFmtId="0" fontId="65" fillId="28" borderId="0" xfId="0" applyFont="1" applyFill="1" applyAlignment="1" applyProtection="1">
      <alignment vertical="center"/>
    </xf>
    <xf numFmtId="0" fontId="65" fillId="28" borderId="0" xfId="0" applyFont="1" applyFill="1" applyAlignment="1" applyProtection="1"/>
    <xf numFmtId="0" fontId="103" fillId="28" borderId="0" xfId="0" applyFont="1" applyFill="1" applyAlignment="1" applyProtection="1">
      <alignment horizontal="left" vertical="center"/>
    </xf>
    <xf numFmtId="3" fontId="6" fillId="0" borderId="0" xfId="1540" applyFont="1" applyFill="1" applyAlignment="1" applyProtection="1">
      <alignment vertical="center" wrapText="1"/>
    </xf>
    <xf numFmtId="3" fontId="41" fillId="0" borderId="0" xfId="1540" applyFont="1" applyFill="1" applyAlignment="1" applyProtection="1">
      <alignment vertical="center" wrapText="1"/>
    </xf>
    <xf numFmtId="0" fontId="104" fillId="0" borderId="0" xfId="0" applyFont="1" applyAlignment="1" applyProtection="1">
      <alignment horizontal="center" vertical="center" wrapText="1"/>
    </xf>
    <xf numFmtId="0" fontId="69" fillId="28" borderId="0" xfId="0" applyFont="1" applyFill="1" applyAlignment="1" applyProtection="1">
      <alignment horizontal="left" vertical="center"/>
    </xf>
    <xf numFmtId="0" fontId="72" fillId="28" borderId="0" xfId="0" applyFont="1" applyFill="1" applyAlignment="1" applyProtection="1">
      <alignment horizontal="left" vertical="center"/>
    </xf>
    <xf numFmtId="0" fontId="65" fillId="28" borderId="0" xfId="0" applyFont="1" applyFill="1" applyAlignment="1" applyProtection="1"/>
    <xf numFmtId="0" fontId="0" fillId="0" borderId="0" xfId="0" applyNumberFormat="1" applyFill="1" applyAlignment="1" applyProtection="1">
      <alignment wrapText="1"/>
    </xf>
    <xf numFmtId="0" fontId="105" fillId="0" borderId="0" xfId="0" applyFont="1" applyAlignment="1" applyProtection="1">
      <alignment horizontal="center" vertical="center" wrapText="1"/>
    </xf>
    <xf numFmtId="0" fontId="0" fillId="0" borderId="0" xfId="0" applyNumberFormat="1" applyFill="1" applyAlignment="1" applyProtection="1">
      <alignment vertical="center" wrapText="1"/>
    </xf>
    <xf numFmtId="0" fontId="65" fillId="0" borderId="0" xfId="0" applyNumberFormat="1" applyFont="1" applyFill="1" applyAlignment="1" applyProtection="1">
      <alignment wrapText="1"/>
    </xf>
    <xf numFmtId="0" fontId="65" fillId="22" borderId="0" xfId="0" applyNumberFormat="1" applyFont="1" applyFill="1" applyAlignment="1" applyProtection="1">
      <alignment wrapText="1"/>
    </xf>
    <xf numFmtId="0" fontId="0" fillId="0" borderId="0" xfId="0" applyNumberFormat="1" applyFill="1" applyAlignment="1" applyProtection="1">
      <alignment horizontal="left" vertical="center" wrapText="1" indent="3"/>
    </xf>
    <xf numFmtId="0" fontId="0" fillId="0" borderId="14" xfId="0" applyNumberFormat="1" applyFill="1" applyBorder="1" applyAlignment="1" applyProtection="1">
      <alignment horizontal="left" vertical="center" wrapText="1" indent="3"/>
    </xf>
    <xf numFmtId="0" fontId="0" fillId="0" borderId="14" xfId="0" applyNumberFormat="1" applyFill="1" applyBorder="1" applyAlignment="1" applyProtection="1">
      <alignment horizontal="left" vertical="center" wrapText="1" indent="6"/>
    </xf>
    <xf numFmtId="0" fontId="0" fillId="0" borderId="14" xfId="0" applyNumberFormat="1" applyFill="1" applyBorder="1" applyAlignment="1" applyProtection="1">
      <alignment vertical="center" wrapText="1"/>
    </xf>
    <xf numFmtId="0" fontId="64" fillId="0" borderId="0" xfId="0" applyNumberFormat="1" applyFont="1" applyFill="1" applyAlignment="1" applyProtection="1">
      <alignment horizontal="left" vertical="center" wrapText="1" indent="3"/>
    </xf>
    <xf numFmtId="0" fontId="65" fillId="0" borderId="0" xfId="0" applyNumberFormat="1" applyFont="1" applyFill="1" applyAlignment="1" applyProtection="1">
      <alignment vertical="center" wrapText="1"/>
    </xf>
    <xf numFmtId="0" fontId="90" fillId="0" borderId="0" xfId="0" applyNumberFormat="1" applyFont="1" applyFill="1" applyAlignment="1" applyProtection="1">
      <alignment horizontal="left" vertical="center" wrapText="1"/>
    </xf>
    <xf numFmtId="0" fontId="90" fillId="0" borderId="0" xfId="0" applyNumberFormat="1" applyFont="1" applyFill="1" applyAlignment="1" applyProtection="1">
      <alignment vertical="center" wrapText="1"/>
    </xf>
    <xf numFmtId="0" fontId="90" fillId="0" borderId="0" xfId="0" applyNumberFormat="1" applyFont="1" applyFill="1" applyAlignment="1" applyProtection="1">
      <alignment horizontal="left" vertical="center" wrapText="1" indent="3"/>
    </xf>
    <xf numFmtId="0" fontId="90" fillId="0" borderId="14" xfId="0" applyNumberFormat="1" applyFont="1" applyFill="1" applyBorder="1" applyAlignment="1" applyProtection="1">
      <alignment horizontal="left" vertical="center" wrapText="1" indent="3"/>
    </xf>
    <xf numFmtId="0" fontId="90" fillId="0" borderId="0" xfId="0" applyNumberFormat="1" applyFont="1" applyFill="1" applyAlignment="1" applyProtection="1">
      <alignment horizontal="left" vertical="center" wrapText="1" indent="6"/>
    </xf>
    <xf numFmtId="0" fontId="69" fillId="0" borderId="0" xfId="0" applyFont="1" applyFill="1" applyAlignment="1" applyProtection="1">
      <alignment horizontal="center" vertical="center"/>
    </xf>
    <xf numFmtId="0" fontId="69" fillId="22" borderId="0" xfId="0" applyFont="1" applyFill="1" applyAlignment="1" applyProtection="1">
      <alignment horizontal="center" vertical="center"/>
    </xf>
    <xf numFmtId="0" fontId="69" fillId="0" borderId="14" xfId="0" applyFont="1" applyFill="1" applyBorder="1" applyAlignment="1" applyProtection="1">
      <alignment horizontal="center" vertical="center"/>
    </xf>
    <xf numFmtId="0" fontId="104" fillId="0" borderId="0" xfId="0" applyFont="1" applyFill="1" applyAlignment="1" applyProtection="1">
      <alignment horizontal="center" vertical="center" wrapText="1"/>
    </xf>
    <xf numFmtId="0" fontId="104" fillId="0" borderId="0" xfId="0" applyFont="1" applyFill="1" applyAlignment="1" applyProtection="1">
      <alignment horizontal="center" vertical="center"/>
    </xf>
    <xf numFmtId="0" fontId="105" fillId="0" borderId="0" xfId="0" applyFont="1" applyFill="1" applyAlignment="1" applyProtection="1">
      <alignment horizontal="center" vertical="center" wrapText="1"/>
    </xf>
    <xf numFmtId="0" fontId="105" fillId="0" borderId="0" xfId="0" applyFont="1" applyFill="1" applyAlignment="1" applyProtection="1">
      <alignment horizontal="center" vertical="center"/>
    </xf>
    <xf numFmtId="0" fontId="71" fillId="21" borderId="16" xfId="0" applyNumberFormat="1" applyFont="1" applyFill="1" applyBorder="1" applyAlignment="1" applyProtection="1">
      <alignment horizontal="center"/>
    </xf>
    <xf numFmtId="38" fontId="0" fillId="0" borderId="0" xfId="0" applyNumberFormat="1" applyProtection="1"/>
    <xf numFmtId="0" fontId="0" fillId="0" borderId="0" xfId="0"/>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70"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xf>
    <xf numFmtId="164" fontId="0" fillId="0" borderId="0" xfId="0" applyNumberFormat="1" applyFill="1" applyAlignment="1" applyProtection="1">
      <alignment wrapText="1"/>
      <protection locked="0"/>
    </xf>
    <xf numFmtId="164" fontId="0" fillId="0" borderId="0" xfId="0" applyNumberFormat="1" applyAlignment="1" applyProtection="1">
      <alignment wrapText="1"/>
      <protection locked="0"/>
    </xf>
    <xf numFmtId="40" fontId="70" fillId="0" borderId="0" xfId="439" applyNumberFormat="1" applyFont="1" applyFill="1" applyAlignment="1" applyProtection="1">
      <alignment horizontal="center" vertical="center" wrapText="1"/>
    </xf>
    <xf numFmtId="173" fontId="70" fillId="0" borderId="0" xfId="439" applyNumberFormat="1" applyFont="1" applyFill="1" applyAlignment="1" applyProtection="1">
      <alignment horizontal="center" vertical="center" wrapText="1"/>
    </xf>
    <xf numFmtId="41" fontId="66" fillId="0" borderId="0" xfId="439" applyNumberFormat="1" applyFont="1" applyFill="1" applyAlignment="1" applyProtection="1">
      <alignment vertical="center" wrapText="1"/>
    </xf>
    <xf numFmtId="0" fontId="0" fillId="0" borderId="23" xfId="0" applyFont="1" applyFill="1" applyBorder="1" applyAlignment="1" applyProtection="1">
      <alignment vertical="center" wrapText="1"/>
    </xf>
    <xf numFmtId="164" fontId="106" fillId="23" borderId="23" xfId="439" applyNumberFormat="1" applyFont="1" applyFill="1" applyBorder="1" applyAlignment="1" applyProtection="1">
      <alignment horizontal="center" vertical="center" wrapText="1"/>
    </xf>
    <xf numFmtId="0" fontId="0" fillId="22" borderId="0" xfId="0" applyFont="1" applyFill="1" applyBorder="1" applyAlignment="1" applyProtection="1">
      <alignment vertical="center"/>
    </xf>
    <xf numFmtId="0" fontId="0" fillId="22" borderId="0" xfId="0" applyFill="1" applyBorder="1" applyAlignment="1" applyProtection="1">
      <alignment vertical="center"/>
    </xf>
    <xf numFmtId="0" fontId="0" fillId="22" borderId="0" xfId="0" applyFill="1" applyBorder="1" applyProtection="1"/>
    <xf numFmtId="0" fontId="64" fillId="0" borderId="24" xfId="0" applyNumberFormat="1" applyFont="1" applyBorder="1" applyAlignment="1" applyProtection="1">
      <alignment horizontal="center" vertical="center"/>
    </xf>
    <xf numFmtId="0" fontId="64" fillId="0" borderId="25" xfId="0" applyNumberFormat="1" applyFont="1" applyBorder="1" applyAlignment="1" applyProtection="1">
      <alignment horizontal="center" vertical="center"/>
    </xf>
    <xf numFmtId="0" fontId="107" fillId="0" borderId="25" xfId="0" applyNumberFormat="1" applyFont="1" applyFill="1" applyBorder="1" applyAlignment="1" applyProtection="1">
      <alignment horizontal="center" vertical="center"/>
    </xf>
    <xf numFmtId="0" fontId="108" fillId="0" borderId="25" xfId="0" applyNumberFormat="1" applyFont="1" applyFill="1" applyBorder="1" applyAlignment="1" applyProtection="1">
      <alignment horizontal="center" vertical="center"/>
    </xf>
    <xf numFmtId="0" fontId="64" fillId="23" borderId="25" xfId="0" applyNumberFormat="1" applyFont="1" applyFill="1" applyBorder="1" applyAlignment="1" applyProtection="1">
      <alignment horizontal="center" vertical="center"/>
    </xf>
    <xf numFmtId="0" fontId="64" fillId="0" borderId="25" xfId="0" applyNumberFormat="1" applyFont="1" applyFill="1" applyBorder="1" applyAlignment="1" applyProtection="1">
      <alignment horizontal="center" vertical="center"/>
    </xf>
    <xf numFmtId="0" fontId="64" fillId="0" borderId="26" xfId="0" applyNumberFormat="1" applyFont="1" applyFill="1" applyBorder="1" applyAlignment="1" applyProtection="1">
      <alignment horizontal="center" vertical="center"/>
    </xf>
    <xf numFmtId="0" fontId="83" fillId="24" borderId="21" xfId="0" applyFont="1" applyFill="1" applyBorder="1" applyAlignment="1" applyProtection="1">
      <alignment horizontal="center" vertical="center" wrapText="1"/>
    </xf>
    <xf numFmtId="0" fontId="0" fillId="22" borderId="27" xfId="0" applyFill="1" applyBorder="1" applyAlignment="1" applyProtection="1">
      <alignment vertical="center"/>
    </xf>
    <xf numFmtId="0" fontId="0" fillId="22" borderId="28" xfId="0" applyFill="1" applyBorder="1" applyAlignment="1" applyProtection="1">
      <alignment vertical="center"/>
    </xf>
    <xf numFmtId="164" fontId="106" fillId="0" borderId="28" xfId="439" applyNumberFormat="1" applyFont="1" applyFill="1" applyBorder="1" applyAlignment="1" applyProtection="1">
      <alignment horizontal="center" vertical="center" wrapText="1"/>
    </xf>
    <xf numFmtId="164" fontId="106" fillId="0" borderId="29" xfId="439" applyNumberFormat="1" applyFont="1" applyFill="1" applyBorder="1" applyAlignment="1" applyProtection="1">
      <alignment horizontal="center" vertical="center" wrapText="1"/>
    </xf>
    <xf numFmtId="0" fontId="0" fillId="0" borderId="30" xfId="0" applyFont="1" applyFill="1" applyBorder="1" applyAlignment="1" applyProtection="1">
      <alignment vertical="center" wrapText="1"/>
    </xf>
    <xf numFmtId="0" fontId="0" fillId="22" borderId="30" xfId="0" applyFill="1" applyBorder="1" applyAlignment="1" applyProtection="1">
      <alignment vertical="center"/>
    </xf>
    <xf numFmtId="0" fontId="0" fillId="22" borderId="23" xfId="0" applyFill="1" applyBorder="1" applyAlignment="1" applyProtection="1">
      <alignment vertical="center"/>
      <protection locked="0"/>
    </xf>
    <xf numFmtId="172" fontId="106" fillId="0" borderId="23" xfId="439" applyNumberFormat="1" applyFont="1" applyFill="1" applyBorder="1" applyAlignment="1" applyProtection="1">
      <alignment horizontal="center" vertical="center" wrapText="1"/>
    </xf>
    <xf numFmtId="164" fontId="58" fillId="0" borderId="28" xfId="439" applyNumberFormat="1" applyFont="1" applyFill="1" applyBorder="1" applyAlignment="1" applyProtection="1">
      <alignment vertical="center"/>
    </xf>
    <xf numFmtId="0" fontId="0" fillId="23" borderId="25" xfId="0" applyNumberFormat="1" applyFill="1" applyBorder="1" applyAlignment="1" applyProtection="1">
      <alignment horizontal="left" vertical="center" wrapText="1"/>
    </xf>
    <xf numFmtId="3" fontId="6" fillId="0" borderId="23" xfId="1540" applyFont="1" applyFill="1" applyBorder="1" applyAlignment="1" applyProtection="1">
      <alignment vertical="center" wrapText="1"/>
    </xf>
    <xf numFmtId="0" fontId="106" fillId="0" borderId="23" xfId="439" applyNumberFormat="1" applyFont="1" applyFill="1" applyBorder="1" applyAlignment="1" applyProtection="1">
      <alignment horizontal="center" vertical="center" wrapText="1"/>
    </xf>
    <xf numFmtId="164" fontId="106" fillId="0" borderId="23" xfId="439" applyNumberFormat="1" applyFont="1" applyFill="1" applyBorder="1" applyAlignment="1" applyProtection="1">
      <alignment horizontal="center" vertical="center" wrapText="1"/>
    </xf>
    <xf numFmtId="164" fontId="106" fillId="29" borderId="23" xfId="439" applyNumberFormat="1" applyFont="1" applyFill="1" applyBorder="1" applyAlignment="1" applyProtection="1">
      <alignment horizontal="center" vertical="center" wrapText="1"/>
      <protection locked="0"/>
    </xf>
    <xf numFmtId="0" fontId="0" fillId="0" borderId="31" xfId="0" applyNumberFormat="1" applyFill="1" applyBorder="1" applyAlignment="1" applyProtection="1">
      <alignment horizontal="left" vertical="center" wrapText="1"/>
    </xf>
    <xf numFmtId="164" fontId="58" fillId="23" borderId="28" xfId="439" applyNumberFormat="1" applyFont="1" applyFill="1" applyBorder="1" applyAlignment="1" applyProtection="1">
      <alignment vertical="center"/>
    </xf>
    <xf numFmtId="0" fontId="65" fillId="24" borderId="0" xfId="0" applyFont="1" applyFill="1" applyBorder="1" applyAlignment="1" applyProtection="1">
      <alignment horizontal="center" vertical="center" wrapText="1"/>
    </xf>
    <xf numFmtId="0" fontId="0" fillId="22" borderId="30" xfId="0" applyFill="1" applyBorder="1" applyAlignment="1" applyProtection="1">
      <alignment vertical="center"/>
      <protection locked="0"/>
    </xf>
    <xf numFmtId="0" fontId="0" fillId="23" borderId="23" xfId="0" applyNumberFormat="1" applyFill="1" applyBorder="1" applyAlignment="1" applyProtection="1">
      <alignment horizontal="left" vertical="center" wrapText="1"/>
    </xf>
    <xf numFmtId="0" fontId="86" fillId="21" borderId="10" xfId="0" applyFont="1" applyFill="1" applyBorder="1" applyAlignment="1" applyProtection="1">
      <alignment horizontal="center" vertical="center" wrapText="1"/>
    </xf>
    <xf numFmtId="164" fontId="106" fillId="0" borderId="31" xfId="439" applyNumberFormat="1" applyFont="1" applyFill="1" applyBorder="1" applyAlignment="1" applyProtection="1">
      <alignment horizontal="center" vertical="center" wrapText="1"/>
    </xf>
    <xf numFmtId="164" fontId="58" fillId="0" borderId="28" xfId="439" applyNumberFormat="1" applyFont="1" applyBorder="1" applyAlignment="1" applyProtection="1">
      <alignment vertical="center"/>
    </xf>
    <xf numFmtId="0" fontId="0" fillId="0" borderId="26" xfId="0" applyNumberFormat="1" applyFill="1" applyBorder="1" applyAlignment="1" applyProtection="1">
      <alignment horizontal="left" vertical="center" wrapText="1"/>
    </xf>
    <xf numFmtId="0" fontId="85" fillId="25" borderId="0" xfId="0" applyFont="1" applyFill="1" applyAlignment="1" applyProtection="1">
      <alignment horizontal="center" vertical="center"/>
    </xf>
    <xf numFmtId="0" fontId="0" fillId="22" borderId="23" xfId="0" applyFill="1" applyBorder="1" applyAlignment="1" applyProtection="1">
      <alignment vertical="center"/>
    </xf>
    <xf numFmtId="0" fontId="106" fillId="23" borderId="23" xfId="439" applyNumberFormat="1" applyFont="1" applyFill="1" applyBorder="1" applyAlignment="1" applyProtection="1">
      <alignment horizontal="center" vertical="center" wrapText="1"/>
    </xf>
    <xf numFmtId="0" fontId="0" fillId="0" borderId="23" xfId="0" applyNumberFormat="1" applyFill="1" applyBorder="1" applyAlignment="1" applyProtection="1">
      <alignment horizontal="left" vertical="center" wrapText="1"/>
    </xf>
    <xf numFmtId="0" fontId="0" fillId="0" borderId="0" xfId="0" applyProtection="1"/>
    <xf numFmtId="0" fontId="0" fillId="0" borderId="25" xfId="0" applyNumberFormat="1" applyFill="1" applyBorder="1" applyAlignment="1" applyProtection="1">
      <alignment horizontal="left" vertical="center" wrapText="1"/>
    </xf>
    <xf numFmtId="164" fontId="106" fillId="29" borderId="31" xfId="439"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0" fillId="0" borderId="0" xfId="0" applyAlignment="1" applyProtection="1">
      <alignment horizontal="center" vertical="center"/>
    </xf>
    <xf numFmtId="0" fontId="65" fillId="23" borderId="0" xfId="0" applyFont="1" applyFill="1" applyAlignment="1" applyProtection="1">
      <alignment vertical="center" wrapText="1"/>
    </xf>
    <xf numFmtId="0" fontId="65" fillId="21" borderId="0" xfId="0" applyFont="1" applyFill="1" applyBorder="1" applyAlignment="1" applyProtection="1">
      <alignment horizontal="center" vertical="center" wrapText="1"/>
    </xf>
    <xf numFmtId="0" fontId="0" fillId="0" borderId="31" xfId="0" applyFont="1" applyFill="1" applyBorder="1" applyAlignment="1" applyProtection="1">
      <alignment vertical="center" wrapText="1"/>
    </xf>
    <xf numFmtId="0" fontId="0" fillId="0" borderId="0" xfId="0" applyNumberFormat="1" applyFill="1" applyAlignment="1" applyProtection="1">
      <alignment horizontal="left" vertical="center" wrapText="1"/>
    </xf>
    <xf numFmtId="0" fontId="106" fillId="0" borderId="0" xfId="0" applyFont="1" applyProtection="1"/>
    <xf numFmtId="0" fontId="105" fillId="21" borderId="10" xfId="0" applyFont="1" applyFill="1" applyBorder="1" applyAlignment="1" applyProtection="1">
      <alignment horizontal="center" vertical="center" wrapText="1"/>
    </xf>
    <xf numFmtId="0" fontId="105" fillId="21" borderId="0" xfId="0" applyFont="1" applyFill="1" applyBorder="1" applyAlignment="1" applyProtection="1">
      <alignment horizontal="center" vertical="center" wrapText="1"/>
    </xf>
    <xf numFmtId="0" fontId="106" fillId="0" borderId="23" xfId="0" applyNumberFormat="1" applyFont="1" applyFill="1" applyBorder="1" applyAlignment="1" applyProtection="1">
      <alignment horizontal="left" vertical="center" wrapText="1"/>
    </xf>
    <xf numFmtId="0" fontId="106" fillId="23" borderId="23" xfId="0" applyNumberFormat="1" applyFont="1" applyFill="1" applyBorder="1" applyAlignment="1" applyProtection="1">
      <alignment horizontal="left" vertical="center" wrapText="1"/>
    </xf>
    <xf numFmtId="0" fontId="106" fillId="0" borderId="25" xfId="0" applyNumberFormat="1" applyFont="1" applyFill="1" applyBorder="1" applyAlignment="1" applyProtection="1">
      <alignment horizontal="left" vertical="center" wrapText="1"/>
    </xf>
    <xf numFmtId="0" fontId="105" fillId="0" borderId="0" xfId="0" applyFont="1" applyAlignment="1" applyProtection="1">
      <alignment horizontal="center" vertical="center"/>
    </xf>
    <xf numFmtId="0" fontId="106" fillId="0" borderId="31" xfId="0" applyNumberFormat="1" applyFont="1" applyFill="1" applyBorder="1" applyAlignment="1" applyProtection="1">
      <alignment horizontal="left" vertical="center" wrapText="1"/>
    </xf>
    <xf numFmtId="0" fontId="0" fillId="23" borderId="0" xfId="0" applyFill="1" applyAlignment="1" applyProtection="1">
      <alignment horizontal="left" vertical="center"/>
    </xf>
    <xf numFmtId="49" fontId="64" fillId="0" borderId="0" xfId="0" applyNumberFormat="1" applyFont="1" applyFill="1" applyAlignment="1" applyProtection="1">
      <alignment horizontal="center" vertical="center"/>
    </xf>
    <xf numFmtId="0" fontId="0" fillId="0" borderId="0" xfId="0" applyFont="1" applyFill="1" applyAlignment="1" applyProtection="1">
      <alignment vertical="center" wrapText="1"/>
    </xf>
    <xf numFmtId="0" fontId="0" fillId="0" borderId="23" xfId="0" applyNumberFormat="1" applyFill="1" applyBorder="1" applyAlignment="1" applyProtection="1">
      <alignment horizontal="left" vertical="center" wrapText="1"/>
    </xf>
    <xf numFmtId="164" fontId="109" fillId="29" borderId="16" xfId="439" applyNumberFormat="1" applyFont="1" applyFill="1" applyBorder="1" applyAlignment="1" applyProtection="1">
      <alignment horizontal="center" wrapText="1"/>
      <protection locked="0"/>
    </xf>
    <xf numFmtId="0" fontId="0" fillId="0" borderId="0" xfId="0" applyFont="1" applyFill="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70" fillId="0" borderId="0" xfId="439" applyNumberFormat="1" applyFont="1" applyFill="1" applyAlignment="1" applyProtection="1">
      <alignment horizontal="center" vertical="center" wrapText="1"/>
    </xf>
    <xf numFmtId="0" fontId="111" fillId="0" borderId="0" xfId="0" applyNumberFormat="1" applyFont="1" applyFill="1" applyAlignment="1" applyProtection="1">
      <alignment horizontal="left" vertical="center" wrapText="1"/>
    </xf>
    <xf numFmtId="0" fontId="99" fillId="0" borderId="0" xfId="0" applyFont="1" applyFill="1" applyAlignment="1" applyProtection="1">
      <alignment vertical="center" wrapText="1"/>
    </xf>
    <xf numFmtId="0" fontId="86" fillId="21" borderId="22" xfId="0" applyFont="1" applyFill="1" applyBorder="1" applyAlignment="1" applyProtection="1">
      <alignment horizontal="center" wrapText="1"/>
    </xf>
    <xf numFmtId="0" fontId="65" fillId="0" borderId="0" xfId="0" applyFont="1" applyFill="1" applyBorder="1" applyAlignment="1" applyProtection="1">
      <alignment horizontal="center"/>
    </xf>
    <xf numFmtId="0" fontId="113" fillId="0" borderId="0" xfId="0" applyNumberFormat="1" applyFont="1" applyFill="1" applyAlignment="1" applyProtection="1">
      <alignment vertical="center" wrapText="1"/>
    </xf>
    <xf numFmtId="0" fontId="83" fillId="0" borderId="0" xfId="0" applyFont="1" applyAlignment="1" applyProtection="1">
      <alignment wrapText="1"/>
    </xf>
    <xf numFmtId="0" fontId="70" fillId="0" borderId="23" xfId="1243" applyFont="1" applyFill="1" applyBorder="1" applyAlignment="1" applyProtection="1">
      <alignment horizontal="left" vertical="center" wrapText="1"/>
    </xf>
    <xf numFmtId="0" fontId="0" fillId="0" borderId="32" xfId="0" applyNumberFormat="1" applyFill="1" applyBorder="1" applyAlignment="1" applyProtection="1">
      <alignment horizontal="left" vertical="center" wrapText="1"/>
    </xf>
    <xf numFmtId="0" fontId="0" fillId="0" borderId="33" xfId="0" applyNumberFormat="1" applyFill="1" applyBorder="1" applyAlignment="1" applyProtection="1">
      <alignment horizontal="left" vertical="center" wrapText="1"/>
    </xf>
    <xf numFmtId="0" fontId="0" fillId="0" borderId="23" xfId="0" applyFill="1" applyBorder="1" applyAlignment="1">
      <alignment vertical="center" wrapText="1"/>
    </xf>
    <xf numFmtId="164" fontId="85" fillId="25" borderId="0" xfId="439" applyNumberFormat="1" applyFont="1" applyFill="1" applyAlignment="1" applyProtection="1">
      <alignment horizontal="center"/>
    </xf>
    <xf numFmtId="164" fontId="58" fillId="0" borderId="28" xfId="439" applyNumberFormat="1" applyFont="1" applyFill="1" applyBorder="1" applyAlignment="1" applyProtection="1">
      <alignment vertical="center"/>
    </xf>
    <xf numFmtId="0" fontId="114" fillId="0" borderId="0" xfId="0" applyFont="1" applyAlignment="1" applyProtection="1">
      <alignment horizontal="center" vertical="center" wrapText="1"/>
    </xf>
    <xf numFmtId="0" fontId="0" fillId="30" borderId="23" xfId="0" applyFont="1" applyFill="1" applyBorder="1" applyAlignment="1" applyProtection="1">
      <alignment vertical="center" wrapText="1"/>
    </xf>
    <xf numFmtId="164" fontId="106" fillId="22" borderId="23" xfId="439" applyNumberFormat="1" applyFont="1" applyFill="1" applyBorder="1" applyAlignment="1" applyProtection="1">
      <alignment horizontal="center" vertical="center" wrapText="1"/>
    </xf>
    <xf numFmtId="164" fontId="58" fillId="0" borderId="0" xfId="439" applyNumberFormat="1" applyFont="1" applyAlignment="1" applyProtection="1">
      <alignment vertical="center"/>
    </xf>
    <xf numFmtId="0" fontId="83" fillId="30" borderId="25" xfId="0" applyNumberFormat="1" applyFont="1" applyFill="1" applyBorder="1" applyAlignment="1" applyProtection="1">
      <alignment horizontal="center" vertical="center" wrapText="1"/>
    </xf>
    <xf numFmtId="164" fontId="83" fillId="24" borderId="10" xfId="439" applyNumberFormat="1" applyFont="1" applyFill="1" applyBorder="1" applyAlignment="1" applyProtection="1">
      <alignment horizontal="center" wrapText="1"/>
    </xf>
    <xf numFmtId="164" fontId="58" fillId="30" borderId="28" xfId="439" applyNumberFormat="1" applyFont="1" applyFill="1" applyBorder="1" applyAlignment="1" applyProtection="1">
      <alignment vertical="center"/>
    </xf>
    <xf numFmtId="164" fontId="65" fillId="24" borderId="0" xfId="439" applyNumberFormat="1" applyFont="1" applyFill="1" applyBorder="1" applyAlignment="1" applyProtection="1">
      <alignment horizontal="center" wrapText="1"/>
    </xf>
    <xf numFmtId="164" fontId="58" fillId="23" borderId="28" xfId="439" applyNumberFormat="1" applyFont="1" applyFill="1" applyBorder="1" applyAlignment="1" applyProtection="1">
      <alignment vertical="center"/>
    </xf>
    <xf numFmtId="164" fontId="58" fillId="0" borderId="29" xfId="439" applyNumberFormat="1" applyFont="1" applyBorder="1" applyAlignment="1" applyProtection="1">
      <alignment vertical="center"/>
    </xf>
    <xf numFmtId="164" fontId="58" fillId="0" borderId="28" xfId="439" applyNumberFormat="1" applyFont="1" applyBorder="1" applyAlignment="1" applyProtection="1">
      <alignment vertical="center"/>
    </xf>
    <xf numFmtId="164" fontId="58" fillId="0" borderId="0" xfId="439" applyNumberFormat="1" applyFont="1" applyProtection="1"/>
    <xf numFmtId="164" fontId="58" fillId="23" borderId="0" xfId="439" applyNumberFormat="1" applyFont="1" applyFill="1" applyProtection="1"/>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Border="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Border="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0" fontId="115" fillId="0" borderId="0" xfId="720" applyNumberFormat="1" applyFont="1" applyFill="1" applyAlignment="1" applyProtection="1">
      <alignment horizontal="left" vertical="center" wrapText="1"/>
    </xf>
    <xf numFmtId="0" fontId="69" fillId="0" borderId="0" xfId="0" applyFont="1" applyFill="1" applyAlignment="1" applyProtection="1">
      <alignment vertical="center" wrapText="1"/>
    </xf>
    <xf numFmtId="3" fontId="8" fillId="0" borderId="0" xfId="1540" applyFont="1" applyFill="1" applyAlignment="1" applyProtection="1">
      <alignment vertical="center" wrapText="1"/>
    </xf>
    <xf numFmtId="0" fontId="69" fillId="0" borderId="0" xfId="0" applyFont="1" applyFill="1" applyAlignment="1" applyProtection="1">
      <alignment vertical="center" wrapText="1"/>
      <protection locked="0"/>
    </xf>
    <xf numFmtId="0" fontId="69" fillId="0" borderId="0" xfId="0" applyFont="1" applyFill="1" applyAlignment="1" applyProtection="1">
      <alignment vertical="center" wrapText="1"/>
      <protection locked="0"/>
    </xf>
    <xf numFmtId="39" fontId="0" fillId="0" borderId="0" xfId="0" applyNumberFormat="1" applyProtection="1"/>
    <xf numFmtId="39" fontId="64" fillId="0" borderId="0" xfId="0" applyNumberFormat="1" applyFont="1" applyAlignment="1" applyProtection="1">
      <alignment horizontal="center"/>
    </xf>
    <xf numFmtId="39" fontId="65" fillId="21" borderId="0" xfId="0" applyNumberFormat="1" applyFont="1" applyFill="1" applyBorder="1" applyAlignment="1" applyProtection="1">
      <alignment horizontal="center" wrapText="1"/>
    </xf>
    <xf numFmtId="39" fontId="106" fillId="0" borderId="29" xfId="439" applyNumberFormat="1" applyFont="1" applyFill="1" applyBorder="1" applyAlignment="1" applyProtection="1">
      <alignment horizontal="center" vertical="center" wrapText="1"/>
    </xf>
    <xf numFmtId="39" fontId="106" fillId="0" borderId="28" xfId="439" applyNumberFormat="1" applyFont="1" applyFill="1" applyBorder="1" applyAlignment="1" applyProtection="1">
      <alignment horizontal="center" vertical="center" wrapText="1"/>
    </xf>
    <xf numFmtId="39" fontId="106" fillId="23" borderId="28" xfId="439" applyNumberFormat="1" applyFont="1" applyFill="1" applyBorder="1" applyAlignment="1" applyProtection="1">
      <alignment horizontal="center" vertical="center" wrapText="1"/>
    </xf>
    <xf numFmtId="39" fontId="0" fillId="22" borderId="28" xfId="0" applyNumberFormat="1" applyFill="1" applyBorder="1" applyAlignment="1" applyProtection="1">
      <alignment vertical="center"/>
    </xf>
    <xf numFmtId="39" fontId="0" fillId="22" borderId="27" xfId="0" applyNumberFormat="1" applyFill="1" applyBorder="1" applyAlignment="1" applyProtection="1">
      <alignment vertical="center"/>
    </xf>
    <xf numFmtId="39" fontId="0" fillId="0" borderId="0" xfId="0" applyNumberFormat="1" applyAlignment="1" applyProtection="1">
      <alignment vertical="center"/>
    </xf>
    <xf numFmtId="39" fontId="0" fillId="0" borderId="0" xfId="0" applyNumberFormat="1" applyFill="1" applyBorder="1" applyAlignment="1" applyProtection="1">
      <alignment horizontal="left" vertical="center" wrapText="1"/>
    </xf>
    <xf numFmtId="0" fontId="64" fillId="0" borderId="0" xfId="0" applyFont="1" applyAlignment="1" applyProtection="1">
      <alignment horizontal="left" vertical="center" wrapText="1"/>
    </xf>
    <xf numFmtId="0" fontId="65" fillId="0" borderId="0" xfId="0" applyFont="1" applyFill="1" applyAlignment="1" applyProtection="1">
      <alignment vertical="center" wrapText="1"/>
    </xf>
    <xf numFmtId="0" fontId="116" fillId="0" borderId="0" xfId="0" applyFont="1" applyProtection="1"/>
    <xf numFmtId="41" fontId="117"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0" fontId="6" fillId="0" borderId="0" xfId="0" applyNumberFormat="1" applyFont="1" applyFill="1" applyAlignment="1" applyProtection="1">
      <alignment horizontal="left" vertical="center" wrapText="1"/>
    </xf>
    <xf numFmtId="39" fontId="86" fillId="31" borderId="0" xfId="0" applyNumberFormat="1" applyFont="1" applyFill="1" applyBorder="1" applyAlignment="1" applyProtection="1">
      <alignment horizontal="center" wrapText="1"/>
    </xf>
    <xf numFmtId="43" fontId="115" fillId="0" borderId="28" xfId="439" applyNumberFormat="1" applyFont="1" applyBorder="1" applyAlignment="1" applyProtection="1">
      <alignment vertical="center"/>
    </xf>
    <xf numFmtId="0" fontId="64" fillId="32" borderId="25" xfId="0" applyNumberFormat="1" applyFont="1" applyFill="1" applyBorder="1" applyAlignment="1" applyProtection="1">
      <alignment horizontal="center" vertical="center"/>
    </xf>
    <xf numFmtId="0" fontId="0" fillId="32" borderId="23" xfId="0" applyFont="1" applyFill="1" applyBorder="1" applyAlignment="1" applyProtection="1">
      <alignment vertical="center" wrapText="1"/>
    </xf>
    <xf numFmtId="164" fontId="58" fillId="32" borderId="29" xfId="439" applyNumberFormat="1" applyFont="1" applyFill="1" applyBorder="1" applyAlignment="1" applyProtection="1">
      <alignment vertical="center"/>
    </xf>
    <xf numFmtId="0" fontId="114" fillId="32" borderId="0" xfId="0" applyFont="1" applyFill="1" applyAlignment="1" applyProtection="1">
      <alignment horizontal="center" vertical="center" wrapText="1"/>
    </xf>
    <xf numFmtId="164" fontId="106" fillId="0" borderId="23" xfId="439" applyNumberFormat="1" applyFont="1" applyFill="1" applyBorder="1" applyAlignment="1" applyProtection="1">
      <alignment horizontal="center" vertical="center" wrapText="1"/>
    </xf>
    <xf numFmtId="0" fontId="0" fillId="0" borderId="0" xfId="0" applyFill="1" applyProtection="1">
      <protection locked="0"/>
    </xf>
    <xf numFmtId="0" fontId="66" fillId="0" borderId="0" xfId="0" applyFont="1" applyFill="1" applyAlignment="1" applyProtection="1">
      <alignment wrapText="1"/>
      <protection locked="0"/>
    </xf>
    <xf numFmtId="0" fontId="112" fillId="0" borderId="0" xfId="0" applyFont="1" applyFill="1" applyAlignment="1" applyProtection="1">
      <alignment wrapText="1"/>
      <protection locked="0"/>
    </xf>
    <xf numFmtId="0" fontId="110" fillId="0" borderId="0" xfId="0" applyFont="1" applyAlignment="1" applyProtection="1">
      <alignment wrapText="1"/>
      <protection locked="0"/>
    </xf>
    <xf numFmtId="0" fontId="0" fillId="0" borderId="0" xfId="0" applyFont="1" applyProtection="1">
      <protection locked="0"/>
    </xf>
    <xf numFmtId="0" fontId="0" fillId="0" borderId="0" xfId="0" applyAlignment="1" applyProtection="1">
      <alignment horizontal="center"/>
    </xf>
    <xf numFmtId="0" fontId="0" fillId="0" borderId="0" xfId="0"/>
    <xf numFmtId="39" fontId="106" fillId="0" borderId="28" xfId="439" applyNumberFormat="1" applyFont="1" applyFill="1" applyBorder="1" applyAlignment="1" applyProtection="1">
      <alignment horizontal="center" vertical="center" wrapText="1"/>
    </xf>
    <xf numFmtId="0" fontId="87" fillId="0" borderId="25" xfId="0" applyNumberFormat="1" applyFont="1" applyFill="1" applyBorder="1" applyAlignment="1" applyProtection="1">
      <alignment horizontal="left" vertical="center" wrapText="1"/>
    </xf>
    <xf numFmtId="0" fontId="66" fillId="0" borderId="25" xfId="0" applyNumberFormat="1" applyFont="1" applyFill="1" applyBorder="1" applyAlignment="1" applyProtection="1">
      <alignment horizontal="left" vertical="center" wrapText="1"/>
    </xf>
    <xf numFmtId="170" fontId="58" fillId="0" borderId="28" xfId="439" applyNumberFormat="1" applyFont="1" applyFill="1" applyBorder="1" applyAlignment="1" applyProtection="1">
      <alignment vertical="center"/>
    </xf>
    <xf numFmtId="172" fontId="58" fillId="0" borderId="28" xfId="439" applyNumberFormat="1" applyFont="1" applyFill="1" applyBorder="1" applyAlignment="1" applyProtection="1">
      <alignment vertical="center"/>
    </xf>
    <xf numFmtId="0" fontId="5" fillId="0" borderId="0" xfId="0" applyNumberFormat="1" applyFont="1" applyFill="1" applyAlignment="1" applyProtection="1">
      <alignment vertical="center" wrapText="1"/>
    </xf>
    <xf numFmtId="41" fontId="79" fillId="29" borderId="0" xfId="439" applyNumberFormat="1" applyFont="1" applyFill="1" applyAlignment="1" applyProtection="1">
      <alignment horizontal="center" vertical="center" wrapText="1"/>
      <protection locked="0"/>
    </xf>
    <xf numFmtId="0" fontId="70" fillId="0" borderId="0" xfId="0" applyNumberFormat="1" applyFont="1" applyFill="1" applyAlignment="1" applyProtection="1">
      <alignment vertical="center" wrapText="1"/>
    </xf>
    <xf numFmtId="164" fontId="100" fillId="22" borderId="0" xfId="439" applyNumberFormat="1" applyFont="1" applyFill="1" applyAlignment="1" applyProtection="1">
      <alignment horizontal="center" vertical="center" wrapText="1"/>
    </xf>
    <xf numFmtId="0" fontId="69" fillId="0" borderId="0" xfId="0" applyFont="1" applyFill="1" applyBorder="1" applyAlignment="1" applyProtection="1">
      <alignment vertical="center" wrapText="1"/>
    </xf>
    <xf numFmtId="164" fontId="58" fillId="0" borderId="29" xfId="439" applyNumberFormat="1" applyFont="1" applyFill="1" applyBorder="1" applyAlignment="1" applyProtection="1">
      <alignment vertical="center"/>
    </xf>
    <xf numFmtId="0" fontId="6" fillId="0" borderId="0" xfId="0" applyNumberFormat="1" applyFont="1" applyFill="1" applyAlignment="1" applyProtection="1">
      <alignment vertical="center" wrapText="1"/>
    </xf>
    <xf numFmtId="38" fontId="70" fillId="22" borderId="0" xfId="439" applyNumberFormat="1" applyFont="1" applyFill="1" applyAlignment="1" applyProtection="1">
      <alignment horizontal="center" vertical="center" wrapText="1"/>
    </xf>
    <xf numFmtId="41" fontId="67" fillId="0" borderId="0" xfId="0" applyNumberFormat="1" applyFont="1" applyFill="1" applyBorder="1" applyAlignment="1" applyProtection="1">
      <alignment wrapText="1"/>
      <protection locked="0"/>
    </xf>
    <xf numFmtId="0" fontId="65" fillId="0" borderId="0" xfId="0" applyFont="1" applyFill="1" applyAlignment="1" applyProtection="1">
      <alignment horizontal="left" wrapText="1" indent="2"/>
    </xf>
    <xf numFmtId="0" fontId="115" fillId="0" borderId="0" xfId="0" applyNumberFormat="1" applyFont="1" applyFill="1" applyAlignment="1" applyProtection="1">
      <alignment horizontal="left" vertical="center" wrapText="1"/>
    </xf>
    <xf numFmtId="41" fontId="106" fillId="0" borderId="23" xfId="439" applyNumberFormat="1" applyFont="1" applyFill="1" applyBorder="1" applyAlignment="1" applyProtection="1">
      <alignment horizontal="center" vertical="center" wrapText="1"/>
    </xf>
    <xf numFmtId="0" fontId="79" fillId="0" borderId="23" xfId="439" applyNumberFormat="1" applyFont="1" applyFill="1" applyBorder="1" applyAlignment="1" applyProtection="1">
      <alignment horizontal="center" vertical="center" wrapText="1"/>
    </xf>
    <xf numFmtId="41" fontId="118" fillId="0" borderId="0" xfId="0" applyNumberFormat="1" applyFont="1" applyFill="1" applyAlignment="1" applyProtection="1">
      <alignment wrapText="1"/>
    </xf>
    <xf numFmtId="0" fontId="116"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41" fontId="119" fillId="0" borderId="0" xfId="0" applyNumberFormat="1" applyFont="1" applyFill="1" applyAlignment="1" applyProtection="1">
      <alignment wrapText="1"/>
    </xf>
    <xf numFmtId="0" fontId="0" fillId="0" borderId="0" xfId="0" applyProtection="1"/>
    <xf numFmtId="0" fontId="0" fillId="0" borderId="0" xfId="0" applyFill="1" applyProtection="1"/>
    <xf numFmtId="0" fontId="0" fillId="0" borderId="0" xfId="0" applyProtection="1">
      <protection locked="0"/>
    </xf>
    <xf numFmtId="0" fontId="83" fillId="0" borderId="0" xfId="0" applyFont="1" applyFill="1" applyAlignment="1" applyProtection="1">
      <alignment horizontal="center" vertical="center" wrapText="1"/>
    </xf>
    <xf numFmtId="0" fontId="106" fillId="0" borderId="23" xfId="439" applyNumberFormat="1" applyFont="1" applyFill="1" applyBorder="1" applyAlignment="1" applyProtection="1">
      <alignment horizontal="center" vertical="center" wrapText="1"/>
    </xf>
    <xf numFmtId="164" fontId="106" fillId="0" borderId="23" xfId="439" applyNumberFormat="1" applyFont="1" applyFill="1" applyBorder="1" applyAlignment="1" applyProtection="1">
      <alignment horizontal="center" vertical="center" wrapText="1"/>
    </xf>
    <xf numFmtId="164" fontId="106" fillId="29" borderId="23" xfId="439" applyNumberFormat="1" applyFont="1" applyFill="1" applyBorder="1" applyAlignment="1" applyProtection="1">
      <alignment horizontal="center" vertical="center" wrapText="1"/>
      <protection locked="0"/>
    </xf>
    <xf numFmtId="164" fontId="106" fillId="29" borderId="31" xfId="439"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xf>
    <xf numFmtId="39" fontId="106" fillId="0" borderId="28" xfId="439"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164" fontId="106" fillId="0" borderId="0" xfId="439" applyNumberFormat="1" applyFont="1" applyFill="1" applyBorder="1" applyAlignment="1" applyProtection="1">
      <alignment horizontal="center" vertical="center" wrapText="1"/>
    </xf>
    <xf numFmtId="170" fontId="106" fillId="29" borderId="23" xfId="439" applyNumberFormat="1" applyFont="1" applyFill="1" applyBorder="1" applyAlignment="1" applyProtection="1">
      <alignment horizontal="center" vertical="center" wrapText="1"/>
      <protection locked="0"/>
    </xf>
    <xf numFmtId="164" fontId="106" fillId="0" borderId="23" xfId="439" applyNumberFormat="1" applyFont="1" applyFill="1" applyBorder="1" applyAlignment="1" applyProtection="1">
      <alignment horizontal="center" vertical="center" wrapText="1"/>
    </xf>
    <xf numFmtId="0" fontId="0" fillId="0" borderId="23" xfId="0" applyFont="1" applyFill="1" applyBorder="1" applyAlignment="1" applyProtection="1">
      <alignment vertical="center" wrapText="1"/>
    </xf>
    <xf numFmtId="0" fontId="64" fillId="0" borderId="25" xfId="0" applyNumberFormat="1" applyFont="1" applyFill="1" applyBorder="1" applyAlignment="1" applyProtection="1">
      <alignment horizontal="center" vertical="center"/>
    </xf>
    <xf numFmtId="164" fontId="58" fillId="0" borderId="28" xfId="439" applyNumberFormat="1" applyFont="1" applyFill="1" applyBorder="1" applyAlignment="1" applyProtection="1">
      <alignment vertical="center"/>
    </xf>
    <xf numFmtId="0" fontId="0" fillId="0" borderId="23" xfId="0" applyNumberFormat="1" applyFill="1" applyBorder="1" applyAlignment="1" applyProtection="1">
      <alignment horizontal="left" vertical="center" wrapText="1"/>
    </xf>
    <xf numFmtId="0" fontId="0" fillId="0" borderId="25" xfId="0" applyNumberFormat="1" applyFill="1" applyBorder="1" applyAlignment="1" applyProtection="1">
      <alignment horizontal="left" vertical="center" wrapText="1"/>
    </xf>
    <xf numFmtId="0" fontId="106" fillId="0" borderId="23" xfId="0" applyNumberFormat="1" applyFont="1" applyFill="1" applyBorder="1" applyAlignment="1" applyProtection="1">
      <alignment horizontal="left" vertical="center" wrapText="1"/>
    </xf>
    <xf numFmtId="164" fontId="106" fillId="0" borderId="0" xfId="439" applyNumberFormat="1" applyFont="1" applyFill="1" applyBorder="1" applyAlignment="1" applyProtection="1">
      <alignment horizontal="center" vertical="center" wrapText="1"/>
    </xf>
    <xf numFmtId="0" fontId="60" fillId="0" borderId="0" xfId="611"/>
    <xf numFmtId="0" fontId="1" fillId="0" borderId="0" xfId="0" applyNumberFormat="1" applyFont="1" applyFill="1" applyAlignment="1" applyProtection="1">
      <alignment horizontal="left" vertical="center" wrapText="1"/>
    </xf>
    <xf numFmtId="0" fontId="0" fillId="0" borderId="0" xfId="0" applyNumberFormat="1" applyFill="1" applyAlignment="1" applyProtection="1">
      <alignment vertical="center" wrapText="1"/>
    </xf>
    <xf numFmtId="0" fontId="5" fillId="0" borderId="0" xfId="0" applyFont="1" applyFill="1" applyAlignment="1" applyProtection="1">
      <alignment vertical="center" wrapText="1"/>
    </xf>
    <xf numFmtId="0" fontId="69" fillId="0" borderId="0" xfId="0" applyFont="1" applyFill="1" applyAlignment="1" applyProtection="1">
      <alignment horizontal="left" vertical="center"/>
    </xf>
    <xf numFmtId="0" fontId="105" fillId="0" borderId="0" xfId="0" applyFont="1" applyFill="1" applyAlignment="1" applyProtection="1">
      <alignment horizontal="center" wrapText="1"/>
    </xf>
    <xf numFmtId="0" fontId="69" fillId="0" borderId="0" xfId="0" applyFont="1" applyFill="1" applyAlignment="1" applyProtection="1">
      <alignment vertical="center"/>
    </xf>
    <xf numFmtId="0" fontId="0" fillId="0" borderId="0" xfId="0" applyFont="1" applyFill="1" applyBorder="1" applyAlignment="1" applyProtection="1">
      <alignment vertical="center" wrapText="1"/>
    </xf>
    <xf numFmtId="43" fontId="115" fillId="0" borderId="28" xfId="439" applyNumberFormat="1" applyFont="1" applyBorder="1" applyAlignment="1" applyProtection="1">
      <alignment vertical="center"/>
    </xf>
    <xf numFmtId="175" fontId="115" fillId="0" borderId="28" xfId="439" applyNumberFormat="1" applyFont="1" applyBorder="1" applyAlignment="1" applyProtection="1">
      <alignment vertical="center"/>
    </xf>
    <xf numFmtId="37" fontId="107" fillId="33" borderId="28" xfId="439" applyNumberFormat="1" applyFont="1" applyFill="1" applyBorder="1" applyAlignment="1" applyProtection="1">
      <alignment horizontal="center" vertical="center" wrapText="1"/>
    </xf>
    <xf numFmtId="37" fontId="64" fillId="0" borderId="28" xfId="439" applyNumberFormat="1" applyFont="1" applyFill="1" applyBorder="1" applyAlignment="1" applyProtection="1">
      <alignment horizontal="center" vertical="center" wrapText="1"/>
    </xf>
    <xf numFmtId="37" fontId="107" fillId="0" borderId="28" xfId="439" applyNumberFormat="1" applyFont="1" applyFill="1" applyBorder="1" applyAlignment="1" applyProtection="1">
      <alignment horizontal="center" vertical="center" wrapText="1"/>
    </xf>
    <xf numFmtId="37" fontId="64" fillId="23" borderId="28" xfId="439" applyNumberFormat="1" applyFont="1" applyFill="1" applyBorder="1" applyAlignment="1" applyProtection="1">
      <alignment horizontal="center" vertical="center" wrapText="1"/>
    </xf>
    <xf numFmtId="41" fontId="58" fillId="0" borderId="0" xfId="439" applyNumberFormat="1" applyFont="1" applyAlignment="1" applyProtection="1">
      <alignment vertical="center"/>
    </xf>
    <xf numFmtId="0" fontId="64" fillId="0" borderId="24" xfId="0" applyNumberFormat="1" applyFont="1" applyFill="1" applyBorder="1" applyAlignment="1" applyProtection="1">
      <alignment horizontal="center" vertical="center"/>
    </xf>
    <xf numFmtId="164" fontId="58" fillId="34" borderId="28" xfId="439" applyNumberFormat="1" applyFont="1" applyFill="1" applyBorder="1" applyAlignment="1" applyProtection="1">
      <alignment vertical="center"/>
    </xf>
    <xf numFmtId="0" fontId="69" fillId="0" borderId="0" xfId="0" applyNumberFormat="1" applyFont="1" applyFill="1" applyAlignment="1" applyProtection="1">
      <alignment horizontal="left" vertical="center" wrapText="1"/>
    </xf>
    <xf numFmtId="0" fontId="0" fillId="34" borderId="25" xfId="0" applyNumberFormat="1" applyFill="1" applyBorder="1" applyAlignment="1" applyProtection="1">
      <alignment horizontal="left" vertical="center" wrapText="1"/>
    </xf>
    <xf numFmtId="0" fontId="64" fillId="34" borderId="24" xfId="0" applyNumberFormat="1" applyFont="1" applyFill="1" applyBorder="1" applyAlignment="1" applyProtection="1">
      <alignment horizontal="center" vertical="center"/>
    </xf>
    <xf numFmtId="0" fontId="106" fillId="34" borderId="23" xfId="0" applyNumberFormat="1" applyFont="1" applyFill="1" applyBorder="1" applyAlignment="1" applyProtection="1">
      <alignment horizontal="left" vertical="center" wrapText="1"/>
    </xf>
    <xf numFmtId="0" fontId="0" fillId="34" borderId="23" xfId="0" applyNumberFormat="1" applyFill="1" applyBorder="1" applyAlignment="1" applyProtection="1">
      <alignment horizontal="left" vertical="center" wrapText="1"/>
    </xf>
    <xf numFmtId="49" fontId="64" fillId="0" borderId="25" xfId="0" applyNumberFormat="1" applyFont="1" applyFill="1" applyBorder="1" applyAlignment="1" applyProtection="1">
      <alignment horizontal="center" vertical="center"/>
    </xf>
    <xf numFmtId="0" fontId="0" fillId="0" borderId="23" xfId="0" applyNumberFormat="1" applyFont="1" applyFill="1" applyBorder="1" applyAlignment="1" applyProtection="1">
      <alignment vertical="center" wrapText="1"/>
    </xf>
    <xf numFmtId="0" fontId="0" fillId="0" borderId="0" xfId="0" applyFont="1" applyFill="1" applyAlignment="1">
      <alignment vertical="center" wrapText="1"/>
    </xf>
    <xf numFmtId="165" fontId="106" fillId="29" borderId="23" xfId="439" applyNumberFormat="1" applyFont="1" applyFill="1" applyBorder="1" applyAlignment="1" applyProtection="1">
      <alignment horizontal="center" vertical="center" wrapText="1"/>
      <protection locked="0"/>
    </xf>
    <xf numFmtId="2" fontId="0" fillId="0" borderId="0" xfId="0" applyNumberFormat="1" applyProtection="1"/>
    <xf numFmtId="168" fontId="0" fillId="0" borderId="0" xfId="0" applyNumberFormat="1" applyProtection="1"/>
    <xf numFmtId="39" fontId="106" fillId="35" borderId="0" xfId="439" applyNumberFormat="1" applyFont="1" applyFill="1" applyBorder="1" applyAlignment="1" applyProtection="1">
      <alignment horizontal="center" vertical="center" wrapText="1"/>
    </xf>
    <xf numFmtId="0" fontId="0" fillId="35" borderId="0" xfId="0" applyFill="1" applyAlignment="1" applyProtection="1">
      <alignment horizontal="center" vertical="center"/>
    </xf>
    <xf numFmtId="39" fontId="106" fillId="34" borderId="28" xfId="439" applyNumberFormat="1" applyFont="1" applyFill="1" applyBorder="1" applyAlignment="1" applyProtection="1">
      <alignment horizontal="center" vertical="center" wrapText="1"/>
    </xf>
    <xf numFmtId="0" fontId="0" fillId="28" borderId="0" xfId="0" applyNumberFormat="1" applyFont="1" applyFill="1" applyAlignment="1" applyProtection="1">
      <alignment vertical="center" wrapText="1"/>
    </xf>
    <xf numFmtId="41" fontId="119" fillId="28" borderId="0" xfId="0" applyNumberFormat="1" applyFont="1" applyFill="1" applyAlignment="1" applyProtection="1">
      <alignment wrapText="1"/>
    </xf>
    <xf numFmtId="0" fontId="0" fillId="22" borderId="25" xfId="0" applyNumberFormat="1" applyFill="1" applyBorder="1" applyAlignment="1" applyProtection="1">
      <alignment horizontal="left" vertical="center" wrapText="1"/>
    </xf>
    <xf numFmtId="0" fontId="106" fillId="22" borderId="25" xfId="0" applyNumberFormat="1" applyFont="1" applyFill="1" applyBorder="1" applyAlignment="1" applyProtection="1">
      <alignment horizontal="left" vertical="center" wrapText="1"/>
    </xf>
    <xf numFmtId="0" fontId="0" fillId="22" borderId="23" xfId="0" applyNumberFormat="1" applyFill="1" applyBorder="1" applyAlignment="1" applyProtection="1">
      <alignment horizontal="left" vertical="center" wrapText="1"/>
    </xf>
    <xf numFmtId="0" fontId="69" fillId="22" borderId="24" xfId="0" applyFont="1" applyFill="1" applyBorder="1" applyAlignment="1" applyProtection="1">
      <alignment horizontal="center" vertical="center"/>
    </xf>
    <xf numFmtId="0" fontId="105" fillId="22" borderId="24" xfId="0" applyFont="1" applyFill="1" applyBorder="1" applyAlignment="1" applyProtection="1">
      <alignment horizontal="center" vertical="center"/>
    </xf>
    <xf numFmtId="0" fontId="0" fillId="22" borderId="30" xfId="0" applyNumberFormat="1" applyFill="1" applyBorder="1" applyAlignment="1" applyProtection="1">
      <alignment horizontal="left" vertical="center" wrapText="1"/>
    </xf>
    <xf numFmtId="0" fontId="69" fillId="34" borderId="34" xfId="0" applyFont="1" applyFill="1" applyBorder="1" applyAlignment="1" applyProtection="1">
      <alignment vertical="center" wrapText="1"/>
    </xf>
    <xf numFmtId="168" fontId="0" fillId="35" borderId="0" xfId="0" applyNumberFormat="1" applyFill="1" applyAlignment="1" applyProtection="1">
      <alignment wrapText="1"/>
    </xf>
    <xf numFmtId="39" fontId="106" fillId="0" borderId="0" xfId="439" applyNumberFormat="1" applyFont="1" applyFill="1" applyBorder="1" applyAlignment="1" applyProtection="1">
      <alignment horizontal="center" vertical="center" wrapText="1"/>
    </xf>
    <xf numFmtId="168" fontId="0" fillId="0" borderId="0" xfId="0" applyNumberFormat="1" applyFill="1" applyAlignment="1" applyProtection="1">
      <alignment wrapText="1"/>
    </xf>
    <xf numFmtId="164" fontId="0" fillId="0" borderId="0" xfId="0" applyNumberFormat="1" applyFont="1" applyFill="1" applyProtection="1"/>
    <xf numFmtId="164" fontId="106" fillId="34" borderId="23" xfId="439" applyNumberFormat="1" applyFont="1" applyFill="1" applyBorder="1" applyAlignment="1" applyProtection="1">
      <alignment horizontal="center" vertical="center" wrapText="1"/>
    </xf>
    <xf numFmtId="41" fontId="67" fillId="0" borderId="0" xfId="0" applyNumberFormat="1" applyFont="1" applyFill="1" applyAlignment="1" applyProtection="1">
      <alignment wrapText="1"/>
    </xf>
    <xf numFmtId="164" fontId="106" fillId="34" borderId="29" xfId="439" applyNumberFormat="1" applyFont="1" applyFill="1" applyBorder="1" applyAlignment="1" applyProtection="1">
      <alignment horizontal="center" vertical="center" wrapText="1"/>
    </xf>
    <xf numFmtId="3" fontId="0" fillId="0" borderId="0" xfId="0" applyNumberFormat="1" applyProtection="1"/>
    <xf numFmtId="3" fontId="0" fillId="0" borderId="0" xfId="0" applyNumberFormat="1" applyFill="1" applyProtection="1"/>
    <xf numFmtId="169" fontId="58" fillId="34" borderId="28" xfId="439" applyNumberFormat="1" applyFont="1" applyFill="1" applyBorder="1" applyAlignment="1" applyProtection="1">
      <alignment vertical="center"/>
    </xf>
    <xf numFmtId="164" fontId="106" fillId="34" borderId="31" xfId="439" applyNumberFormat="1" applyFont="1" applyFill="1" applyBorder="1" applyAlignment="1" applyProtection="1">
      <alignment horizontal="center" vertical="center" wrapText="1"/>
    </xf>
    <xf numFmtId="0" fontId="0" fillId="0" borderId="0" xfId="0" applyFont="1" applyFill="1" applyAlignment="1" applyProtection="1">
      <alignment horizontal="left" vertical="center" wrapText="1"/>
    </xf>
    <xf numFmtId="0" fontId="0" fillId="0" borderId="0" xfId="0" applyFill="1" applyAlignment="1">
      <alignment vertical="center" wrapText="1"/>
    </xf>
    <xf numFmtId="164" fontId="106" fillId="34" borderId="23" xfId="439" applyNumberFormat="1" applyFont="1" applyFill="1" applyBorder="1" applyAlignment="1" applyProtection="1">
      <alignment horizontal="center" vertical="center" wrapText="1"/>
      <protection locked="0"/>
    </xf>
    <xf numFmtId="0" fontId="64" fillId="34" borderId="0" xfId="0" applyFont="1" applyFill="1" applyProtection="1"/>
    <xf numFmtId="0" fontId="0" fillId="34" borderId="0" xfId="0" applyFill="1" applyAlignment="1" applyProtection="1">
      <alignment wrapText="1"/>
    </xf>
    <xf numFmtId="0" fontId="0" fillId="34" borderId="0" xfId="0" applyFill="1" applyProtection="1"/>
    <xf numFmtId="0" fontId="0" fillId="34" borderId="35" xfId="0" applyNumberFormat="1" applyFont="1" applyFill="1" applyBorder="1" applyAlignment="1" applyProtection="1">
      <alignment horizontal="left" vertical="center" wrapText="1"/>
    </xf>
    <xf numFmtId="0" fontId="0" fillId="34" borderId="35" xfId="0" applyNumberFormat="1" applyFont="1" applyFill="1" applyBorder="1" applyAlignment="1" applyProtection="1">
      <alignment horizontal="left" vertical="center" wrapText="1"/>
    </xf>
    <xf numFmtId="14" fontId="0" fillId="36" borderId="0" xfId="0" applyNumberFormat="1" applyFill="1" applyProtection="1"/>
    <xf numFmtId="0" fontId="0" fillId="34" borderId="35" xfId="0" applyNumberFormat="1" applyFont="1" applyFill="1" applyBorder="1" applyAlignment="1" applyProtection="1">
      <alignment horizontal="center" vertical="center" wrapText="1"/>
    </xf>
    <xf numFmtId="0" fontId="0" fillId="34" borderId="0" xfId="0" applyFill="1" applyAlignment="1">
      <alignment horizontal="left" vertical="center" wrapText="1"/>
    </xf>
    <xf numFmtId="37" fontId="58" fillId="34" borderId="28" xfId="439" applyNumberFormat="1" applyFont="1" applyFill="1" applyBorder="1" applyAlignment="1" applyProtection="1">
      <alignment horizontal="center" vertical="center" wrapText="1"/>
    </xf>
    <xf numFmtId="39" fontId="0" fillId="34" borderId="28" xfId="439" applyNumberFormat="1" applyFont="1" applyFill="1" applyBorder="1" applyAlignment="1" applyProtection="1">
      <alignment horizontal="center" vertical="center" wrapText="1"/>
    </xf>
    <xf numFmtId="39" fontId="0" fillId="34" borderId="28" xfId="439" applyNumberFormat="1" applyFont="1" applyFill="1" applyBorder="1" applyAlignment="1" applyProtection="1">
      <alignment vertical="center" wrapText="1"/>
    </xf>
    <xf numFmtId="176" fontId="64" fillId="29" borderId="0" xfId="439" applyNumberFormat="1" applyFont="1" applyFill="1" applyAlignment="1" applyProtection="1">
      <alignment horizontal="center" vertical="center"/>
      <protection locked="0"/>
    </xf>
    <xf numFmtId="37" fontId="64" fillId="28" borderId="0" xfId="439" applyNumberFormat="1" applyFont="1" applyFill="1" applyAlignment="1" applyProtection="1">
      <alignment horizontal="center" vertical="center"/>
    </xf>
    <xf numFmtId="3" fontId="64" fillId="29" borderId="0" xfId="439" applyNumberFormat="1" applyFont="1" applyFill="1" applyAlignment="1" applyProtection="1">
      <alignment horizontal="center" vertical="center" wrapText="1"/>
      <protection locked="0"/>
    </xf>
    <xf numFmtId="3" fontId="0" fillId="0" borderId="0" xfId="0" applyNumberFormat="1" applyFill="1" applyAlignment="1" applyProtection="1">
      <alignment horizontal="center" vertical="center" wrapText="1"/>
    </xf>
    <xf numFmtId="3" fontId="0" fillId="0" borderId="0" xfId="0" applyNumberFormat="1" applyAlignment="1" applyProtection="1">
      <alignment horizontal="center" vertical="center"/>
    </xf>
    <xf numFmtId="3" fontId="64" fillId="22" borderId="0" xfId="439" applyNumberFormat="1" applyFont="1" applyFill="1" applyAlignment="1" applyProtection="1">
      <alignment horizontal="center" vertical="center" wrapText="1"/>
    </xf>
    <xf numFmtId="3" fontId="64" fillId="0" borderId="0" xfId="439" applyNumberFormat="1" applyFont="1" applyFill="1" applyAlignment="1" applyProtection="1">
      <alignment horizontal="center" vertical="center" wrapText="1"/>
    </xf>
    <xf numFmtId="3" fontId="64" fillId="28" borderId="0" xfId="439" applyNumberFormat="1" applyFont="1" applyFill="1" applyAlignment="1" applyProtection="1">
      <alignment horizontal="center" vertical="center"/>
    </xf>
    <xf numFmtId="3" fontId="65" fillId="28" borderId="0" xfId="0" applyNumberFormat="1" applyFont="1" applyFill="1" applyAlignment="1" applyProtection="1">
      <alignment horizontal="center" vertical="center" wrapText="1"/>
    </xf>
    <xf numFmtId="3" fontId="65" fillId="28" borderId="0" xfId="0" applyNumberFormat="1" applyFont="1" applyFill="1" applyAlignment="1" applyProtection="1">
      <alignment horizontal="center" vertical="center"/>
    </xf>
    <xf numFmtId="3" fontId="58" fillId="28" borderId="0" xfId="439" applyNumberFormat="1" applyFont="1" applyFill="1" applyAlignment="1" applyProtection="1">
      <alignment horizontal="center" vertical="center"/>
    </xf>
    <xf numFmtId="2" fontId="65" fillId="28" borderId="0" xfId="0" applyNumberFormat="1" applyFont="1" applyFill="1" applyAlignment="1" applyProtection="1">
      <alignment horizontal="center" vertical="center" wrapText="1"/>
    </xf>
    <xf numFmtId="37" fontId="58" fillId="29" borderId="0" xfId="439" applyNumberFormat="1" applyFont="1" applyFill="1" applyAlignment="1" applyProtection="1">
      <alignment horizontal="center" vertical="center"/>
      <protection locked="0"/>
    </xf>
    <xf numFmtId="37" fontId="58" fillId="28" borderId="0" xfId="439" applyNumberFormat="1" applyFont="1" applyFill="1" applyAlignment="1" applyProtection="1">
      <alignment horizontal="center" vertical="center"/>
    </xf>
    <xf numFmtId="37" fontId="64" fillId="29" borderId="0" xfId="439" applyNumberFormat="1" applyFont="1" applyFill="1" applyAlignment="1" applyProtection="1">
      <alignment horizontal="center" vertical="center"/>
      <protection locked="0"/>
    </xf>
    <xf numFmtId="169" fontId="64" fillId="0" borderId="0" xfId="439" applyNumberFormat="1" applyFont="1" applyFill="1" applyAlignment="1" applyProtection="1">
      <alignment horizontal="center" vertical="center"/>
      <protection locked="0"/>
    </xf>
    <xf numFmtId="0" fontId="72" fillId="28" borderId="0" xfId="0" applyFont="1" applyFill="1" applyAlignment="1" applyProtection="1">
      <alignment horizontal="center" vertical="center"/>
    </xf>
    <xf numFmtId="2" fontId="64" fillId="29" borderId="0" xfId="439" applyNumberFormat="1" applyFont="1" applyFill="1" applyAlignment="1" applyProtection="1">
      <alignment horizontal="center" vertical="center"/>
      <protection locked="0"/>
    </xf>
    <xf numFmtId="3" fontId="64" fillId="29" borderId="0" xfId="439" applyNumberFormat="1" applyFont="1" applyFill="1" applyAlignment="1" applyProtection="1">
      <alignment horizontal="center" vertical="center"/>
      <protection locked="0"/>
    </xf>
    <xf numFmtId="164" fontId="58" fillId="22" borderId="0" xfId="439" applyNumberFormat="1" applyFont="1" applyFill="1" applyAlignment="1" applyProtection="1">
      <alignment horizontal="center" vertical="center"/>
    </xf>
    <xf numFmtId="174" fontId="64" fillId="29" borderId="0" xfId="439" applyNumberFormat="1" applyFont="1" applyFill="1" applyAlignment="1" applyProtection="1">
      <alignment horizontal="center" vertical="center"/>
      <protection locked="0"/>
    </xf>
    <xf numFmtId="0" fontId="65" fillId="28" borderId="0" xfId="0" applyFont="1" applyFill="1" applyAlignment="1" applyProtection="1">
      <alignment horizontal="center" vertical="center"/>
    </xf>
    <xf numFmtId="0" fontId="65" fillId="28" borderId="0" xfId="0" applyFont="1" applyFill="1" applyAlignment="1" applyProtection="1">
      <alignment horizontal="center" vertical="center" wrapText="1"/>
    </xf>
    <xf numFmtId="164" fontId="58" fillId="28" borderId="0" xfId="439" applyNumberFormat="1" applyFont="1" applyFill="1" applyAlignment="1" applyProtection="1">
      <alignment horizontal="center" vertical="center"/>
    </xf>
    <xf numFmtId="164" fontId="64" fillId="28" borderId="0" xfId="439" applyNumberFormat="1" applyFont="1" applyFill="1" applyAlignment="1" applyProtection="1">
      <alignment horizontal="center" vertical="center"/>
    </xf>
    <xf numFmtId="164" fontId="58" fillId="0" borderId="28" xfId="439" applyNumberFormat="1" applyFont="1" applyFill="1" applyBorder="1" applyAlignment="1" applyProtection="1">
      <alignment vertical="center"/>
    </xf>
    <xf numFmtId="164" fontId="58" fillId="30" borderId="28" xfId="439" applyNumberFormat="1" applyFont="1" applyFill="1" applyBorder="1" applyAlignment="1" applyProtection="1">
      <alignment vertical="center"/>
    </xf>
    <xf numFmtId="164" fontId="64" fillId="29" borderId="0" xfId="439" applyNumberFormat="1" applyFont="1" applyFill="1" applyAlignment="1" applyProtection="1">
      <alignment horizontal="center" vertical="center"/>
      <protection locked="0"/>
    </xf>
    <xf numFmtId="38" fontId="70" fillId="0" borderId="14" xfId="439" applyNumberFormat="1" applyFont="1" applyFill="1" applyBorder="1" applyAlignment="1" applyProtection="1">
      <alignment horizontal="center" vertical="center" wrapText="1"/>
    </xf>
    <xf numFmtId="0" fontId="69" fillId="0" borderId="34" xfId="0" applyFont="1" applyFill="1" applyBorder="1" applyAlignment="1" applyProtection="1">
      <alignment vertical="center" wrapText="1"/>
    </xf>
    <xf numFmtId="169" fontId="58" fillId="0" borderId="28" xfId="439" applyNumberFormat="1" applyFont="1" applyFill="1" applyBorder="1" applyAlignment="1" applyProtection="1">
      <alignment vertical="center"/>
    </xf>
    <xf numFmtId="0" fontId="0" fillId="0" borderId="0" xfId="0" applyAlignment="1" applyProtection="1">
      <alignment horizontal="center" vertical="center" wrapText="1"/>
    </xf>
    <xf numFmtId="177" fontId="66" fillId="0" borderId="0" xfId="0" applyNumberFormat="1" applyFont="1" applyAlignment="1" applyProtection="1">
      <alignment wrapText="1"/>
    </xf>
    <xf numFmtId="0" fontId="0" fillId="0" borderId="25" xfId="0" applyNumberFormat="1" applyFont="1" applyFill="1" applyBorder="1" applyAlignment="1" applyProtection="1">
      <alignment horizontal="left" vertical="center" wrapText="1"/>
    </xf>
    <xf numFmtId="0" fontId="0" fillId="0" borderId="23" xfId="0" applyNumberFormat="1" applyFont="1" applyFill="1" applyBorder="1" applyAlignment="1" applyProtection="1">
      <alignment horizontal="left" vertical="center" wrapText="1"/>
    </xf>
    <xf numFmtId="0" fontId="0" fillId="0" borderId="25" xfId="0" applyNumberFormat="1" applyFont="1" applyFill="1" applyBorder="1" applyAlignment="1" applyProtection="1">
      <alignment horizontal="center" vertical="center" wrapText="1"/>
    </xf>
    <xf numFmtId="0" fontId="0" fillId="0" borderId="25" xfId="0" applyNumberFormat="1" applyFill="1" applyBorder="1" applyAlignment="1" applyProtection="1">
      <alignment horizontal="center" vertical="center" wrapText="1"/>
    </xf>
    <xf numFmtId="165" fontId="58" fillId="0" borderId="28" xfId="439" applyNumberFormat="1" applyFont="1" applyFill="1" applyBorder="1" applyAlignment="1" applyProtection="1">
      <alignment vertical="center"/>
    </xf>
    <xf numFmtId="43" fontId="58" fillId="0" borderId="28" xfId="439" applyNumberFormat="1" applyFont="1" applyFill="1" applyBorder="1" applyAlignment="1" applyProtection="1">
      <alignment vertical="center"/>
    </xf>
    <xf numFmtId="0" fontId="0" fillId="0" borderId="10" xfId="0" applyFont="1" applyFill="1" applyBorder="1" applyAlignment="1" applyProtection="1">
      <alignment horizontal="left" vertical="center" wrapText="1"/>
    </xf>
    <xf numFmtId="171" fontId="106" fillId="0" borderId="29" xfId="439" applyNumberFormat="1" applyFont="1" applyFill="1" applyBorder="1" applyAlignment="1" applyProtection="1">
      <alignment horizontal="center" vertical="center" wrapText="1"/>
    </xf>
    <xf numFmtId="165" fontId="106" fillId="0" borderId="29" xfId="439" applyNumberFormat="1" applyFont="1" applyFill="1" applyBorder="1" applyAlignment="1" applyProtection="1">
      <alignment horizontal="center" vertical="center" wrapText="1"/>
    </xf>
    <xf numFmtId="171" fontId="106" fillId="0" borderId="29" xfId="439" applyNumberFormat="1" applyFont="1" applyFill="1" applyBorder="1" applyAlignment="1" applyProtection="1">
      <alignment horizontal="right" vertical="center" wrapText="1"/>
    </xf>
    <xf numFmtId="0" fontId="106" fillId="34" borderId="25" xfId="0" applyNumberFormat="1" applyFont="1" applyFill="1" applyBorder="1" applyAlignment="1" applyProtection="1">
      <alignment horizontal="left" vertical="center" wrapText="1"/>
    </xf>
    <xf numFmtId="0" fontId="69" fillId="34" borderId="0" xfId="0" applyFont="1" applyFill="1" applyAlignment="1" applyProtection="1">
      <alignment vertical="center" wrapText="1"/>
      <protection locked="0"/>
    </xf>
    <xf numFmtId="0" fontId="64" fillId="0" borderId="0" xfId="0" applyFont="1" applyProtection="1"/>
    <xf numFmtId="0" fontId="114" fillId="0" borderId="0" xfId="0" applyFont="1" applyProtection="1"/>
    <xf numFmtId="164" fontId="106" fillId="34" borderId="28" xfId="439" applyNumberFormat="1" applyFont="1" applyFill="1" applyBorder="1" applyAlignment="1" applyProtection="1">
      <alignment horizontal="center" vertical="center" wrapText="1"/>
    </xf>
    <xf numFmtId="0" fontId="0" fillId="0" borderId="0" xfId="0" applyProtection="1"/>
    <xf numFmtId="0" fontId="0" fillId="0" borderId="0" xfId="0" applyProtection="1"/>
    <xf numFmtId="0" fontId="129" fillId="0" borderId="0" xfId="0" applyFont="1" applyFill="1" applyAlignment="1" applyProtection="1">
      <alignment wrapText="1"/>
    </xf>
    <xf numFmtId="0" fontId="87" fillId="34" borderId="25" xfId="0" applyNumberFormat="1" applyFont="1" applyFill="1" applyBorder="1" applyAlignment="1" applyProtection="1">
      <alignment horizontal="left" vertical="center" wrapText="1"/>
    </xf>
    <xf numFmtId="0" fontId="130" fillId="0" borderId="0" xfId="0" applyFont="1" applyAlignment="1" applyProtection="1">
      <alignment wrapText="1"/>
    </xf>
    <xf numFmtId="0" fontId="66" fillId="34" borderId="25" xfId="0" applyNumberFormat="1" applyFont="1" applyFill="1" applyBorder="1" applyAlignment="1" applyProtection="1">
      <alignment horizontal="left" vertical="center" wrapText="1"/>
    </xf>
    <xf numFmtId="49" fontId="0" fillId="0" borderId="37" xfId="0" applyNumberFormat="1" applyFont="1" applyFill="1" applyBorder="1" applyAlignment="1">
      <alignment horizontal="center"/>
    </xf>
    <xf numFmtId="0" fontId="70" fillId="0" borderId="0" xfId="0" applyFont="1" applyFill="1" applyAlignment="1" applyProtection="1">
      <alignment wrapText="1"/>
    </xf>
    <xf numFmtId="0" fontId="0" fillId="0" borderId="0" xfId="0"/>
    <xf numFmtId="0" fontId="0" fillId="0" borderId="36" xfId="0" applyNumberFormat="1" applyFont="1" applyFill="1" applyBorder="1" applyAlignment="1">
      <alignment horizontal="center"/>
    </xf>
    <xf numFmtId="49" fontId="0" fillId="0" borderId="36" xfId="0" applyNumberFormat="1" applyFont="1" applyFill="1" applyBorder="1" applyAlignment="1">
      <alignment horizontal="center"/>
    </xf>
    <xf numFmtId="0" fontId="1" fillId="0" borderId="38" xfId="0" applyFont="1" applyFill="1" applyBorder="1" applyAlignment="1">
      <alignment vertical="center" wrapText="1"/>
    </xf>
    <xf numFmtId="0" fontId="0" fillId="0" borderId="0" xfId="0" applyProtection="1"/>
    <xf numFmtId="0" fontId="128" fillId="0" borderId="36" xfId="0" applyFont="1" applyFill="1" applyBorder="1" applyAlignment="1">
      <alignment horizontal="center" wrapText="1"/>
    </xf>
    <xf numFmtId="0" fontId="70" fillId="0" borderId="0" xfId="0" applyFont="1" applyProtection="1"/>
    <xf numFmtId="0" fontId="70" fillId="0" borderId="0" xfId="0" applyFont="1" applyFill="1" applyProtection="1"/>
    <xf numFmtId="0" fontId="59" fillId="0" borderId="0" xfId="659"/>
    <xf numFmtId="0" fontId="108" fillId="0" borderId="0" xfId="659" applyNumberFormat="1" applyFont="1" applyFill="1" applyAlignment="1" applyProtection="1">
      <alignment horizontal="left" vertical="center" wrapText="1"/>
    </xf>
    <xf numFmtId="0" fontId="59" fillId="0" borderId="0" xfId="659" applyFill="1"/>
    <xf numFmtId="4" fontId="59" fillId="0" borderId="0" xfId="659" applyNumberFormat="1" applyFill="1"/>
    <xf numFmtId="0" fontId="19" fillId="0" borderId="0" xfId="841" applyFont="1" applyFill="1" applyAlignment="1">
      <alignment horizontal="left" vertical="center" wrapText="1"/>
    </xf>
    <xf numFmtId="1" fontId="59" fillId="0" borderId="0" xfId="659" applyNumberFormat="1" applyFill="1"/>
    <xf numFmtId="38" fontId="125" fillId="0" borderId="0" xfId="659" applyNumberFormat="1" applyFont="1" applyFill="1" applyAlignment="1">
      <alignment horizontal="center"/>
    </xf>
    <xf numFmtId="38" fontId="124" fillId="0" borderId="0" xfId="659" applyNumberFormat="1" applyFont="1" applyFill="1" applyAlignment="1">
      <alignment horizontal="center"/>
    </xf>
    <xf numFmtId="38" fontId="108" fillId="0" borderId="0" xfId="659" applyNumberFormat="1" applyFont="1" applyFill="1" applyAlignment="1" applyProtection="1">
      <alignment horizontal="center" vertical="center"/>
    </xf>
    <xf numFmtId="38" fontId="64" fillId="0" borderId="0" xfId="440" applyNumberFormat="1" applyFont="1" applyFill="1" applyAlignment="1" applyProtection="1">
      <alignment horizontal="center" vertical="center"/>
    </xf>
    <xf numFmtId="38" fontId="108" fillId="0" borderId="0" xfId="440" applyNumberFormat="1" applyFont="1" applyFill="1" applyAlignment="1" applyProtection="1">
      <alignment horizontal="center" vertical="center"/>
    </xf>
    <xf numFmtId="169" fontId="125" fillId="0" borderId="0" xfId="659" applyNumberFormat="1" applyFont="1" applyFill="1" applyAlignment="1">
      <alignment horizontal="center"/>
    </xf>
    <xf numFmtId="169" fontId="125" fillId="27" borderId="0" xfId="659" applyNumberFormat="1" applyFont="1" applyFill="1" applyAlignment="1">
      <alignment horizontal="center"/>
    </xf>
    <xf numFmtId="169" fontId="126" fillId="0" borderId="0" xfId="659" applyNumberFormat="1" applyFont="1" applyFill="1" applyAlignment="1" applyProtection="1">
      <alignment horizontal="center" vertical="center"/>
    </xf>
    <xf numFmtId="169" fontId="83" fillId="0" borderId="0" xfId="659" applyNumberFormat="1" applyFont="1" applyFill="1" applyAlignment="1" applyProtection="1">
      <alignment horizontal="center" vertical="center"/>
    </xf>
    <xf numFmtId="169" fontId="124" fillId="0" borderId="0" xfId="659" applyNumberFormat="1" applyFont="1" applyFill="1" applyAlignment="1">
      <alignment horizontal="center"/>
    </xf>
    <xf numFmtId="169" fontId="125" fillId="20" borderId="0" xfId="659" applyNumberFormat="1" applyFont="1" applyFill="1" applyAlignment="1">
      <alignment horizontal="center"/>
    </xf>
    <xf numFmtId="169" fontId="108" fillId="0" borderId="0" xfId="659" applyNumberFormat="1" applyFont="1" applyFill="1" applyAlignment="1" applyProtection="1">
      <alignment horizontal="left" vertical="center" wrapText="1"/>
    </xf>
    <xf numFmtId="169" fontId="59" fillId="0" borderId="0" xfId="659" applyNumberFormat="1" applyFill="1"/>
    <xf numFmtId="169" fontId="108" fillId="0" borderId="0" xfId="659" applyNumberFormat="1" applyFont="1" applyFill="1" applyAlignment="1" applyProtection="1">
      <alignment horizontal="center" vertical="center"/>
    </xf>
    <xf numFmtId="169" fontId="64" fillId="0" borderId="0" xfId="440" applyNumberFormat="1" applyFont="1" applyFill="1" applyAlignment="1" applyProtection="1">
      <alignment horizontal="center" vertical="center"/>
    </xf>
    <xf numFmtId="169" fontId="108" fillId="0" borderId="0" xfId="440" applyNumberFormat="1" applyFont="1" applyFill="1" applyAlignment="1" applyProtection="1">
      <alignment horizontal="center" vertical="center"/>
    </xf>
    <xf numFmtId="0" fontId="58" fillId="0" borderId="0" xfId="683" applyFill="1" applyAlignment="1" applyProtection="1">
      <alignment wrapText="1"/>
    </xf>
    <xf numFmtId="0" fontId="58" fillId="0" borderId="0" xfId="683" applyFont="1" applyFill="1" applyAlignment="1" applyProtection="1">
      <alignment vertical="center" wrapText="1"/>
    </xf>
    <xf numFmtId="1" fontId="59" fillId="0" borderId="0" xfId="1531" applyNumberFormat="1" applyFill="1"/>
    <xf numFmtId="0" fontId="127" fillId="0" borderId="0" xfId="683" applyNumberFormat="1" applyFont="1" applyFill="1" applyAlignment="1" applyProtection="1">
      <alignment horizontal="left" vertical="center" wrapText="1"/>
    </xf>
    <xf numFmtId="0" fontId="59" fillId="0" borderId="0" xfId="659" applyFill="1" applyAlignment="1">
      <alignment wrapText="1"/>
    </xf>
    <xf numFmtId="1" fontId="59" fillId="0" borderId="0" xfId="1531" applyNumberFormat="1" applyFill="1" applyAlignment="1">
      <alignment horizontal="right"/>
    </xf>
    <xf numFmtId="0" fontId="58" fillId="0" borderId="0" xfId="683" applyFill="1"/>
    <xf numFmtId="40" fontId="108" fillId="0" borderId="0" xfId="659" applyNumberFormat="1" applyFont="1" applyFill="1" applyAlignment="1" applyProtection="1">
      <alignment horizontal="center" vertical="center"/>
    </xf>
    <xf numFmtId="40" fontId="64" fillId="0" borderId="0" xfId="440" applyNumberFormat="1" applyFont="1" applyFill="1" applyAlignment="1" applyProtection="1">
      <alignment horizontal="center" vertical="center"/>
    </xf>
    <xf numFmtId="40" fontId="108" fillId="0" borderId="0" xfId="440" applyNumberFormat="1" applyFont="1" applyFill="1" applyAlignment="1" applyProtection="1">
      <alignment horizontal="center" vertical="center"/>
    </xf>
    <xf numFmtId="40" fontId="124" fillId="0" borderId="0" xfId="659" applyNumberFormat="1" applyFont="1" applyFill="1" applyAlignment="1">
      <alignment horizontal="center"/>
    </xf>
    <xf numFmtId="40" fontId="125" fillId="0" borderId="0" xfId="659" applyNumberFormat="1" applyFont="1" applyFill="1" applyAlignment="1">
      <alignment horizontal="center"/>
    </xf>
    <xf numFmtId="0" fontId="69" fillId="0" borderId="0" xfId="684" applyFont="1" applyFill="1" applyBorder="1" applyAlignment="1" applyProtection="1">
      <alignment vertical="center" wrapText="1"/>
    </xf>
    <xf numFmtId="0" fontId="58" fillId="0" borderId="0" xfId="683" applyFont="1" applyFill="1" applyAlignment="1" applyProtection="1">
      <alignment vertical="center" wrapText="1"/>
      <protection locked="0"/>
    </xf>
    <xf numFmtId="1" fontId="59" fillId="0" borderId="0" xfId="659" applyNumberFormat="1" applyFill="1" applyAlignment="1">
      <alignment horizontal="right"/>
    </xf>
    <xf numFmtId="0" fontId="59" fillId="0" borderId="0" xfId="1531" applyFill="1"/>
    <xf numFmtId="0" fontId="58" fillId="0" borderId="0" xfId="683" applyFill="1" applyAlignment="1">
      <alignment wrapText="1"/>
    </xf>
    <xf numFmtId="0" fontId="59" fillId="0" borderId="0" xfId="720" applyFont="1" applyFill="1" applyAlignment="1">
      <alignment vertical="center" wrapText="1"/>
    </xf>
    <xf numFmtId="0" fontId="59" fillId="0" borderId="0" xfId="1531" applyFont="1" applyFill="1"/>
    <xf numFmtId="0" fontId="59" fillId="0" borderId="23" xfId="720" applyNumberFormat="1" applyFont="1" applyFill="1" applyBorder="1" applyAlignment="1" applyProtection="1">
      <alignment vertical="center" wrapText="1"/>
    </xf>
    <xf numFmtId="0" fontId="59" fillId="0" borderId="23" xfId="720" applyFont="1" applyFill="1" applyBorder="1" applyAlignment="1" applyProtection="1">
      <alignment vertical="center" wrapText="1"/>
    </xf>
    <xf numFmtId="0" fontId="69" fillId="0" borderId="0" xfId="683" applyNumberFormat="1" applyFont="1" applyFill="1" applyAlignment="1" applyProtection="1">
      <alignment horizontal="left" vertical="center" wrapText="1"/>
    </xf>
    <xf numFmtId="0" fontId="72" fillId="0" borderId="0" xfId="683" applyNumberFormat="1" applyFont="1" applyFill="1" applyAlignment="1" applyProtection="1">
      <alignment horizontal="right" vertical="center"/>
    </xf>
    <xf numFmtId="0" fontId="59" fillId="0" borderId="0" xfId="720" applyFont="1" applyFill="1" applyBorder="1" applyAlignment="1" applyProtection="1">
      <alignment vertical="center" wrapText="1"/>
    </xf>
    <xf numFmtId="0" fontId="64" fillId="0" borderId="0" xfId="683" applyFont="1" applyFill="1"/>
    <xf numFmtId="2" fontId="124" fillId="0" borderId="0" xfId="659" applyNumberFormat="1" applyFont="1" applyFill="1" applyAlignment="1">
      <alignment horizontal="center"/>
    </xf>
    <xf numFmtId="43" fontId="59" fillId="0" borderId="0" xfId="440" applyFont="1" applyFill="1"/>
    <xf numFmtId="39" fontId="59" fillId="0" borderId="0" xfId="659" applyNumberFormat="1" applyFill="1"/>
    <xf numFmtId="0" fontId="58" fillId="27" borderId="0" xfId="683" applyFill="1"/>
    <xf numFmtId="0" fontId="122" fillId="27" borderId="0" xfId="11380" applyFill="1" applyAlignment="1">
      <alignment horizontal="left" wrapText="1"/>
    </xf>
    <xf numFmtId="0" fontId="69" fillId="27" borderId="0" xfId="659" applyFont="1" applyFill="1" applyAlignment="1">
      <alignment horizontal="center"/>
    </xf>
    <xf numFmtId="38" fontId="125" fillId="27" borderId="0" xfId="659" applyNumberFormat="1" applyFont="1" applyFill="1" applyAlignment="1">
      <alignment horizontal="center"/>
    </xf>
    <xf numFmtId="169" fontId="108" fillId="27" borderId="0" xfId="440" applyNumberFormat="1" applyFont="1" applyFill="1" applyAlignment="1" applyProtection="1">
      <alignment horizontal="center" vertical="center"/>
    </xf>
    <xf numFmtId="40" fontId="108" fillId="27" borderId="0" xfId="659" applyNumberFormat="1" applyFont="1" applyFill="1" applyAlignment="1" applyProtection="1">
      <alignment horizontal="center" vertical="center"/>
    </xf>
    <xf numFmtId="40" fontId="64" fillId="27" borderId="0" xfId="440" applyNumberFormat="1" applyFont="1" applyFill="1" applyAlignment="1" applyProtection="1">
      <alignment horizontal="center" vertical="center"/>
    </xf>
    <xf numFmtId="40" fontId="108" fillId="27" borderId="0" xfId="440" applyNumberFormat="1" applyFont="1" applyFill="1" applyAlignment="1" applyProtection="1">
      <alignment horizontal="center" vertical="center"/>
    </xf>
    <xf numFmtId="169" fontId="124" fillId="27" borderId="0" xfId="659" applyNumberFormat="1" applyFont="1" applyFill="1" applyAlignment="1">
      <alignment horizontal="center"/>
    </xf>
    <xf numFmtId="169" fontId="108" fillId="0" borderId="0" xfId="659" applyNumberFormat="1" applyFont="1" applyFill="1" applyAlignment="1" applyProtection="1">
      <alignment horizontal="left" vertical="center"/>
    </xf>
    <xf numFmtId="0" fontId="59" fillId="29" borderId="0" xfId="720" applyFill="1"/>
    <xf numFmtId="2" fontId="108" fillId="27" borderId="0" xfId="659" applyNumberFormat="1" applyFont="1" applyFill="1" applyAlignment="1" applyProtection="1">
      <alignment horizontal="left" vertical="center" wrapText="1"/>
    </xf>
    <xf numFmtId="169" fontId="64" fillId="27" borderId="0" xfId="440" applyNumberFormat="1" applyFont="1" applyFill="1" applyAlignment="1" applyProtection="1">
      <alignment horizontal="center" vertical="center"/>
    </xf>
    <xf numFmtId="169" fontId="108" fillId="27" borderId="0" xfId="659" applyNumberFormat="1" applyFont="1" applyFill="1" applyAlignment="1" applyProtection="1">
      <alignment horizontal="center" vertical="center"/>
    </xf>
    <xf numFmtId="169" fontId="59" fillId="27" borderId="0" xfId="659" applyNumberFormat="1" applyFill="1"/>
    <xf numFmtId="2" fontId="124" fillId="27" borderId="0" xfId="659" applyNumberFormat="1" applyFont="1" applyFill="1" applyAlignment="1">
      <alignment horizontal="center"/>
    </xf>
    <xf numFmtId="2" fontId="108" fillId="27" borderId="0" xfId="440" applyNumberFormat="1" applyFont="1" applyFill="1" applyAlignment="1" applyProtection="1">
      <alignment horizontal="center" vertical="center"/>
    </xf>
    <xf numFmtId="2" fontId="64" fillId="27" borderId="0" xfId="440" applyNumberFormat="1" applyFont="1" applyFill="1" applyAlignment="1" applyProtection="1">
      <alignment horizontal="center" vertical="center"/>
    </xf>
    <xf numFmtId="0" fontId="58" fillId="27" borderId="0" xfId="683" applyFill="1" applyAlignment="1" applyProtection="1">
      <alignment wrapText="1"/>
    </xf>
    <xf numFmtId="0" fontId="59" fillId="27" borderId="0" xfId="1531" applyFill="1"/>
    <xf numFmtId="0" fontId="58" fillId="27" borderId="0" xfId="683" applyFont="1" applyFill="1" applyAlignment="1" applyProtection="1">
      <alignment vertical="center" wrapText="1"/>
    </xf>
    <xf numFmtId="0" fontId="59" fillId="27" borderId="23" xfId="720" applyFont="1" applyFill="1" applyBorder="1" applyAlignment="1" applyProtection="1">
      <alignment vertical="center" wrapText="1"/>
    </xf>
    <xf numFmtId="1" fontId="59" fillId="27" borderId="0" xfId="1531" applyNumberFormat="1" applyFill="1" applyAlignment="1">
      <alignment horizontal="right"/>
    </xf>
    <xf numFmtId="38" fontId="124" fillId="27" borderId="0" xfId="659" applyNumberFormat="1" applyFont="1" applyFill="1" applyAlignment="1">
      <alignment horizontal="center"/>
    </xf>
    <xf numFmtId="38" fontId="108" fillId="27" borderId="0" xfId="440" applyNumberFormat="1" applyFont="1" applyFill="1" applyAlignment="1" applyProtection="1">
      <alignment horizontal="center" vertical="center"/>
    </xf>
    <xf numFmtId="38" fontId="64" fillId="27" borderId="0" xfId="440" applyNumberFormat="1" applyFont="1" applyFill="1" applyAlignment="1" applyProtection="1">
      <alignment horizontal="center" vertical="center"/>
    </xf>
    <xf numFmtId="0" fontId="108" fillId="27" borderId="0" xfId="659" applyNumberFormat="1" applyFont="1" applyFill="1" applyAlignment="1" applyProtection="1">
      <alignment horizontal="left" vertical="center" wrapText="1"/>
    </xf>
    <xf numFmtId="0" fontId="59" fillId="27" borderId="0" xfId="659" applyFill="1" applyAlignment="1">
      <alignment horizontal="center" wrapText="1"/>
    </xf>
    <xf numFmtId="2" fontId="125" fillId="27" borderId="0" xfId="659" applyNumberFormat="1" applyFont="1" applyFill="1" applyAlignment="1">
      <alignment horizontal="center"/>
    </xf>
    <xf numFmtId="2" fontId="59" fillId="27" borderId="0" xfId="659" applyNumberFormat="1" applyFill="1"/>
    <xf numFmtId="0" fontId="59" fillId="27" borderId="0" xfId="1531" applyFont="1" applyFill="1"/>
    <xf numFmtId="40" fontId="124" fillId="27" borderId="0" xfId="659" applyNumberFormat="1" applyFont="1" applyFill="1" applyAlignment="1">
      <alignment horizontal="center"/>
    </xf>
    <xf numFmtId="0" fontId="59" fillId="27" borderId="0" xfId="659" applyFill="1"/>
    <xf numFmtId="169" fontId="108" fillId="27" borderId="0" xfId="659" applyNumberFormat="1" applyFont="1" applyFill="1" applyAlignment="1" applyProtection="1">
      <alignment horizontal="left" vertical="center" wrapText="1"/>
    </xf>
    <xf numFmtId="2" fontId="108" fillId="27" borderId="0" xfId="659" applyNumberFormat="1" applyFont="1" applyFill="1" applyAlignment="1" applyProtection="1">
      <alignment horizontal="center" vertical="center"/>
    </xf>
    <xf numFmtId="40" fontId="125" fillId="27" borderId="0" xfId="659" applyNumberFormat="1" applyFont="1" applyFill="1" applyAlignment="1">
      <alignment horizontal="center"/>
    </xf>
    <xf numFmtId="38" fontId="108" fillId="27" borderId="0" xfId="659" applyNumberFormat="1" applyFont="1" applyFill="1" applyAlignment="1" applyProtection="1">
      <alignment horizontal="center" vertical="center"/>
    </xf>
    <xf numFmtId="1" fontId="59" fillId="27" borderId="0" xfId="659" applyNumberFormat="1" applyFill="1"/>
    <xf numFmtId="1" fontId="59" fillId="27" borderId="0" xfId="659" applyNumberFormat="1" applyFill="1" applyAlignment="1">
      <alignment horizontal="right"/>
    </xf>
    <xf numFmtId="0" fontId="69" fillId="0" borderId="0" xfId="659" applyFont="1" applyFill="1" applyAlignment="1">
      <alignment horizontal="center"/>
    </xf>
    <xf numFmtId="0" fontId="122" fillId="0" borderId="0" xfId="11380" applyAlignment="1">
      <alignment horizontal="left" wrapText="1"/>
    </xf>
    <xf numFmtId="38" fontId="59" fillId="0" borderId="0" xfId="659" applyNumberFormat="1" applyFill="1"/>
    <xf numFmtId="170" fontId="125" fillId="0" borderId="0" xfId="659" applyNumberFormat="1" applyFont="1" applyFill="1" applyAlignment="1">
      <alignment horizontal="center"/>
    </xf>
    <xf numFmtId="170" fontId="108" fillId="0" borderId="0" xfId="440" applyNumberFormat="1" applyFont="1" applyFill="1" applyAlignment="1" applyProtection="1">
      <alignment horizontal="center" vertical="center"/>
    </xf>
    <xf numFmtId="170" fontId="64" fillId="0" borderId="0" xfId="440" applyNumberFormat="1" applyFont="1" applyFill="1" applyAlignment="1" applyProtection="1">
      <alignment horizontal="center" vertical="center"/>
    </xf>
    <xf numFmtId="170" fontId="108" fillId="0" borderId="0" xfId="659" applyNumberFormat="1" applyFont="1" applyFill="1" applyAlignment="1" applyProtection="1">
      <alignment horizontal="center" vertical="center"/>
    </xf>
    <xf numFmtId="170" fontId="124" fillId="0" borderId="0" xfId="659" applyNumberFormat="1" applyFont="1" applyFill="1" applyAlignment="1">
      <alignment horizontal="center"/>
    </xf>
    <xf numFmtId="0" fontId="59" fillId="34" borderId="0" xfId="659" applyFill="1" applyAlignment="1">
      <alignment wrapText="1"/>
    </xf>
    <xf numFmtId="0" fontId="58" fillId="34" borderId="0" xfId="2858" applyFont="1" applyFill="1" applyAlignment="1" applyProtection="1">
      <alignment horizontal="left" vertical="center" wrapText="1"/>
    </xf>
    <xf numFmtId="0" fontId="35" fillId="34" borderId="0" xfId="659" applyNumberFormat="1" applyFont="1" applyFill="1" applyAlignment="1" applyProtection="1">
      <alignment horizontal="left" vertical="center" wrapText="1"/>
    </xf>
    <xf numFmtId="0" fontId="59" fillId="34" borderId="0" xfId="659" applyFill="1" applyAlignment="1">
      <alignment vertical="center" wrapText="1"/>
    </xf>
    <xf numFmtId="40" fontId="59" fillId="0" borderId="0" xfId="659" applyNumberFormat="1" applyFill="1"/>
    <xf numFmtId="43" fontId="59" fillId="0" borderId="0" xfId="440" applyNumberFormat="1" applyFont="1" applyFill="1"/>
    <xf numFmtId="0" fontId="59" fillId="0" borderId="0" xfId="659" applyFill="1" applyAlignment="1">
      <alignment horizontal="center"/>
    </xf>
    <xf numFmtId="0" fontId="64" fillId="0" borderId="0" xfId="8960" applyNumberFormat="1" applyFont="1" applyFill="1" applyAlignment="1" applyProtection="1">
      <alignment horizontal="center" vertical="center"/>
    </xf>
    <xf numFmtId="0" fontId="59" fillId="0" borderId="0" xfId="659" applyFill="1" applyAlignment="1">
      <alignment horizontal="center" wrapText="1"/>
    </xf>
    <xf numFmtId="0" fontId="0" fillId="34" borderId="25" xfId="0" applyNumberFormat="1" applyFill="1" applyBorder="1" applyAlignment="1" applyProtection="1">
      <alignment horizontal="center" vertical="center" wrapText="1"/>
    </xf>
    <xf numFmtId="0" fontId="69" fillId="34" borderId="35" xfId="0" applyNumberFormat="1" applyFont="1" applyFill="1" applyBorder="1" applyAlignment="1" applyProtection="1">
      <alignment horizontal="center" vertical="center" wrapText="1"/>
    </xf>
    <xf numFmtId="0" fontId="69" fillId="34" borderId="35" xfId="0" applyNumberFormat="1" applyFont="1" applyFill="1" applyBorder="1" applyAlignment="1" applyProtection="1">
      <alignment horizontal="left" vertical="center" wrapText="1"/>
    </xf>
    <xf numFmtId="169" fontId="72" fillId="29" borderId="0" xfId="439" applyNumberFormat="1" applyFont="1" applyFill="1" applyAlignment="1" applyProtection="1">
      <alignment horizontal="center" vertical="center"/>
      <protection locked="0"/>
    </xf>
    <xf numFmtId="0" fontId="64" fillId="34" borderId="25" xfId="0" applyNumberFormat="1" applyFont="1" applyFill="1" applyBorder="1" applyAlignment="1" applyProtection="1">
      <alignment horizontal="center" vertical="center"/>
    </xf>
    <xf numFmtId="0" fontId="0" fillId="34" borderId="0" xfId="0" applyFont="1" applyFill="1" applyBorder="1" applyAlignment="1" applyProtection="1">
      <alignment vertical="center" wrapText="1"/>
    </xf>
    <xf numFmtId="0" fontId="59" fillId="31" borderId="0" xfId="659" applyFill="1"/>
    <xf numFmtId="0" fontId="69" fillId="31" borderId="0" xfId="659" applyFont="1" applyFill="1" applyAlignment="1">
      <alignment horizontal="center"/>
    </xf>
    <xf numFmtId="0" fontId="122" fillId="31" borderId="0" xfId="11380" applyFill="1" applyAlignment="1">
      <alignment horizontal="left" wrapText="1"/>
    </xf>
    <xf numFmtId="1" fontId="59" fillId="31" borderId="0" xfId="659" applyNumberFormat="1" applyFill="1"/>
    <xf numFmtId="169" fontId="108" fillId="31" borderId="0" xfId="659" applyNumberFormat="1" applyFont="1" applyFill="1" applyAlignment="1" applyProtection="1">
      <alignment horizontal="center" vertical="center"/>
    </xf>
    <xf numFmtId="0" fontId="0" fillId="31" borderId="0" xfId="0" applyFill="1"/>
    <xf numFmtId="0" fontId="59" fillId="31" borderId="0" xfId="659" applyFill="1" applyAlignment="1">
      <alignment horizontal="center" wrapText="1"/>
    </xf>
    <xf numFmtId="1" fontId="59" fillId="31" borderId="0" xfId="659" applyNumberFormat="1" applyFill="1" applyAlignment="1">
      <alignment horizontal="right"/>
    </xf>
    <xf numFmtId="0" fontId="108" fillId="31" borderId="0" xfId="659" applyNumberFormat="1" applyFont="1" applyFill="1" applyAlignment="1" applyProtection="1">
      <alignment horizontal="left" vertical="center" wrapText="1"/>
    </xf>
    <xf numFmtId="38" fontId="108" fillId="31" borderId="0" xfId="659" applyNumberFormat="1" applyFont="1" applyFill="1" applyAlignment="1" applyProtection="1">
      <alignment horizontal="center" vertical="center"/>
    </xf>
    <xf numFmtId="38" fontId="64" fillId="31" borderId="0" xfId="440" applyNumberFormat="1" applyFont="1" applyFill="1" applyAlignment="1" applyProtection="1">
      <alignment horizontal="center" vertical="center"/>
    </xf>
    <xf numFmtId="38" fontId="108" fillId="31" borderId="0" xfId="440" applyNumberFormat="1" applyFont="1" applyFill="1" applyAlignment="1" applyProtection="1">
      <alignment horizontal="center" vertical="center"/>
    </xf>
    <xf numFmtId="38" fontId="124" fillId="31" borderId="0" xfId="659" applyNumberFormat="1" applyFont="1" applyFill="1" applyAlignment="1">
      <alignment horizontal="center"/>
    </xf>
    <xf numFmtId="38" fontId="125" fillId="31" borderId="0" xfId="659" applyNumberFormat="1" applyFont="1" applyFill="1" applyAlignment="1">
      <alignment horizontal="center"/>
    </xf>
    <xf numFmtId="0" fontId="58" fillId="31" borderId="0" xfId="683" applyFill="1"/>
    <xf numFmtId="43" fontId="0" fillId="0" borderId="0" xfId="0" applyNumberFormat="1"/>
    <xf numFmtId="43" fontId="0" fillId="0" borderId="0" xfId="439" applyFont="1"/>
    <xf numFmtId="164" fontId="58" fillId="0" borderId="31" xfId="439" applyNumberFormat="1" applyFont="1" applyFill="1" applyBorder="1" applyAlignment="1" applyProtection="1">
      <alignment horizontal="center" vertical="center" wrapText="1"/>
    </xf>
    <xf numFmtId="164" fontId="58" fillId="0" borderId="23" xfId="439" applyNumberFormat="1" applyFont="1" applyFill="1" applyBorder="1" applyAlignment="1" applyProtection="1">
      <alignment horizontal="center" vertical="center" wrapText="1"/>
    </xf>
    <xf numFmtId="164" fontId="58" fillId="23" borderId="23" xfId="439" applyNumberFormat="1" applyFont="1" applyFill="1" applyBorder="1" applyAlignment="1" applyProtection="1">
      <alignment horizontal="center" vertical="center" wrapText="1"/>
    </xf>
    <xf numFmtId="164" fontId="58" fillId="0" borderId="23" xfId="439" applyNumberFormat="1" applyFont="1" applyFill="1" applyBorder="1" applyAlignment="1" applyProtection="1">
      <alignment horizontal="center" vertical="center" wrapText="1"/>
      <protection locked="0"/>
    </xf>
    <xf numFmtId="164" fontId="58" fillId="34" borderId="23" xfId="439" applyNumberFormat="1" applyFont="1" applyFill="1" applyBorder="1" applyAlignment="1" applyProtection="1">
      <alignment horizontal="center" vertical="center" wrapText="1"/>
    </xf>
    <xf numFmtId="165" fontId="58" fillId="0" borderId="23" xfId="439" applyNumberFormat="1" applyFont="1" applyFill="1" applyBorder="1" applyAlignment="1" applyProtection="1">
      <alignment horizontal="center" vertical="center" wrapText="1"/>
    </xf>
    <xf numFmtId="174" fontId="58" fillId="0" borderId="23" xfId="439" applyNumberFormat="1" applyFont="1" applyFill="1" applyBorder="1" applyAlignment="1" applyProtection="1">
      <alignment horizontal="right" vertical="center" wrapText="1"/>
    </xf>
    <xf numFmtId="170" fontId="58" fillId="0" borderId="23" xfId="439" applyNumberFormat="1" applyFont="1" applyFill="1" applyBorder="1" applyAlignment="1" applyProtection="1">
      <alignment horizontal="center" vertical="center" wrapText="1"/>
    </xf>
    <xf numFmtId="172" fontId="58" fillId="0" borderId="23" xfId="439" applyNumberFormat="1" applyFont="1" applyFill="1" applyBorder="1" applyAlignment="1" applyProtection="1">
      <alignment horizontal="center" vertical="center" wrapText="1"/>
    </xf>
    <xf numFmtId="0" fontId="58" fillId="22" borderId="23" xfId="0" applyFont="1" applyFill="1" applyBorder="1" applyAlignment="1" applyProtection="1">
      <alignment vertical="center"/>
    </xf>
    <xf numFmtId="0" fontId="58" fillId="22" borderId="30" xfId="0" applyFont="1" applyFill="1" applyBorder="1" applyAlignment="1" applyProtection="1">
      <alignment vertical="center"/>
    </xf>
    <xf numFmtId="0" fontId="58" fillId="0" borderId="0" xfId="0" applyFont="1" applyAlignment="1" applyProtection="1">
      <alignment vertical="center"/>
    </xf>
    <xf numFmtId="0" fontId="58" fillId="0" borderId="25" xfId="0" applyNumberFormat="1" applyFont="1" applyFill="1" applyBorder="1" applyAlignment="1" applyProtection="1">
      <alignment horizontal="left" vertical="center" wrapText="1"/>
    </xf>
    <xf numFmtId="0" fontId="58" fillId="34" borderId="25" xfId="0" applyNumberFormat="1" applyFont="1" applyFill="1" applyBorder="1" applyAlignment="1" applyProtection="1">
      <alignment horizontal="left" vertical="center" wrapText="1"/>
    </xf>
    <xf numFmtId="0" fontId="58" fillId="0" borderId="0" xfId="0" applyFont="1"/>
    <xf numFmtId="0" fontId="58" fillId="0" borderId="0" xfId="0" applyFont="1" applyFill="1" applyAlignment="1" applyProtection="1">
      <alignment vertical="center" wrapText="1"/>
    </xf>
    <xf numFmtId="0" fontId="58" fillId="0" borderId="0" xfId="0" applyFont="1" applyProtection="1"/>
    <xf numFmtId="41" fontId="66" fillId="34" borderId="0" xfId="439" applyNumberFormat="1" applyFont="1" applyFill="1" applyAlignment="1" applyProtection="1">
      <alignment vertical="center" wrapText="1"/>
    </xf>
    <xf numFmtId="164" fontId="0" fillId="0" borderId="0" xfId="0" applyNumberFormat="1" applyProtection="1"/>
    <xf numFmtId="0" fontId="69" fillId="22" borderId="0" xfId="0" applyFont="1" applyFill="1"/>
    <xf numFmtId="0" fontId="66" fillId="27" borderId="16" xfId="0" applyFont="1" applyFill="1" applyBorder="1" applyAlignment="1" applyProtection="1">
      <alignment horizontal="center" wrapText="1"/>
      <protection locked="0"/>
    </xf>
    <xf numFmtId="0" fontId="66" fillId="27" borderId="11" xfId="0" applyFont="1" applyFill="1" applyBorder="1" applyAlignment="1" applyProtection="1">
      <alignment horizontal="center" wrapText="1"/>
      <protection locked="0"/>
    </xf>
    <xf numFmtId="0" fontId="88" fillId="21" borderId="13" xfId="0" applyFont="1" applyFill="1" applyBorder="1" applyAlignment="1" applyProtection="1">
      <alignment horizontal="left" vertical="center" wrapText="1"/>
    </xf>
    <xf numFmtId="0" fontId="88" fillId="21" borderId="16" xfId="0" applyFont="1" applyFill="1" applyBorder="1" applyAlignment="1" applyProtection="1">
      <alignment horizontal="left" vertical="center" wrapText="1"/>
    </xf>
    <xf numFmtId="0" fontId="94" fillId="0" borderId="0" xfId="682" applyFont="1" applyAlignment="1">
      <alignment horizontal="left" wrapText="1"/>
    </xf>
    <xf numFmtId="0" fontId="120" fillId="27" borderId="0" xfId="682" applyFont="1" applyFill="1" applyAlignment="1">
      <alignment horizontal="left" vertical="center" wrapText="1"/>
    </xf>
    <xf numFmtId="0" fontId="93" fillId="0" borderId="0" xfId="682" applyFont="1" applyAlignment="1">
      <alignment horizontal="center" vertical="center"/>
    </xf>
    <xf numFmtId="0" fontId="98" fillId="27" borderId="0" xfId="682" applyFont="1" applyFill="1" applyAlignment="1">
      <alignment horizontal="left" wrapText="1"/>
    </xf>
  </cellXfs>
  <cellStyles count="11569">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48" xr:uid="{00000000-0005-0000-0000-00002F000000}"/>
    <cellStyle name="Accent1 5" xfId="49" xr:uid="{00000000-0005-0000-0000-000030000000}"/>
    <cellStyle name="Accent1 50" xfId="50" xr:uid="{00000000-0005-0000-0000-000031000000}"/>
    <cellStyle name="Accent1 51" xfId="51" xr:uid="{00000000-0005-0000-0000-000032000000}"/>
    <cellStyle name="Accent1 52" xfId="52" xr:uid="{00000000-0005-0000-0000-000033000000}"/>
    <cellStyle name="Accent1 53" xfId="53" xr:uid="{00000000-0005-0000-0000-000034000000}"/>
    <cellStyle name="Accent1 54" xfId="54" xr:uid="{00000000-0005-0000-0000-000035000000}"/>
    <cellStyle name="Accent1 55" xfId="55" xr:uid="{00000000-0005-0000-0000-000036000000}"/>
    <cellStyle name="Accent1 56" xfId="56" xr:uid="{00000000-0005-0000-0000-000037000000}"/>
    <cellStyle name="Accent1 57" xfId="57" xr:uid="{00000000-0005-0000-0000-000038000000}"/>
    <cellStyle name="Accent1 58" xfId="58" xr:uid="{00000000-0005-0000-0000-000039000000}"/>
    <cellStyle name="Accent1 59" xfId="59" xr:uid="{00000000-0005-0000-0000-00003A000000}"/>
    <cellStyle name="Accent1 6" xfId="60" xr:uid="{00000000-0005-0000-0000-00003B000000}"/>
    <cellStyle name="Accent1 60" xfId="61" xr:uid="{00000000-0005-0000-0000-00003C000000}"/>
    <cellStyle name="Accent1 61" xfId="62" xr:uid="{00000000-0005-0000-0000-00003D000000}"/>
    <cellStyle name="Accent1 62" xfId="63" xr:uid="{00000000-0005-0000-0000-00003E000000}"/>
    <cellStyle name="Accent1 63" xfId="64" xr:uid="{00000000-0005-0000-0000-00003F000000}"/>
    <cellStyle name="Accent1 64" xfId="65" xr:uid="{00000000-0005-0000-0000-000040000000}"/>
    <cellStyle name="Accent1 65" xfId="66" xr:uid="{00000000-0005-0000-0000-000041000000}"/>
    <cellStyle name="Accent1 66" xfId="67" xr:uid="{00000000-0005-0000-0000-000042000000}"/>
    <cellStyle name="Accent1 67" xfId="68" xr:uid="{00000000-0005-0000-0000-000043000000}"/>
    <cellStyle name="Accent1 68" xfId="69" xr:uid="{00000000-0005-0000-0000-000044000000}"/>
    <cellStyle name="Accent1 69" xfId="7435" xr:uid="{00000000-0005-0000-0000-000045000000}"/>
    <cellStyle name="Accent1 7" xfId="70" xr:uid="{00000000-0005-0000-0000-000045000000}"/>
    <cellStyle name="Accent1 70" xfId="6907" xr:uid="{00000000-0005-0000-0000-000047000000}"/>
    <cellStyle name="Accent1 71" xfId="6906" xr:uid="{00000000-0005-0000-0000-000048000000}"/>
    <cellStyle name="Accent1 8" xfId="71" xr:uid="{00000000-0005-0000-0000-000046000000}"/>
    <cellStyle name="Accent1 9" xfId="72" xr:uid="{00000000-0005-0000-0000-000047000000}"/>
    <cellStyle name="Accent2 - 20%" xfId="73" xr:uid="{00000000-0005-0000-0000-000048000000}"/>
    <cellStyle name="Accent2 - 20% 2" xfId="74" xr:uid="{00000000-0005-0000-0000-000049000000}"/>
    <cellStyle name="Accent2 - 40%" xfId="75" xr:uid="{00000000-0005-0000-0000-00004A000000}"/>
    <cellStyle name="Accent2 - 40% 2" xfId="76" xr:uid="{00000000-0005-0000-0000-00004B000000}"/>
    <cellStyle name="Accent2 - 60%" xfId="77" xr:uid="{00000000-0005-0000-0000-00004C000000}"/>
    <cellStyle name="Accent2 10" xfId="78" xr:uid="{00000000-0005-0000-0000-00004D000000}"/>
    <cellStyle name="Accent2 11" xfId="79" xr:uid="{00000000-0005-0000-0000-00004E000000}"/>
    <cellStyle name="Accent2 12" xfId="80" xr:uid="{00000000-0005-0000-0000-00004F000000}"/>
    <cellStyle name="Accent2 13" xfId="81" xr:uid="{00000000-0005-0000-0000-000050000000}"/>
    <cellStyle name="Accent2 14" xfId="82" xr:uid="{00000000-0005-0000-0000-000051000000}"/>
    <cellStyle name="Accent2 15" xfId="83" xr:uid="{00000000-0005-0000-0000-000052000000}"/>
    <cellStyle name="Accent2 16" xfId="84" xr:uid="{00000000-0005-0000-0000-000053000000}"/>
    <cellStyle name="Accent2 17" xfId="85" xr:uid="{00000000-0005-0000-0000-000054000000}"/>
    <cellStyle name="Accent2 18" xfId="86" xr:uid="{00000000-0005-0000-0000-000055000000}"/>
    <cellStyle name="Accent2 19" xfId="87" xr:uid="{00000000-0005-0000-0000-000056000000}"/>
    <cellStyle name="Accent2 2" xfId="88" xr:uid="{00000000-0005-0000-0000-000057000000}"/>
    <cellStyle name="Accent2 20" xfId="89" xr:uid="{00000000-0005-0000-0000-000058000000}"/>
    <cellStyle name="Accent2 21" xfId="90" xr:uid="{00000000-0005-0000-0000-000059000000}"/>
    <cellStyle name="Accent2 22" xfId="91" xr:uid="{00000000-0005-0000-0000-00005A000000}"/>
    <cellStyle name="Accent2 23" xfId="92" xr:uid="{00000000-0005-0000-0000-00005B000000}"/>
    <cellStyle name="Accent2 24" xfId="93" xr:uid="{00000000-0005-0000-0000-00005C000000}"/>
    <cellStyle name="Accent2 25" xfId="94" xr:uid="{00000000-0005-0000-0000-00005D000000}"/>
    <cellStyle name="Accent2 26" xfId="95" xr:uid="{00000000-0005-0000-0000-00005E000000}"/>
    <cellStyle name="Accent2 27" xfId="96" xr:uid="{00000000-0005-0000-0000-00005F000000}"/>
    <cellStyle name="Accent2 28" xfId="97" xr:uid="{00000000-0005-0000-0000-000060000000}"/>
    <cellStyle name="Accent2 29" xfId="98" xr:uid="{00000000-0005-0000-0000-000061000000}"/>
    <cellStyle name="Accent2 3" xfId="99" xr:uid="{00000000-0005-0000-0000-000062000000}"/>
    <cellStyle name="Accent2 30" xfId="100" xr:uid="{00000000-0005-0000-0000-000063000000}"/>
    <cellStyle name="Accent2 31" xfId="101" xr:uid="{00000000-0005-0000-0000-000064000000}"/>
    <cellStyle name="Accent2 32" xfId="102" xr:uid="{00000000-0005-0000-0000-000065000000}"/>
    <cellStyle name="Accent2 33" xfId="103" xr:uid="{00000000-0005-0000-0000-000066000000}"/>
    <cellStyle name="Accent2 34" xfId="104" xr:uid="{00000000-0005-0000-0000-000067000000}"/>
    <cellStyle name="Accent2 35" xfId="105" xr:uid="{00000000-0005-0000-0000-000068000000}"/>
    <cellStyle name="Accent2 36" xfId="106" xr:uid="{00000000-0005-0000-0000-000069000000}"/>
    <cellStyle name="Accent2 37" xfId="107" xr:uid="{00000000-0005-0000-0000-00006A000000}"/>
    <cellStyle name="Accent2 38" xfId="108" xr:uid="{00000000-0005-0000-0000-00006B000000}"/>
    <cellStyle name="Accent2 39" xfId="109" xr:uid="{00000000-0005-0000-0000-00006C000000}"/>
    <cellStyle name="Accent2 4" xfId="110" xr:uid="{00000000-0005-0000-0000-00006D000000}"/>
    <cellStyle name="Accent2 40" xfId="111" xr:uid="{00000000-0005-0000-0000-00006E000000}"/>
    <cellStyle name="Accent2 41" xfId="112" xr:uid="{00000000-0005-0000-0000-00006F000000}"/>
    <cellStyle name="Accent2 42" xfId="113" xr:uid="{00000000-0005-0000-0000-000070000000}"/>
    <cellStyle name="Accent2 43" xfId="114" xr:uid="{00000000-0005-0000-0000-000071000000}"/>
    <cellStyle name="Accent2 44" xfId="115" xr:uid="{00000000-0005-0000-0000-000072000000}"/>
    <cellStyle name="Accent2 45" xfId="116" xr:uid="{00000000-0005-0000-0000-000073000000}"/>
    <cellStyle name="Accent2 46" xfId="117" xr:uid="{00000000-0005-0000-0000-000074000000}"/>
    <cellStyle name="Accent2 47" xfId="118" xr:uid="{00000000-0005-0000-0000-000075000000}"/>
    <cellStyle name="Accent2 48" xfId="119" xr:uid="{00000000-0005-0000-0000-000076000000}"/>
    <cellStyle name="Accent2 49" xfId="120" xr:uid="{00000000-0005-0000-0000-000077000000}"/>
    <cellStyle name="Accent2 5" xfId="121" xr:uid="{00000000-0005-0000-0000-000078000000}"/>
    <cellStyle name="Accent2 50" xfId="122" xr:uid="{00000000-0005-0000-0000-000079000000}"/>
    <cellStyle name="Accent2 51" xfId="123" xr:uid="{00000000-0005-0000-0000-00007A000000}"/>
    <cellStyle name="Accent2 52" xfId="124" xr:uid="{00000000-0005-0000-0000-00007B000000}"/>
    <cellStyle name="Accent2 53" xfId="125" xr:uid="{00000000-0005-0000-0000-00007C000000}"/>
    <cellStyle name="Accent2 54" xfId="126" xr:uid="{00000000-0005-0000-0000-00007D000000}"/>
    <cellStyle name="Accent2 55" xfId="127" xr:uid="{00000000-0005-0000-0000-00007E000000}"/>
    <cellStyle name="Accent2 56" xfId="128" xr:uid="{00000000-0005-0000-0000-00007F000000}"/>
    <cellStyle name="Accent2 57" xfId="129" xr:uid="{00000000-0005-0000-0000-000080000000}"/>
    <cellStyle name="Accent2 58" xfId="130" xr:uid="{00000000-0005-0000-0000-000081000000}"/>
    <cellStyle name="Accent2 59" xfId="131" xr:uid="{00000000-0005-0000-0000-000082000000}"/>
    <cellStyle name="Accent2 6" xfId="132" xr:uid="{00000000-0005-0000-0000-000083000000}"/>
    <cellStyle name="Accent2 60" xfId="133" xr:uid="{00000000-0005-0000-0000-000084000000}"/>
    <cellStyle name="Accent2 61" xfId="134" xr:uid="{00000000-0005-0000-0000-000085000000}"/>
    <cellStyle name="Accent2 62" xfId="135" xr:uid="{00000000-0005-0000-0000-000086000000}"/>
    <cellStyle name="Accent2 63" xfId="136" xr:uid="{00000000-0005-0000-0000-000087000000}"/>
    <cellStyle name="Accent2 64" xfId="137" xr:uid="{00000000-0005-0000-0000-000088000000}"/>
    <cellStyle name="Accent2 65" xfId="138" xr:uid="{00000000-0005-0000-0000-000089000000}"/>
    <cellStyle name="Accent2 66" xfId="139" xr:uid="{00000000-0005-0000-0000-00008A000000}"/>
    <cellStyle name="Accent2 67" xfId="140" xr:uid="{00000000-0005-0000-0000-00008B000000}"/>
    <cellStyle name="Accent2 68" xfId="141" xr:uid="{00000000-0005-0000-0000-00008C000000}"/>
    <cellStyle name="Accent2 69" xfId="7371" xr:uid="{00000000-0005-0000-0000-000090000000}"/>
    <cellStyle name="Accent2 7" xfId="142" xr:uid="{00000000-0005-0000-0000-00008D000000}"/>
    <cellStyle name="Accent2 70" xfId="6908" xr:uid="{00000000-0005-0000-0000-000092000000}"/>
    <cellStyle name="Accent2 71" xfId="7434" xr:uid="{00000000-0005-0000-0000-000093000000}"/>
    <cellStyle name="Accent2 8" xfId="143" xr:uid="{00000000-0005-0000-0000-00008E000000}"/>
    <cellStyle name="Accent2 9" xfId="144" xr:uid="{00000000-0005-0000-0000-00008F000000}"/>
    <cellStyle name="Accent3 - 20%" xfId="145" xr:uid="{00000000-0005-0000-0000-000090000000}"/>
    <cellStyle name="Accent3 - 20% 2" xfId="146" xr:uid="{00000000-0005-0000-0000-000091000000}"/>
    <cellStyle name="Accent3 - 40%" xfId="147" xr:uid="{00000000-0005-0000-0000-000092000000}"/>
    <cellStyle name="Accent3 - 40% 2" xfId="148" xr:uid="{00000000-0005-0000-0000-000093000000}"/>
    <cellStyle name="Accent3 - 60%" xfId="149" xr:uid="{00000000-0005-0000-0000-000094000000}"/>
    <cellStyle name="Accent3 10" xfId="150" xr:uid="{00000000-0005-0000-0000-000095000000}"/>
    <cellStyle name="Accent3 11" xfId="151" xr:uid="{00000000-0005-0000-0000-000096000000}"/>
    <cellStyle name="Accent3 12" xfId="152" xr:uid="{00000000-0005-0000-0000-000097000000}"/>
    <cellStyle name="Accent3 13" xfId="153" xr:uid="{00000000-0005-0000-0000-000098000000}"/>
    <cellStyle name="Accent3 14" xfId="154" xr:uid="{00000000-0005-0000-0000-000099000000}"/>
    <cellStyle name="Accent3 15" xfId="155" xr:uid="{00000000-0005-0000-0000-00009A000000}"/>
    <cellStyle name="Accent3 16" xfId="156" xr:uid="{00000000-0005-0000-0000-00009B000000}"/>
    <cellStyle name="Accent3 17" xfId="157" xr:uid="{00000000-0005-0000-0000-00009C000000}"/>
    <cellStyle name="Accent3 18" xfId="158" xr:uid="{00000000-0005-0000-0000-00009D000000}"/>
    <cellStyle name="Accent3 19" xfId="159" xr:uid="{00000000-0005-0000-0000-00009E000000}"/>
    <cellStyle name="Accent3 2" xfId="160" xr:uid="{00000000-0005-0000-0000-00009F000000}"/>
    <cellStyle name="Accent3 20" xfId="161" xr:uid="{00000000-0005-0000-0000-0000A0000000}"/>
    <cellStyle name="Accent3 21" xfId="162" xr:uid="{00000000-0005-0000-0000-0000A1000000}"/>
    <cellStyle name="Accent3 22" xfId="163" xr:uid="{00000000-0005-0000-0000-0000A2000000}"/>
    <cellStyle name="Accent3 23" xfId="164" xr:uid="{00000000-0005-0000-0000-0000A3000000}"/>
    <cellStyle name="Accent3 24" xfId="165" xr:uid="{00000000-0005-0000-0000-0000A4000000}"/>
    <cellStyle name="Accent3 25" xfId="166" xr:uid="{00000000-0005-0000-0000-0000A5000000}"/>
    <cellStyle name="Accent3 26" xfId="167" xr:uid="{00000000-0005-0000-0000-0000A6000000}"/>
    <cellStyle name="Accent3 27" xfId="168" xr:uid="{00000000-0005-0000-0000-0000A7000000}"/>
    <cellStyle name="Accent3 28" xfId="169" xr:uid="{00000000-0005-0000-0000-0000A8000000}"/>
    <cellStyle name="Accent3 29" xfId="170" xr:uid="{00000000-0005-0000-0000-0000A9000000}"/>
    <cellStyle name="Accent3 3" xfId="171" xr:uid="{00000000-0005-0000-0000-0000AA000000}"/>
    <cellStyle name="Accent3 30" xfId="172" xr:uid="{00000000-0005-0000-0000-0000AB000000}"/>
    <cellStyle name="Accent3 31" xfId="173" xr:uid="{00000000-0005-0000-0000-0000AC000000}"/>
    <cellStyle name="Accent3 32" xfId="174" xr:uid="{00000000-0005-0000-0000-0000AD000000}"/>
    <cellStyle name="Accent3 33" xfId="175" xr:uid="{00000000-0005-0000-0000-0000AE000000}"/>
    <cellStyle name="Accent3 34" xfId="176" xr:uid="{00000000-0005-0000-0000-0000AF000000}"/>
    <cellStyle name="Accent3 35" xfId="177" xr:uid="{00000000-0005-0000-0000-0000B0000000}"/>
    <cellStyle name="Accent3 36" xfId="178" xr:uid="{00000000-0005-0000-0000-0000B1000000}"/>
    <cellStyle name="Accent3 37" xfId="179" xr:uid="{00000000-0005-0000-0000-0000B2000000}"/>
    <cellStyle name="Accent3 38" xfId="180" xr:uid="{00000000-0005-0000-0000-0000B3000000}"/>
    <cellStyle name="Accent3 39" xfId="181" xr:uid="{00000000-0005-0000-0000-0000B4000000}"/>
    <cellStyle name="Accent3 4" xfId="182" xr:uid="{00000000-0005-0000-0000-0000B5000000}"/>
    <cellStyle name="Accent3 40" xfId="183" xr:uid="{00000000-0005-0000-0000-0000B6000000}"/>
    <cellStyle name="Accent3 41" xfId="184" xr:uid="{00000000-0005-0000-0000-0000B7000000}"/>
    <cellStyle name="Accent3 42" xfId="185" xr:uid="{00000000-0005-0000-0000-0000B8000000}"/>
    <cellStyle name="Accent3 43" xfId="186" xr:uid="{00000000-0005-0000-0000-0000B9000000}"/>
    <cellStyle name="Accent3 44" xfId="187" xr:uid="{00000000-0005-0000-0000-0000BA000000}"/>
    <cellStyle name="Accent3 45" xfId="188" xr:uid="{00000000-0005-0000-0000-0000BB000000}"/>
    <cellStyle name="Accent3 46" xfId="189" xr:uid="{00000000-0005-0000-0000-0000BC000000}"/>
    <cellStyle name="Accent3 47" xfId="190" xr:uid="{00000000-0005-0000-0000-0000BD000000}"/>
    <cellStyle name="Accent3 48" xfId="191" xr:uid="{00000000-0005-0000-0000-0000BE000000}"/>
    <cellStyle name="Accent3 49" xfId="192" xr:uid="{00000000-0005-0000-0000-0000BF000000}"/>
    <cellStyle name="Accent3 5" xfId="193" xr:uid="{00000000-0005-0000-0000-0000C0000000}"/>
    <cellStyle name="Accent3 50" xfId="194" xr:uid="{00000000-0005-0000-0000-0000C1000000}"/>
    <cellStyle name="Accent3 51" xfId="195" xr:uid="{00000000-0005-0000-0000-0000C2000000}"/>
    <cellStyle name="Accent3 52" xfId="196" xr:uid="{00000000-0005-0000-0000-0000C3000000}"/>
    <cellStyle name="Accent3 53" xfId="197" xr:uid="{00000000-0005-0000-0000-0000C4000000}"/>
    <cellStyle name="Accent3 54" xfId="198" xr:uid="{00000000-0005-0000-0000-0000C5000000}"/>
    <cellStyle name="Accent3 55" xfId="199" xr:uid="{00000000-0005-0000-0000-0000C6000000}"/>
    <cellStyle name="Accent3 56" xfId="200" xr:uid="{00000000-0005-0000-0000-0000C7000000}"/>
    <cellStyle name="Accent3 57" xfId="201" xr:uid="{00000000-0005-0000-0000-0000C8000000}"/>
    <cellStyle name="Accent3 58" xfId="202" xr:uid="{00000000-0005-0000-0000-0000C9000000}"/>
    <cellStyle name="Accent3 59" xfId="203" xr:uid="{00000000-0005-0000-0000-0000CA000000}"/>
    <cellStyle name="Accent3 6" xfId="204" xr:uid="{00000000-0005-0000-0000-0000CB000000}"/>
    <cellStyle name="Accent3 60" xfId="205" xr:uid="{00000000-0005-0000-0000-0000CC000000}"/>
    <cellStyle name="Accent3 61" xfId="206" xr:uid="{00000000-0005-0000-0000-0000CD000000}"/>
    <cellStyle name="Accent3 62" xfId="207" xr:uid="{00000000-0005-0000-0000-0000CE000000}"/>
    <cellStyle name="Accent3 63" xfId="208" xr:uid="{00000000-0005-0000-0000-0000CF000000}"/>
    <cellStyle name="Accent3 64" xfId="209" xr:uid="{00000000-0005-0000-0000-0000D0000000}"/>
    <cellStyle name="Accent3 65" xfId="210" xr:uid="{00000000-0005-0000-0000-0000D1000000}"/>
    <cellStyle name="Accent3 66" xfId="211" xr:uid="{00000000-0005-0000-0000-0000D2000000}"/>
    <cellStyle name="Accent3 67" xfId="212" xr:uid="{00000000-0005-0000-0000-0000D3000000}"/>
    <cellStyle name="Accent3 68" xfId="213" xr:uid="{00000000-0005-0000-0000-0000D4000000}"/>
    <cellStyle name="Accent3 69" xfId="7061" xr:uid="{00000000-0005-0000-0000-0000DB000000}"/>
    <cellStyle name="Accent3 7" xfId="214" xr:uid="{00000000-0005-0000-0000-0000D5000000}"/>
    <cellStyle name="Accent3 70" xfId="6909" xr:uid="{00000000-0005-0000-0000-0000DD000000}"/>
    <cellStyle name="Accent3 71" xfId="7159" xr:uid="{00000000-0005-0000-0000-0000DE000000}"/>
    <cellStyle name="Accent3 8" xfId="215" xr:uid="{00000000-0005-0000-0000-0000D6000000}"/>
    <cellStyle name="Accent3 9" xfId="216" xr:uid="{00000000-0005-0000-0000-0000D7000000}"/>
    <cellStyle name="Accent4 - 20%" xfId="217" xr:uid="{00000000-0005-0000-0000-0000D8000000}"/>
    <cellStyle name="Accent4 - 20% 2" xfId="218" xr:uid="{00000000-0005-0000-0000-0000D9000000}"/>
    <cellStyle name="Accent4 - 40%" xfId="219" xr:uid="{00000000-0005-0000-0000-0000DA000000}"/>
    <cellStyle name="Accent4 - 40% 2" xfId="220" xr:uid="{00000000-0005-0000-0000-0000DB000000}"/>
    <cellStyle name="Accent4 - 60%" xfId="221" xr:uid="{00000000-0005-0000-0000-0000DC000000}"/>
    <cellStyle name="Accent4 10" xfId="222" xr:uid="{00000000-0005-0000-0000-0000DD000000}"/>
    <cellStyle name="Accent4 11" xfId="223" xr:uid="{00000000-0005-0000-0000-0000DE000000}"/>
    <cellStyle name="Accent4 12" xfId="224" xr:uid="{00000000-0005-0000-0000-0000DF000000}"/>
    <cellStyle name="Accent4 13" xfId="225" xr:uid="{00000000-0005-0000-0000-0000E0000000}"/>
    <cellStyle name="Accent4 14" xfId="226" xr:uid="{00000000-0005-0000-0000-0000E1000000}"/>
    <cellStyle name="Accent4 15" xfId="227" xr:uid="{00000000-0005-0000-0000-0000E2000000}"/>
    <cellStyle name="Accent4 16" xfId="228" xr:uid="{00000000-0005-0000-0000-0000E3000000}"/>
    <cellStyle name="Accent4 17" xfId="229" xr:uid="{00000000-0005-0000-0000-0000E4000000}"/>
    <cellStyle name="Accent4 18" xfId="230" xr:uid="{00000000-0005-0000-0000-0000E5000000}"/>
    <cellStyle name="Accent4 19" xfId="231" xr:uid="{00000000-0005-0000-0000-0000E6000000}"/>
    <cellStyle name="Accent4 2" xfId="232" xr:uid="{00000000-0005-0000-0000-0000E7000000}"/>
    <cellStyle name="Accent4 20" xfId="233" xr:uid="{00000000-0005-0000-0000-0000E8000000}"/>
    <cellStyle name="Accent4 21" xfId="234" xr:uid="{00000000-0005-0000-0000-0000E9000000}"/>
    <cellStyle name="Accent4 22" xfId="235" xr:uid="{00000000-0005-0000-0000-0000EA000000}"/>
    <cellStyle name="Accent4 23" xfId="236" xr:uid="{00000000-0005-0000-0000-0000EB000000}"/>
    <cellStyle name="Accent4 24" xfId="237" xr:uid="{00000000-0005-0000-0000-0000EC000000}"/>
    <cellStyle name="Accent4 25" xfId="238" xr:uid="{00000000-0005-0000-0000-0000ED000000}"/>
    <cellStyle name="Accent4 26" xfId="239" xr:uid="{00000000-0005-0000-0000-0000EE000000}"/>
    <cellStyle name="Accent4 27" xfId="240" xr:uid="{00000000-0005-0000-0000-0000EF000000}"/>
    <cellStyle name="Accent4 28" xfId="241" xr:uid="{00000000-0005-0000-0000-0000F0000000}"/>
    <cellStyle name="Accent4 29" xfId="242" xr:uid="{00000000-0005-0000-0000-0000F1000000}"/>
    <cellStyle name="Accent4 3" xfId="243" xr:uid="{00000000-0005-0000-0000-0000F2000000}"/>
    <cellStyle name="Accent4 30" xfId="244" xr:uid="{00000000-0005-0000-0000-0000F3000000}"/>
    <cellStyle name="Accent4 31" xfId="245" xr:uid="{00000000-0005-0000-0000-0000F4000000}"/>
    <cellStyle name="Accent4 32" xfId="246" xr:uid="{00000000-0005-0000-0000-0000F5000000}"/>
    <cellStyle name="Accent4 33" xfId="247" xr:uid="{00000000-0005-0000-0000-0000F6000000}"/>
    <cellStyle name="Accent4 34" xfId="248" xr:uid="{00000000-0005-0000-0000-0000F7000000}"/>
    <cellStyle name="Accent4 35" xfId="249" xr:uid="{00000000-0005-0000-0000-0000F8000000}"/>
    <cellStyle name="Accent4 36" xfId="250" xr:uid="{00000000-0005-0000-0000-0000F9000000}"/>
    <cellStyle name="Accent4 37" xfId="251" xr:uid="{00000000-0005-0000-0000-0000FA000000}"/>
    <cellStyle name="Accent4 38" xfId="252" xr:uid="{00000000-0005-0000-0000-0000FB000000}"/>
    <cellStyle name="Accent4 39" xfId="253" xr:uid="{00000000-0005-0000-0000-0000FC000000}"/>
    <cellStyle name="Accent4 4" xfId="254" xr:uid="{00000000-0005-0000-0000-0000FD000000}"/>
    <cellStyle name="Accent4 40" xfId="255" xr:uid="{00000000-0005-0000-0000-0000FE000000}"/>
    <cellStyle name="Accent4 41" xfId="256" xr:uid="{00000000-0005-0000-0000-0000FF000000}"/>
    <cellStyle name="Accent4 42" xfId="257" xr:uid="{00000000-0005-0000-0000-000000010000}"/>
    <cellStyle name="Accent4 43" xfId="258" xr:uid="{00000000-0005-0000-0000-000001010000}"/>
    <cellStyle name="Accent4 44" xfId="259" xr:uid="{00000000-0005-0000-0000-000002010000}"/>
    <cellStyle name="Accent4 45" xfId="260" xr:uid="{00000000-0005-0000-0000-000003010000}"/>
    <cellStyle name="Accent4 46" xfId="261" xr:uid="{00000000-0005-0000-0000-000004010000}"/>
    <cellStyle name="Accent4 47" xfId="262" xr:uid="{00000000-0005-0000-0000-000005010000}"/>
    <cellStyle name="Accent4 48" xfId="263" xr:uid="{00000000-0005-0000-0000-000006010000}"/>
    <cellStyle name="Accent4 49" xfId="264" xr:uid="{00000000-0005-0000-0000-000007010000}"/>
    <cellStyle name="Accent4 5" xfId="265" xr:uid="{00000000-0005-0000-0000-000008010000}"/>
    <cellStyle name="Accent4 50" xfId="266" xr:uid="{00000000-0005-0000-0000-000009010000}"/>
    <cellStyle name="Accent4 51" xfId="267" xr:uid="{00000000-0005-0000-0000-00000A010000}"/>
    <cellStyle name="Accent4 52" xfId="268" xr:uid="{00000000-0005-0000-0000-00000B010000}"/>
    <cellStyle name="Accent4 53" xfId="269" xr:uid="{00000000-0005-0000-0000-00000C010000}"/>
    <cellStyle name="Accent4 54" xfId="270" xr:uid="{00000000-0005-0000-0000-00000D010000}"/>
    <cellStyle name="Accent4 55" xfId="271" xr:uid="{00000000-0005-0000-0000-00000E010000}"/>
    <cellStyle name="Accent4 56" xfId="272" xr:uid="{00000000-0005-0000-0000-00000F010000}"/>
    <cellStyle name="Accent4 57" xfId="273" xr:uid="{00000000-0005-0000-0000-000010010000}"/>
    <cellStyle name="Accent4 58" xfId="274" xr:uid="{00000000-0005-0000-0000-000011010000}"/>
    <cellStyle name="Accent4 59" xfId="275" xr:uid="{00000000-0005-0000-0000-000012010000}"/>
    <cellStyle name="Accent4 6" xfId="276" xr:uid="{00000000-0005-0000-0000-000013010000}"/>
    <cellStyle name="Accent4 60" xfId="277" xr:uid="{00000000-0005-0000-0000-000014010000}"/>
    <cellStyle name="Accent4 61" xfId="278" xr:uid="{00000000-0005-0000-0000-000015010000}"/>
    <cellStyle name="Accent4 62" xfId="279" xr:uid="{00000000-0005-0000-0000-000016010000}"/>
    <cellStyle name="Accent4 63" xfId="280" xr:uid="{00000000-0005-0000-0000-000017010000}"/>
    <cellStyle name="Accent4 64" xfId="281" xr:uid="{00000000-0005-0000-0000-000018010000}"/>
    <cellStyle name="Accent4 65" xfId="282" xr:uid="{00000000-0005-0000-0000-000019010000}"/>
    <cellStyle name="Accent4 66" xfId="283" xr:uid="{00000000-0005-0000-0000-00001A010000}"/>
    <cellStyle name="Accent4 67" xfId="284" xr:uid="{00000000-0005-0000-0000-00001B010000}"/>
    <cellStyle name="Accent4 68" xfId="285" xr:uid="{00000000-0005-0000-0000-00001C010000}"/>
    <cellStyle name="Accent4 69" xfId="6928" xr:uid="{00000000-0005-0000-0000-000026010000}"/>
    <cellStyle name="Accent4 7" xfId="286" xr:uid="{00000000-0005-0000-0000-00001D010000}"/>
    <cellStyle name="Accent4 70" xfId="6912" xr:uid="{00000000-0005-0000-0000-000028010000}"/>
    <cellStyle name="Accent4 71" xfId="6961" xr:uid="{00000000-0005-0000-0000-000029010000}"/>
    <cellStyle name="Accent4 8" xfId="287" xr:uid="{00000000-0005-0000-0000-00001E010000}"/>
    <cellStyle name="Accent4 9" xfId="288" xr:uid="{00000000-0005-0000-0000-00001F010000}"/>
    <cellStyle name="Accent5 - 20%" xfId="289" xr:uid="{00000000-0005-0000-0000-000020010000}"/>
    <cellStyle name="Accent5 - 20% 2" xfId="290" xr:uid="{00000000-0005-0000-0000-000021010000}"/>
    <cellStyle name="Accent5 - 40%" xfId="291" xr:uid="{00000000-0005-0000-0000-000022010000}"/>
    <cellStyle name="Accent5 - 40% 2" xfId="292" xr:uid="{00000000-0005-0000-0000-000023010000}"/>
    <cellStyle name="Accent5 - 60%" xfId="293" xr:uid="{00000000-0005-0000-0000-000024010000}"/>
    <cellStyle name="Accent5 10" xfId="294" xr:uid="{00000000-0005-0000-0000-000025010000}"/>
    <cellStyle name="Accent5 11" xfId="295" xr:uid="{00000000-0005-0000-0000-000026010000}"/>
    <cellStyle name="Accent5 12" xfId="296" xr:uid="{00000000-0005-0000-0000-000027010000}"/>
    <cellStyle name="Accent5 13" xfId="297" xr:uid="{00000000-0005-0000-0000-000028010000}"/>
    <cellStyle name="Accent5 14" xfId="298" xr:uid="{00000000-0005-0000-0000-000029010000}"/>
    <cellStyle name="Accent5 15" xfId="299" xr:uid="{00000000-0005-0000-0000-00002A010000}"/>
    <cellStyle name="Accent5 16" xfId="300" xr:uid="{00000000-0005-0000-0000-00002B010000}"/>
    <cellStyle name="Accent5 17" xfId="301" xr:uid="{00000000-0005-0000-0000-00002C010000}"/>
    <cellStyle name="Accent5 18" xfId="302" xr:uid="{00000000-0005-0000-0000-00002D010000}"/>
    <cellStyle name="Accent5 19" xfId="303" xr:uid="{00000000-0005-0000-0000-00002E010000}"/>
    <cellStyle name="Accent5 2" xfId="304" xr:uid="{00000000-0005-0000-0000-00002F010000}"/>
    <cellStyle name="Accent5 20" xfId="305" xr:uid="{00000000-0005-0000-0000-000030010000}"/>
    <cellStyle name="Accent5 21" xfId="306" xr:uid="{00000000-0005-0000-0000-000031010000}"/>
    <cellStyle name="Accent5 22" xfId="307" xr:uid="{00000000-0005-0000-0000-000032010000}"/>
    <cellStyle name="Accent5 23" xfId="308" xr:uid="{00000000-0005-0000-0000-000033010000}"/>
    <cellStyle name="Accent5 24" xfId="309" xr:uid="{00000000-0005-0000-0000-000034010000}"/>
    <cellStyle name="Accent5 25" xfId="310" xr:uid="{00000000-0005-0000-0000-000035010000}"/>
    <cellStyle name="Accent5 26" xfId="311" xr:uid="{00000000-0005-0000-0000-000036010000}"/>
    <cellStyle name="Accent5 27" xfId="312" xr:uid="{00000000-0005-0000-0000-000037010000}"/>
    <cellStyle name="Accent5 28" xfId="313" xr:uid="{00000000-0005-0000-0000-000038010000}"/>
    <cellStyle name="Accent5 29" xfId="314" xr:uid="{00000000-0005-0000-0000-000039010000}"/>
    <cellStyle name="Accent5 3" xfId="315" xr:uid="{00000000-0005-0000-0000-00003A010000}"/>
    <cellStyle name="Accent5 30" xfId="316" xr:uid="{00000000-0005-0000-0000-00003B010000}"/>
    <cellStyle name="Accent5 31" xfId="317" xr:uid="{00000000-0005-0000-0000-00003C010000}"/>
    <cellStyle name="Accent5 32" xfId="318" xr:uid="{00000000-0005-0000-0000-00003D010000}"/>
    <cellStyle name="Accent5 33" xfId="319" xr:uid="{00000000-0005-0000-0000-00003E010000}"/>
    <cellStyle name="Accent5 34" xfId="320" xr:uid="{00000000-0005-0000-0000-00003F010000}"/>
    <cellStyle name="Accent5 35" xfId="321" xr:uid="{00000000-0005-0000-0000-000040010000}"/>
    <cellStyle name="Accent5 36" xfId="322" xr:uid="{00000000-0005-0000-0000-000041010000}"/>
    <cellStyle name="Accent5 37" xfId="323" xr:uid="{00000000-0005-0000-0000-000042010000}"/>
    <cellStyle name="Accent5 38" xfId="324" xr:uid="{00000000-0005-0000-0000-000043010000}"/>
    <cellStyle name="Accent5 39" xfId="325" xr:uid="{00000000-0005-0000-0000-000044010000}"/>
    <cellStyle name="Accent5 4" xfId="326" xr:uid="{00000000-0005-0000-0000-000045010000}"/>
    <cellStyle name="Accent5 40" xfId="327" xr:uid="{00000000-0005-0000-0000-000046010000}"/>
    <cellStyle name="Accent5 41" xfId="328" xr:uid="{00000000-0005-0000-0000-000047010000}"/>
    <cellStyle name="Accent5 42" xfId="329" xr:uid="{00000000-0005-0000-0000-000048010000}"/>
    <cellStyle name="Accent5 43" xfId="330" xr:uid="{00000000-0005-0000-0000-000049010000}"/>
    <cellStyle name="Accent5 44" xfId="331" xr:uid="{00000000-0005-0000-0000-00004A010000}"/>
    <cellStyle name="Accent5 45" xfId="332" xr:uid="{00000000-0005-0000-0000-00004B010000}"/>
    <cellStyle name="Accent5 46" xfId="333" xr:uid="{00000000-0005-0000-0000-00004C010000}"/>
    <cellStyle name="Accent5 47" xfId="334" xr:uid="{00000000-0005-0000-0000-00004D010000}"/>
    <cellStyle name="Accent5 48" xfId="335" xr:uid="{00000000-0005-0000-0000-00004E010000}"/>
    <cellStyle name="Accent5 49" xfId="336" xr:uid="{00000000-0005-0000-0000-00004F010000}"/>
    <cellStyle name="Accent5 5" xfId="337" xr:uid="{00000000-0005-0000-0000-000050010000}"/>
    <cellStyle name="Accent5 50" xfId="338" xr:uid="{00000000-0005-0000-0000-000051010000}"/>
    <cellStyle name="Accent5 51" xfId="339" xr:uid="{00000000-0005-0000-0000-000052010000}"/>
    <cellStyle name="Accent5 52" xfId="340" xr:uid="{00000000-0005-0000-0000-000053010000}"/>
    <cellStyle name="Accent5 53" xfId="341" xr:uid="{00000000-0005-0000-0000-000054010000}"/>
    <cellStyle name="Accent5 54" xfId="342" xr:uid="{00000000-0005-0000-0000-000055010000}"/>
    <cellStyle name="Accent5 55" xfId="343" xr:uid="{00000000-0005-0000-0000-000056010000}"/>
    <cellStyle name="Accent5 56" xfId="344" xr:uid="{00000000-0005-0000-0000-000057010000}"/>
    <cellStyle name="Accent5 57" xfId="345" xr:uid="{00000000-0005-0000-0000-000058010000}"/>
    <cellStyle name="Accent5 58" xfId="346" xr:uid="{00000000-0005-0000-0000-000059010000}"/>
    <cellStyle name="Accent5 59" xfId="347" xr:uid="{00000000-0005-0000-0000-00005A010000}"/>
    <cellStyle name="Accent5 6" xfId="348" xr:uid="{00000000-0005-0000-0000-00005B010000}"/>
    <cellStyle name="Accent5 60" xfId="349" xr:uid="{00000000-0005-0000-0000-00005C010000}"/>
    <cellStyle name="Accent5 61" xfId="350" xr:uid="{00000000-0005-0000-0000-00005D010000}"/>
    <cellStyle name="Accent5 62" xfId="351" xr:uid="{00000000-0005-0000-0000-00005E010000}"/>
    <cellStyle name="Accent5 63" xfId="352" xr:uid="{00000000-0005-0000-0000-00005F010000}"/>
    <cellStyle name="Accent5 64" xfId="353" xr:uid="{00000000-0005-0000-0000-000060010000}"/>
    <cellStyle name="Accent5 65" xfId="354" xr:uid="{00000000-0005-0000-0000-000061010000}"/>
    <cellStyle name="Accent5 66" xfId="355" xr:uid="{00000000-0005-0000-0000-000062010000}"/>
    <cellStyle name="Accent5 67" xfId="356" xr:uid="{00000000-0005-0000-0000-000063010000}"/>
    <cellStyle name="Accent5 68" xfId="357" xr:uid="{00000000-0005-0000-0000-000064010000}"/>
    <cellStyle name="Accent5 69" xfId="6914" xr:uid="{00000000-0005-0000-0000-000071010000}"/>
    <cellStyle name="Accent5 7" xfId="358" xr:uid="{00000000-0005-0000-0000-000065010000}"/>
    <cellStyle name="Accent5 70" xfId="6920" xr:uid="{00000000-0005-0000-0000-000073010000}"/>
    <cellStyle name="Accent5 71" xfId="6913" xr:uid="{00000000-0005-0000-0000-000074010000}"/>
    <cellStyle name="Accent5 8" xfId="359" xr:uid="{00000000-0005-0000-0000-000066010000}"/>
    <cellStyle name="Accent5 9" xfId="360" xr:uid="{00000000-0005-0000-0000-000067010000}"/>
    <cellStyle name="Accent6 - 20%" xfId="361" xr:uid="{00000000-0005-0000-0000-000068010000}"/>
    <cellStyle name="Accent6 - 20% 2" xfId="362" xr:uid="{00000000-0005-0000-0000-000069010000}"/>
    <cellStyle name="Accent6 - 40%" xfId="363" xr:uid="{00000000-0005-0000-0000-00006A010000}"/>
    <cellStyle name="Accent6 - 40% 2" xfId="364" xr:uid="{00000000-0005-0000-0000-00006B010000}"/>
    <cellStyle name="Accent6 - 60%" xfId="365" xr:uid="{00000000-0005-0000-0000-00006C010000}"/>
    <cellStyle name="Accent6 10" xfId="366" xr:uid="{00000000-0005-0000-0000-00006D010000}"/>
    <cellStyle name="Accent6 11" xfId="367" xr:uid="{00000000-0005-0000-0000-00006E010000}"/>
    <cellStyle name="Accent6 12" xfId="368" xr:uid="{00000000-0005-0000-0000-00006F010000}"/>
    <cellStyle name="Accent6 13" xfId="369" xr:uid="{00000000-0005-0000-0000-000070010000}"/>
    <cellStyle name="Accent6 14" xfId="370" xr:uid="{00000000-0005-0000-0000-000071010000}"/>
    <cellStyle name="Accent6 15" xfId="371" xr:uid="{00000000-0005-0000-0000-000072010000}"/>
    <cellStyle name="Accent6 16" xfId="372" xr:uid="{00000000-0005-0000-0000-000073010000}"/>
    <cellStyle name="Accent6 17" xfId="373" xr:uid="{00000000-0005-0000-0000-000074010000}"/>
    <cellStyle name="Accent6 18" xfId="374" xr:uid="{00000000-0005-0000-0000-000075010000}"/>
    <cellStyle name="Accent6 19" xfId="375" xr:uid="{00000000-0005-0000-0000-000076010000}"/>
    <cellStyle name="Accent6 2" xfId="376" xr:uid="{00000000-0005-0000-0000-000077010000}"/>
    <cellStyle name="Accent6 20" xfId="377" xr:uid="{00000000-0005-0000-0000-000078010000}"/>
    <cellStyle name="Accent6 21" xfId="378" xr:uid="{00000000-0005-0000-0000-000079010000}"/>
    <cellStyle name="Accent6 22" xfId="379" xr:uid="{00000000-0005-0000-0000-00007A010000}"/>
    <cellStyle name="Accent6 23" xfId="380" xr:uid="{00000000-0005-0000-0000-00007B010000}"/>
    <cellStyle name="Accent6 24" xfId="381" xr:uid="{00000000-0005-0000-0000-00007C010000}"/>
    <cellStyle name="Accent6 25" xfId="382" xr:uid="{00000000-0005-0000-0000-00007D010000}"/>
    <cellStyle name="Accent6 26" xfId="383" xr:uid="{00000000-0005-0000-0000-00007E010000}"/>
    <cellStyle name="Accent6 27" xfId="384" xr:uid="{00000000-0005-0000-0000-00007F010000}"/>
    <cellStyle name="Accent6 28" xfId="385" xr:uid="{00000000-0005-0000-0000-000080010000}"/>
    <cellStyle name="Accent6 29" xfId="386" xr:uid="{00000000-0005-0000-0000-000081010000}"/>
    <cellStyle name="Accent6 3" xfId="387" xr:uid="{00000000-0005-0000-0000-000082010000}"/>
    <cellStyle name="Accent6 30" xfId="388" xr:uid="{00000000-0005-0000-0000-000083010000}"/>
    <cellStyle name="Accent6 31" xfId="389" xr:uid="{00000000-0005-0000-0000-000084010000}"/>
    <cellStyle name="Accent6 32" xfId="390" xr:uid="{00000000-0005-0000-0000-000085010000}"/>
    <cellStyle name="Accent6 33" xfId="391" xr:uid="{00000000-0005-0000-0000-000086010000}"/>
    <cellStyle name="Accent6 34" xfId="392" xr:uid="{00000000-0005-0000-0000-000087010000}"/>
    <cellStyle name="Accent6 35" xfId="393" xr:uid="{00000000-0005-0000-0000-000088010000}"/>
    <cellStyle name="Accent6 36" xfId="394" xr:uid="{00000000-0005-0000-0000-000089010000}"/>
    <cellStyle name="Accent6 37" xfId="395" xr:uid="{00000000-0005-0000-0000-00008A010000}"/>
    <cellStyle name="Accent6 38" xfId="396" xr:uid="{00000000-0005-0000-0000-00008B010000}"/>
    <cellStyle name="Accent6 39" xfId="397" xr:uid="{00000000-0005-0000-0000-00008C010000}"/>
    <cellStyle name="Accent6 4" xfId="398" xr:uid="{00000000-0005-0000-0000-00008D010000}"/>
    <cellStyle name="Accent6 40" xfId="399" xr:uid="{00000000-0005-0000-0000-00008E010000}"/>
    <cellStyle name="Accent6 41" xfId="400" xr:uid="{00000000-0005-0000-0000-00008F010000}"/>
    <cellStyle name="Accent6 42" xfId="401" xr:uid="{00000000-0005-0000-0000-000090010000}"/>
    <cellStyle name="Accent6 43" xfId="402" xr:uid="{00000000-0005-0000-0000-000091010000}"/>
    <cellStyle name="Accent6 44" xfId="403" xr:uid="{00000000-0005-0000-0000-000092010000}"/>
    <cellStyle name="Accent6 45" xfId="404" xr:uid="{00000000-0005-0000-0000-000093010000}"/>
    <cellStyle name="Accent6 46" xfId="405" xr:uid="{00000000-0005-0000-0000-000094010000}"/>
    <cellStyle name="Accent6 47" xfId="406" xr:uid="{00000000-0005-0000-0000-000095010000}"/>
    <cellStyle name="Accent6 48" xfId="407" xr:uid="{00000000-0005-0000-0000-000096010000}"/>
    <cellStyle name="Accent6 49" xfId="408" xr:uid="{00000000-0005-0000-0000-000097010000}"/>
    <cellStyle name="Accent6 5" xfId="409" xr:uid="{00000000-0005-0000-0000-000098010000}"/>
    <cellStyle name="Accent6 50" xfId="410" xr:uid="{00000000-0005-0000-0000-000099010000}"/>
    <cellStyle name="Accent6 51" xfId="411" xr:uid="{00000000-0005-0000-0000-00009A010000}"/>
    <cellStyle name="Accent6 52" xfId="412" xr:uid="{00000000-0005-0000-0000-00009B010000}"/>
    <cellStyle name="Accent6 53" xfId="413" xr:uid="{00000000-0005-0000-0000-00009C010000}"/>
    <cellStyle name="Accent6 54" xfId="414" xr:uid="{00000000-0005-0000-0000-00009D010000}"/>
    <cellStyle name="Accent6 55" xfId="415" xr:uid="{00000000-0005-0000-0000-00009E010000}"/>
    <cellStyle name="Accent6 56" xfId="416" xr:uid="{00000000-0005-0000-0000-00009F010000}"/>
    <cellStyle name="Accent6 57" xfId="417" xr:uid="{00000000-0005-0000-0000-0000A0010000}"/>
    <cellStyle name="Accent6 58" xfId="418" xr:uid="{00000000-0005-0000-0000-0000A1010000}"/>
    <cellStyle name="Accent6 59" xfId="419" xr:uid="{00000000-0005-0000-0000-0000A2010000}"/>
    <cellStyle name="Accent6 6" xfId="420" xr:uid="{00000000-0005-0000-0000-0000A3010000}"/>
    <cellStyle name="Accent6 60" xfId="421" xr:uid="{00000000-0005-0000-0000-0000A4010000}"/>
    <cellStyle name="Accent6 61" xfId="422" xr:uid="{00000000-0005-0000-0000-0000A5010000}"/>
    <cellStyle name="Accent6 62" xfId="423" xr:uid="{00000000-0005-0000-0000-0000A6010000}"/>
    <cellStyle name="Accent6 63" xfId="424" xr:uid="{00000000-0005-0000-0000-0000A7010000}"/>
    <cellStyle name="Accent6 64" xfId="425" xr:uid="{00000000-0005-0000-0000-0000A8010000}"/>
    <cellStyle name="Accent6 65" xfId="426" xr:uid="{00000000-0005-0000-0000-0000A9010000}"/>
    <cellStyle name="Accent6 66" xfId="427" xr:uid="{00000000-0005-0000-0000-0000AA010000}"/>
    <cellStyle name="Accent6 67" xfId="428" xr:uid="{00000000-0005-0000-0000-0000AB010000}"/>
    <cellStyle name="Accent6 68" xfId="429" xr:uid="{00000000-0005-0000-0000-0000AC010000}"/>
    <cellStyle name="Accent6 69" xfId="6911" xr:uid="{00000000-0005-0000-0000-0000BC010000}"/>
    <cellStyle name="Accent6 7" xfId="430" xr:uid="{00000000-0005-0000-0000-0000AD010000}"/>
    <cellStyle name="Accent6 70" xfId="7060" xr:uid="{00000000-0005-0000-0000-0000BE010000}"/>
    <cellStyle name="Accent6 71" xfId="6910" xr:uid="{00000000-0005-0000-0000-0000BF010000}"/>
    <cellStyle name="Accent6 8" xfId="431" xr:uid="{00000000-0005-0000-0000-0000AE010000}"/>
    <cellStyle name="Accent6 9" xfId="432" xr:uid="{00000000-0005-0000-0000-0000AF010000}"/>
    <cellStyle name="Bad 2" xfId="433" xr:uid="{00000000-0005-0000-0000-0000B0010000}"/>
    <cellStyle name="Bad 3" xfId="434" xr:uid="{00000000-0005-0000-0000-0000B1010000}"/>
    <cellStyle name="Calculation 2" xfId="435" xr:uid="{00000000-0005-0000-0000-0000B2010000}"/>
    <cellStyle name="Calculation 3" xfId="436" xr:uid="{00000000-0005-0000-0000-0000B3010000}"/>
    <cellStyle name="Check Cell 2" xfId="437" xr:uid="{00000000-0005-0000-0000-0000B4010000}"/>
    <cellStyle name="Check Cell 3" xfId="438" xr:uid="{00000000-0005-0000-0000-0000B5010000}"/>
    <cellStyle name="Comma" xfId="439" builtinId="3"/>
    <cellStyle name="Comma 10" xfId="440" xr:uid="{00000000-0005-0000-0000-0000B7010000}"/>
    <cellStyle name="Comma 10 2" xfId="441" xr:uid="{00000000-0005-0000-0000-0000B8010000}"/>
    <cellStyle name="Comma 10 2 2" xfId="442" xr:uid="{00000000-0005-0000-0000-0000B9010000}"/>
    <cellStyle name="Comma 10 2 2 2" xfId="1562" xr:uid="{00000000-0005-0000-0000-0000BA010000}"/>
    <cellStyle name="Comma 10 2 2 2 2" xfId="6452" xr:uid="{00000000-0005-0000-0000-0000A2010000}"/>
    <cellStyle name="Comma 10 2 2 2 3" xfId="8321" xr:uid="{00000000-0005-0000-0000-0000CC010000}"/>
    <cellStyle name="Comma 10 2 2 2 4" xfId="10718" xr:uid="{00000000-0005-0000-0000-0000CC010000}"/>
    <cellStyle name="Comma 10 2 2 3" xfId="6352" xr:uid="{00000000-0005-0000-0000-000077010000}"/>
    <cellStyle name="Comma 10 2 2 4" xfId="5032" xr:uid="{00000000-0005-0000-0000-000071010000}"/>
    <cellStyle name="Comma 10 2 2 5" xfId="6917" xr:uid="{00000000-0005-0000-0000-0000CB010000}"/>
    <cellStyle name="Comma 10 2 2 6" xfId="9328" xr:uid="{00000000-0005-0000-0000-0000CB010000}"/>
    <cellStyle name="Comma 10 2 3" xfId="1563" xr:uid="{00000000-0005-0000-0000-0000BB010000}"/>
    <cellStyle name="Comma 10 2 3 2" xfId="2663" xr:uid="{00000000-0005-0000-0000-000078010000}"/>
    <cellStyle name="Comma 10 2 3 3" xfId="3641" xr:uid="{00000000-0005-0000-0000-0000BB010000}"/>
    <cellStyle name="Comma 10 2 3 4" xfId="6157" xr:uid="{00000000-0005-0000-0000-000078010000}"/>
    <cellStyle name="Comma 10 2 3 5" xfId="6916" xr:uid="{00000000-0005-0000-0000-0000CD010000}"/>
    <cellStyle name="Comma 10 2 4" xfId="1561" xr:uid="{00000000-0005-0000-0000-0000BC010000}"/>
    <cellStyle name="Comma 10 2 4 2" xfId="4675" xr:uid="{00000000-0005-0000-0000-000076010000}"/>
    <cellStyle name="Comma 10 2 4 3" xfId="7874" xr:uid="{00000000-0005-0000-0000-0000CE010000}"/>
    <cellStyle name="Comma 10 2 4 4" xfId="10271" xr:uid="{00000000-0005-0000-0000-0000CE010000}"/>
    <cellStyle name="Comma 10 2 5" xfId="3811" xr:uid="{00000000-0005-0000-0000-00004C010000}"/>
    <cellStyle name="Comma 10 2 5 2" xfId="5290" xr:uid="{00000000-0005-0000-0000-0000A5010000}"/>
    <cellStyle name="Comma 10 2 5 3" xfId="11392" xr:uid="{00000000-0005-0000-0000-0000A5010000}"/>
    <cellStyle name="Comma 10 2 6" xfId="5768" xr:uid="{00000000-0005-0000-0000-000046010000}"/>
    <cellStyle name="Comma 10 2 7" xfId="5027" xr:uid="{00000000-0005-0000-0000-000070010000}"/>
    <cellStyle name="Comma 10 2 8" xfId="6743" xr:uid="{00000000-0005-0000-0000-0000CA010000}"/>
    <cellStyle name="Comma 10 2 9" xfId="9164" xr:uid="{00000000-0005-0000-0000-0000CA010000}"/>
    <cellStyle name="Comma 10 3" xfId="443" xr:uid="{00000000-0005-0000-0000-0000BD010000}"/>
    <cellStyle name="Comma 10 3 2" xfId="1564" xr:uid="{00000000-0005-0000-0000-0000BE010000}"/>
    <cellStyle name="Comma 10 3 2 2" xfId="2662" xr:uid="{00000000-0005-0000-0000-000079010000}"/>
    <cellStyle name="Comma 10 3 2 3" xfId="2056" xr:uid="{00000000-0005-0000-0000-0000BE010000}"/>
    <cellStyle name="Comma 10 3 3" xfId="3710" xr:uid="{00000000-0005-0000-0000-0000BD010000}"/>
    <cellStyle name="Comma 10 3 4" xfId="3807" xr:uid="{00000000-0005-0000-0000-00004D010000}"/>
    <cellStyle name="Comma 10 3 5" xfId="6918" xr:uid="{00000000-0005-0000-0000-0000CF010000}"/>
    <cellStyle name="Comma 10 3 6" xfId="9329" xr:uid="{00000000-0005-0000-0000-0000CF010000}"/>
    <cellStyle name="Comma 10 4" xfId="1565" xr:uid="{00000000-0005-0000-0000-0000BF010000}"/>
    <cellStyle name="Comma 10 4 2" xfId="3009" xr:uid="{00000000-0005-0000-0000-00007A010000}"/>
    <cellStyle name="Comma 10 4 2 2" xfId="11428" xr:uid="{00000000-0005-0000-0000-0000A8010000}"/>
    <cellStyle name="Comma 10 4 3" xfId="3562" xr:uid="{00000000-0005-0000-0000-0000BF010000}"/>
    <cellStyle name="Comma 10 4 4" xfId="4391" xr:uid="{00000000-0005-0000-0000-00007A010000}"/>
    <cellStyle name="Comma 10 4 5" xfId="8322" xr:uid="{00000000-0005-0000-0000-0000D1010000}"/>
    <cellStyle name="Comma 10 4 6" xfId="10719" xr:uid="{00000000-0005-0000-0000-0000D1010000}"/>
    <cellStyle name="Comma 10 5" xfId="1560" xr:uid="{00000000-0005-0000-0000-0000C0010000}"/>
    <cellStyle name="Comma 10 5 2" xfId="2653" xr:uid="{00000000-0005-0000-0000-00007B010000}"/>
    <cellStyle name="Comma 10 5 3" xfId="3591" xr:uid="{00000000-0005-0000-0000-0000C0010000}"/>
    <cellStyle name="Comma 10 5 4" xfId="7865" xr:uid="{00000000-0005-0000-0000-0000D2010000}"/>
    <cellStyle name="Comma 10 5 5" xfId="10262" xr:uid="{00000000-0005-0000-0000-0000D2010000}"/>
    <cellStyle name="Comma 10 6" xfId="2258" xr:uid="{00000000-0005-0000-0000-000075010000}"/>
    <cellStyle name="Comma 10 7" xfId="5543" xr:uid="{00000000-0005-0000-0000-000045010000}"/>
    <cellStyle name="Comma 11" xfId="444" xr:uid="{00000000-0005-0000-0000-0000C1010000}"/>
    <cellStyle name="Comma 11 2" xfId="1567" xr:uid="{00000000-0005-0000-0000-0000C2010000}"/>
    <cellStyle name="Comma 11 2 2" xfId="3010" xr:uid="{00000000-0005-0000-0000-00007D010000}"/>
    <cellStyle name="Comma 11 2 2 2" xfId="8323" xr:uid="{00000000-0005-0000-0000-0000D5010000}"/>
    <cellStyle name="Comma 11 2 2 3" xfId="10720" xr:uid="{00000000-0005-0000-0000-0000D5010000}"/>
    <cellStyle name="Comma 11 2 2 4" xfId="11359" xr:uid="{00000000-0005-0000-0000-0000DA2C0000}"/>
    <cellStyle name="Comma 11 2 3" xfId="3634" xr:uid="{00000000-0005-0000-0000-0000C2010000}"/>
    <cellStyle name="Comma 11 2 4" xfId="6353" xr:uid="{00000000-0005-0000-0000-00007D010000}"/>
    <cellStyle name="Comma 11 2 5" xfId="5033" xr:uid="{00000000-0005-0000-0000-000073010000}"/>
    <cellStyle name="Comma 11 2 6" xfId="6919" xr:uid="{00000000-0005-0000-0000-0000D4010000}"/>
    <cellStyle name="Comma 11 2 7" xfId="9330" xr:uid="{00000000-0005-0000-0000-0000D4010000}"/>
    <cellStyle name="Comma 11 3" xfId="1568" xr:uid="{00000000-0005-0000-0000-0000C3010000}"/>
    <cellStyle name="Comma 11 3 2" xfId="2661" xr:uid="{00000000-0005-0000-0000-00007C010000}"/>
    <cellStyle name="Comma 11 3 3" xfId="3625" xr:uid="{00000000-0005-0000-0000-0000C3010000}"/>
    <cellStyle name="Comma 11 3 4" xfId="6156" xr:uid="{00000000-0005-0000-0000-00007C010000}"/>
    <cellStyle name="Comma 11 3 5" xfId="7873" xr:uid="{00000000-0005-0000-0000-0000D6010000}"/>
    <cellStyle name="Comma 11 3 6" xfId="10270" xr:uid="{00000000-0005-0000-0000-0000D6010000}"/>
    <cellStyle name="Comma 11 4" xfId="1566" xr:uid="{00000000-0005-0000-0000-0000C4010000}"/>
    <cellStyle name="Comma 11 4 2" xfId="11528" xr:uid="{00000000-0005-0000-0000-00008C010000}"/>
    <cellStyle name="Comma 11 4 3" xfId="11559" xr:uid="{00000000-0005-0000-0000-00008C010000}"/>
    <cellStyle name="Comma 11 5" xfId="3857" xr:uid="{00000000-0005-0000-0000-00004E010000}"/>
    <cellStyle name="Comma 11 5 2" xfId="11391" xr:uid="{00000000-0005-0000-0000-0000AF010000}"/>
    <cellStyle name="Comma 11 6" xfId="5767" xr:uid="{00000000-0005-0000-0000-000049010000}"/>
    <cellStyle name="Comma 11 7" xfId="4838" xr:uid="{00000000-0005-0000-0000-000072010000}"/>
    <cellStyle name="Comma 11 8" xfId="6584" xr:uid="{00000000-0005-0000-0000-0000D3010000}"/>
    <cellStyle name="Comma 11 9" xfId="9005" xr:uid="{00000000-0005-0000-0000-0000D3010000}"/>
    <cellStyle name="Comma 12" xfId="1569" xr:uid="{00000000-0005-0000-0000-0000C5010000}"/>
    <cellStyle name="Comma 12 2" xfId="2428" xr:uid="{00000000-0005-0000-0000-00007E010000}"/>
    <cellStyle name="Comma 12 2 2" xfId="6437" xr:uid="{00000000-0005-0000-0000-00007E010000}"/>
    <cellStyle name="Comma 12 2 3" xfId="4696" xr:uid="{00000000-0005-0000-0000-000047010000}"/>
    <cellStyle name="Comma 12 2 4" xfId="11427" xr:uid="{00000000-0005-0000-0000-0000DB2C0000}"/>
    <cellStyle name="Comma 12 3" xfId="3626" xr:uid="{00000000-0005-0000-0000-0000C5010000}"/>
    <cellStyle name="Comma 12 3 2" xfId="6442" xr:uid="{00000000-0005-0000-0000-0000C5010000}"/>
    <cellStyle name="Comma 12 3 3" xfId="4713" xr:uid="{00000000-0005-0000-0000-000048010000}"/>
    <cellStyle name="Comma 12 4" xfId="6138" xr:uid="{00000000-0005-0000-0000-00007E010000}"/>
    <cellStyle name="Comma 12 5" xfId="5031" xr:uid="{00000000-0005-0000-0000-000074010000}"/>
    <cellStyle name="Comma 12 6" xfId="6745" xr:uid="{00000000-0005-0000-0000-0000D7010000}"/>
    <cellStyle name="Comma 12 7" xfId="9166" xr:uid="{00000000-0005-0000-0000-0000D7010000}"/>
    <cellStyle name="Comma 12 8" xfId="4697" xr:uid="{00000000-0005-0000-0000-000046010000}"/>
    <cellStyle name="Comma 13" xfId="6516" xr:uid="{00000000-0005-0000-0000-0000B2010000}"/>
    <cellStyle name="Comma 13 2" xfId="6915" xr:uid="{00000000-0005-0000-0000-0000D9010000}"/>
    <cellStyle name="Comma 13 3" xfId="9327" xr:uid="{00000000-0005-0000-0000-0000D9010000}"/>
    <cellStyle name="Comma 2" xfId="445" xr:uid="{00000000-0005-0000-0000-0000C6010000}"/>
    <cellStyle name="Comma 2 2" xfId="446" xr:uid="{00000000-0005-0000-0000-0000C7010000}"/>
    <cellStyle name="Comma 3" xfId="447" xr:uid="{00000000-0005-0000-0000-0000C8010000}"/>
    <cellStyle name="Comma 3 2" xfId="448" xr:uid="{00000000-0005-0000-0000-0000C9010000}"/>
    <cellStyle name="Comma 4" xfId="449" xr:uid="{00000000-0005-0000-0000-0000CA010000}"/>
    <cellStyle name="Comma 4 2" xfId="450" xr:uid="{00000000-0005-0000-0000-0000CB010000}"/>
    <cellStyle name="Comma 4 2 2" xfId="1571" xr:uid="{00000000-0005-0000-0000-0000CC010000}"/>
    <cellStyle name="Comma 4 2 2 2" xfId="6510" xr:uid="{00000000-0005-0000-0000-0000B9010000}"/>
    <cellStyle name="Comma 4 2 3" xfId="1572" xr:uid="{00000000-0005-0000-0000-0000CD010000}"/>
    <cellStyle name="Comma 4 2 4" xfId="1570" xr:uid="{00000000-0005-0000-0000-0000CE010000}"/>
    <cellStyle name="Comma 4 3" xfId="451" xr:uid="{00000000-0005-0000-0000-0000CF010000}"/>
    <cellStyle name="Comma 4 4" xfId="452" xr:uid="{00000000-0005-0000-0000-0000D0010000}"/>
    <cellStyle name="Comma 4 4 2" xfId="453" xr:uid="{00000000-0005-0000-0000-0000D1010000}"/>
    <cellStyle name="Comma 4 4 2 2" xfId="1575" xr:uid="{00000000-0005-0000-0000-0000D2010000}"/>
    <cellStyle name="Comma 4 4 2 3" xfId="1576" xr:uid="{00000000-0005-0000-0000-0000D3010000}"/>
    <cellStyle name="Comma 4 4 2 4" xfId="1574" xr:uid="{00000000-0005-0000-0000-0000D4010000}"/>
    <cellStyle name="Comma 4 4 2 5" xfId="6922" xr:uid="{00000000-0005-0000-0000-0000E2010000}"/>
    <cellStyle name="Comma 4 4 2 6" xfId="9332" xr:uid="{00000000-0005-0000-0000-0000E2010000}"/>
    <cellStyle name="Comma 4 4 3" xfId="1577" xr:uid="{00000000-0005-0000-0000-0000D5010000}"/>
    <cellStyle name="Comma 4 4 4" xfId="1578" xr:uid="{00000000-0005-0000-0000-0000D6010000}"/>
    <cellStyle name="Comma 4 4 5" xfId="1573" xr:uid="{00000000-0005-0000-0000-0000D7010000}"/>
    <cellStyle name="Comma 4 4 6" xfId="6504" xr:uid="{00000000-0005-0000-0000-0000BC010000}"/>
    <cellStyle name="Comma 4 4 7" xfId="6921" xr:uid="{00000000-0005-0000-0000-0000E1010000}"/>
    <cellStyle name="Comma 4 4 8" xfId="9331" xr:uid="{00000000-0005-0000-0000-0000E1010000}"/>
    <cellStyle name="Comma 4 5" xfId="454" xr:uid="{00000000-0005-0000-0000-0000D8010000}"/>
    <cellStyle name="Comma 4 5 2" xfId="1580" xr:uid="{00000000-0005-0000-0000-0000D9010000}"/>
    <cellStyle name="Comma 4 5 3" xfId="1581" xr:uid="{00000000-0005-0000-0000-0000DA010000}"/>
    <cellStyle name="Comma 4 5 4" xfId="1579" xr:uid="{00000000-0005-0000-0000-0000DB010000}"/>
    <cellStyle name="Comma 4 5 5" xfId="6923" xr:uid="{00000000-0005-0000-0000-0000E3010000}"/>
    <cellStyle name="Comma 4 5 6" xfId="9333" xr:uid="{00000000-0005-0000-0000-0000E3010000}"/>
    <cellStyle name="Comma 4 6" xfId="1582" xr:uid="{00000000-0005-0000-0000-0000DC010000}"/>
    <cellStyle name="Comma 5" xfId="455" xr:uid="{00000000-0005-0000-0000-0000DD010000}"/>
    <cellStyle name="Comma 5 10" xfId="456" xr:uid="{00000000-0005-0000-0000-0000DE010000}"/>
    <cellStyle name="Comma 5 10 2" xfId="1584" xr:uid="{00000000-0005-0000-0000-0000DF010000}"/>
    <cellStyle name="Comma 5 10 2 2" xfId="3011" xr:uid="{00000000-0005-0000-0000-000088010000}"/>
    <cellStyle name="Comma 5 10 2 2 2" xfId="8324" xr:uid="{00000000-0005-0000-0000-0000E7010000}"/>
    <cellStyle name="Comma 5 10 2 2 3" xfId="10721" xr:uid="{00000000-0005-0000-0000-0000E7010000}"/>
    <cellStyle name="Comma 5 10 2 2 4" xfId="11353" xr:uid="{00000000-0005-0000-0000-0000DC2C0000}"/>
    <cellStyle name="Comma 5 10 2 3" xfId="3683" xr:uid="{00000000-0005-0000-0000-0000DF010000}"/>
    <cellStyle name="Comma 5 10 2 4" xfId="6354" xr:uid="{00000000-0005-0000-0000-000088010000}"/>
    <cellStyle name="Comma 5 10 2 5" xfId="5035" xr:uid="{00000000-0005-0000-0000-00007E010000}"/>
    <cellStyle name="Comma 5 10 2 6" xfId="6925" xr:uid="{00000000-0005-0000-0000-0000E6010000}"/>
    <cellStyle name="Comma 5 10 2 7" xfId="9335" xr:uid="{00000000-0005-0000-0000-0000E6010000}"/>
    <cellStyle name="Comma 5 10 3" xfId="1585" xr:uid="{00000000-0005-0000-0000-0000E0010000}"/>
    <cellStyle name="Comma 5 10 3 2" xfId="2664" xr:uid="{00000000-0005-0000-0000-000089010000}"/>
    <cellStyle name="Comma 5 10 3 3" xfId="3623" xr:uid="{00000000-0005-0000-0000-0000E0010000}"/>
    <cellStyle name="Comma 5 10 3 4" xfId="6158" xr:uid="{00000000-0005-0000-0000-000089010000}"/>
    <cellStyle name="Comma 5 10 3 5" xfId="7875" xr:uid="{00000000-0005-0000-0000-0000E8010000}"/>
    <cellStyle name="Comma 5 10 3 6" xfId="10272" xr:uid="{00000000-0005-0000-0000-0000E8010000}"/>
    <cellStyle name="Comma 5 10 4" xfId="1583" xr:uid="{00000000-0005-0000-0000-0000E1010000}"/>
    <cellStyle name="Comma 5 10 4 2" xfId="2271" xr:uid="{00000000-0005-0000-0000-000087010000}"/>
    <cellStyle name="Comma 5 10 4 3" xfId="3577" xr:uid="{00000000-0005-0000-0000-0000E1010000}"/>
    <cellStyle name="Comma 5 10 4 4" xfId="11560" xr:uid="{00000000-0005-0000-0000-00009A010000}"/>
    <cellStyle name="Comma 5 10 5" xfId="3859" xr:uid="{00000000-0005-0000-0000-000057010000}"/>
    <cellStyle name="Comma 5 10 5 2" xfId="11393" xr:uid="{00000000-0005-0000-0000-0000C3010000}"/>
    <cellStyle name="Comma 5 10 6" xfId="5769" xr:uid="{00000000-0005-0000-0000-000052010000}"/>
    <cellStyle name="Comma 5 10 7" xfId="4839" xr:uid="{00000000-0005-0000-0000-00007D010000}"/>
    <cellStyle name="Comma 5 10 8" xfId="6585" xr:uid="{00000000-0005-0000-0000-0000E5010000}"/>
    <cellStyle name="Comma 5 10 9" xfId="9006" xr:uid="{00000000-0005-0000-0000-0000E5010000}"/>
    <cellStyle name="Comma 5 11" xfId="457" xr:uid="{00000000-0005-0000-0000-0000E2010000}"/>
    <cellStyle name="Comma 5 11 2" xfId="1587" xr:uid="{00000000-0005-0000-0000-0000E3010000}"/>
    <cellStyle name="Comma 5 11 2 2" xfId="3012" xr:uid="{00000000-0005-0000-0000-00008B010000}"/>
    <cellStyle name="Comma 5 11 2 2 2" xfId="11366" xr:uid="{00000000-0005-0000-0000-0000DD2C0000}"/>
    <cellStyle name="Comma 5 11 2 3" xfId="3667" xr:uid="{00000000-0005-0000-0000-0000E3010000}"/>
    <cellStyle name="Comma 5 11 2 4" xfId="6355" xr:uid="{00000000-0005-0000-0000-00008B010000}"/>
    <cellStyle name="Comma 5 11 2 5" xfId="5036" xr:uid="{00000000-0005-0000-0000-000080010000}"/>
    <cellStyle name="Comma 5 11 2 6" xfId="6926" xr:uid="{00000000-0005-0000-0000-0000EA010000}"/>
    <cellStyle name="Comma 5 11 2 7" xfId="9336" xr:uid="{00000000-0005-0000-0000-0000EA010000}"/>
    <cellStyle name="Comma 5 11 3" xfId="1588" xr:uid="{00000000-0005-0000-0000-0000E4010000}"/>
    <cellStyle name="Comma 5 11 3 2" xfId="5295" xr:uid="{00000000-0005-0000-0000-0000C6010000}"/>
    <cellStyle name="Comma 5 11 3 3" xfId="6446" xr:uid="{00000000-0005-0000-0000-0000E4010000}"/>
    <cellStyle name="Comma 5 11 3 3 2" xfId="11381" xr:uid="{00000000-0005-0000-0000-0000C6010000}"/>
    <cellStyle name="Comma 5 11 3 4" xfId="8325" xr:uid="{00000000-0005-0000-0000-0000EB010000}"/>
    <cellStyle name="Comma 5 11 3 5" xfId="10722" xr:uid="{00000000-0005-0000-0000-0000EB010000}"/>
    <cellStyle name="Comma 5 11 3 6" xfId="4714" xr:uid="{00000000-0005-0000-0000-000056010000}"/>
    <cellStyle name="Comma 5 11 4" xfId="1586" xr:uid="{00000000-0005-0000-0000-0000E5010000}"/>
    <cellStyle name="Comma 5 11 4 2" xfId="6448" xr:uid="{00000000-0005-0000-0000-0000C7010000}"/>
    <cellStyle name="Comma 5 11 4 3" xfId="11429" xr:uid="{00000000-0005-0000-0000-0000C7010000}"/>
    <cellStyle name="Comma 5 11 5" xfId="4118" xr:uid="{00000000-0005-0000-0000-00008A010000}"/>
    <cellStyle name="Comma 5 11 6" xfId="5550" xr:uid="{00000000-0005-0000-0000-000053010000}"/>
    <cellStyle name="Comma 5 11 7" xfId="4759" xr:uid="{00000000-0005-0000-0000-00007F010000}"/>
    <cellStyle name="Comma 5 11 8" xfId="6746" xr:uid="{00000000-0005-0000-0000-0000E9010000}"/>
    <cellStyle name="Comma 5 11 9" xfId="9167" xr:uid="{00000000-0005-0000-0000-0000E9010000}"/>
    <cellStyle name="Comma 5 12" xfId="458" xr:uid="{00000000-0005-0000-0000-0000E6010000}"/>
    <cellStyle name="Comma 5 12 2" xfId="1590" xr:uid="{00000000-0005-0000-0000-0000E7010000}"/>
    <cellStyle name="Comma 5 12 2 2" xfId="6468" xr:uid="{00000000-0005-0000-0000-0000C9010000}"/>
    <cellStyle name="Comma 5 12 2 3" xfId="6443" xr:uid="{00000000-0005-0000-0000-0000E7010000}"/>
    <cellStyle name="Comma 5 12 2 3 2" xfId="11426" xr:uid="{00000000-0005-0000-0000-0000C9010000}"/>
    <cellStyle name="Comma 5 12 2 4" xfId="8169" xr:uid="{00000000-0005-0000-0000-0000ED010000}"/>
    <cellStyle name="Comma 5 12 2 5" xfId="10566" xr:uid="{00000000-0005-0000-0000-0000ED010000}"/>
    <cellStyle name="Comma 5 12 2 6" xfId="4694" xr:uid="{00000000-0005-0000-0000-000058010000}"/>
    <cellStyle name="Comma 5 12 3" xfId="1591" xr:uid="{00000000-0005-0000-0000-0000E8010000}"/>
    <cellStyle name="Comma 5 12 4" xfId="1589" xr:uid="{00000000-0005-0000-0000-0000E9010000}"/>
    <cellStyle name="Comma 5 12 5" xfId="6262" xr:uid="{00000000-0005-0000-0000-00008C010000}"/>
    <cellStyle name="Comma 5 12 6" xfId="5034" xr:uid="{00000000-0005-0000-0000-000081010000}"/>
    <cellStyle name="Comma 5 12 7" xfId="6927" xr:uid="{00000000-0005-0000-0000-0000EC010000}"/>
    <cellStyle name="Comma 5 12 8" xfId="9337" xr:uid="{00000000-0005-0000-0000-0000EC010000}"/>
    <cellStyle name="Comma 5 13" xfId="1592" xr:uid="{00000000-0005-0000-0000-0000EA010000}"/>
    <cellStyle name="Comma 5 13 2" xfId="2429" xr:uid="{00000000-0005-0000-0000-00008D010000}"/>
    <cellStyle name="Comma 5 13 3" xfId="3576" xr:uid="{00000000-0005-0000-0000-0000EA010000}"/>
    <cellStyle name="Comma 5 13 4" xfId="6139" xr:uid="{00000000-0005-0000-0000-00008D010000}"/>
    <cellStyle name="Comma 5 13 5" xfId="6924" xr:uid="{00000000-0005-0000-0000-0000EE010000}"/>
    <cellStyle name="Comma 5 13 6" xfId="9334" xr:uid="{00000000-0005-0000-0000-0000EE010000}"/>
    <cellStyle name="Comma 5 14" xfId="2156" xr:uid="{00000000-0005-0000-0000-000086010000}"/>
    <cellStyle name="Comma 5 14 2" xfId="6046" xr:uid="{00000000-0005-0000-0000-000086010000}"/>
    <cellStyle name="Comma 5 14 3" xfId="7624" xr:uid="{00000000-0005-0000-0000-0000EF010000}"/>
    <cellStyle name="Comma 5 14 4" xfId="10021" xr:uid="{00000000-0005-0000-0000-0000EF010000}"/>
    <cellStyle name="Comma 5 15" xfId="3777" xr:uid="{00000000-0005-0000-0000-000056010000}"/>
    <cellStyle name="Comma 5 16" xfId="5297" xr:uid="{00000000-0005-0000-0000-000051010000}"/>
    <cellStyle name="Comma 5 17" xfId="4752" xr:uid="{00000000-0005-0000-0000-00007C010000}"/>
    <cellStyle name="Comma 5 18" xfId="6523" xr:uid="{00000000-0005-0000-0000-0000E4010000}"/>
    <cellStyle name="Comma 5 19" xfId="8944" xr:uid="{00000000-0005-0000-0000-0000E4010000}"/>
    <cellStyle name="Comma 5 2" xfId="459" xr:uid="{00000000-0005-0000-0000-0000EB010000}"/>
    <cellStyle name="Comma 5 2 2" xfId="460" xr:uid="{00000000-0005-0000-0000-0000EC010000}"/>
    <cellStyle name="Comma 5 2 2 2" xfId="1594" xr:uid="{00000000-0005-0000-0000-0000ED010000}"/>
    <cellStyle name="Comma 5 2 2 3" xfId="1595" xr:uid="{00000000-0005-0000-0000-0000EE010000}"/>
    <cellStyle name="Comma 5 2 2 4" xfId="1593" xr:uid="{00000000-0005-0000-0000-0000EF010000}"/>
    <cellStyle name="Comma 5 2 2 5" xfId="6929" xr:uid="{00000000-0005-0000-0000-0000F1010000}"/>
    <cellStyle name="Comma 5 2 2 6" xfId="9338" xr:uid="{00000000-0005-0000-0000-0000F1010000}"/>
    <cellStyle name="Comma 5 3" xfId="461" xr:uid="{00000000-0005-0000-0000-0000F0010000}"/>
    <cellStyle name="Comma 5 3 10" xfId="5364" xr:uid="{00000000-0005-0000-0000-000055010000}"/>
    <cellStyle name="Comma 5 3 11" xfId="4820" xr:uid="{00000000-0005-0000-0000-000083010000}"/>
    <cellStyle name="Comma 5 3 12" xfId="6566" xr:uid="{00000000-0005-0000-0000-0000F2010000}"/>
    <cellStyle name="Comma 5 3 13" xfId="8987" xr:uid="{00000000-0005-0000-0000-0000F2010000}"/>
    <cellStyle name="Comma 5 3 2" xfId="462" xr:uid="{00000000-0005-0000-0000-0000F1010000}"/>
    <cellStyle name="Comma 5 3 2 10" xfId="4840" xr:uid="{00000000-0005-0000-0000-000084010000}"/>
    <cellStyle name="Comma 5 3 2 11" xfId="6586" xr:uid="{00000000-0005-0000-0000-0000F3010000}"/>
    <cellStyle name="Comma 5 3 2 12" xfId="9007" xr:uid="{00000000-0005-0000-0000-0000F3010000}"/>
    <cellStyle name="Comma 5 3 2 2" xfId="463" xr:uid="{00000000-0005-0000-0000-0000F2010000}"/>
    <cellStyle name="Comma 5 3 2 2 2" xfId="1599" xr:uid="{00000000-0005-0000-0000-0000F3010000}"/>
    <cellStyle name="Comma 5 3 2 2 2 2" xfId="3015" xr:uid="{00000000-0005-0000-0000-000093010000}"/>
    <cellStyle name="Comma 5 3 2 2 2 2 2" xfId="8328" xr:uid="{00000000-0005-0000-0000-0000F6010000}"/>
    <cellStyle name="Comma 5 3 2 2 2 2 3" xfId="10725" xr:uid="{00000000-0005-0000-0000-0000F6010000}"/>
    <cellStyle name="Comma 5 3 2 2 2 3" xfId="2667" xr:uid="{00000000-0005-0000-0000-000092010000}"/>
    <cellStyle name="Comma 5 3 2 2 2 3 2" xfId="11394" xr:uid="{00000000-0005-0000-0000-0000D2010000}"/>
    <cellStyle name="Comma 5 3 2 2 2 4" xfId="3630" xr:uid="{00000000-0005-0000-0000-0000F3010000}"/>
    <cellStyle name="Comma 5 3 2 2 2 5" xfId="4252" xr:uid="{00000000-0005-0000-0000-000092010000}"/>
    <cellStyle name="Comma 5 3 2 2 2 6" xfId="7878" xr:uid="{00000000-0005-0000-0000-0000F5010000}"/>
    <cellStyle name="Comma 5 3 2 2 2 7" xfId="10275" xr:uid="{00000000-0005-0000-0000-0000F5010000}"/>
    <cellStyle name="Comma 5 3 2 2 3" xfId="1600" xr:uid="{00000000-0005-0000-0000-0000F4010000}"/>
    <cellStyle name="Comma 5 3 2 2 3 2" xfId="3016" xr:uid="{00000000-0005-0000-0000-000094010000}"/>
    <cellStyle name="Comma 5 3 2 2 3 2 2" xfId="11430" xr:uid="{00000000-0005-0000-0000-0000D4010000}"/>
    <cellStyle name="Comma 5 3 2 2 3 3" xfId="2083" xr:uid="{00000000-0005-0000-0000-0000F4010000}"/>
    <cellStyle name="Comma 5 3 2 2 3 4" xfId="4392" xr:uid="{00000000-0005-0000-0000-000094010000}"/>
    <cellStyle name="Comma 5 3 2 2 3 5" xfId="8329" xr:uid="{00000000-0005-0000-0000-0000F7010000}"/>
    <cellStyle name="Comma 5 3 2 2 3 6" xfId="10726" xr:uid="{00000000-0005-0000-0000-0000F7010000}"/>
    <cellStyle name="Comma 5 3 2 2 4" xfId="1598" xr:uid="{00000000-0005-0000-0000-0000F5010000}"/>
    <cellStyle name="Comma 5 3 2 2 4 2" xfId="3014" xr:uid="{00000000-0005-0000-0000-000095010000}"/>
    <cellStyle name="Comma 5 3 2 2 4 3" xfId="3652" xr:uid="{00000000-0005-0000-0000-0000F5010000}"/>
    <cellStyle name="Comma 5 3 2 2 4 4" xfId="8327" xr:uid="{00000000-0005-0000-0000-0000F8010000}"/>
    <cellStyle name="Comma 5 3 2 2 4 5" xfId="10724" xr:uid="{00000000-0005-0000-0000-0000F8010000}"/>
    <cellStyle name="Comma 5 3 2 2 5" xfId="4238" xr:uid="{00000000-0005-0000-0000-000091010000}"/>
    <cellStyle name="Comma 5 3 2 2 5 2" xfId="7847" xr:uid="{00000000-0005-0000-0000-0000F9010000}"/>
    <cellStyle name="Comma 5 3 2 2 5 3" xfId="10244" xr:uid="{00000000-0005-0000-0000-0000F9010000}"/>
    <cellStyle name="Comma 5 3 2 2 6" xfId="5525" xr:uid="{00000000-0005-0000-0000-000057010000}"/>
    <cellStyle name="Comma 5 3 2 2 7" xfId="5038" xr:uid="{00000000-0005-0000-0000-000085010000}"/>
    <cellStyle name="Comma 5 3 2 2 8" xfId="6932" xr:uid="{00000000-0005-0000-0000-0000F4010000}"/>
    <cellStyle name="Comma 5 3 2 2 9" xfId="9341" xr:uid="{00000000-0005-0000-0000-0000F4010000}"/>
    <cellStyle name="Comma 5 3 2 3" xfId="1601" xr:uid="{00000000-0005-0000-0000-0000F6010000}"/>
    <cellStyle name="Comma 5 3 2 3 2" xfId="3017" xr:uid="{00000000-0005-0000-0000-000097010000}"/>
    <cellStyle name="Comma 5 3 2 3 2 2" xfId="8330" xr:uid="{00000000-0005-0000-0000-0000FB010000}"/>
    <cellStyle name="Comma 5 3 2 3 2 3" xfId="10727" xr:uid="{00000000-0005-0000-0000-0000FB010000}"/>
    <cellStyle name="Comma 5 3 2 3 3" xfId="2666" xr:uid="{00000000-0005-0000-0000-000096010000}"/>
    <cellStyle name="Comma 5 3 2 3 3 2" xfId="7877" xr:uid="{00000000-0005-0000-0000-0000FC010000}"/>
    <cellStyle name="Comma 5 3 2 3 3 3" xfId="10274" xr:uid="{00000000-0005-0000-0000-0000FC010000}"/>
    <cellStyle name="Comma 5 3 2 3 4" xfId="3611" xr:uid="{00000000-0005-0000-0000-0000F6010000}"/>
    <cellStyle name="Comma 5 3 2 3 5" xfId="4251" xr:uid="{00000000-0005-0000-0000-000096010000}"/>
    <cellStyle name="Comma 5 3 2 3 6" xfId="5771" xr:uid="{00000000-0005-0000-0000-00005A010000}"/>
    <cellStyle name="Comma 5 3 2 3 7" xfId="6931" xr:uid="{00000000-0005-0000-0000-0000FA010000}"/>
    <cellStyle name="Comma 5 3 2 3 8" xfId="9340" xr:uid="{00000000-0005-0000-0000-0000FA010000}"/>
    <cellStyle name="Comma 5 3 2 4" xfId="1602" xr:uid="{00000000-0005-0000-0000-0000F7010000}"/>
    <cellStyle name="Comma 5 3 2 4 2" xfId="3018" xr:uid="{00000000-0005-0000-0000-000098010000}"/>
    <cellStyle name="Comma 5 3 2 4 2 2" xfId="11431" xr:uid="{00000000-0005-0000-0000-0000DB010000}"/>
    <cellStyle name="Comma 5 3 2 4 3" xfId="2155" xr:uid="{00000000-0005-0000-0000-0000F7010000}"/>
    <cellStyle name="Comma 5 3 2 4 4" xfId="4393" xr:uid="{00000000-0005-0000-0000-000098010000}"/>
    <cellStyle name="Comma 5 3 2 4 5" xfId="8331" xr:uid="{00000000-0005-0000-0000-0000FD010000}"/>
    <cellStyle name="Comma 5 3 2 4 6" xfId="10728" xr:uid="{00000000-0005-0000-0000-0000FD010000}"/>
    <cellStyle name="Comma 5 3 2 5" xfId="1597" xr:uid="{00000000-0005-0000-0000-0000F8010000}"/>
    <cellStyle name="Comma 5 3 2 5 2" xfId="3013" xr:uid="{00000000-0005-0000-0000-000099010000}"/>
    <cellStyle name="Comma 5 3 2 5 3" xfId="3629" xr:uid="{00000000-0005-0000-0000-0000F8010000}"/>
    <cellStyle name="Comma 5 3 2 5 4" xfId="8326" xr:uid="{00000000-0005-0000-0000-0000FE010000}"/>
    <cellStyle name="Comma 5 3 2 5 5" xfId="10723" xr:uid="{00000000-0005-0000-0000-0000FE010000}"/>
    <cellStyle name="Comma 5 3 2 6" xfId="2546" xr:uid="{00000000-0005-0000-0000-00009A010000}"/>
    <cellStyle name="Comma 5 3 2 6 2" xfId="7744" xr:uid="{00000000-0005-0000-0000-0000FF010000}"/>
    <cellStyle name="Comma 5 3 2 6 3" xfId="10141" xr:uid="{00000000-0005-0000-0000-0000FF010000}"/>
    <cellStyle name="Comma 5 3 2 7" xfId="2240" xr:uid="{00000000-0005-0000-0000-000090010000}"/>
    <cellStyle name="Comma 5 3 2 8" xfId="3793" xr:uid="{00000000-0005-0000-0000-00005A010000}"/>
    <cellStyle name="Comma 5 3 2 9" xfId="5424" xr:uid="{00000000-0005-0000-0000-000056010000}"/>
    <cellStyle name="Comma 5 3 3" xfId="464" xr:uid="{00000000-0005-0000-0000-0000F9010000}"/>
    <cellStyle name="Comma 5 3 3 10" xfId="6747" xr:uid="{00000000-0005-0000-0000-000000020000}"/>
    <cellStyle name="Comma 5 3 3 11" xfId="9168" xr:uid="{00000000-0005-0000-0000-000000020000}"/>
    <cellStyle name="Comma 5 3 3 2" xfId="1604" xr:uid="{00000000-0005-0000-0000-0000FA010000}"/>
    <cellStyle name="Comma 5 3 3 2 2" xfId="3020" xr:uid="{00000000-0005-0000-0000-00009D010000}"/>
    <cellStyle name="Comma 5 3 3 2 2 2" xfId="8333" xr:uid="{00000000-0005-0000-0000-000002020000}"/>
    <cellStyle name="Comma 5 3 3 2 2 3" xfId="10730" xr:uid="{00000000-0005-0000-0000-000002020000}"/>
    <cellStyle name="Comma 5 3 3 2 3" xfId="2668" xr:uid="{00000000-0005-0000-0000-00009C010000}"/>
    <cellStyle name="Comma 5 3 3 2 3 2" xfId="7879" xr:uid="{00000000-0005-0000-0000-000003020000}"/>
    <cellStyle name="Comma 5 3 3 2 3 3" xfId="10276" xr:uid="{00000000-0005-0000-0000-000003020000}"/>
    <cellStyle name="Comma 5 3 3 2 4" xfId="3581" xr:uid="{00000000-0005-0000-0000-0000FA010000}"/>
    <cellStyle name="Comma 5 3 3 2 5" xfId="4253" xr:uid="{00000000-0005-0000-0000-00009C010000}"/>
    <cellStyle name="Comma 5 3 3 2 6" xfId="5772" xr:uid="{00000000-0005-0000-0000-00005D010000}"/>
    <cellStyle name="Comma 5 3 3 2 7" xfId="6933" xr:uid="{00000000-0005-0000-0000-000001020000}"/>
    <cellStyle name="Comma 5 3 3 2 8" xfId="9342" xr:uid="{00000000-0005-0000-0000-000001020000}"/>
    <cellStyle name="Comma 5 3 3 3" xfId="1605" xr:uid="{00000000-0005-0000-0000-0000FB010000}"/>
    <cellStyle name="Comma 5 3 3 3 2" xfId="3021" xr:uid="{00000000-0005-0000-0000-00009E010000}"/>
    <cellStyle name="Comma 5 3 3 3 2 2" xfId="11432" xr:uid="{00000000-0005-0000-0000-0000E3010000}"/>
    <cellStyle name="Comma 5 3 3 3 3" xfId="2055" xr:uid="{00000000-0005-0000-0000-0000FB010000}"/>
    <cellStyle name="Comma 5 3 3 3 4" xfId="4394" xr:uid="{00000000-0005-0000-0000-00009E010000}"/>
    <cellStyle name="Comma 5 3 3 3 5" xfId="5696" xr:uid="{00000000-0005-0000-0000-00005E010000}"/>
    <cellStyle name="Comma 5 3 3 3 6" xfId="8334" xr:uid="{00000000-0005-0000-0000-000004020000}"/>
    <cellStyle name="Comma 5 3 3 3 7" xfId="10731" xr:uid="{00000000-0005-0000-0000-000004020000}"/>
    <cellStyle name="Comma 5 3 3 4" xfId="1603" xr:uid="{00000000-0005-0000-0000-0000FC010000}"/>
    <cellStyle name="Comma 5 3 3 4 2" xfId="3019" xr:uid="{00000000-0005-0000-0000-00009F010000}"/>
    <cellStyle name="Comma 5 3 3 4 3" xfId="3704" xr:uid="{00000000-0005-0000-0000-0000FC010000}"/>
    <cellStyle name="Comma 5 3 3 4 4" xfId="8332" xr:uid="{00000000-0005-0000-0000-000005020000}"/>
    <cellStyle name="Comma 5 3 3 4 5" xfId="10729" xr:uid="{00000000-0005-0000-0000-000005020000}"/>
    <cellStyle name="Comma 5 3 3 5" xfId="2589" xr:uid="{00000000-0005-0000-0000-0000A0010000}"/>
    <cellStyle name="Comma 5 3 3 5 2" xfId="7787" xr:uid="{00000000-0005-0000-0000-000006020000}"/>
    <cellStyle name="Comma 5 3 3 5 3" xfId="10184" xr:uid="{00000000-0005-0000-0000-000006020000}"/>
    <cellStyle name="Comma 5 3 3 6" xfId="2273" xr:uid="{00000000-0005-0000-0000-00009B010000}"/>
    <cellStyle name="Comma 5 3 3 7" xfId="3812" xr:uid="{00000000-0005-0000-0000-00005B010000}"/>
    <cellStyle name="Comma 5 3 3 8" xfId="5465" xr:uid="{00000000-0005-0000-0000-00005C010000}"/>
    <cellStyle name="Comma 5 3 3 9" xfId="5037" xr:uid="{00000000-0005-0000-0000-000086010000}"/>
    <cellStyle name="Comma 5 3 4" xfId="465" xr:uid="{00000000-0005-0000-0000-0000FD010000}"/>
    <cellStyle name="Comma 5 3 4 2" xfId="1607" xr:uid="{00000000-0005-0000-0000-0000FE010000}"/>
    <cellStyle name="Comma 5 3 4 2 2" xfId="3022" xr:uid="{00000000-0005-0000-0000-0000A2010000}"/>
    <cellStyle name="Comma 5 3 4 2 3" xfId="3596" xr:uid="{00000000-0005-0000-0000-0000FE010000}"/>
    <cellStyle name="Comma 5 3 4 2 4" xfId="8335" xr:uid="{00000000-0005-0000-0000-000008020000}"/>
    <cellStyle name="Comma 5 3 4 2 5" xfId="10732" xr:uid="{00000000-0005-0000-0000-000008020000}"/>
    <cellStyle name="Comma 5 3 4 3" xfId="1608" xr:uid="{00000000-0005-0000-0000-0000FF010000}"/>
    <cellStyle name="Comma 5 3 4 3 2" xfId="2665" xr:uid="{00000000-0005-0000-0000-0000A3010000}"/>
    <cellStyle name="Comma 5 3 4 3 3" xfId="2864" xr:uid="{00000000-0005-0000-0000-0000FF010000}"/>
    <cellStyle name="Comma 5 3 4 3 4" xfId="7876" xr:uid="{00000000-0005-0000-0000-000009020000}"/>
    <cellStyle name="Comma 5 3 4 3 5" xfId="10273" xr:uid="{00000000-0005-0000-0000-000009020000}"/>
    <cellStyle name="Comma 5 3 4 4" xfId="1606" xr:uid="{00000000-0005-0000-0000-000000020000}"/>
    <cellStyle name="Comma 5 3 4 4 2" xfId="4651" xr:uid="{00000000-0005-0000-0000-0000A1010000}"/>
    <cellStyle name="Comma 5 3 4 5" xfId="4120" xr:uid="{00000000-0005-0000-0000-0000A1010000}"/>
    <cellStyle name="Comma 5 3 4 6" xfId="5770" xr:uid="{00000000-0005-0000-0000-00005F010000}"/>
    <cellStyle name="Comma 5 3 4 7" xfId="6934" xr:uid="{00000000-0005-0000-0000-000007020000}"/>
    <cellStyle name="Comma 5 3 4 8" xfId="9343" xr:uid="{00000000-0005-0000-0000-000007020000}"/>
    <cellStyle name="Comma 5 3 5" xfId="1609" xr:uid="{00000000-0005-0000-0000-000001020000}"/>
    <cellStyle name="Comma 5 3 5 2" xfId="3023" xr:uid="{00000000-0005-0000-0000-0000A4010000}"/>
    <cellStyle name="Comma 5 3 5 2 2" xfId="8336" xr:uid="{00000000-0005-0000-0000-00000B020000}"/>
    <cellStyle name="Comma 5 3 5 2 3" xfId="10733" xr:uid="{00000000-0005-0000-0000-00000B020000}"/>
    <cellStyle name="Comma 5 3 5 3" xfId="3602" xr:uid="{00000000-0005-0000-0000-000001020000}"/>
    <cellStyle name="Comma 5 3 5 4" xfId="4395" xr:uid="{00000000-0005-0000-0000-0000A4010000}"/>
    <cellStyle name="Comma 5 3 5 5" xfId="5610" xr:uid="{00000000-0005-0000-0000-000060010000}"/>
    <cellStyle name="Comma 5 3 5 6" xfId="6930" xr:uid="{00000000-0005-0000-0000-00000A020000}"/>
    <cellStyle name="Comma 5 3 5 7" xfId="9339" xr:uid="{00000000-0005-0000-0000-00000A020000}"/>
    <cellStyle name="Comma 5 3 6" xfId="1610" xr:uid="{00000000-0005-0000-0000-000002020000}"/>
    <cellStyle name="Comma 5 3 6 2" xfId="2868" xr:uid="{00000000-0005-0000-0000-0000A5010000}"/>
    <cellStyle name="Comma 5 3 6 3" xfId="2057" xr:uid="{00000000-0005-0000-0000-000002020000}"/>
    <cellStyle name="Comma 5 3 6 4" xfId="8171" xr:uid="{00000000-0005-0000-0000-00000C020000}"/>
    <cellStyle name="Comma 5 3 6 5" xfId="10568" xr:uid="{00000000-0005-0000-0000-00000C020000}"/>
    <cellStyle name="Comma 5 3 7" xfId="1596" xr:uid="{00000000-0005-0000-0000-000003020000}"/>
    <cellStyle name="Comma 5 3 7 2" xfId="2486" xr:uid="{00000000-0005-0000-0000-0000A6010000}"/>
    <cellStyle name="Comma 5 3 7 3" xfId="3610" xr:uid="{00000000-0005-0000-0000-000003020000}"/>
    <cellStyle name="Comma 5 3 7 4" xfId="7684" xr:uid="{00000000-0005-0000-0000-00000D020000}"/>
    <cellStyle name="Comma 5 3 7 5" xfId="10081" xr:uid="{00000000-0005-0000-0000-00000D020000}"/>
    <cellStyle name="Comma 5 3 8" xfId="2180" xr:uid="{00000000-0005-0000-0000-00008F010000}"/>
    <cellStyle name="Comma 5 3 9" xfId="3860" xr:uid="{00000000-0005-0000-0000-000059010000}"/>
    <cellStyle name="Comma 5 4" xfId="466" xr:uid="{00000000-0005-0000-0000-000004020000}"/>
    <cellStyle name="Comma 5 4 10" xfId="5338" xr:uid="{00000000-0005-0000-0000-000061010000}"/>
    <cellStyle name="Comma 5 4 11" xfId="4794" xr:uid="{00000000-0005-0000-0000-000087010000}"/>
    <cellStyle name="Comma 5 4 12" xfId="6540" xr:uid="{00000000-0005-0000-0000-00000E020000}"/>
    <cellStyle name="Comma 5 4 13" xfId="8961" xr:uid="{00000000-0005-0000-0000-00000E020000}"/>
    <cellStyle name="Comma 5 4 2" xfId="467" xr:uid="{00000000-0005-0000-0000-000005020000}"/>
    <cellStyle name="Comma 5 4 2 10" xfId="6587" xr:uid="{00000000-0005-0000-0000-00000F020000}"/>
    <cellStyle name="Comma 5 4 2 11" xfId="9008" xr:uid="{00000000-0005-0000-0000-00000F020000}"/>
    <cellStyle name="Comma 5 4 2 2" xfId="468" xr:uid="{00000000-0005-0000-0000-000006020000}"/>
    <cellStyle name="Comma 5 4 2 2 2" xfId="1614" xr:uid="{00000000-0005-0000-0000-000007020000}"/>
    <cellStyle name="Comma 5 4 2 2 2 2" xfId="3025" xr:uid="{00000000-0005-0000-0000-0000AA010000}"/>
    <cellStyle name="Comma 5 4 2 2 2 2 2" xfId="11434" xr:uid="{00000000-0005-0000-0000-0000F1010000}"/>
    <cellStyle name="Comma 5 4 2 2 2 3" xfId="2043" xr:uid="{00000000-0005-0000-0000-000007020000}"/>
    <cellStyle name="Comma 5 4 2 2 2 4" xfId="8338" xr:uid="{00000000-0005-0000-0000-000011020000}"/>
    <cellStyle name="Comma 5 4 2 2 2 5" xfId="10735" xr:uid="{00000000-0005-0000-0000-000011020000}"/>
    <cellStyle name="Comma 5 4 2 2 3" xfId="1615" xr:uid="{00000000-0005-0000-0000-000008020000}"/>
    <cellStyle name="Comma 5 4 2 2 3 2" xfId="4633" xr:uid="{00000000-0005-0000-0000-0000A9010000}"/>
    <cellStyle name="Comma 5 4 2 2 3 3" xfId="7881" xr:uid="{00000000-0005-0000-0000-000012020000}"/>
    <cellStyle name="Comma 5 4 2 2 3 4" xfId="10278" xr:uid="{00000000-0005-0000-0000-000012020000}"/>
    <cellStyle name="Comma 5 4 2 2 4" xfId="1613" xr:uid="{00000000-0005-0000-0000-000009020000}"/>
    <cellStyle name="Comma 5 4 2 2 5" xfId="4255" xr:uid="{00000000-0005-0000-0000-0000A9010000}"/>
    <cellStyle name="Comma 5 4 2 2 6" xfId="5774" xr:uid="{00000000-0005-0000-0000-000063010000}"/>
    <cellStyle name="Comma 5 4 2 2 7" xfId="5040" xr:uid="{00000000-0005-0000-0000-000089010000}"/>
    <cellStyle name="Comma 5 4 2 2 8" xfId="6937" xr:uid="{00000000-0005-0000-0000-000010020000}"/>
    <cellStyle name="Comma 5 4 2 2 9" xfId="9346" xr:uid="{00000000-0005-0000-0000-000010020000}"/>
    <cellStyle name="Comma 5 4 2 3" xfId="1616" xr:uid="{00000000-0005-0000-0000-00000A020000}"/>
    <cellStyle name="Comma 5 4 2 3 2" xfId="3026" xr:uid="{00000000-0005-0000-0000-0000AB010000}"/>
    <cellStyle name="Comma 5 4 2 3 2 2" xfId="8339" xr:uid="{00000000-0005-0000-0000-000014020000}"/>
    <cellStyle name="Comma 5 4 2 3 2 3" xfId="10736" xr:uid="{00000000-0005-0000-0000-000014020000}"/>
    <cellStyle name="Comma 5 4 2 3 3" xfId="3552" xr:uid="{00000000-0005-0000-0000-00000A020000}"/>
    <cellStyle name="Comma 5 4 2 3 4" xfId="4396" xr:uid="{00000000-0005-0000-0000-0000AB010000}"/>
    <cellStyle name="Comma 5 4 2 3 5" xfId="5644" xr:uid="{00000000-0005-0000-0000-000064010000}"/>
    <cellStyle name="Comma 5 4 2 3 6" xfId="6936" xr:uid="{00000000-0005-0000-0000-000013020000}"/>
    <cellStyle name="Comma 5 4 2 3 7" xfId="9345" xr:uid="{00000000-0005-0000-0000-000013020000}"/>
    <cellStyle name="Comma 5 4 2 4" xfId="1617" xr:uid="{00000000-0005-0000-0000-00000B020000}"/>
    <cellStyle name="Comma 5 4 2 4 2" xfId="3024" xr:uid="{00000000-0005-0000-0000-0000AC010000}"/>
    <cellStyle name="Comma 5 4 2 4 2 2" xfId="11433" xr:uid="{00000000-0005-0000-0000-0000F6010000}"/>
    <cellStyle name="Comma 5 4 2 4 3" xfId="2091" xr:uid="{00000000-0005-0000-0000-00000B020000}"/>
    <cellStyle name="Comma 5 4 2 4 4" xfId="8337" xr:uid="{00000000-0005-0000-0000-000015020000}"/>
    <cellStyle name="Comma 5 4 2 4 5" xfId="10734" xr:uid="{00000000-0005-0000-0000-000015020000}"/>
    <cellStyle name="Comma 5 4 2 5" xfId="1612" xr:uid="{00000000-0005-0000-0000-00000C020000}"/>
    <cellStyle name="Comma 5 4 2 5 2" xfId="2520" xr:uid="{00000000-0005-0000-0000-0000AD010000}"/>
    <cellStyle name="Comma 5 4 2 5 3" xfId="2092" xr:uid="{00000000-0005-0000-0000-00000C020000}"/>
    <cellStyle name="Comma 5 4 2 5 4" xfId="7718" xr:uid="{00000000-0005-0000-0000-000016020000}"/>
    <cellStyle name="Comma 5 4 2 5 5" xfId="10115" xr:uid="{00000000-0005-0000-0000-000016020000}"/>
    <cellStyle name="Comma 5 4 2 6" xfId="2274" xr:uid="{00000000-0005-0000-0000-0000A8010000}"/>
    <cellStyle name="Comma 5 4 2 7" xfId="3813" xr:uid="{00000000-0005-0000-0000-00005D010000}"/>
    <cellStyle name="Comma 5 4 2 8" xfId="5398" xr:uid="{00000000-0005-0000-0000-000062010000}"/>
    <cellStyle name="Comma 5 4 2 9" xfId="4841" xr:uid="{00000000-0005-0000-0000-000088010000}"/>
    <cellStyle name="Comma 5 4 3" xfId="469" xr:uid="{00000000-0005-0000-0000-00000D020000}"/>
    <cellStyle name="Comma 5 4 3 10" xfId="9169" xr:uid="{00000000-0005-0000-0000-000017020000}"/>
    <cellStyle name="Comma 5 4 3 2" xfId="1619" xr:uid="{00000000-0005-0000-0000-00000E020000}"/>
    <cellStyle name="Comma 5 4 3 2 2" xfId="3028" xr:uid="{00000000-0005-0000-0000-0000B0010000}"/>
    <cellStyle name="Comma 5 4 3 2 2 2" xfId="8341" xr:uid="{00000000-0005-0000-0000-000019020000}"/>
    <cellStyle name="Comma 5 4 3 2 2 3" xfId="10738" xr:uid="{00000000-0005-0000-0000-000019020000}"/>
    <cellStyle name="Comma 5 4 3 2 3" xfId="2669" xr:uid="{00000000-0005-0000-0000-0000AF010000}"/>
    <cellStyle name="Comma 5 4 3 2 3 2" xfId="7882" xr:uid="{00000000-0005-0000-0000-00001A020000}"/>
    <cellStyle name="Comma 5 4 3 2 3 3" xfId="10279" xr:uid="{00000000-0005-0000-0000-00001A020000}"/>
    <cellStyle name="Comma 5 4 3 2 4" xfId="3633" xr:uid="{00000000-0005-0000-0000-00000E020000}"/>
    <cellStyle name="Comma 5 4 3 2 5" xfId="4256" xr:uid="{00000000-0005-0000-0000-0000AF010000}"/>
    <cellStyle name="Comma 5 4 3 2 6" xfId="5775" xr:uid="{00000000-0005-0000-0000-000066010000}"/>
    <cellStyle name="Comma 5 4 3 2 7" xfId="6938" xr:uid="{00000000-0005-0000-0000-000018020000}"/>
    <cellStyle name="Comma 5 4 3 2 8" xfId="9347" xr:uid="{00000000-0005-0000-0000-000018020000}"/>
    <cellStyle name="Comma 5 4 3 3" xfId="1620" xr:uid="{00000000-0005-0000-0000-00000F020000}"/>
    <cellStyle name="Comma 5 4 3 3 2" xfId="3029" xr:uid="{00000000-0005-0000-0000-0000B1010000}"/>
    <cellStyle name="Comma 5 4 3 3 2 2" xfId="11435" xr:uid="{00000000-0005-0000-0000-0000FD010000}"/>
    <cellStyle name="Comma 5 4 3 3 3" xfId="2044" xr:uid="{00000000-0005-0000-0000-00000F020000}"/>
    <cellStyle name="Comma 5 4 3 3 4" xfId="4397" xr:uid="{00000000-0005-0000-0000-0000B1010000}"/>
    <cellStyle name="Comma 5 4 3 3 5" xfId="5729" xr:uid="{00000000-0005-0000-0000-000067010000}"/>
    <cellStyle name="Comma 5 4 3 3 6" xfId="8342" xr:uid="{00000000-0005-0000-0000-00001B020000}"/>
    <cellStyle name="Comma 5 4 3 3 7" xfId="10739" xr:uid="{00000000-0005-0000-0000-00001B020000}"/>
    <cellStyle name="Comma 5 4 3 4" xfId="1618" xr:uid="{00000000-0005-0000-0000-000010020000}"/>
    <cellStyle name="Comma 5 4 3 4 2" xfId="3027" xr:uid="{00000000-0005-0000-0000-0000B2010000}"/>
    <cellStyle name="Comma 5 4 3 4 3" xfId="3644" xr:uid="{00000000-0005-0000-0000-000010020000}"/>
    <cellStyle name="Comma 5 4 3 4 4" xfId="8340" xr:uid="{00000000-0005-0000-0000-00001C020000}"/>
    <cellStyle name="Comma 5 4 3 4 5" xfId="10737" xr:uid="{00000000-0005-0000-0000-00001C020000}"/>
    <cellStyle name="Comma 5 4 3 5" xfId="2623" xr:uid="{00000000-0005-0000-0000-0000B3010000}"/>
    <cellStyle name="Comma 5 4 3 5 2" xfId="7821" xr:uid="{00000000-0005-0000-0000-00001D020000}"/>
    <cellStyle name="Comma 5 4 3 5 3" xfId="10218" xr:uid="{00000000-0005-0000-0000-00001D020000}"/>
    <cellStyle name="Comma 5 4 3 6" xfId="4121" xr:uid="{00000000-0005-0000-0000-0000AE010000}"/>
    <cellStyle name="Comma 5 4 3 7" xfId="5499" xr:uid="{00000000-0005-0000-0000-000065010000}"/>
    <cellStyle name="Comma 5 4 3 8" xfId="5039" xr:uid="{00000000-0005-0000-0000-00008A010000}"/>
    <cellStyle name="Comma 5 4 3 9" xfId="6748" xr:uid="{00000000-0005-0000-0000-000017020000}"/>
    <cellStyle name="Comma 5 4 4" xfId="470" xr:uid="{00000000-0005-0000-0000-000011020000}"/>
    <cellStyle name="Comma 5 4 4 2" xfId="1622" xr:uid="{00000000-0005-0000-0000-000012020000}"/>
    <cellStyle name="Comma 5 4 4 2 2" xfId="3030" xr:uid="{00000000-0005-0000-0000-0000B5010000}"/>
    <cellStyle name="Comma 5 4 4 2 3" xfId="2061" xr:uid="{00000000-0005-0000-0000-000012020000}"/>
    <cellStyle name="Comma 5 4 4 2 4" xfId="8343" xr:uid="{00000000-0005-0000-0000-00001F020000}"/>
    <cellStyle name="Comma 5 4 4 2 5" xfId="10740" xr:uid="{00000000-0005-0000-0000-00001F020000}"/>
    <cellStyle name="Comma 5 4 4 3" xfId="1623" xr:uid="{00000000-0005-0000-0000-000013020000}"/>
    <cellStyle name="Comma 5 4 4 3 2" xfId="4644" xr:uid="{00000000-0005-0000-0000-0000B4010000}"/>
    <cellStyle name="Comma 5 4 4 3 3" xfId="7880" xr:uid="{00000000-0005-0000-0000-000020020000}"/>
    <cellStyle name="Comma 5 4 4 3 4" xfId="10277" xr:uid="{00000000-0005-0000-0000-000020020000}"/>
    <cellStyle name="Comma 5 4 4 4" xfId="1621" xr:uid="{00000000-0005-0000-0000-000014020000}"/>
    <cellStyle name="Comma 5 4 4 5" xfId="4254" xr:uid="{00000000-0005-0000-0000-0000B4010000}"/>
    <cellStyle name="Comma 5 4 4 6" xfId="5773" xr:uid="{00000000-0005-0000-0000-000068010000}"/>
    <cellStyle name="Comma 5 4 4 7" xfId="6939" xr:uid="{00000000-0005-0000-0000-00001E020000}"/>
    <cellStyle name="Comma 5 4 4 8" xfId="9348" xr:uid="{00000000-0005-0000-0000-00001E020000}"/>
    <cellStyle name="Comma 5 4 5" xfId="1624" xr:uid="{00000000-0005-0000-0000-000015020000}"/>
    <cellStyle name="Comma 5 4 5 2" xfId="3031" xr:uid="{00000000-0005-0000-0000-0000B6010000}"/>
    <cellStyle name="Comma 5 4 5 2 2" xfId="8344" xr:uid="{00000000-0005-0000-0000-000022020000}"/>
    <cellStyle name="Comma 5 4 5 2 3" xfId="10741" xr:uid="{00000000-0005-0000-0000-000022020000}"/>
    <cellStyle name="Comma 5 4 5 3" xfId="2082" xr:uid="{00000000-0005-0000-0000-000015020000}"/>
    <cellStyle name="Comma 5 4 5 4" xfId="4398" xr:uid="{00000000-0005-0000-0000-0000B6010000}"/>
    <cellStyle name="Comma 5 4 5 5" xfId="5584" xr:uid="{00000000-0005-0000-0000-000069010000}"/>
    <cellStyle name="Comma 5 4 5 6" xfId="6935" xr:uid="{00000000-0005-0000-0000-000021020000}"/>
    <cellStyle name="Comma 5 4 5 7" xfId="9344" xr:uid="{00000000-0005-0000-0000-000021020000}"/>
    <cellStyle name="Comma 5 4 6" xfId="1625" xr:uid="{00000000-0005-0000-0000-000016020000}"/>
    <cellStyle name="Comma 5 4 6 2" xfId="2869" xr:uid="{00000000-0005-0000-0000-0000B7010000}"/>
    <cellStyle name="Comma 5 4 6 3" xfId="2861" xr:uid="{00000000-0005-0000-0000-000016020000}"/>
    <cellStyle name="Comma 5 4 6 4" xfId="8172" xr:uid="{00000000-0005-0000-0000-000023020000}"/>
    <cellStyle name="Comma 5 4 6 5" xfId="10569" xr:uid="{00000000-0005-0000-0000-000023020000}"/>
    <cellStyle name="Comma 5 4 7" xfId="1611" xr:uid="{00000000-0005-0000-0000-000017020000}"/>
    <cellStyle name="Comma 5 4 7 2" xfId="2460" xr:uid="{00000000-0005-0000-0000-0000B8010000}"/>
    <cellStyle name="Comma 5 4 7 3" xfId="3571" xr:uid="{00000000-0005-0000-0000-000017020000}"/>
    <cellStyle name="Comma 5 4 7 4" xfId="7658" xr:uid="{00000000-0005-0000-0000-000024020000}"/>
    <cellStyle name="Comma 5 4 7 5" xfId="10055" xr:uid="{00000000-0005-0000-0000-000024020000}"/>
    <cellStyle name="Comma 5 4 8" xfId="2214" xr:uid="{00000000-0005-0000-0000-0000A7010000}"/>
    <cellStyle name="Comma 5 4 9" xfId="3861" xr:uid="{00000000-0005-0000-0000-00005C010000}"/>
    <cellStyle name="Comma 5 5" xfId="471" xr:uid="{00000000-0005-0000-0000-000018020000}"/>
    <cellStyle name="Comma 5 5 10" xfId="4777" xr:uid="{00000000-0005-0000-0000-00008B010000}"/>
    <cellStyle name="Comma 5 5 11" xfId="6588" xr:uid="{00000000-0005-0000-0000-000025020000}"/>
    <cellStyle name="Comma 5 5 12" xfId="9009" xr:uid="{00000000-0005-0000-0000-000025020000}"/>
    <cellStyle name="Comma 5 5 2" xfId="472" xr:uid="{00000000-0005-0000-0000-000019020000}"/>
    <cellStyle name="Comma 5 5 2 10" xfId="6749" xr:uid="{00000000-0005-0000-0000-000026020000}"/>
    <cellStyle name="Comma 5 5 2 11" xfId="9170" xr:uid="{00000000-0005-0000-0000-000026020000}"/>
    <cellStyle name="Comma 5 5 2 2" xfId="473" xr:uid="{00000000-0005-0000-0000-00001A020000}"/>
    <cellStyle name="Comma 5 5 2 2 2" xfId="1629" xr:uid="{00000000-0005-0000-0000-00001B020000}"/>
    <cellStyle name="Comma 5 5 2 2 2 2" xfId="3033" xr:uid="{00000000-0005-0000-0000-0000BC010000}"/>
    <cellStyle name="Comma 5 5 2 2 2 2 2" xfId="11437" xr:uid="{00000000-0005-0000-0000-00000B020000}"/>
    <cellStyle name="Comma 5 5 2 2 2 3" xfId="3547" xr:uid="{00000000-0005-0000-0000-00001B020000}"/>
    <cellStyle name="Comma 5 5 2 2 2 4" xfId="8346" xr:uid="{00000000-0005-0000-0000-000028020000}"/>
    <cellStyle name="Comma 5 5 2 2 2 5" xfId="10743" xr:uid="{00000000-0005-0000-0000-000028020000}"/>
    <cellStyle name="Comma 5 5 2 2 3" xfId="1630" xr:uid="{00000000-0005-0000-0000-00001C020000}"/>
    <cellStyle name="Comma 5 5 2 2 3 2" xfId="4662" xr:uid="{00000000-0005-0000-0000-0000BB010000}"/>
    <cellStyle name="Comma 5 5 2 2 3 3" xfId="7884" xr:uid="{00000000-0005-0000-0000-000029020000}"/>
    <cellStyle name="Comma 5 5 2 2 3 4" xfId="10281" xr:uid="{00000000-0005-0000-0000-000029020000}"/>
    <cellStyle name="Comma 5 5 2 2 4" xfId="1628" xr:uid="{00000000-0005-0000-0000-00001D020000}"/>
    <cellStyle name="Comma 5 5 2 2 5" xfId="4257" xr:uid="{00000000-0005-0000-0000-0000BB010000}"/>
    <cellStyle name="Comma 5 5 2 2 6" xfId="5777" xr:uid="{00000000-0005-0000-0000-00006C010000}"/>
    <cellStyle name="Comma 5 5 2 2 7" xfId="5042" xr:uid="{00000000-0005-0000-0000-00008D010000}"/>
    <cellStyle name="Comma 5 5 2 2 8" xfId="6942" xr:uid="{00000000-0005-0000-0000-000027020000}"/>
    <cellStyle name="Comma 5 5 2 2 9" xfId="9351" xr:uid="{00000000-0005-0000-0000-000027020000}"/>
    <cellStyle name="Comma 5 5 2 3" xfId="1631" xr:uid="{00000000-0005-0000-0000-00001E020000}"/>
    <cellStyle name="Comma 5 5 2 3 2" xfId="3034" xr:uid="{00000000-0005-0000-0000-0000BD010000}"/>
    <cellStyle name="Comma 5 5 2 3 2 2" xfId="8347" xr:uid="{00000000-0005-0000-0000-00002B020000}"/>
    <cellStyle name="Comma 5 5 2 3 2 3" xfId="10744" xr:uid="{00000000-0005-0000-0000-00002B020000}"/>
    <cellStyle name="Comma 5 5 2 3 3" xfId="3569" xr:uid="{00000000-0005-0000-0000-00001E020000}"/>
    <cellStyle name="Comma 5 5 2 3 4" xfId="4399" xr:uid="{00000000-0005-0000-0000-0000BD010000}"/>
    <cellStyle name="Comma 5 5 2 3 5" xfId="5712" xr:uid="{00000000-0005-0000-0000-00006D010000}"/>
    <cellStyle name="Comma 5 5 2 3 6" xfId="6941" xr:uid="{00000000-0005-0000-0000-00002A020000}"/>
    <cellStyle name="Comma 5 5 2 3 7" xfId="9350" xr:uid="{00000000-0005-0000-0000-00002A020000}"/>
    <cellStyle name="Comma 5 5 2 4" xfId="1632" xr:uid="{00000000-0005-0000-0000-00001F020000}"/>
    <cellStyle name="Comma 5 5 2 4 2" xfId="3032" xr:uid="{00000000-0005-0000-0000-0000BE010000}"/>
    <cellStyle name="Comma 5 5 2 4 2 2" xfId="11436" xr:uid="{00000000-0005-0000-0000-000010020000}"/>
    <cellStyle name="Comma 5 5 2 4 3" xfId="3639" xr:uid="{00000000-0005-0000-0000-00001F020000}"/>
    <cellStyle name="Comma 5 5 2 4 4" xfId="8345" xr:uid="{00000000-0005-0000-0000-00002C020000}"/>
    <cellStyle name="Comma 5 5 2 4 5" xfId="10742" xr:uid="{00000000-0005-0000-0000-00002C020000}"/>
    <cellStyle name="Comma 5 5 2 5" xfId="1627" xr:uid="{00000000-0005-0000-0000-000020020000}"/>
    <cellStyle name="Comma 5 5 2 5 2" xfId="2606" xr:uid="{00000000-0005-0000-0000-0000BF010000}"/>
    <cellStyle name="Comma 5 5 2 5 3" xfId="3550" xr:uid="{00000000-0005-0000-0000-000020020000}"/>
    <cellStyle name="Comma 5 5 2 5 4" xfId="7804" xr:uid="{00000000-0005-0000-0000-00002D020000}"/>
    <cellStyle name="Comma 5 5 2 5 5" xfId="10201" xr:uid="{00000000-0005-0000-0000-00002D020000}"/>
    <cellStyle name="Comma 5 5 2 6" xfId="2275" xr:uid="{00000000-0005-0000-0000-0000BA010000}"/>
    <cellStyle name="Comma 5 5 2 7" xfId="3814" xr:uid="{00000000-0005-0000-0000-00005F010000}"/>
    <cellStyle name="Comma 5 5 2 8" xfId="5482" xr:uid="{00000000-0005-0000-0000-00006B010000}"/>
    <cellStyle name="Comma 5 5 2 9" xfId="4842" xr:uid="{00000000-0005-0000-0000-00008C010000}"/>
    <cellStyle name="Comma 5 5 3" xfId="474" xr:uid="{00000000-0005-0000-0000-000021020000}"/>
    <cellStyle name="Comma 5 5 3 2" xfId="1634" xr:uid="{00000000-0005-0000-0000-000022020000}"/>
    <cellStyle name="Comma 5 5 3 2 2" xfId="3035" xr:uid="{00000000-0005-0000-0000-0000C1010000}"/>
    <cellStyle name="Comma 5 5 3 2 2 2" xfId="11438" xr:uid="{00000000-0005-0000-0000-000014020000}"/>
    <cellStyle name="Comma 5 5 3 2 3" xfId="2084" xr:uid="{00000000-0005-0000-0000-000022020000}"/>
    <cellStyle name="Comma 5 5 3 2 4" xfId="8348" xr:uid="{00000000-0005-0000-0000-00002F020000}"/>
    <cellStyle name="Comma 5 5 3 2 5" xfId="10745" xr:uid="{00000000-0005-0000-0000-00002F020000}"/>
    <cellStyle name="Comma 5 5 3 3" xfId="1635" xr:uid="{00000000-0005-0000-0000-000023020000}"/>
    <cellStyle name="Comma 5 5 3 3 2" xfId="2670" xr:uid="{00000000-0005-0000-0000-0000C2010000}"/>
    <cellStyle name="Comma 5 5 3 3 3" xfId="3632" xr:uid="{00000000-0005-0000-0000-000023020000}"/>
    <cellStyle name="Comma 5 5 3 3 4" xfId="7883" xr:uid="{00000000-0005-0000-0000-000030020000}"/>
    <cellStyle name="Comma 5 5 3 3 5" xfId="10280" xr:uid="{00000000-0005-0000-0000-000030020000}"/>
    <cellStyle name="Comma 5 5 3 4" xfId="1633" xr:uid="{00000000-0005-0000-0000-000024020000}"/>
    <cellStyle name="Comma 5 5 3 4 2" xfId="4678" xr:uid="{00000000-0005-0000-0000-0000C0010000}"/>
    <cellStyle name="Comma 5 5 3 5" xfId="4122" xr:uid="{00000000-0005-0000-0000-0000C0010000}"/>
    <cellStyle name="Comma 5 5 3 6" xfId="5776" xr:uid="{00000000-0005-0000-0000-00006E010000}"/>
    <cellStyle name="Comma 5 5 3 7" xfId="5041" xr:uid="{00000000-0005-0000-0000-00008E010000}"/>
    <cellStyle name="Comma 5 5 3 8" xfId="6943" xr:uid="{00000000-0005-0000-0000-00002E020000}"/>
    <cellStyle name="Comma 5 5 3 9" xfId="9352" xr:uid="{00000000-0005-0000-0000-00002E020000}"/>
    <cellStyle name="Comma 5 5 4" xfId="475" xr:uid="{00000000-0005-0000-0000-000025020000}"/>
    <cellStyle name="Comma 5 5 4 2" xfId="1637" xr:uid="{00000000-0005-0000-0000-000026020000}"/>
    <cellStyle name="Comma 5 5 4 2 2" xfId="6469" xr:uid="{00000000-0005-0000-0000-000017020000}"/>
    <cellStyle name="Comma 5 5 4 2 3" xfId="8349" xr:uid="{00000000-0005-0000-0000-000032020000}"/>
    <cellStyle name="Comma 5 5 4 2 4" xfId="10746" xr:uid="{00000000-0005-0000-0000-000032020000}"/>
    <cellStyle name="Comma 5 5 4 3" xfId="1638" xr:uid="{00000000-0005-0000-0000-000027020000}"/>
    <cellStyle name="Comma 5 5 4 4" xfId="1636" xr:uid="{00000000-0005-0000-0000-000028020000}"/>
    <cellStyle name="Comma 5 5 4 5" xfId="4400" xr:uid="{00000000-0005-0000-0000-0000C3010000}"/>
    <cellStyle name="Comma 5 5 4 6" xfId="5567" xr:uid="{00000000-0005-0000-0000-00006F010000}"/>
    <cellStyle name="Comma 5 5 4 7" xfId="6944" xr:uid="{00000000-0005-0000-0000-000031020000}"/>
    <cellStyle name="Comma 5 5 4 8" xfId="9353" xr:uid="{00000000-0005-0000-0000-000031020000}"/>
    <cellStyle name="Comma 5 5 5" xfId="1639" xr:uid="{00000000-0005-0000-0000-000029020000}"/>
    <cellStyle name="Comma 5 5 5 2" xfId="2870" xr:uid="{00000000-0005-0000-0000-0000C4010000}"/>
    <cellStyle name="Comma 5 5 5 2 2" xfId="8173" xr:uid="{00000000-0005-0000-0000-000034020000}"/>
    <cellStyle name="Comma 5 5 5 2 3" xfId="10570" xr:uid="{00000000-0005-0000-0000-000034020000}"/>
    <cellStyle name="Comma 5 5 5 3" xfId="3613" xr:uid="{00000000-0005-0000-0000-000029020000}"/>
    <cellStyle name="Comma 5 5 5 4" xfId="6940" xr:uid="{00000000-0005-0000-0000-000033020000}"/>
    <cellStyle name="Comma 5 5 5 5" xfId="9349" xr:uid="{00000000-0005-0000-0000-000033020000}"/>
    <cellStyle name="Comma 5 5 6" xfId="1640" xr:uid="{00000000-0005-0000-0000-00002A020000}"/>
    <cellStyle name="Comma 5 5 6 2" xfId="2443" xr:uid="{00000000-0005-0000-0000-0000C5010000}"/>
    <cellStyle name="Comma 5 5 6 3" xfId="3694" xr:uid="{00000000-0005-0000-0000-00002A020000}"/>
    <cellStyle name="Comma 5 5 6 4" xfId="7641" xr:uid="{00000000-0005-0000-0000-000035020000}"/>
    <cellStyle name="Comma 5 5 6 5" xfId="10038" xr:uid="{00000000-0005-0000-0000-000035020000}"/>
    <cellStyle name="Comma 5 5 7" xfId="1626" xr:uid="{00000000-0005-0000-0000-00002B020000}"/>
    <cellStyle name="Comma 5 5 7 2" xfId="2197" xr:uid="{00000000-0005-0000-0000-0000B9010000}"/>
    <cellStyle name="Comma 5 5 7 3" xfId="2075" xr:uid="{00000000-0005-0000-0000-00002B020000}"/>
    <cellStyle name="Comma 5 5 8" xfId="3862" xr:uid="{00000000-0005-0000-0000-00005E010000}"/>
    <cellStyle name="Comma 5 5 9" xfId="5321" xr:uid="{00000000-0005-0000-0000-00006A010000}"/>
    <cellStyle name="Comma 5 6" xfId="476" xr:uid="{00000000-0005-0000-0000-00002C020000}"/>
    <cellStyle name="Comma 5 6 10" xfId="4843" xr:uid="{00000000-0005-0000-0000-00008F010000}"/>
    <cellStyle name="Comma 5 6 11" xfId="6589" xr:uid="{00000000-0005-0000-0000-000036020000}"/>
    <cellStyle name="Comma 5 6 12" xfId="9010" xr:uid="{00000000-0005-0000-0000-000036020000}"/>
    <cellStyle name="Comma 5 6 2" xfId="477" xr:uid="{00000000-0005-0000-0000-00002D020000}"/>
    <cellStyle name="Comma 5 6 2 10" xfId="6750" xr:uid="{00000000-0005-0000-0000-000037020000}"/>
    <cellStyle name="Comma 5 6 2 11" xfId="9171" xr:uid="{00000000-0005-0000-0000-000037020000}"/>
    <cellStyle name="Comma 5 6 2 2" xfId="478" xr:uid="{00000000-0005-0000-0000-00002E020000}"/>
    <cellStyle name="Comma 5 6 2 2 2" xfId="1644" xr:uid="{00000000-0005-0000-0000-00002F020000}"/>
    <cellStyle name="Comma 5 6 2 2 2 2" xfId="3037" xr:uid="{00000000-0005-0000-0000-0000C9010000}"/>
    <cellStyle name="Comma 5 6 2 2 2 3" xfId="3631" xr:uid="{00000000-0005-0000-0000-00002F020000}"/>
    <cellStyle name="Comma 5 6 2 2 2 4" xfId="8351" xr:uid="{00000000-0005-0000-0000-000039020000}"/>
    <cellStyle name="Comma 5 6 2 2 2 5" xfId="10748" xr:uid="{00000000-0005-0000-0000-000039020000}"/>
    <cellStyle name="Comma 5 6 2 2 3" xfId="1645" xr:uid="{00000000-0005-0000-0000-000030020000}"/>
    <cellStyle name="Comma 5 6 2 2 3 2" xfId="3774" xr:uid="{00000000-0005-0000-0000-0000C8010000}"/>
    <cellStyle name="Comma 5 6 2 2 3 3" xfId="7886" xr:uid="{00000000-0005-0000-0000-00003A020000}"/>
    <cellStyle name="Comma 5 6 2 2 3 4" xfId="10283" xr:uid="{00000000-0005-0000-0000-00003A020000}"/>
    <cellStyle name="Comma 5 6 2 2 4" xfId="1643" xr:uid="{00000000-0005-0000-0000-000031020000}"/>
    <cellStyle name="Comma 5 6 2 2 5" xfId="4258" xr:uid="{00000000-0005-0000-0000-0000C8010000}"/>
    <cellStyle name="Comma 5 6 2 2 6" xfId="5779" xr:uid="{00000000-0005-0000-0000-000072010000}"/>
    <cellStyle name="Comma 5 6 2 2 7" xfId="6947" xr:uid="{00000000-0005-0000-0000-000038020000}"/>
    <cellStyle name="Comma 5 6 2 2 8" xfId="9356" xr:uid="{00000000-0005-0000-0000-000038020000}"/>
    <cellStyle name="Comma 5 6 2 3" xfId="1646" xr:uid="{00000000-0005-0000-0000-000032020000}"/>
    <cellStyle name="Comma 5 6 2 3 2" xfId="3038" xr:uid="{00000000-0005-0000-0000-0000CA010000}"/>
    <cellStyle name="Comma 5 6 2 3 2 2" xfId="8352" xr:uid="{00000000-0005-0000-0000-00003C020000}"/>
    <cellStyle name="Comma 5 6 2 3 2 3" xfId="10749" xr:uid="{00000000-0005-0000-0000-00003C020000}"/>
    <cellStyle name="Comma 5 6 2 3 3" xfId="3574" xr:uid="{00000000-0005-0000-0000-000032020000}"/>
    <cellStyle name="Comma 5 6 2 3 4" xfId="4401" xr:uid="{00000000-0005-0000-0000-0000CA010000}"/>
    <cellStyle name="Comma 5 6 2 3 5" xfId="5759" xr:uid="{00000000-0005-0000-0000-000073010000}"/>
    <cellStyle name="Comma 5 6 2 3 6" xfId="6946" xr:uid="{00000000-0005-0000-0000-00003B020000}"/>
    <cellStyle name="Comma 5 6 2 3 7" xfId="9355" xr:uid="{00000000-0005-0000-0000-00003B020000}"/>
    <cellStyle name="Comma 5 6 2 4" xfId="1647" xr:uid="{00000000-0005-0000-0000-000033020000}"/>
    <cellStyle name="Comma 5 6 2 4 2" xfId="3036" xr:uid="{00000000-0005-0000-0000-0000CB010000}"/>
    <cellStyle name="Comma 5 6 2 4 3" xfId="3689" xr:uid="{00000000-0005-0000-0000-000033020000}"/>
    <cellStyle name="Comma 5 6 2 4 4" xfId="8350" xr:uid="{00000000-0005-0000-0000-00003D020000}"/>
    <cellStyle name="Comma 5 6 2 4 5" xfId="10747" xr:uid="{00000000-0005-0000-0000-00003D020000}"/>
    <cellStyle name="Comma 5 6 2 5" xfId="1642" xr:uid="{00000000-0005-0000-0000-000034020000}"/>
    <cellStyle name="Comma 5 6 2 5 2" xfId="2654" xr:uid="{00000000-0005-0000-0000-0000CC010000}"/>
    <cellStyle name="Comma 5 6 2 5 3" xfId="3570" xr:uid="{00000000-0005-0000-0000-000034020000}"/>
    <cellStyle name="Comma 5 6 2 5 4" xfId="7866" xr:uid="{00000000-0005-0000-0000-00003E020000}"/>
    <cellStyle name="Comma 5 6 2 5 5" xfId="10263" xr:uid="{00000000-0005-0000-0000-00003E020000}"/>
    <cellStyle name="Comma 5 6 2 6" xfId="2276" xr:uid="{00000000-0005-0000-0000-0000C7010000}"/>
    <cellStyle name="Comma 5 6 2 7" xfId="3817" xr:uid="{00000000-0005-0000-0000-000061010000}"/>
    <cellStyle name="Comma 5 6 2 8" xfId="5544" xr:uid="{00000000-0005-0000-0000-000071010000}"/>
    <cellStyle name="Comma 5 6 2 9" xfId="5043" xr:uid="{00000000-0005-0000-0000-000090010000}"/>
    <cellStyle name="Comma 5 6 3" xfId="479" xr:uid="{00000000-0005-0000-0000-000035020000}"/>
    <cellStyle name="Comma 5 6 3 2" xfId="1649" xr:uid="{00000000-0005-0000-0000-000036020000}"/>
    <cellStyle name="Comma 5 6 3 2 2" xfId="3039" xr:uid="{00000000-0005-0000-0000-0000CE010000}"/>
    <cellStyle name="Comma 5 6 3 2 3" xfId="3538" xr:uid="{00000000-0005-0000-0000-000036020000}"/>
    <cellStyle name="Comma 5 6 3 2 4" xfId="8353" xr:uid="{00000000-0005-0000-0000-000040020000}"/>
    <cellStyle name="Comma 5 6 3 2 5" xfId="10750" xr:uid="{00000000-0005-0000-0000-000040020000}"/>
    <cellStyle name="Comma 5 6 3 3" xfId="1650" xr:uid="{00000000-0005-0000-0000-000037020000}"/>
    <cellStyle name="Comma 5 6 3 3 2" xfId="2671" xr:uid="{00000000-0005-0000-0000-0000CF010000}"/>
    <cellStyle name="Comma 5 6 3 3 3" xfId="3540" xr:uid="{00000000-0005-0000-0000-000037020000}"/>
    <cellStyle name="Comma 5 6 3 3 4" xfId="7885" xr:uid="{00000000-0005-0000-0000-000041020000}"/>
    <cellStyle name="Comma 5 6 3 3 5" xfId="10282" xr:uid="{00000000-0005-0000-0000-000041020000}"/>
    <cellStyle name="Comma 5 6 3 4" xfId="1648" xr:uid="{00000000-0005-0000-0000-000038020000}"/>
    <cellStyle name="Comma 5 6 3 4 2" xfId="4656" xr:uid="{00000000-0005-0000-0000-0000CD010000}"/>
    <cellStyle name="Comma 5 6 3 5" xfId="4123" xr:uid="{00000000-0005-0000-0000-0000CD010000}"/>
    <cellStyle name="Comma 5 6 3 6" xfId="5778" xr:uid="{00000000-0005-0000-0000-000074010000}"/>
    <cellStyle name="Comma 5 6 3 7" xfId="6948" xr:uid="{00000000-0005-0000-0000-00003F020000}"/>
    <cellStyle name="Comma 5 6 3 8" xfId="9357" xr:uid="{00000000-0005-0000-0000-00003F020000}"/>
    <cellStyle name="Comma 5 6 4" xfId="480" xr:uid="{00000000-0005-0000-0000-000039020000}"/>
    <cellStyle name="Comma 5 6 4 2" xfId="1652" xr:uid="{00000000-0005-0000-0000-00003A020000}"/>
    <cellStyle name="Comma 5 6 4 2 2" xfId="6521" xr:uid="{00000000-0005-0000-0000-000028020000}"/>
    <cellStyle name="Comma 5 6 4 2 3" xfId="8354" xr:uid="{00000000-0005-0000-0000-000043020000}"/>
    <cellStyle name="Comma 5 6 4 2 4" xfId="10751" xr:uid="{00000000-0005-0000-0000-000043020000}"/>
    <cellStyle name="Comma 5 6 4 3" xfId="1653" xr:uid="{00000000-0005-0000-0000-00003B020000}"/>
    <cellStyle name="Comma 5 6 4 4" xfId="1651" xr:uid="{00000000-0005-0000-0000-00003C020000}"/>
    <cellStyle name="Comma 5 6 4 5" xfId="4402" xr:uid="{00000000-0005-0000-0000-0000D0010000}"/>
    <cellStyle name="Comma 5 6 4 6" xfId="5627" xr:uid="{00000000-0005-0000-0000-000075010000}"/>
    <cellStyle name="Comma 5 6 4 7" xfId="6949" xr:uid="{00000000-0005-0000-0000-000042020000}"/>
    <cellStyle name="Comma 5 6 4 8" xfId="9358" xr:uid="{00000000-0005-0000-0000-000042020000}"/>
    <cellStyle name="Comma 5 6 5" xfId="1654" xr:uid="{00000000-0005-0000-0000-00003D020000}"/>
    <cellStyle name="Comma 5 6 5 2" xfId="2871" xr:uid="{00000000-0005-0000-0000-0000D1010000}"/>
    <cellStyle name="Comma 5 6 5 2 2" xfId="8174" xr:uid="{00000000-0005-0000-0000-000045020000}"/>
    <cellStyle name="Comma 5 6 5 2 3" xfId="10571" xr:uid="{00000000-0005-0000-0000-000045020000}"/>
    <cellStyle name="Comma 5 6 5 3" xfId="3541" xr:uid="{00000000-0005-0000-0000-00003D020000}"/>
    <cellStyle name="Comma 5 6 5 4" xfId="6945" xr:uid="{00000000-0005-0000-0000-000044020000}"/>
    <cellStyle name="Comma 5 6 5 5" xfId="9354" xr:uid="{00000000-0005-0000-0000-000044020000}"/>
    <cellStyle name="Comma 5 6 6" xfId="1655" xr:uid="{00000000-0005-0000-0000-00003E020000}"/>
    <cellStyle name="Comma 5 6 6 2" xfId="2503" xr:uid="{00000000-0005-0000-0000-0000D2010000}"/>
    <cellStyle name="Comma 5 6 6 3" xfId="3543" xr:uid="{00000000-0005-0000-0000-00003E020000}"/>
    <cellStyle name="Comma 5 6 6 4" xfId="7701" xr:uid="{00000000-0005-0000-0000-000046020000}"/>
    <cellStyle name="Comma 5 6 6 5" xfId="10098" xr:uid="{00000000-0005-0000-0000-000046020000}"/>
    <cellStyle name="Comma 5 6 7" xfId="1641" xr:uid="{00000000-0005-0000-0000-00003F020000}"/>
    <cellStyle name="Comma 5 6 7 2" xfId="2259" xr:uid="{00000000-0005-0000-0000-0000C6010000}"/>
    <cellStyle name="Comma 5 6 7 3" xfId="3682" xr:uid="{00000000-0005-0000-0000-00003F020000}"/>
    <cellStyle name="Comma 5 6 8" xfId="3863" xr:uid="{00000000-0005-0000-0000-000060010000}"/>
    <cellStyle name="Comma 5 6 9" xfId="5381" xr:uid="{00000000-0005-0000-0000-000070010000}"/>
    <cellStyle name="Comma 5 7" xfId="481" xr:uid="{00000000-0005-0000-0000-000040020000}"/>
    <cellStyle name="Comma 5 7 10" xfId="4844" xr:uid="{00000000-0005-0000-0000-000091010000}"/>
    <cellStyle name="Comma 5 7 11" xfId="6590" xr:uid="{00000000-0005-0000-0000-000047020000}"/>
    <cellStyle name="Comma 5 7 12" xfId="9011" xr:uid="{00000000-0005-0000-0000-000047020000}"/>
    <cellStyle name="Comma 5 7 2" xfId="482" xr:uid="{00000000-0005-0000-0000-000041020000}"/>
    <cellStyle name="Comma 5 7 2 10" xfId="9172" xr:uid="{00000000-0005-0000-0000-000048020000}"/>
    <cellStyle name="Comma 5 7 2 2" xfId="483" xr:uid="{00000000-0005-0000-0000-000042020000}"/>
    <cellStyle name="Comma 5 7 2 2 2" xfId="1659" xr:uid="{00000000-0005-0000-0000-000043020000}"/>
    <cellStyle name="Comma 5 7 2 2 2 2" xfId="5965" xr:uid="{00000000-0005-0000-0000-00002E020000}"/>
    <cellStyle name="Comma 5 7 2 2 2 3" xfId="8355" xr:uid="{00000000-0005-0000-0000-00004A020000}"/>
    <cellStyle name="Comma 5 7 2 2 2 4" xfId="10752" xr:uid="{00000000-0005-0000-0000-00004A020000}"/>
    <cellStyle name="Comma 5 7 2 2 3" xfId="1660" xr:uid="{00000000-0005-0000-0000-000044020000}"/>
    <cellStyle name="Comma 5 7 2 2 4" xfId="1658" xr:uid="{00000000-0005-0000-0000-000045020000}"/>
    <cellStyle name="Comma 5 7 2 2 5" xfId="6356" xr:uid="{00000000-0005-0000-0000-0000D5010000}"/>
    <cellStyle name="Comma 5 7 2 2 6" xfId="6952" xr:uid="{00000000-0005-0000-0000-000049020000}"/>
    <cellStyle name="Comma 5 7 2 2 7" xfId="9361" xr:uid="{00000000-0005-0000-0000-000049020000}"/>
    <cellStyle name="Comma 5 7 2 3" xfId="1661" xr:uid="{00000000-0005-0000-0000-000046020000}"/>
    <cellStyle name="Comma 5 7 2 3 2" xfId="2672" xr:uid="{00000000-0005-0000-0000-0000D6010000}"/>
    <cellStyle name="Comma 5 7 2 3 3" xfId="3542" xr:uid="{00000000-0005-0000-0000-000046020000}"/>
    <cellStyle name="Comma 5 7 2 3 4" xfId="6159" xr:uid="{00000000-0005-0000-0000-0000D6010000}"/>
    <cellStyle name="Comma 5 7 2 3 5" xfId="6951" xr:uid="{00000000-0005-0000-0000-00004B020000}"/>
    <cellStyle name="Comma 5 7 2 3 6" xfId="9360" xr:uid="{00000000-0005-0000-0000-00004B020000}"/>
    <cellStyle name="Comma 5 7 2 4" xfId="1662" xr:uid="{00000000-0005-0000-0000-000047020000}"/>
    <cellStyle name="Comma 5 7 2 4 2" xfId="4682" xr:uid="{00000000-0005-0000-0000-0000D4010000}"/>
    <cellStyle name="Comma 5 7 2 4 3" xfId="7887" xr:uid="{00000000-0005-0000-0000-00004C020000}"/>
    <cellStyle name="Comma 5 7 2 4 4" xfId="10284" xr:uid="{00000000-0005-0000-0000-00004C020000}"/>
    <cellStyle name="Comma 5 7 2 5" xfId="1657" xr:uid="{00000000-0005-0000-0000-000048020000}"/>
    <cellStyle name="Comma 5 7 2 6" xfId="4124" xr:uid="{00000000-0005-0000-0000-0000D4010000}"/>
    <cellStyle name="Comma 5 7 2 7" xfId="5780" xr:uid="{00000000-0005-0000-0000-000077010000}"/>
    <cellStyle name="Comma 5 7 2 8" xfId="5044" xr:uid="{00000000-0005-0000-0000-000092010000}"/>
    <cellStyle name="Comma 5 7 2 9" xfId="6751" xr:uid="{00000000-0005-0000-0000-000048020000}"/>
    <cellStyle name="Comma 5 7 3" xfId="484" xr:uid="{00000000-0005-0000-0000-000049020000}"/>
    <cellStyle name="Comma 5 7 3 2" xfId="1664" xr:uid="{00000000-0005-0000-0000-00004A020000}"/>
    <cellStyle name="Comma 5 7 3 2 2" xfId="5292" xr:uid="{00000000-0005-0000-0000-000031020000}"/>
    <cellStyle name="Comma 5 7 3 2 3" xfId="8356" xr:uid="{00000000-0005-0000-0000-00004E020000}"/>
    <cellStyle name="Comma 5 7 3 2 4" xfId="10753" xr:uid="{00000000-0005-0000-0000-00004E020000}"/>
    <cellStyle name="Comma 5 7 3 3" xfId="1665" xr:uid="{00000000-0005-0000-0000-00004B020000}"/>
    <cellStyle name="Comma 5 7 3 4" xfId="1663" xr:uid="{00000000-0005-0000-0000-00004C020000}"/>
    <cellStyle name="Comma 5 7 3 5" xfId="4403" xr:uid="{00000000-0005-0000-0000-0000D7010000}"/>
    <cellStyle name="Comma 5 7 3 6" xfId="5672" xr:uid="{00000000-0005-0000-0000-000078010000}"/>
    <cellStyle name="Comma 5 7 3 7" xfId="6953" xr:uid="{00000000-0005-0000-0000-00004D020000}"/>
    <cellStyle name="Comma 5 7 3 8" xfId="9362" xr:uid="{00000000-0005-0000-0000-00004D020000}"/>
    <cellStyle name="Comma 5 7 4" xfId="485" xr:uid="{00000000-0005-0000-0000-00004D020000}"/>
    <cellStyle name="Comma 5 7 4 2" xfId="1667" xr:uid="{00000000-0005-0000-0000-00004E020000}"/>
    <cellStyle name="Comma 5 7 4 2 2" xfId="6517" xr:uid="{00000000-0005-0000-0000-000033020000}"/>
    <cellStyle name="Comma 5 7 4 2 3" xfId="8175" xr:uid="{00000000-0005-0000-0000-000050020000}"/>
    <cellStyle name="Comma 5 7 4 2 4" xfId="10572" xr:uid="{00000000-0005-0000-0000-000050020000}"/>
    <cellStyle name="Comma 5 7 4 3" xfId="1668" xr:uid="{00000000-0005-0000-0000-00004F020000}"/>
    <cellStyle name="Comma 5 7 4 4" xfId="1666" xr:uid="{00000000-0005-0000-0000-000050020000}"/>
    <cellStyle name="Comma 5 7 4 5" xfId="6264" xr:uid="{00000000-0005-0000-0000-0000D8010000}"/>
    <cellStyle name="Comma 5 7 4 6" xfId="6954" xr:uid="{00000000-0005-0000-0000-00004F020000}"/>
    <cellStyle name="Comma 5 7 4 7" xfId="9363" xr:uid="{00000000-0005-0000-0000-00004F020000}"/>
    <cellStyle name="Comma 5 7 5" xfId="1669" xr:uid="{00000000-0005-0000-0000-000051020000}"/>
    <cellStyle name="Comma 5 7 5 2" xfId="2563" xr:uid="{00000000-0005-0000-0000-0000D9010000}"/>
    <cellStyle name="Comma 5 7 5 3" xfId="3708" xr:uid="{00000000-0005-0000-0000-000051020000}"/>
    <cellStyle name="Comma 5 7 5 4" xfId="6950" xr:uid="{00000000-0005-0000-0000-000051020000}"/>
    <cellStyle name="Comma 5 7 5 5" xfId="9359" xr:uid="{00000000-0005-0000-0000-000051020000}"/>
    <cellStyle name="Comma 5 7 6" xfId="1670" xr:uid="{00000000-0005-0000-0000-000052020000}"/>
    <cellStyle name="Comma 5 7 6 2" xfId="2277" xr:uid="{00000000-0005-0000-0000-0000D3010000}"/>
    <cellStyle name="Comma 5 7 6 3" xfId="2065" xr:uid="{00000000-0005-0000-0000-000052020000}"/>
    <cellStyle name="Comma 5 7 6 4" xfId="7761" xr:uid="{00000000-0005-0000-0000-000052020000}"/>
    <cellStyle name="Comma 5 7 6 5" xfId="10158" xr:uid="{00000000-0005-0000-0000-000052020000}"/>
    <cellStyle name="Comma 5 7 7" xfId="1656" xr:uid="{00000000-0005-0000-0000-000053020000}"/>
    <cellStyle name="Comma 5 7 8" xfId="3864" xr:uid="{00000000-0005-0000-0000-000062010000}"/>
    <cellStyle name="Comma 5 7 9" xfId="5441" xr:uid="{00000000-0005-0000-0000-000076010000}"/>
    <cellStyle name="Comma 5 8" xfId="486" xr:uid="{00000000-0005-0000-0000-000054020000}"/>
    <cellStyle name="Comma 5 8 10" xfId="6591" xr:uid="{00000000-0005-0000-0000-000053020000}"/>
    <cellStyle name="Comma 5 8 11" xfId="9012" xr:uid="{00000000-0005-0000-0000-000053020000}"/>
    <cellStyle name="Comma 5 8 2" xfId="487" xr:uid="{00000000-0005-0000-0000-000055020000}"/>
    <cellStyle name="Comma 5 8 2 2" xfId="1673" xr:uid="{00000000-0005-0000-0000-000056020000}"/>
    <cellStyle name="Comma 5 8 2 2 2" xfId="3040" xr:uid="{00000000-0005-0000-0000-0000DC010000}"/>
    <cellStyle name="Comma 5 8 2 2 3" xfId="2080" xr:uid="{00000000-0005-0000-0000-000056020000}"/>
    <cellStyle name="Comma 5 8 2 2 4" xfId="6357" xr:uid="{00000000-0005-0000-0000-0000DC010000}"/>
    <cellStyle name="Comma 5 8 2 2 5" xfId="6956" xr:uid="{00000000-0005-0000-0000-000055020000}"/>
    <cellStyle name="Comma 5 8 2 2 6" xfId="9365" xr:uid="{00000000-0005-0000-0000-000055020000}"/>
    <cellStyle name="Comma 5 8 2 3" xfId="1674" xr:uid="{00000000-0005-0000-0000-000057020000}"/>
    <cellStyle name="Comma 5 8 2 3 2" xfId="6440" xr:uid="{00000000-0005-0000-0000-000057020000}"/>
    <cellStyle name="Comma 5 8 2 3 3" xfId="8357" xr:uid="{00000000-0005-0000-0000-000056020000}"/>
    <cellStyle name="Comma 5 8 2 3 4" xfId="10754" xr:uid="{00000000-0005-0000-0000-000056020000}"/>
    <cellStyle name="Comma 5 8 2 3 5" xfId="4715" xr:uid="{00000000-0005-0000-0000-000083010000}"/>
    <cellStyle name="Comma 5 8 2 4" xfId="1672" xr:uid="{00000000-0005-0000-0000-000058020000}"/>
    <cellStyle name="Comma 5 8 2 5" xfId="4125" xr:uid="{00000000-0005-0000-0000-0000DB010000}"/>
    <cellStyle name="Comma 5 8 2 6" xfId="5781" xr:uid="{00000000-0005-0000-0000-00007A010000}"/>
    <cellStyle name="Comma 5 8 2 7" xfId="5045" xr:uid="{00000000-0005-0000-0000-000094010000}"/>
    <cellStyle name="Comma 5 8 2 8" xfId="6752" xr:uid="{00000000-0005-0000-0000-000054020000}"/>
    <cellStyle name="Comma 5 8 2 9" xfId="9173" xr:uid="{00000000-0005-0000-0000-000054020000}"/>
    <cellStyle name="Comma 5 8 3" xfId="488" xr:uid="{00000000-0005-0000-0000-000059020000}"/>
    <cellStyle name="Comma 5 8 3 2" xfId="1676" xr:uid="{00000000-0005-0000-0000-00005A020000}"/>
    <cellStyle name="Comma 5 8 3 2 2" xfId="6475" xr:uid="{00000000-0005-0000-0000-000039020000}"/>
    <cellStyle name="Comma 5 8 3 2 3" xfId="8176" xr:uid="{00000000-0005-0000-0000-000058020000}"/>
    <cellStyle name="Comma 5 8 3 2 4" xfId="10573" xr:uid="{00000000-0005-0000-0000-000058020000}"/>
    <cellStyle name="Comma 5 8 3 3" xfId="1677" xr:uid="{00000000-0005-0000-0000-00005B020000}"/>
    <cellStyle name="Comma 5 8 3 4" xfId="1675" xr:uid="{00000000-0005-0000-0000-00005C020000}"/>
    <cellStyle name="Comma 5 8 3 5" xfId="6265" xr:uid="{00000000-0005-0000-0000-0000DD010000}"/>
    <cellStyle name="Comma 5 8 3 6" xfId="6957" xr:uid="{00000000-0005-0000-0000-000057020000}"/>
    <cellStyle name="Comma 5 8 3 7" xfId="9366" xr:uid="{00000000-0005-0000-0000-000057020000}"/>
    <cellStyle name="Comma 5 8 4" xfId="1678" xr:uid="{00000000-0005-0000-0000-00005D020000}"/>
    <cellStyle name="Comma 5 8 4 2" xfId="2673" xr:uid="{00000000-0005-0000-0000-0000DE010000}"/>
    <cellStyle name="Comma 5 8 4 3" xfId="3592" xr:uid="{00000000-0005-0000-0000-00005D020000}"/>
    <cellStyle name="Comma 5 8 4 4" xfId="6160" xr:uid="{00000000-0005-0000-0000-0000DE010000}"/>
    <cellStyle name="Comma 5 8 4 5" xfId="6955" xr:uid="{00000000-0005-0000-0000-000059020000}"/>
    <cellStyle name="Comma 5 8 4 6" xfId="9364" xr:uid="{00000000-0005-0000-0000-000059020000}"/>
    <cellStyle name="Comma 5 8 5" xfId="1679" xr:uid="{00000000-0005-0000-0000-00005E020000}"/>
    <cellStyle name="Comma 5 8 5 2" xfId="2278" xr:uid="{00000000-0005-0000-0000-0000DA010000}"/>
    <cellStyle name="Comma 5 8 5 3" xfId="2086" xr:uid="{00000000-0005-0000-0000-00005E020000}"/>
    <cellStyle name="Comma 5 8 5 4" xfId="7888" xr:uid="{00000000-0005-0000-0000-00005A020000}"/>
    <cellStyle name="Comma 5 8 5 5" xfId="10285" xr:uid="{00000000-0005-0000-0000-00005A020000}"/>
    <cellStyle name="Comma 5 8 6" xfId="1671" xr:uid="{00000000-0005-0000-0000-00005F020000}"/>
    <cellStyle name="Comma 5 8 7" xfId="3865" xr:uid="{00000000-0005-0000-0000-000063010000}"/>
    <cellStyle name="Comma 5 8 8" xfId="5304" xr:uid="{00000000-0005-0000-0000-000079010000}"/>
    <cellStyle name="Comma 5 8 9" xfId="4845" xr:uid="{00000000-0005-0000-0000-000093010000}"/>
    <cellStyle name="Comma 5 9" xfId="489" xr:uid="{00000000-0005-0000-0000-000060020000}"/>
    <cellStyle name="Comma 5 9 10" xfId="6592" xr:uid="{00000000-0005-0000-0000-00005B020000}"/>
    <cellStyle name="Comma 5 9 11" xfId="9013" xr:uid="{00000000-0005-0000-0000-00005B020000}"/>
    <cellStyle name="Comma 5 9 2" xfId="490" xr:uid="{00000000-0005-0000-0000-000061020000}"/>
    <cellStyle name="Comma 5 9 2 2" xfId="1682" xr:uid="{00000000-0005-0000-0000-000062020000}"/>
    <cellStyle name="Comma 5 9 2 2 2" xfId="2872" xr:uid="{00000000-0005-0000-0000-0000E1010000}"/>
    <cellStyle name="Comma 5 9 2 2 3" xfId="3688" xr:uid="{00000000-0005-0000-0000-000062020000}"/>
    <cellStyle name="Comma 5 9 2 2 4" xfId="6266" xr:uid="{00000000-0005-0000-0000-0000E1010000}"/>
    <cellStyle name="Comma 5 9 2 2 5" xfId="6959" xr:uid="{00000000-0005-0000-0000-00005D020000}"/>
    <cellStyle name="Comma 5 9 2 2 6" xfId="9368" xr:uid="{00000000-0005-0000-0000-00005D020000}"/>
    <cellStyle name="Comma 5 9 2 3" xfId="1683" xr:uid="{00000000-0005-0000-0000-000063020000}"/>
    <cellStyle name="Comma 5 9 2 3 2" xfId="6439" xr:uid="{00000000-0005-0000-0000-000063020000}"/>
    <cellStyle name="Comma 5 9 2 3 3" xfId="8177" xr:uid="{00000000-0005-0000-0000-00005E020000}"/>
    <cellStyle name="Comma 5 9 2 3 4" xfId="10574" xr:uid="{00000000-0005-0000-0000-00005E020000}"/>
    <cellStyle name="Comma 5 9 2 3 5" xfId="4716" xr:uid="{00000000-0005-0000-0000-000089010000}"/>
    <cellStyle name="Comma 5 9 2 4" xfId="1681" xr:uid="{00000000-0005-0000-0000-000064020000}"/>
    <cellStyle name="Comma 5 9 2 5" xfId="6095" xr:uid="{00000000-0005-0000-0000-0000E0010000}"/>
    <cellStyle name="Comma 5 9 2 6" xfId="5046" xr:uid="{00000000-0005-0000-0000-000096010000}"/>
    <cellStyle name="Comma 5 9 2 7" xfId="6753" xr:uid="{00000000-0005-0000-0000-00005C020000}"/>
    <cellStyle name="Comma 5 9 2 8" xfId="9174" xr:uid="{00000000-0005-0000-0000-00005C020000}"/>
    <cellStyle name="Comma 5 9 3" xfId="491" xr:uid="{00000000-0005-0000-0000-000065020000}"/>
    <cellStyle name="Comma 5 9 3 2" xfId="1685" xr:uid="{00000000-0005-0000-0000-000066020000}"/>
    <cellStyle name="Comma 5 9 3 3" xfId="1686" xr:uid="{00000000-0005-0000-0000-000067020000}"/>
    <cellStyle name="Comma 5 9 3 4" xfId="1684" xr:uid="{00000000-0005-0000-0000-000068020000}"/>
    <cellStyle name="Comma 5 9 3 5" xfId="6161" xr:uid="{00000000-0005-0000-0000-0000E2010000}"/>
    <cellStyle name="Comma 5 9 3 6" xfId="6960" xr:uid="{00000000-0005-0000-0000-00005F020000}"/>
    <cellStyle name="Comma 5 9 3 7" xfId="9369" xr:uid="{00000000-0005-0000-0000-00005F020000}"/>
    <cellStyle name="Comma 5 9 4" xfId="1687" xr:uid="{00000000-0005-0000-0000-000069020000}"/>
    <cellStyle name="Comma 5 9 4 2" xfId="2279" xr:uid="{00000000-0005-0000-0000-0000DF010000}"/>
    <cellStyle name="Comma 5 9 4 3" xfId="2058" xr:uid="{00000000-0005-0000-0000-000069020000}"/>
    <cellStyle name="Comma 5 9 4 4" xfId="6054" xr:uid="{00000000-0005-0000-0000-0000DF010000}"/>
    <cellStyle name="Comma 5 9 4 5" xfId="6958" xr:uid="{00000000-0005-0000-0000-000060020000}"/>
    <cellStyle name="Comma 5 9 4 6" xfId="9367" xr:uid="{00000000-0005-0000-0000-000060020000}"/>
    <cellStyle name="Comma 5 9 5" xfId="1688" xr:uid="{00000000-0005-0000-0000-00006A020000}"/>
    <cellStyle name="Comma 5 9 5 2" xfId="6462" xr:uid="{00000000-0005-0000-0000-000041020000}"/>
    <cellStyle name="Comma 5 9 5 3" xfId="7889" xr:uid="{00000000-0005-0000-0000-000061020000}"/>
    <cellStyle name="Comma 5 9 5 4" xfId="10286" xr:uid="{00000000-0005-0000-0000-000061020000}"/>
    <cellStyle name="Comma 5 9 6" xfId="1680" xr:uid="{00000000-0005-0000-0000-00006B020000}"/>
    <cellStyle name="Comma 5 9 7" xfId="3866" xr:uid="{00000000-0005-0000-0000-000064010000}"/>
    <cellStyle name="Comma 5 9 8" xfId="5782" xr:uid="{00000000-0005-0000-0000-00007B010000}"/>
    <cellStyle name="Comma 5 9 9" xfId="4846" xr:uid="{00000000-0005-0000-0000-000095010000}"/>
    <cellStyle name="Comma 6" xfId="492" xr:uid="{00000000-0005-0000-0000-00006C020000}"/>
    <cellStyle name="Comma 6 2" xfId="493" xr:uid="{00000000-0005-0000-0000-00006D020000}"/>
    <cellStyle name="Comma 6 3" xfId="494" xr:uid="{00000000-0005-0000-0000-00006E020000}"/>
    <cellStyle name="Comma 6 3 2" xfId="1690" xr:uid="{00000000-0005-0000-0000-00006F020000}"/>
    <cellStyle name="Comma 6 3 2 2" xfId="6507" xr:uid="{00000000-0005-0000-0000-000045020000}"/>
    <cellStyle name="Comma 6 3 3" xfId="1691" xr:uid="{00000000-0005-0000-0000-000070020000}"/>
    <cellStyle name="Comma 6 3 4" xfId="1689" xr:uid="{00000000-0005-0000-0000-000071020000}"/>
    <cellStyle name="Comma 6 4" xfId="495" xr:uid="{00000000-0005-0000-0000-000072020000}"/>
    <cellStyle name="Comma 6 4 10" xfId="5346" xr:uid="{00000000-0005-0000-0000-00007F010000}"/>
    <cellStyle name="Comma 6 4 11" xfId="4802" xr:uid="{00000000-0005-0000-0000-00009A010000}"/>
    <cellStyle name="Comma 6 4 12" xfId="6548" xr:uid="{00000000-0005-0000-0000-000065020000}"/>
    <cellStyle name="Comma 6 4 13" xfId="8969" xr:uid="{00000000-0005-0000-0000-000065020000}"/>
    <cellStyle name="Comma 6 4 2" xfId="496" xr:uid="{00000000-0005-0000-0000-000073020000}"/>
    <cellStyle name="Comma 6 4 2 10" xfId="6593" xr:uid="{00000000-0005-0000-0000-000066020000}"/>
    <cellStyle name="Comma 6 4 2 11" xfId="9014" xr:uid="{00000000-0005-0000-0000-000066020000}"/>
    <cellStyle name="Comma 6 4 2 2" xfId="497" xr:uid="{00000000-0005-0000-0000-000074020000}"/>
    <cellStyle name="Comma 6 4 2 2 2" xfId="1695" xr:uid="{00000000-0005-0000-0000-000075020000}"/>
    <cellStyle name="Comma 6 4 2 2 2 2" xfId="3042" xr:uid="{00000000-0005-0000-0000-0000E9010000}"/>
    <cellStyle name="Comma 6 4 2 2 2 2 2" xfId="11440" xr:uid="{00000000-0005-0000-0000-00004B020000}"/>
    <cellStyle name="Comma 6 4 2 2 2 3" xfId="3575" xr:uid="{00000000-0005-0000-0000-000075020000}"/>
    <cellStyle name="Comma 6 4 2 2 2 4" xfId="8359" xr:uid="{00000000-0005-0000-0000-000068020000}"/>
    <cellStyle name="Comma 6 4 2 2 2 5" xfId="10756" xr:uid="{00000000-0005-0000-0000-000068020000}"/>
    <cellStyle name="Comma 6 4 2 2 3" xfId="1696" xr:uid="{00000000-0005-0000-0000-000076020000}"/>
    <cellStyle name="Comma 6 4 2 2 3 2" xfId="4647" xr:uid="{00000000-0005-0000-0000-0000E8010000}"/>
    <cellStyle name="Comma 6 4 2 2 3 3" xfId="7891" xr:uid="{00000000-0005-0000-0000-000069020000}"/>
    <cellStyle name="Comma 6 4 2 2 3 4" xfId="10288" xr:uid="{00000000-0005-0000-0000-000069020000}"/>
    <cellStyle name="Comma 6 4 2 2 4" xfId="1694" xr:uid="{00000000-0005-0000-0000-000077020000}"/>
    <cellStyle name="Comma 6 4 2 2 5" xfId="4260" xr:uid="{00000000-0005-0000-0000-0000E8010000}"/>
    <cellStyle name="Comma 6 4 2 2 6" xfId="5784" xr:uid="{00000000-0005-0000-0000-000081010000}"/>
    <cellStyle name="Comma 6 4 2 2 7" xfId="5048" xr:uid="{00000000-0005-0000-0000-00009C010000}"/>
    <cellStyle name="Comma 6 4 2 2 8" xfId="6964" xr:uid="{00000000-0005-0000-0000-000067020000}"/>
    <cellStyle name="Comma 6 4 2 2 9" xfId="9372" xr:uid="{00000000-0005-0000-0000-000067020000}"/>
    <cellStyle name="Comma 6 4 2 3" xfId="1697" xr:uid="{00000000-0005-0000-0000-000078020000}"/>
    <cellStyle name="Comma 6 4 2 3 2" xfId="3043" xr:uid="{00000000-0005-0000-0000-0000EA010000}"/>
    <cellStyle name="Comma 6 4 2 3 2 2" xfId="8360" xr:uid="{00000000-0005-0000-0000-00006B020000}"/>
    <cellStyle name="Comma 6 4 2 3 2 3" xfId="10757" xr:uid="{00000000-0005-0000-0000-00006B020000}"/>
    <cellStyle name="Comma 6 4 2 3 3" xfId="2081" xr:uid="{00000000-0005-0000-0000-000078020000}"/>
    <cellStyle name="Comma 6 4 2 3 4" xfId="4404" xr:uid="{00000000-0005-0000-0000-0000EA010000}"/>
    <cellStyle name="Comma 6 4 2 3 5" xfId="5652" xr:uid="{00000000-0005-0000-0000-000082010000}"/>
    <cellStyle name="Comma 6 4 2 3 6" xfId="6963" xr:uid="{00000000-0005-0000-0000-00006A020000}"/>
    <cellStyle name="Comma 6 4 2 3 7" xfId="9371" xr:uid="{00000000-0005-0000-0000-00006A020000}"/>
    <cellStyle name="Comma 6 4 2 4" xfId="1698" xr:uid="{00000000-0005-0000-0000-000079020000}"/>
    <cellStyle name="Comma 6 4 2 4 2" xfId="3041" xr:uid="{00000000-0005-0000-0000-0000EB010000}"/>
    <cellStyle name="Comma 6 4 2 4 2 2" xfId="11439" xr:uid="{00000000-0005-0000-0000-000050020000}"/>
    <cellStyle name="Comma 6 4 2 4 3" xfId="3671" xr:uid="{00000000-0005-0000-0000-000079020000}"/>
    <cellStyle name="Comma 6 4 2 4 4" xfId="8358" xr:uid="{00000000-0005-0000-0000-00006C020000}"/>
    <cellStyle name="Comma 6 4 2 4 5" xfId="10755" xr:uid="{00000000-0005-0000-0000-00006C020000}"/>
    <cellStyle name="Comma 6 4 2 5" xfId="1693" xr:uid="{00000000-0005-0000-0000-00007A020000}"/>
    <cellStyle name="Comma 6 4 2 5 2" xfId="2528" xr:uid="{00000000-0005-0000-0000-0000EC010000}"/>
    <cellStyle name="Comma 6 4 2 5 3" xfId="3563" xr:uid="{00000000-0005-0000-0000-00007A020000}"/>
    <cellStyle name="Comma 6 4 2 5 4" xfId="7726" xr:uid="{00000000-0005-0000-0000-00006D020000}"/>
    <cellStyle name="Comma 6 4 2 5 5" xfId="10123" xr:uid="{00000000-0005-0000-0000-00006D020000}"/>
    <cellStyle name="Comma 6 4 2 6" xfId="2280" xr:uid="{00000000-0005-0000-0000-0000E7010000}"/>
    <cellStyle name="Comma 6 4 2 7" xfId="3819" xr:uid="{00000000-0005-0000-0000-000069010000}"/>
    <cellStyle name="Comma 6 4 2 8" xfId="5406" xr:uid="{00000000-0005-0000-0000-000080010000}"/>
    <cellStyle name="Comma 6 4 2 9" xfId="4847" xr:uid="{00000000-0005-0000-0000-00009B010000}"/>
    <cellStyle name="Comma 6 4 3" xfId="498" xr:uid="{00000000-0005-0000-0000-00007B020000}"/>
    <cellStyle name="Comma 6 4 3 10" xfId="9175" xr:uid="{00000000-0005-0000-0000-00006E020000}"/>
    <cellStyle name="Comma 6 4 3 2" xfId="1700" xr:uid="{00000000-0005-0000-0000-00007C020000}"/>
    <cellStyle name="Comma 6 4 3 2 2" xfId="3045" xr:uid="{00000000-0005-0000-0000-0000EF010000}"/>
    <cellStyle name="Comma 6 4 3 2 2 2" xfId="8362" xr:uid="{00000000-0005-0000-0000-000070020000}"/>
    <cellStyle name="Comma 6 4 3 2 2 3" xfId="10759" xr:uid="{00000000-0005-0000-0000-000070020000}"/>
    <cellStyle name="Comma 6 4 3 2 3" xfId="2674" xr:uid="{00000000-0005-0000-0000-0000EE010000}"/>
    <cellStyle name="Comma 6 4 3 2 3 2" xfId="7892" xr:uid="{00000000-0005-0000-0000-000071020000}"/>
    <cellStyle name="Comma 6 4 3 2 3 3" xfId="10289" xr:uid="{00000000-0005-0000-0000-000071020000}"/>
    <cellStyle name="Comma 6 4 3 2 4" xfId="3649" xr:uid="{00000000-0005-0000-0000-00007C020000}"/>
    <cellStyle name="Comma 6 4 3 2 5" xfId="4261" xr:uid="{00000000-0005-0000-0000-0000EE010000}"/>
    <cellStyle name="Comma 6 4 3 2 6" xfId="5785" xr:uid="{00000000-0005-0000-0000-000084010000}"/>
    <cellStyle name="Comma 6 4 3 2 7" xfId="6965" xr:uid="{00000000-0005-0000-0000-00006F020000}"/>
    <cellStyle name="Comma 6 4 3 2 8" xfId="9373" xr:uid="{00000000-0005-0000-0000-00006F020000}"/>
    <cellStyle name="Comma 6 4 3 3" xfId="1701" xr:uid="{00000000-0005-0000-0000-00007D020000}"/>
    <cellStyle name="Comma 6 4 3 3 2" xfId="3046" xr:uid="{00000000-0005-0000-0000-0000F0010000}"/>
    <cellStyle name="Comma 6 4 3 3 2 2" xfId="11441" xr:uid="{00000000-0005-0000-0000-000057020000}"/>
    <cellStyle name="Comma 6 4 3 3 3" xfId="3612" xr:uid="{00000000-0005-0000-0000-00007D020000}"/>
    <cellStyle name="Comma 6 4 3 3 4" xfId="4405" xr:uid="{00000000-0005-0000-0000-0000F0010000}"/>
    <cellStyle name="Comma 6 4 3 3 5" xfId="5737" xr:uid="{00000000-0005-0000-0000-000085010000}"/>
    <cellStyle name="Comma 6 4 3 3 6" xfId="8363" xr:uid="{00000000-0005-0000-0000-000072020000}"/>
    <cellStyle name="Comma 6 4 3 3 7" xfId="10760" xr:uid="{00000000-0005-0000-0000-000072020000}"/>
    <cellStyle name="Comma 6 4 3 4" xfId="1699" xr:uid="{00000000-0005-0000-0000-00007E020000}"/>
    <cellStyle name="Comma 6 4 3 4 2" xfId="3044" xr:uid="{00000000-0005-0000-0000-0000F1010000}"/>
    <cellStyle name="Comma 6 4 3 4 3" xfId="3697" xr:uid="{00000000-0005-0000-0000-00007E020000}"/>
    <cellStyle name="Comma 6 4 3 4 4" xfId="8361" xr:uid="{00000000-0005-0000-0000-000073020000}"/>
    <cellStyle name="Comma 6 4 3 4 5" xfId="10758" xr:uid="{00000000-0005-0000-0000-000073020000}"/>
    <cellStyle name="Comma 6 4 3 5" xfId="2631" xr:uid="{00000000-0005-0000-0000-0000F2010000}"/>
    <cellStyle name="Comma 6 4 3 5 2" xfId="7829" xr:uid="{00000000-0005-0000-0000-000074020000}"/>
    <cellStyle name="Comma 6 4 3 5 3" xfId="10226" xr:uid="{00000000-0005-0000-0000-000074020000}"/>
    <cellStyle name="Comma 6 4 3 6" xfId="4126" xr:uid="{00000000-0005-0000-0000-0000ED010000}"/>
    <cellStyle name="Comma 6 4 3 7" xfId="5507" xr:uid="{00000000-0005-0000-0000-000083010000}"/>
    <cellStyle name="Comma 6 4 3 8" xfId="5047" xr:uid="{00000000-0005-0000-0000-00009D010000}"/>
    <cellStyle name="Comma 6 4 3 9" xfId="6754" xr:uid="{00000000-0005-0000-0000-00006E020000}"/>
    <cellStyle name="Comma 6 4 4" xfId="499" xr:uid="{00000000-0005-0000-0000-00007F020000}"/>
    <cellStyle name="Comma 6 4 4 2" xfId="1703" xr:uid="{00000000-0005-0000-0000-000080020000}"/>
    <cellStyle name="Comma 6 4 4 2 2" xfId="3047" xr:uid="{00000000-0005-0000-0000-0000F4010000}"/>
    <cellStyle name="Comma 6 4 4 2 3" xfId="3640" xr:uid="{00000000-0005-0000-0000-000080020000}"/>
    <cellStyle name="Comma 6 4 4 2 4" xfId="8364" xr:uid="{00000000-0005-0000-0000-000076020000}"/>
    <cellStyle name="Comma 6 4 4 2 5" xfId="10761" xr:uid="{00000000-0005-0000-0000-000076020000}"/>
    <cellStyle name="Comma 6 4 4 3" xfId="1704" xr:uid="{00000000-0005-0000-0000-000081020000}"/>
    <cellStyle name="Comma 6 4 4 3 2" xfId="4624" xr:uid="{00000000-0005-0000-0000-0000F3010000}"/>
    <cellStyle name="Comma 6 4 4 3 3" xfId="7890" xr:uid="{00000000-0005-0000-0000-000077020000}"/>
    <cellStyle name="Comma 6 4 4 3 4" xfId="10287" xr:uid="{00000000-0005-0000-0000-000077020000}"/>
    <cellStyle name="Comma 6 4 4 4" xfId="1702" xr:uid="{00000000-0005-0000-0000-000082020000}"/>
    <cellStyle name="Comma 6 4 4 5" xfId="4259" xr:uid="{00000000-0005-0000-0000-0000F3010000}"/>
    <cellStyle name="Comma 6 4 4 6" xfId="5783" xr:uid="{00000000-0005-0000-0000-000086010000}"/>
    <cellStyle name="Comma 6 4 4 7" xfId="6966" xr:uid="{00000000-0005-0000-0000-000075020000}"/>
    <cellStyle name="Comma 6 4 4 8" xfId="9374" xr:uid="{00000000-0005-0000-0000-000075020000}"/>
    <cellStyle name="Comma 6 4 5" xfId="1705" xr:uid="{00000000-0005-0000-0000-000083020000}"/>
    <cellStyle name="Comma 6 4 5 2" xfId="3048" xr:uid="{00000000-0005-0000-0000-0000F5010000}"/>
    <cellStyle name="Comma 6 4 5 2 2" xfId="8365" xr:uid="{00000000-0005-0000-0000-000079020000}"/>
    <cellStyle name="Comma 6 4 5 2 3" xfId="10762" xr:uid="{00000000-0005-0000-0000-000079020000}"/>
    <cellStyle name="Comma 6 4 5 3" xfId="3590" xr:uid="{00000000-0005-0000-0000-000083020000}"/>
    <cellStyle name="Comma 6 4 5 4" xfId="4406" xr:uid="{00000000-0005-0000-0000-0000F5010000}"/>
    <cellStyle name="Comma 6 4 5 5" xfId="5592" xr:uid="{00000000-0005-0000-0000-000087010000}"/>
    <cellStyle name="Comma 6 4 5 6" xfId="6962" xr:uid="{00000000-0005-0000-0000-000078020000}"/>
    <cellStyle name="Comma 6 4 5 7" xfId="9370" xr:uid="{00000000-0005-0000-0000-000078020000}"/>
    <cellStyle name="Comma 6 4 6" xfId="1706" xr:uid="{00000000-0005-0000-0000-000084020000}"/>
    <cellStyle name="Comma 6 4 6 2" xfId="2873" xr:uid="{00000000-0005-0000-0000-0000F6010000}"/>
    <cellStyle name="Comma 6 4 6 3" xfId="3685" xr:uid="{00000000-0005-0000-0000-000084020000}"/>
    <cellStyle name="Comma 6 4 6 4" xfId="8178" xr:uid="{00000000-0005-0000-0000-00007A020000}"/>
    <cellStyle name="Comma 6 4 6 5" xfId="10575" xr:uid="{00000000-0005-0000-0000-00007A020000}"/>
    <cellStyle name="Comma 6 4 7" xfId="1692" xr:uid="{00000000-0005-0000-0000-000085020000}"/>
    <cellStyle name="Comma 6 4 7 2" xfId="2468" xr:uid="{00000000-0005-0000-0000-0000F7010000}"/>
    <cellStyle name="Comma 6 4 7 3" xfId="3635" xr:uid="{00000000-0005-0000-0000-000085020000}"/>
    <cellStyle name="Comma 6 4 7 4" xfId="7666" xr:uid="{00000000-0005-0000-0000-00007B020000}"/>
    <cellStyle name="Comma 6 4 7 5" xfId="10063" xr:uid="{00000000-0005-0000-0000-00007B020000}"/>
    <cellStyle name="Comma 6 4 8" xfId="2222" xr:uid="{00000000-0005-0000-0000-0000E6010000}"/>
    <cellStyle name="Comma 6 4 9" xfId="3867" xr:uid="{00000000-0005-0000-0000-000068010000}"/>
    <cellStyle name="Comma 6 5" xfId="1707" xr:uid="{00000000-0005-0000-0000-000086020000}"/>
    <cellStyle name="Comma 6 5 10" xfId="10166" xr:uid="{00000000-0005-0000-0000-00007C020000}"/>
    <cellStyle name="Comma 6 5 2" xfId="2675" xr:uid="{00000000-0005-0000-0000-0000F9010000}"/>
    <cellStyle name="Comma 6 5 2 2" xfId="3050" xr:uid="{00000000-0005-0000-0000-0000FA010000}"/>
    <cellStyle name="Comma 6 5 2 2 2" xfId="8367" xr:uid="{00000000-0005-0000-0000-00007E020000}"/>
    <cellStyle name="Comma 6 5 2 2 3" xfId="10764" xr:uid="{00000000-0005-0000-0000-00007E020000}"/>
    <cellStyle name="Comma 6 5 2 3" xfId="4262" xr:uid="{00000000-0005-0000-0000-0000F9010000}"/>
    <cellStyle name="Comma 6 5 2 3 2" xfId="11395" xr:uid="{00000000-0005-0000-0000-000064020000}"/>
    <cellStyle name="Comma 6 5 2 4" xfId="7893" xr:uid="{00000000-0005-0000-0000-00007D020000}"/>
    <cellStyle name="Comma 6 5 2 5" xfId="10290" xr:uid="{00000000-0005-0000-0000-00007D020000}"/>
    <cellStyle name="Comma 6 5 3" xfId="3051" xr:uid="{00000000-0005-0000-0000-0000FB010000}"/>
    <cellStyle name="Comma 6 5 3 2" xfId="4407" xr:uid="{00000000-0005-0000-0000-0000FB010000}"/>
    <cellStyle name="Comma 6 5 3 2 2" xfId="11442" xr:uid="{00000000-0005-0000-0000-000066020000}"/>
    <cellStyle name="Comma 6 5 3 3" xfId="8368" xr:uid="{00000000-0005-0000-0000-00007F020000}"/>
    <cellStyle name="Comma 6 5 3 4" xfId="10765" xr:uid="{00000000-0005-0000-0000-00007F020000}"/>
    <cellStyle name="Comma 6 5 4" xfId="3049" xr:uid="{00000000-0005-0000-0000-0000FC010000}"/>
    <cellStyle name="Comma 6 5 4 2" xfId="8366" xr:uid="{00000000-0005-0000-0000-000080020000}"/>
    <cellStyle name="Comma 6 5 4 3" xfId="10763" xr:uid="{00000000-0005-0000-0000-000080020000}"/>
    <cellStyle name="Comma 6 5 5" xfId="2571" xr:uid="{00000000-0005-0000-0000-0000F8010000}"/>
    <cellStyle name="Comma 6 5 5 2" xfId="11389" xr:uid="{00000000-0005-0000-0000-000068020000}"/>
    <cellStyle name="Comma 6 5 6" xfId="2053" xr:uid="{00000000-0005-0000-0000-000086020000}"/>
    <cellStyle name="Comma 6 5 7" xfId="4236" xr:uid="{00000000-0005-0000-0000-0000F8010000}"/>
    <cellStyle name="Comma 6 5 8" xfId="6508" xr:uid="{00000000-0005-0000-0000-000061020000}"/>
    <cellStyle name="Comma 6 5 9" xfId="7769" xr:uid="{00000000-0005-0000-0000-00007C020000}"/>
    <cellStyle name="Comma 6 6" xfId="2162" xr:uid="{00000000-0005-0000-0000-0000E3010000}"/>
    <cellStyle name="Comma 7" xfId="500" xr:uid="{00000000-0005-0000-0000-000087020000}"/>
    <cellStyle name="Comma 7 10" xfId="501" xr:uid="{00000000-0005-0000-0000-000088020000}"/>
    <cellStyle name="Comma 7 10 2" xfId="1710" xr:uid="{00000000-0005-0000-0000-000089020000}"/>
    <cellStyle name="Comma 7 10 2 2" xfId="3052" xr:uid="{00000000-0005-0000-0000-0000FF010000}"/>
    <cellStyle name="Comma 7 10 2 3" xfId="3556" xr:uid="{00000000-0005-0000-0000-000089020000}"/>
    <cellStyle name="Comma 7 10 2 4" xfId="6358" xr:uid="{00000000-0005-0000-0000-0000FF010000}"/>
    <cellStyle name="Comma 7 10 2 5" xfId="6968" xr:uid="{00000000-0005-0000-0000-000083020000}"/>
    <cellStyle name="Comma 7 10 2 6" xfId="9376" xr:uid="{00000000-0005-0000-0000-000083020000}"/>
    <cellStyle name="Comma 7 10 3" xfId="1711" xr:uid="{00000000-0005-0000-0000-00008A020000}"/>
    <cellStyle name="Comma 7 10 3 2" xfId="6050" xr:uid="{00000000-0005-0000-0000-00008A020000}"/>
    <cellStyle name="Comma 7 10 3 3" xfId="8369" xr:uid="{00000000-0005-0000-0000-000084020000}"/>
    <cellStyle name="Comma 7 10 3 4" xfId="10766" xr:uid="{00000000-0005-0000-0000-000084020000}"/>
    <cellStyle name="Comma 7 10 3 5" xfId="4717" xr:uid="{00000000-0005-0000-0000-00009B010000}"/>
    <cellStyle name="Comma 7 10 4" xfId="1709" xr:uid="{00000000-0005-0000-0000-00008B020000}"/>
    <cellStyle name="Comma 7 10 5" xfId="4127" xr:uid="{00000000-0005-0000-0000-0000FE010000}"/>
    <cellStyle name="Comma 7 10 6" xfId="5557" xr:uid="{00000000-0005-0000-0000-00008C010000}"/>
    <cellStyle name="Comma 7 10 7" xfId="5049" xr:uid="{00000000-0005-0000-0000-00009F010000}"/>
    <cellStyle name="Comma 7 10 8" xfId="6755" xr:uid="{00000000-0005-0000-0000-000082020000}"/>
    <cellStyle name="Comma 7 10 9" xfId="9176" xr:uid="{00000000-0005-0000-0000-000082020000}"/>
    <cellStyle name="Comma 7 11" xfId="502" xr:uid="{00000000-0005-0000-0000-00008C020000}"/>
    <cellStyle name="Comma 7 11 2" xfId="1713" xr:uid="{00000000-0005-0000-0000-00008D020000}"/>
    <cellStyle name="Comma 7 11 2 2" xfId="6484" xr:uid="{00000000-0005-0000-0000-00006D020000}"/>
    <cellStyle name="Comma 7 11 2 3" xfId="8179" xr:uid="{00000000-0005-0000-0000-000086020000}"/>
    <cellStyle name="Comma 7 11 2 4" xfId="10576" xr:uid="{00000000-0005-0000-0000-000086020000}"/>
    <cellStyle name="Comma 7 11 3" xfId="1714" xr:uid="{00000000-0005-0000-0000-00008E020000}"/>
    <cellStyle name="Comma 7 11 4" xfId="1712" xr:uid="{00000000-0005-0000-0000-00008F020000}"/>
    <cellStyle name="Comma 7 11 5" xfId="6267" xr:uid="{00000000-0005-0000-0000-000000020000}"/>
    <cellStyle name="Comma 7 11 6" xfId="6969" xr:uid="{00000000-0005-0000-0000-000085020000}"/>
    <cellStyle name="Comma 7 11 7" xfId="9377" xr:uid="{00000000-0005-0000-0000-000085020000}"/>
    <cellStyle name="Comma 7 12" xfId="1715" xr:uid="{00000000-0005-0000-0000-000090020000}"/>
    <cellStyle name="Comma 7 12 2" xfId="2434" xr:uid="{00000000-0005-0000-0000-000001020000}"/>
    <cellStyle name="Comma 7 12 3" xfId="3597" xr:uid="{00000000-0005-0000-0000-000090020000}"/>
    <cellStyle name="Comma 7 12 4" xfId="6146" xr:uid="{00000000-0005-0000-0000-000001020000}"/>
    <cellStyle name="Comma 7 12 5" xfId="6967" xr:uid="{00000000-0005-0000-0000-000087020000}"/>
    <cellStyle name="Comma 7 12 6" xfId="9375" xr:uid="{00000000-0005-0000-0000-000087020000}"/>
    <cellStyle name="Comma 7 13" xfId="1716" xr:uid="{00000000-0005-0000-0000-000091020000}"/>
    <cellStyle name="Comma 7 13 2" xfId="2164" xr:uid="{00000000-0005-0000-0000-0000FD010000}"/>
    <cellStyle name="Comma 7 13 3" xfId="3614" xr:uid="{00000000-0005-0000-0000-000091020000}"/>
    <cellStyle name="Comma 7 13 4" xfId="7631" xr:uid="{00000000-0005-0000-0000-000088020000}"/>
    <cellStyle name="Comma 7 13 5" xfId="10028" xr:uid="{00000000-0005-0000-0000-000088020000}"/>
    <cellStyle name="Comma 7 14" xfId="1708" xr:uid="{00000000-0005-0000-0000-000092020000}"/>
    <cellStyle name="Comma 7 15" xfId="3868" xr:uid="{00000000-0005-0000-0000-00006A010000}"/>
    <cellStyle name="Comma 7 16" xfId="5311" xr:uid="{00000000-0005-0000-0000-00008B010000}"/>
    <cellStyle name="Comma 7 17" xfId="4766" xr:uid="{00000000-0005-0000-0000-00009E010000}"/>
    <cellStyle name="Comma 7 18" xfId="6530" xr:uid="{00000000-0005-0000-0000-000081020000}"/>
    <cellStyle name="Comma 7 19" xfId="8951" xr:uid="{00000000-0005-0000-0000-000081020000}"/>
    <cellStyle name="Comma 7 2" xfId="503" xr:uid="{00000000-0005-0000-0000-000093020000}"/>
    <cellStyle name="Comma 7 2 10" xfId="5371" xr:uid="{00000000-0005-0000-0000-00008D010000}"/>
    <cellStyle name="Comma 7 2 11" xfId="4827" xr:uid="{00000000-0005-0000-0000-0000A0010000}"/>
    <cellStyle name="Comma 7 2 12" xfId="6573" xr:uid="{00000000-0005-0000-0000-000089020000}"/>
    <cellStyle name="Comma 7 2 13" xfId="8994" xr:uid="{00000000-0005-0000-0000-000089020000}"/>
    <cellStyle name="Comma 7 2 2" xfId="504" xr:uid="{00000000-0005-0000-0000-000094020000}"/>
    <cellStyle name="Comma 7 2 2 10" xfId="4850" xr:uid="{00000000-0005-0000-0000-0000A1010000}"/>
    <cellStyle name="Comma 7 2 2 11" xfId="6596" xr:uid="{00000000-0005-0000-0000-00008A020000}"/>
    <cellStyle name="Comma 7 2 2 12" xfId="9017" xr:uid="{00000000-0005-0000-0000-00008A020000}"/>
    <cellStyle name="Comma 7 2 2 2" xfId="505" xr:uid="{00000000-0005-0000-0000-000095020000}"/>
    <cellStyle name="Comma 7 2 2 2 10" xfId="6757" xr:uid="{00000000-0005-0000-0000-00008B020000}"/>
    <cellStyle name="Comma 7 2 2 2 11" xfId="9178" xr:uid="{00000000-0005-0000-0000-00008B020000}"/>
    <cellStyle name="Comma 7 2 2 2 2" xfId="1720" xr:uid="{00000000-0005-0000-0000-000096020000}"/>
    <cellStyle name="Comma 7 2 2 2 2 2" xfId="3054" xr:uid="{00000000-0005-0000-0000-000006020000}"/>
    <cellStyle name="Comma 7 2 2 2 2 2 2" xfId="8371" xr:uid="{00000000-0005-0000-0000-00008D020000}"/>
    <cellStyle name="Comma 7 2 2 2 2 2 3" xfId="10768" xr:uid="{00000000-0005-0000-0000-00008D020000}"/>
    <cellStyle name="Comma 7 2 2 2 2 3" xfId="2679" xr:uid="{00000000-0005-0000-0000-000005020000}"/>
    <cellStyle name="Comma 7 2 2 2 2 3 2" xfId="7897" xr:uid="{00000000-0005-0000-0000-00008E020000}"/>
    <cellStyle name="Comma 7 2 2 2 2 3 3" xfId="10294" xr:uid="{00000000-0005-0000-0000-00008E020000}"/>
    <cellStyle name="Comma 7 2 2 2 2 4" xfId="3674" xr:uid="{00000000-0005-0000-0000-000096020000}"/>
    <cellStyle name="Comma 7 2 2 2 2 5" xfId="4263" xr:uid="{00000000-0005-0000-0000-000005020000}"/>
    <cellStyle name="Comma 7 2 2 2 2 6" xfId="5789" xr:uid="{00000000-0005-0000-0000-000090010000}"/>
    <cellStyle name="Comma 7 2 2 2 2 7" xfId="6972" xr:uid="{00000000-0005-0000-0000-00008C020000}"/>
    <cellStyle name="Comma 7 2 2 2 2 8" xfId="9380" xr:uid="{00000000-0005-0000-0000-00008C020000}"/>
    <cellStyle name="Comma 7 2 2 2 3" xfId="1721" xr:uid="{00000000-0005-0000-0000-000097020000}"/>
    <cellStyle name="Comma 7 2 2 2 3 2" xfId="3055" xr:uid="{00000000-0005-0000-0000-000007020000}"/>
    <cellStyle name="Comma 7 2 2 2 3 2 2" xfId="11443" xr:uid="{00000000-0005-0000-0000-000077020000}"/>
    <cellStyle name="Comma 7 2 2 2 3 3" xfId="3648" xr:uid="{00000000-0005-0000-0000-000097020000}"/>
    <cellStyle name="Comma 7 2 2 2 3 4" xfId="4408" xr:uid="{00000000-0005-0000-0000-000007020000}"/>
    <cellStyle name="Comma 7 2 2 2 3 5" xfId="5754" xr:uid="{00000000-0005-0000-0000-000091010000}"/>
    <cellStyle name="Comma 7 2 2 2 3 6" xfId="8372" xr:uid="{00000000-0005-0000-0000-00008F020000}"/>
    <cellStyle name="Comma 7 2 2 2 3 7" xfId="10769" xr:uid="{00000000-0005-0000-0000-00008F020000}"/>
    <cellStyle name="Comma 7 2 2 2 4" xfId="1719" xr:uid="{00000000-0005-0000-0000-000098020000}"/>
    <cellStyle name="Comma 7 2 2 2 4 2" xfId="3053" xr:uid="{00000000-0005-0000-0000-000008020000}"/>
    <cellStyle name="Comma 7 2 2 2 4 3" xfId="3707" xr:uid="{00000000-0005-0000-0000-000098020000}"/>
    <cellStyle name="Comma 7 2 2 2 4 4" xfId="8370" xr:uid="{00000000-0005-0000-0000-000090020000}"/>
    <cellStyle name="Comma 7 2 2 2 4 5" xfId="10767" xr:uid="{00000000-0005-0000-0000-000090020000}"/>
    <cellStyle name="Comma 7 2 2 2 5" xfId="2648" xr:uid="{00000000-0005-0000-0000-000009020000}"/>
    <cellStyle name="Comma 7 2 2 2 5 2" xfId="7854" xr:uid="{00000000-0005-0000-0000-000091020000}"/>
    <cellStyle name="Comma 7 2 2 2 5 3" xfId="10251" xr:uid="{00000000-0005-0000-0000-000091020000}"/>
    <cellStyle name="Comma 7 2 2 2 6" xfId="2283" xr:uid="{00000000-0005-0000-0000-000004020000}"/>
    <cellStyle name="Comma 7 2 2 2 7" xfId="3822" xr:uid="{00000000-0005-0000-0000-00006D010000}"/>
    <cellStyle name="Comma 7 2 2 2 8" xfId="5532" xr:uid="{00000000-0005-0000-0000-00008F010000}"/>
    <cellStyle name="Comma 7 2 2 2 9" xfId="5051" xr:uid="{00000000-0005-0000-0000-0000A2010000}"/>
    <cellStyle name="Comma 7 2 2 3" xfId="506" xr:uid="{00000000-0005-0000-0000-000099020000}"/>
    <cellStyle name="Comma 7 2 2 3 2" xfId="1723" xr:uid="{00000000-0005-0000-0000-00009A020000}"/>
    <cellStyle name="Comma 7 2 2 3 2 2" xfId="3056" xr:uid="{00000000-0005-0000-0000-00000B020000}"/>
    <cellStyle name="Comma 7 2 2 3 2 3" xfId="3661" xr:uid="{00000000-0005-0000-0000-00009A020000}"/>
    <cellStyle name="Comma 7 2 2 3 2 4" xfId="8373" xr:uid="{00000000-0005-0000-0000-000093020000}"/>
    <cellStyle name="Comma 7 2 2 3 2 5" xfId="10770" xr:uid="{00000000-0005-0000-0000-000093020000}"/>
    <cellStyle name="Comma 7 2 2 3 3" xfId="1724" xr:uid="{00000000-0005-0000-0000-00009B020000}"/>
    <cellStyle name="Comma 7 2 2 3 3 2" xfId="2678" xr:uid="{00000000-0005-0000-0000-00000C020000}"/>
    <cellStyle name="Comma 7 2 2 3 3 3" xfId="3609" xr:uid="{00000000-0005-0000-0000-00009B020000}"/>
    <cellStyle name="Comma 7 2 2 3 3 4" xfId="7896" xr:uid="{00000000-0005-0000-0000-000094020000}"/>
    <cellStyle name="Comma 7 2 2 3 3 5" xfId="10293" xr:uid="{00000000-0005-0000-0000-000094020000}"/>
    <cellStyle name="Comma 7 2 2 3 4" xfId="1722" xr:uid="{00000000-0005-0000-0000-00009C020000}"/>
    <cellStyle name="Comma 7 2 2 3 4 2" xfId="4654" xr:uid="{00000000-0005-0000-0000-00000A020000}"/>
    <cellStyle name="Comma 7 2 2 3 5" xfId="4129" xr:uid="{00000000-0005-0000-0000-00000A020000}"/>
    <cellStyle name="Comma 7 2 2 3 6" xfId="5788" xr:uid="{00000000-0005-0000-0000-000092010000}"/>
    <cellStyle name="Comma 7 2 2 3 7" xfId="6973" xr:uid="{00000000-0005-0000-0000-000092020000}"/>
    <cellStyle name="Comma 7 2 2 3 8" xfId="9381" xr:uid="{00000000-0005-0000-0000-000092020000}"/>
    <cellStyle name="Comma 7 2 2 4" xfId="1725" xr:uid="{00000000-0005-0000-0000-00009D020000}"/>
    <cellStyle name="Comma 7 2 2 4 2" xfId="3057" xr:uid="{00000000-0005-0000-0000-00000D020000}"/>
    <cellStyle name="Comma 7 2 2 4 2 2" xfId="8374" xr:uid="{00000000-0005-0000-0000-000096020000}"/>
    <cellStyle name="Comma 7 2 2 4 2 3" xfId="10771" xr:uid="{00000000-0005-0000-0000-000096020000}"/>
    <cellStyle name="Comma 7 2 2 4 3" xfId="3680" xr:uid="{00000000-0005-0000-0000-00009D020000}"/>
    <cellStyle name="Comma 7 2 2 4 4" xfId="4409" xr:uid="{00000000-0005-0000-0000-00000D020000}"/>
    <cellStyle name="Comma 7 2 2 4 5" xfId="5669" xr:uid="{00000000-0005-0000-0000-000093010000}"/>
    <cellStyle name="Comma 7 2 2 4 6" xfId="6971" xr:uid="{00000000-0005-0000-0000-000095020000}"/>
    <cellStyle name="Comma 7 2 2 4 7" xfId="9379" xr:uid="{00000000-0005-0000-0000-000095020000}"/>
    <cellStyle name="Comma 7 2 2 5" xfId="1726" xr:uid="{00000000-0005-0000-0000-00009E020000}"/>
    <cellStyle name="Comma 7 2 2 5 2" xfId="2875" xr:uid="{00000000-0005-0000-0000-00000E020000}"/>
    <cellStyle name="Comma 7 2 2 5 3" xfId="3664" xr:uid="{00000000-0005-0000-0000-00009E020000}"/>
    <cellStyle name="Comma 7 2 2 5 4" xfId="8181" xr:uid="{00000000-0005-0000-0000-000097020000}"/>
    <cellStyle name="Comma 7 2 2 5 5" xfId="10578" xr:uid="{00000000-0005-0000-0000-000097020000}"/>
    <cellStyle name="Comma 7 2 2 6" xfId="1718" xr:uid="{00000000-0005-0000-0000-00009F020000}"/>
    <cellStyle name="Comma 7 2 2 6 2" xfId="2553" xr:uid="{00000000-0005-0000-0000-00000F020000}"/>
    <cellStyle name="Comma 7 2 2 6 3" xfId="2054" xr:uid="{00000000-0005-0000-0000-00009F020000}"/>
    <cellStyle name="Comma 7 2 2 6 4" xfId="7751" xr:uid="{00000000-0005-0000-0000-000098020000}"/>
    <cellStyle name="Comma 7 2 2 6 5" xfId="10148" xr:uid="{00000000-0005-0000-0000-000098020000}"/>
    <cellStyle name="Comma 7 2 2 7" xfId="2247" xr:uid="{00000000-0005-0000-0000-000003020000}"/>
    <cellStyle name="Comma 7 2 2 8" xfId="3870" xr:uid="{00000000-0005-0000-0000-00006C010000}"/>
    <cellStyle name="Comma 7 2 2 9" xfId="5431" xr:uid="{00000000-0005-0000-0000-00008E010000}"/>
    <cellStyle name="Comma 7 2 3" xfId="507" xr:uid="{00000000-0005-0000-0000-0000A0020000}"/>
    <cellStyle name="Comma 7 2 3 10" xfId="6595" xr:uid="{00000000-0005-0000-0000-000099020000}"/>
    <cellStyle name="Comma 7 2 3 11" xfId="9016" xr:uid="{00000000-0005-0000-0000-000099020000}"/>
    <cellStyle name="Comma 7 2 3 2" xfId="1728" xr:uid="{00000000-0005-0000-0000-0000A1020000}"/>
    <cellStyle name="Comma 7 2 3 2 2" xfId="3059" xr:uid="{00000000-0005-0000-0000-000012020000}"/>
    <cellStyle name="Comma 7 2 3 2 2 2" xfId="6483" xr:uid="{00000000-0005-0000-0000-000084020000}"/>
    <cellStyle name="Comma 7 2 3 2 2 2 2" xfId="11445" xr:uid="{00000000-0005-0000-0000-000084020000}"/>
    <cellStyle name="Comma 7 2 3 2 2 3" xfId="8376" xr:uid="{00000000-0005-0000-0000-00009B020000}"/>
    <cellStyle name="Comma 7 2 3 2 2 4" xfId="10773" xr:uid="{00000000-0005-0000-0000-00009B020000}"/>
    <cellStyle name="Comma 7 2 3 2 2 5" xfId="11342" xr:uid="{00000000-0005-0000-0000-0000DE2C0000}"/>
    <cellStyle name="Comma 7 2 3 2 3" xfId="2680" xr:uid="{00000000-0005-0000-0000-000011020000}"/>
    <cellStyle name="Comma 7 2 3 2 3 2" xfId="7898" xr:uid="{00000000-0005-0000-0000-00009C020000}"/>
    <cellStyle name="Comma 7 2 3 2 3 3" xfId="10295" xr:uid="{00000000-0005-0000-0000-00009C020000}"/>
    <cellStyle name="Comma 7 2 3 2 4" xfId="3572" xr:uid="{00000000-0005-0000-0000-0000A1020000}"/>
    <cellStyle name="Comma 7 2 3 2 5" xfId="4264" xr:uid="{00000000-0005-0000-0000-000011020000}"/>
    <cellStyle name="Comma 7 2 3 2 6" xfId="5790" xr:uid="{00000000-0005-0000-0000-000095010000}"/>
    <cellStyle name="Comma 7 2 3 2 7" xfId="5052" xr:uid="{00000000-0005-0000-0000-0000A4010000}"/>
    <cellStyle name="Comma 7 2 3 2 8" xfId="6974" xr:uid="{00000000-0005-0000-0000-00009A020000}"/>
    <cellStyle name="Comma 7 2 3 2 9" xfId="9382" xr:uid="{00000000-0005-0000-0000-00009A020000}"/>
    <cellStyle name="Comma 7 2 3 3" xfId="1729" xr:uid="{00000000-0005-0000-0000-0000A2020000}"/>
    <cellStyle name="Comma 7 2 3 3 2" xfId="3060" xr:uid="{00000000-0005-0000-0000-000013020000}"/>
    <cellStyle name="Comma 7 2 3 3 2 2" xfId="11446" xr:uid="{00000000-0005-0000-0000-000087020000}"/>
    <cellStyle name="Comma 7 2 3 3 3" xfId="3565" xr:uid="{00000000-0005-0000-0000-0000A2020000}"/>
    <cellStyle name="Comma 7 2 3 3 4" xfId="4410" xr:uid="{00000000-0005-0000-0000-000013020000}"/>
    <cellStyle name="Comma 7 2 3 3 5" xfId="5703" xr:uid="{00000000-0005-0000-0000-000096010000}"/>
    <cellStyle name="Comma 7 2 3 3 6" xfId="8377" xr:uid="{00000000-0005-0000-0000-00009D020000}"/>
    <cellStyle name="Comma 7 2 3 3 7" xfId="10774" xr:uid="{00000000-0005-0000-0000-00009D020000}"/>
    <cellStyle name="Comma 7 2 3 4" xfId="1727" xr:uid="{00000000-0005-0000-0000-0000A3020000}"/>
    <cellStyle name="Comma 7 2 3 4 2" xfId="3058" xr:uid="{00000000-0005-0000-0000-000014020000}"/>
    <cellStyle name="Comma 7 2 3 4 2 2" xfId="11444" xr:uid="{00000000-0005-0000-0000-000089020000}"/>
    <cellStyle name="Comma 7 2 3 4 3" xfId="3601" xr:uid="{00000000-0005-0000-0000-0000A3020000}"/>
    <cellStyle name="Comma 7 2 3 4 4" xfId="8375" xr:uid="{00000000-0005-0000-0000-00009E020000}"/>
    <cellStyle name="Comma 7 2 3 4 5" xfId="10772" xr:uid="{00000000-0005-0000-0000-00009E020000}"/>
    <cellStyle name="Comma 7 2 3 5" xfId="2596" xr:uid="{00000000-0005-0000-0000-000015020000}"/>
    <cellStyle name="Comma 7 2 3 5 2" xfId="7794" xr:uid="{00000000-0005-0000-0000-00009F020000}"/>
    <cellStyle name="Comma 7 2 3 5 3" xfId="10191" xr:uid="{00000000-0005-0000-0000-00009F020000}"/>
    <cellStyle name="Comma 7 2 3 6" xfId="2282" xr:uid="{00000000-0005-0000-0000-000010020000}"/>
    <cellStyle name="Comma 7 2 3 7" xfId="3821" xr:uid="{00000000-0005-0000-0000-00006E010000}"/>
    <cellStyle name="Comma 7 2 3 8" xfId="5472" xr:uid="{00000000-0005-0000-0000-000094010000}"/>
    <cellStyle name="Comma 7 2 3 9" xfId="4849" xr:uid="{00000000-0005-0000-0000-0000A3010000}"/>
    <cellStyle name="Comma 7 2 4" xfId="508" xr:uid="{00000000-0005-0000-0000-0000A4020000}"/>
    <cellStyle name="Comma 7 2 4 2" xfId="1731" xr:uid="{00000000-0005-0000-0000-0000A5020000}"/>
    <cellStyle name="Comma 7 2 4 2 2" xfId="3061" xr:uid="{00000000-0005-0000-0000-000017020000}"/>
    <cellStyle name="Comma 7 2 4 2 2 2" xfId="8378" xr:uid="{00000000-0005-0000-0000-0000A2020000}"/>
    <cellStyle name="Comma 7 2 4 2 2 3" xfId="10775" xr:uid="{00000000-0005-0000-0000-0000A2020000}"/>
    <cellStyle name="Comma 7 2 4 2 3" xfId="3578" xr:uid="{00000000-0005-0000-0000-0000A5020000}"/>
    <cellStyle name="Comma 7 2 4 2 4" xfId="6359" xr:uid="{00000000-0005-0000-0000-000017020000}"/>
    <cellStyle name="Comma 7 2 4 2 5" xfId="6975" xr:uid="{00000000-0005-0000-0000-0000A1020000}"/>
    <cellStyle name="Comma 7 2 4 2 6" xfId="9383" xr:uid="{00000000-0005-0000-0000-0000A1020000}"/>
    <cellStyle name="Comma 7 2 4 3" xfId="1732" xr:uid="{00000000-0005-0000-0000-0000A6020000}"/>
    <cellStyle name="Comma 7 2 4 3 2" xfId="2677" xr:uid="{00000000-0005-0000-0000-000018020000}"/>
    <cellStyle name="Comma 7 2 4 3 3" xfId="3690" xr:uid="{00000000-0005-0000-0000-0000A6020000}"/>
    <cellStyle name="Comma 7 2 4 3 4" xfId="6163" xr:uid="{00000000-0005-0000-0000-000018020000}"/>
    <cellStyle name="Comma 7 2 4 3 5" xfId="7895" xr:uid="{00000000-0005-0000-0000-0000A3020000}"/>
    <cellStyle name="Comma 7 2 4 3 6" xfId="10292" xr:uid="{00000000-0005-0000-0000-0000A3020000}"/>
    <cellStyle name="Comma 7 2 4 4" xfId="1730" xr:uid="{00000000-0005-0000-0000-0000A7020000}"/>
    <cellStyle name="Comma 7 2 4 4 2" xfId="4677" xr:uid="{00000000-0005-0000-0000-000016020000}"/>
    <cellStyle name="Comma 7 2 4 5" xfId="4128" xr:uid="{00000000-0005-0000-0000-000016020000}"/>
    <cellStyle name="Comma 7 2 4 6" xfId="5787" xr:uid="{00000000-0005-0000-0000-000097010000}"/>
    <cellStyle name="Comma 7 2 4 7" xfId="5050" xr:uid="{00000000-0005-0000-0000-0000A5010000}"/>
    <cellStyle name="Comma 7 2 4 8" xfId="6756" xr:uid="{00000000-0005-0000-0000-0000A0020000}"/>
    <cellStyle name="Comma 7 2 4 9" xfId="9177" xr:uid="{00000000-0005-0000-0000-0000A0020000}"/>
    <cellStyle name="Comma 7 2 5" xfId="509" xr:uid="{00000000-0005-0000-0000-0000A8020000}"/>
    <cellStyle name="Comma 7 2 5 2" xfId="1734" xr:uid="{00000000-0005-0000-0000-0000A9020000}"/>
    <cellStyle name="Comma 7 2 5 2 2" xfId="6478" xr:uid="{00000000-0005-0000-0000-000090020000}"/>
    <cellStyle name="Comma 7 2 5 2 3" xfId="8379" xr:uid="{00000000-0005-0000-0000-0000A5020000}"/>
    <cellStyle name="Comma 7 2 5 2 4" xfId="10776" xr:uid="{00000000-0005-0000-0000-0000A5020000}"/>
    <cellStyle name="Comma 7 2 5 3" xfId="1735" xr:uid="{00000000-0005-0000-0000-0000AA020000}"/>
    <cellStyle name="Comma 7 2 5 4" xfId="1733" xr:uid="{00000000-0005-0000-0000-0000AB020000}"/>
    <cellStyle name="Comma 7 2 5 5" xfId="4411" xr:uid="{00000000-0005-0000-0000-000019020000}"/>
    <cellStyle name="Comma 7 2 5 6" xfId="5617" xr:uid="{00000000-0005-0000-0000-000098010000}"/>
    <cellStyle name="Comma 7 2 5 7" xfId="6976" xr:uid="{00000000-0005-0000-0000-0000A4020000}"/>
    <cellStyle name="Comma 7 2 5 8" xfId="9384" xr:uid="{00000000-0005-0000-0000-0000A4020000}"/>
    <cellStyle name="Comma 7 2 6" xfId="1736" xr:uid="{00000000-0005-0000-0000-0000AC020000}"/>
    <cellStyle name="Comma 7 2 6 2" xfId="2874" xr:uid="{00000000-0005-0000-0000-00001A020000}"/>
    <cellStyle name="Comma 7 2 6 2 2" xfId="8180" xr:uid="{00000000-0005-0000-0000-0000A7020000}"/>
    <cellStyle name="Comma 7 2 6 2 3" xfId="10577" xr:uid="{00000000-0005-0000-0000-0000A7020000}"/>
    <cellStyle name="Comma 7 2 6 3" xfId="3684" xr:uid="{00000000-0005-0000-0000-0000AC020000}"/>
    <cellStyle name="Comma 7 2 6 4" xfId="6268" xr:uid="{00000000-0005-0000-0000-00001A020000}"/>
    <cellStyle name="Comma 7 2 6 5" xfId="6970" xr:uid="{00000000-0005-0000-0000-0000A6020000}"/>
    <cellStyle name="Comma 7 2 6 6" xfId="9378" xr:uid="{00000000-0005-0000-0000-0000A6020000}"/>
    <cellStyle name="Comma 7 2 7" xfId="1737" xr:uid="{00000000-0005-0000-0000-0000AD020000}"/>
    <cellStyle name="Comma 7 2 7 2" xfId="2493" xr:uid="{00000000-0005-0000-0000-00001B020000}"/>
    <cellStyle name="Comma 7 2 7 3" xfId="3620" xr:uid="{00000000-0005-0000-0000-0000AD020000}"/>
    <cellStyle name="Comma 7 2 7 4" xfId="7691" xr:uid="{00000000-0005-0000-0000-0000A8020000}"/>
    <cellStyle name="Comma 7 2 7 5" xfId="10088" xr:uid="{00000000-0005-0000-0000-0000A8020000}"/>
    <cellStyle name="Comma 7 2 8" xfId="1717" xr:uid="{00000000-0005-0000-0000-0000AE020000}"/>
    <cellStyle name="Comma 7 2 8 2" xfId="2187" xr:uid="{00000000-0005-0000-0000-000002020000}"/>
    <cellStyle name="Comma 7 2 8 3" xfId="3650" xr:uid="{00000000-0005-0000-0000-0000AE020000}"/>
    <cellStyle name="Comma 7 2 9" xfId="3869" xr:uid="{00000000-0005-0000-0000-00006B010000}"/>
    <cellStyle name="Comma 7 3" xfId="510" xr:uid="{00000000-0005-0000-0000-0000AF020000}"/>
    <cellStyle name="Comma 7 3 10" xfId="5348" xr:uid="{00000000-0005-0000-0000-000099010000}"/>
    <cellStyle name="Comma 7 3 11" xfId="4804" xr:uid="{00000000-0005-0000-0000-0000A6010000}"/>
    <cellStyle name="Comma 7 3 12" xfId="6550" xr:uid="{00000000-0005-0000-0000-0000A9020000}"/>
    <cellStyle name="Comma 7 3 13" xfId="8971" xr:uid="{00000000-0005-0000-0000-0000A9020000}"/>
    <cellStyle name="Comma 7 3 2" xfId="511" xr:uid="{00000000-0005-0000-0000-0000B0020000}"/>
    <cellStyle name="Comma 7 3 2 10" xfId="6597" xr:uid="{00000000-0005-0000-0000-0000AA020000}"/>
    <cellStyle name="Comma 7 3 2 11" xfId="9018" xr:uid="{00000000-0005-0000-0000-0000AA020000}"/>
    <cellStyle name="Comma 7 3 2 2" xfId="512" xr:uid="{00000000-0005-0000-0000-0000B1020000}"/>
    <cellStyle name="Comma 7 3 2 2 2" xfId="1741" xr:uid="{00000000-0005-0000-0000-0000B2020000}"/>
    <cellStyle name="Comma 7 3 2 2 2 2" xfId="3063" xr:uid="{00000000-0005-0000-0000-00001F020000}"/>
    <cellStyle name="Comma 7 3 2 2 2 2 2" xfId="11448" xr:uid="{00000000-0005-0000-0000-000098020000}"/>
    <cellStyle name="Comma 7 3 2 2 2 3" xfId="3677" xr:uid="{00000000-0005-0000-0000-0000B2020000}"/>
    <cellStyle name="Comma 7 3 2 2 2 4" xfId="8381" xr:uid="{00000000-0005-0000-0000-0000AC020000}"/>
    <cellStyle name="Comma 7 3 2 2 2 5" xfId="10778" xr:uid="{00000000-0005-0000-0000-0000AC020000}"/>
    <cellStyle name="Comma 7 3 2 2 3" xfId="1742" xr:uid="{00000000-0005-0000-0000-0000B3020000}"/>
    <cellStyle name="Comma 7 3 2 2 3 2" xfId="4631" xr:uid="{00000000-0005-0000-0000-00001E020000}"/>
    <cellStyle name="Comma 7 3 2 2 3 3" xfId="7900" xr:uid="{00000000-0005-0000-0000-0000AD020000}"/>
    <cellStyle name="Comma 7 3 2 2 3 4" xfId="10297" xr:uid="{00000000-0005-0000-0000-0000AD020000}"/>
    <cellStyle name="Comma 7 3 2 2 4" xfId="1740" xr:uid="{00000000-0005-0000-0000-0000B4020000}"/>
    <cellStyle name="Comma 7 3 2 2 5" xfId="4266" xr:uid="{00000000-0005-0000-0000-00001E020000}"/>
    <cellStyle name="Comma 7 3 2 2 6" xfId="5792" xr:uid="{00000000-0005-0000-0000-00009B010000}"/>
    <cellStyle name="Comma 7 3 2 2 7" xfId="5054" xr:uid="{00000000-0005-0000-0000-0000A8010000}"/>
    <cellStyle name="Comma 7 3 2 2 8" xfId="6979" xr:uid="{00000000-0005-0000-0000-0000AB020000}"/>
    <cellStyle name="Comma 7 3 2 2 9" xfId="9387" xr:uid="{00000000-0005-0000-0000-0000AB020000}"/>
    <cellStyle name="Comma 7 3 2 3" xfId="1743" xr:uid="{00000000-0005-0000-0000-0000B5020000}"/>
    <cellStyle name="Comma 7 3 2 3 2" xfId="3064" xr:uid="{00000000-0005-0000-0000-000020020000}"/>
    <cellStyle name="Comma 7 3 2 3 2 2" xfId="8382" xr:uid="{00000000-0005-0000-0000-0000AF020000}"/>
    <cellStyle name="Comma 7 3 2 3 2 3" xfId="10779" xr:uid="{00000000-0005-0000-0000-0000AF020000}"/>
    <cellStyle name="Comma 7 3 2 3 3" xfId="3653" xr:uid="{00000000-0005-0000-0000-0000B5020000}"/>
    <cellStyle name="Comma 7 3 2 3 4" xfId="4412" xr:uid="{00000000-0005-0000-0000-000020020000}"/>
    <cellStyle name="Comma 7 3 2 3 5" xfId="5654" xr:uid="{00000000-0005-0000-0000-00009C010000}"/>
    <cellStyle name="Comma 7 3 2 3 6" xfId="6978" xr:uid="{00000000-0005-0000-0000-0000AE020000}"/>
    <cellStyle name="Comma 7 3 2 3 7" xfId="9386" xr:uid="{00000000-0005-0000-0000-0000AE020000}"/>
    <cellStyle name="Comma 7 3 2 4" xfId="1744" xr:uid="{00000000-0005-0000-0000-0000B6020000}"/>
    <cellStyle name="Comma 7 3 2 4 2" xfId="3062" xr:uid="{00000000-0005-0000-0000-000021020000}"/>
    <cellStyle name="Comma 7 3 2 4 2 2" xfId="11447" xr:uid="{00000000-0005-0000-0000-00009D020000}"/>
    <cellStyle name="Comma 7 3 2 4 3" xfId="3646" xr:uid="{00000000-0005-0000-0000-0000B6020000}"/>
    <cellStyle name="Comma 7 3 2 4 4" xfId="8380" xr:uid="{00000000-0005-0000-0000-0000B0020000}"/>
    <cellStyle name="Comma 7 3 2 4 5" xfId="10777" xr:uid="{00000000-0005-0000-0000-0000B0020000}"/>
    <cellStyle name="Comma 7 3 2 5" xfId="1739" xr:uid="{00000000-0005-0000-0000-0000B7020000}"/>
    <cellStyle name="Comma 7 3 2 5 2" xfId="2530" xr:uid="{00000000-0005-0000-0000-000022020000}"/>
    <cellStyle name="Comma 7 3 2 5 3" xfId="3605" xr:uid="{00000000-0005-0000-0000-0000B7020000}"/>
    <cellStyle name="Comma 7 3 2 5 4" xfId="7728" xr:uid="{00000000-0005-0000-0000-0000B1020000}"/>
    <cellStyle name="Comma 7 3 2 5 5" xfId="10125" xr:uid="{00000000-0005-0000-0000-0000B1020000}"/>
    <cellStyle name="Comma 7 3 2 6" xfId="2284" xr:uid="{00000000-0005-0000-0000-00001D020000}"/>
    <cellStyle name="Comma 7 3 2 7" xfId="3823" xr:uid="{00000000-0005-0000-0000-000070010000}"/>
    <cellStyle name="Comma 7 3 2 8" xfId="5408" xr:uid="{00000000-0005-0000-0000-00009A010000}"/>
    <cellStyle name="Comma 7 3 2 9" xfId="4851" xr:uid="{00000000-0005-0000-0000-0000A7010000}"/>
    <cellStyle name="Comma 7 3 3" xfId="513" xr:uid="{00000000-0005-0000-0000-0000B8020000}"/>
    <cellStyle name="Comma 7 3 3 10" xfId="9179" xr:uid="{00000000-0005-0000-0000-0000B2020000}"/>
    <cellStyle name="Comma 7 3 3 2" xfId="1746" xr:uid="{00000000-0005-0000-0000-0000B9020000}"/>
    <cellStyle name="Comma 7 3 3 2 2" xfId="3066" xr:uid="{00000000-0005-0000-0000-000025020000}"/>
    <cellStyle name="Comma 7 3 3 2 2 2" xfId="8384" xr:uid="{00000000-0005-0000-0000-0000B4020000}"/>
    <cellStyle name="Comma 7 3 3 2 2 3" xfId="10781" xr:uid="{00000000-0005-0000-0000-0000B4020000}"/>
    <cellStyle name="Comma 7 3 3 2 3" xfId="2681" xr:uid="{00000000-0005-0000-0000-000024020000}"/>
    <cellStyle name="Comma 7 3 3 2 3 2" xfId="7901" xr:uid="{00000000-0005-0000-0000-0000B5020000}"/>
    <cellStyle name="Comma 7 3 3 2 3 3" xfId="10298" xr:uid="{00000000-0005-0000-0000-0000B5020000}"/>
    <cellStyle name="Comma 7 3 3 2 4" xfId="2064" xr:uid="{00000000-0005-0000-0000-0000B9020000}"/>
    <cellStyle name="Comma 7 3 3 2 5" xfId="4267" xr:uid="{00000000-0005-0000-0000-000024020000}"/>
    <cellStyle name="Comma 7 3 3 2 6" xfId="5793" xr:uid="{00000000-0005-0000-0000-00009E010000}"/>
    <cellStyle name="Comma 7 3 3 2 7" xfId="6980" xr:uid="{00000000-0005-0000-0000-0000B3020000}"/>
    <cellStyle name="Comma 7 3 3 2 8" xfId="9388" xr:uid="{00000000-0005-0000-0000-0000B3020000}"/>
    <cellStyle name="Comma 7 3 3 3" xfId="1747" xr:uid="{00000000-0005-0000-0000-0000BA020000}"/>
    <cellStyle name="Comma 7 3 3 3 2" xfId="3067" xr:uid="{00000000-0005-0000-0000-000026020000}"/>
    <cellStyle name="Comma 7 3 3 3 2 2" xfId="11449" xr:uid="{00000000-0005-0000-0000-0000A4020000}"/>
    <cellStyle name="Comma 7 3 3 3 3" xfId="3660" xr:uid="{00000000-0005-0000-0000-0000BA020000}"/>
    <cellStyle name="Comma 7 3 3 3 4" xfId="4413" xr:uid="{00000000-0005-0000-0000-000026020000}"/>
    <cellStyle name="Comma 7 3 3 3 5" xfId="5739" xr:uid="{00000000-0005-0000-0000-00009F010000}"/>
    <cellStyle name="Comma 7 3 3 3 6" xfId="8385" xr:uid="{00000000-0005-0000-0000-0000B6020000}"/>
    <cellStyle name="Comma 7 3 3 3 7" xfId="10782" xr:uid="{00000000-0005-0000-0000-0000B6020000}"/>
    <cellStyle name="Comma 7 3 3 4" xfId="1745" xr:uid="{00000000-0005-0000-0000-0000BB020000}"/>
    <cellStyle name="Comma 7 3 3 4 2" xfId="3065" xr:uid="{00000000-0005-0000-0000-000027020000}"/>
    <cellStyle name="Comma 7 3 3 4 3" xfId="3573" xr:uid="{00000000-0005-0000-0000-0000BB020000}"/>
    <cellStyle name="Comma 7 3 3 4 4" xfId="8383" xr:uid="{00000000-0005-0000-0000-0000B7020000}"/>
    <cellStyle name="Comma 7 3 3 4 5" xfId="10780" xr:uid="{00000000-0005-0000-0000-0000B7020000}"/>
    <cellStyle name="Comma 7 3 3 5" xfId="2633" xr:uid="{00000000-0005-0000-0000-000028020000}"/>
    <cellStyle name="Comma 7 3 3 5 2" xfId="7831" xr:uid="{00000000-0005-0000-0000-0000B8020000}"/>
    <cellStyle name="Comma 7 3 3 5 3" xfId="10228" xr:uid="{00000000-0005-0000-0000-0000B8020000}"/>
    <cellStyle name="Comma 7 3 3 6" xfId="4130" xr:uid="{00000000-0005-0000-0000-000023020000}"/>
    <cellStyle name="Comma 7 3 3 7" xfId="5509" xr:uid="{00000000-0005-0000-0000-00009D010000}"/>
    <cellStyle name="Comma 7 3 3 8" xfId="5053" xr:uid="{00000000-0005-0000-0000-0000A9010000}"/>
    <cellStyle name="Comma 7 3 3 9" xfId="6758" xr:uid="{00000000-0005-0000-0000-0000B2020000}"/>
    <cellStyle name="Comma 7 3 4" xfId="514" xr:uid="{00000000-0005-0000-0000-0000BC020000}"/>
    <cellStyle name="Comma 7 3 4 2" xfId="1749" xr:uid="{00000000-0005-0000-0000-0000BD020000}"/>
    <cellStyle name="Comma 7 3 4 2 2" xfId="3068" xr:uid="{00000000-0005-0000-0000-00002A020000}"/>
    <cellStyle name="Comma 7 3 4 2 3" xfId="3567" xr:uid="{00000000-0005-0000-0000-0000BD020000}"/>
    <cellStyle name="Comma 7 3 4 2 4" xfId="8386" xr:uid="{00000000-0005-0000-0000-0000BA020000}"/>
    <cellStyle name="Comma 7 3 4 2 5" xfId="10783" xr:uid="{00000000-0005-0000-0000-0000BA020000}"/>
    <cellStyle name="Comma 7 3 4 3" xfId="1750" xr:uid="{00000000-0005-0000-0000-0000BE020000}"/>
    <cellStyle name="Comma 7 3 4 3 2" xfId="3815" xr:uid="{00000000-0005-0000-0000-000029020000}"/>
    <cellStyle name="Comma 7 3 4 3 3" xfId="7899" xr:uid="{00000000-0005-0000-0000-0000BB020000}"/>
    <cellStyle name="Comma 7 3 4 3 4" xfId="10296" xr:uid="{00000000-0005-0000-0000-0000BB020000}"/>
    <cellStyle name="Comma 7 3 4 4" xfId="1748" xr:uid="{00000000-0005-0000-0000-0000BF020000}"/>
    <cellStyle name="Comma 7 3 4 5" xfId="4265" xr:uid="{00000000-0005-0000-0000-000029020000}"/>
    <cellStyle name="Comma 7 3 4 6" xfId="5791" xr:uid="{00000000-0005-0000-0000-0000A0010000}"/>
    <cellStyle name="Comma 7 3 4 7" xfId="6981" xr:uid="{00000000-0005-0000-0000-0000B9020000}"/>
    <cellStyle name="Comma 7 3 4 8" xfId="9389" xr:uid="{00000000-0005-0000-0000-0000B9020000}"/>
    <cellStyle name="Comma 7 3 5" xfId="1751" xr:uid="{00000000-0005-0000-0000-0000C0020000}"/>
    <cellStyle name="Comma 7 3 5 2" xfId="3069" xr:uid="{00000000-0005-0000-0000-00002B020000}"/>
    <cellStyle name="Comma 7 3 5 2 2" xfId="8387" xr:uid="{00000000-0005-0000-0000-0000BD020000}"/>
    <cellStyle name="Comma 7 3 5 2 3" xfId="10784" xr:uid="{00000000-0005-0000-0000-0000BD020000}"/>
    <cellStyle name="Comma 7 3 5 3" xfId="3678" xr:uid="{00000000-0005-0000-0000-0000C0020000}"/>
    <cellStyle name="Comma 7 3 5 4" xfId="4414" xr:uid="{00000000-0005-0000-0000-00002B020000}"/>
    <cellStyle name="Comma 7 3 5 5" xfId="5594" xr:uid="{00000000-0005-0000-0000-0000A1010000}"/>
    <cellStyle name="Comma 7 3 5 6" xfId="6977" xr:uid="{00000000-0005-0000-0000-0000BC020000}"/>
    <cellStyle name="Comma 7 3 5 7" xfId="9385" xr:uid="{00000000-0005-0000-0000-0000BC020000}"/>
    <cellStyle name="Comma 7 3 6" xfId="1752" xr:uid="{00000000-0005-0000-0000-0000C1020000}"/>
    <cellStyle name="Comma 7 3 6 2" xfId="2876" xr:uid="{00000000-0005-0000-0000-00002C020000}"/>
    <cellStyle name="Comma 7 3 6 3" xfId="3584" xr:uid="{00000000-0005-0000-0000-0000C1020000}"/>
    <cellStyle name="Comma 7 3 6 4" xfId="8182" xr:uid="{00000000-0005-0000-0000-0000BE020000}"/>
    <cellStyle name="Comma 7 3 6 5" xfId="10579" xr:uid="{00000000-0005-0000-0000-0000BE020000}"/>
    <cellStyle name="Comma 7 3 7" xfId="1738" xr:uid="{00000000-0005-0000-0000-0000C2020000}"/>
    <cellStyle name="Comma 7 3 7 2" xfId="2470" xr:uid="{00000000-0005-0000-0000-00002D020000}"/>
    <cellStyle name="Comma 7 3 7 3" xfId="3669" xr:uid="{00000000-0005-0000-0000-0000C2020000}"/>
    <cellStyle name="Comma 7 3 7 4" xfId="7668" xr:uid="{00000000-0005-0000-0000-0000BF020000}"/>
    <cellStyle name="Comma 7 3 7 5" xfId="10065" xr:uid="{00000000-0005-0000-0000-0000BF020000}"/>
    <cellStyle name="Comma 7 3 8" xfId="2224" xr:uid="{00000000-0005-0000-0000-00001C020000}"/>
    <cellStyle name="Comma 7 3 9" xfId="3871" xr:uid="{00000000-0005-0000-0000-00006F010000}"/>
    <cellStyle name="Comma 7 4" xfId="515" xr:uid="{00000000-0005-0000-0000-0000C3020000}"/>
    <cellStyle name="Comma 7 4 10" xfId="4784" xr:uid="{00000000-0005-0000-0000-0000AA010000}"/>
    <cellStyle name="Comma 7 4 11" xfId="6598" xr:uid="{00000000-0005-0000-0000-0000C0020000}"/>
    <cellStyle name="Comma 7 4 12" xfId="9019" xr:uid="{00000000-0005-0000-0000-0000C0020000}"/>
    <cellStyle name="Comma 7 4 2" xfId="516" xr:uid="{00000000-0005-0000-0000-0000C4020000}"/>
    <cellStyle name="Comma 7 4 2 10" xfId="6759" xr:uid="{00000000-0005-0000-0000-0000C1020000}"/>
    <cellStyle name="Comma 7 4 2 11" xfId="9180" xr:uid="{00000000-0005-0000-0000-0000C1020000}"/>
    <cellStyle name="Comma 7 4 2 2" xfId="517" xr:uid="{00000000-0005-0000-0000-0000C5020000}"/>
    <cellStyle name="Comma 7 4 2 2 2" xfId="1756" xr:uid="{00000000-0005-0000-0000-0000C6020000}"/>
    <cellStyle name="Comma 7 4 2 2 2 2" xfId="3071" xr:uid="{00000000-0005-0000-0000-000031020000}"/>
    <cellStyle name="Comma 7 4 2 2 2 2 2" xfId="11451" xr:uid="{00000000-0005-0000-0000-0000B2020000}"/>
    <cellStyle name="Comma 7 4 2 2 2 3" xfId="2074" xr:uid="{00000000-0005-0000-0000-0000C6020000}"/>
    <cellStyle name="Comma 7 4 2 2 2 4" xfId="8389" xr:uid="{00000000-0005-0000-0000-0000C3020000}"/>
    <cellStyle name="Comma 7 4 2 2 2 5" xfId="10786" xr:uid="{00000000-0005-0000-0000-0000C3020000}"/>
    <cellStyle name="Comma 7 4 2 2 3" xfId="1757" xr:uid="{00000000-0005-0000-0000-0000C7020000}"/>
    <cellStyle name="Comma 7 4 2 2 3 2" xfId="4653" xr:uid="{00000000-0005-0000-0000-000030020000}"/>
    <cellStyle name="Comma 7 4 2 2 3 3" xfId="7903" xr:uid="{00000000-0005-0000-0000-0000C4020000}"/>
    <cellStyle name="Comma 7 4 2 2 3 4" xfId="10300" xr:uid="{00000000-0005-0000-0000-0000C4020000}"/>
    <cellStyle name="Comma 7 4 2 2 4" xfId="1755" xr:uid="{00000000-0005-0000-0000-0000C8020000}"/>
    <cellStyle name="Comma 7 4 2 2 5" xfId="4268" xr:uid="{00000000-0005-0000-0000-000030020000}"/>
    <cellStyle name="Comma 7 4 2 2 6" xfId="5795" xr:uid="{00000000-0005-0000-0000-0000A4010000}"/>
    <cellStyle name="Comma 7 4 2 2 7" xfId="5056" xr:uid="{00000000-0005-0000-0000-0000AC010000}"/>
    <cellStyle name="Comma 7 4 2 2 8" xfId="6984" xr:uid="{00000000-0005-0000-0000-0000C2020000}"/>
    <cellStyle name="Comma 7 4 2 2 9" xfId="9392" xr:uid="{00000000-0005-0000-0000-0000C2020000}"/>
    <cellStyle name="Comma 7 4 2 3" xfId="1758" xr:uid="{00000000-0005-0000-0000-0000C9020000}"/>
    <cellStyle name="Comma 7 4 2 3 2" xfId="3072" xr:uid="{00000000-0005-0000-0000-000032020000}"/>
    <cellStyle name="Comma 7 4 2 3 2 2" xfId="8390" xr:uid="{00000000-0005-0000-0000-0000C6020000}"/>
    <cellStyle name="Comma 7 4 2 3 2 3" xfId="10787" xr:uid="{00000000-0005-0000-0000-0000C6020000}"/>
    <cellStyle name="Comma 7 4 2 3 3" xfId="3615" xr:uid="{00000000-0005-0000-0000-0000C9020000}"/>
    <cellStyle name="Comma 7 4 2 3 4" xfId="4415" xr:uid="{00000000-0005-0000-0000-000032020000}"/>
    <cellStyle name="Comma 7 4 2 3 5" xfId="5719" xr:uid="{00000000-0005-0000-0000-0000A5010000}"/>
    <cellStyle name="Comma 7 4 2 3 6" xfId="6983" xr:uid="{00000000-0005-0000-0000-0000C5020000}"/>
    <cellStyle name="Comma 7 4 2 3 7" xfId="9391" xr:uid="{00000000-0005-0000-0000-0000C5020000}"/>
    <cellStyle name="Comma 7 4 2 4" xfId="1759" xr:uid="{00000000-0005-0000-0000-0000CA020000}"/>
    <cellStyle name="Comma 7 4 2 4 2" xfId="3070" xr:uid="{00000000-0005-0000-0000-000033020000}"/>
    <cellStyle name="Comma 7 4 2 4 2 2" xfId="11450" xr:uid="{00000000-0005-0000-0000-0000B7020000}"/>
    <cellStyle name="Comma 7 4 2 4 3" xfId="3638" xr:uid="{00000000-0005-0000-0000-0000CA020000}"/>
    <cellStyle name="Comma 7 4 2 4 4" xfId="8388" xr:uid="{00000000-0005-0000-0000-0000C7020000}"/>
    <cellStyle name="Comma 7 4 2 4 5" xfId="10785" xr:uid="{00000000-0005-0000-0000-0000C7020000}"/>
    <cellStyle name="Comma 7 4 2 5" xfId="1754" xr:uid="{00000000-0005-0000-0000-0000CB020000}"/>
    <cellStyle name="Comma 7 4 2 5 2" xfId="2613" xr:uid="{00000000-0005-0000-0000-000034020000}"/>
    <cellStyle name="Comma 7 4 2 5 3" xfId="3673" xr:uid="{00000000-0005-0000-0000-0000CB020000}"/>
    <cellStyle name="Comma 7 4 2 5 4" xfId="7811" xr:uid="{00000000-0005-0000-0000-0000C8020000}"/>
    <cellStyle name="Comma 7 4 2 5 5" xfId="10208" xr:uid="{00000000-0005-0000-0000-0000C8020000}"/>
    <cellStyle name="Comma 7 4 2 6" xfId="2285" xr:uid="{00000000-0005-0000-0000-00002F020000}"/>
    <cellStyle name="Comma 7 4 2 7" xfId="3824" xr:uid="{00000000-0005-0000-0000-000072010000}"/>
    <cellStyle name="Comma 7 4 2 8" xfId="5489" xr:uid="{00000000-0005-0000-0000-0000A3010000}"/>
    <cellStyle name="Comma 7 4 2 9" xfId="4852" xr:uid="{00000000-0005-0000-0000-0000AB010000}"/>
    <cellStyle name="Comma 7 4 3" xfId="518" xr:uid="{00000000-0005-0000-0000-0000CC020000}"/>
    <cellStyle name="Comma 7 4 3 2" xfId="1761" xr:uid="{00000000-0005-0000-0000-0000CD020000}"/>
    <cellStyle name="Comma 7 4 3 2 2" xfId="3073" xr:uid="{00000000-0005-0000-0000-000036020000}"/>
    <cellStyle name="Comma 7 4 3 2 2 2" xfId="11452" xr:uid="{00000000-0005-0000-0000-0000BB020000}"/>
    <cellStyle name="Comma 7 4 3 2 3" xfId="3666" xr:uid="{00000000-0005-0000-0000-0000CD020000}"/>
    <cellStyle name="Comma 7 4 3 2 4" xfId="8391" xr:uid="{00000000-0005-0000-0000-0000CA020000}"/>
    <cellStyle name="Comma 7 4 3 2 5" xfId="10788" xr:uid="{00000000-0005-0000-0000-0000CA020000}"/>
    <cellStyle name="Comma 7 4 3 3" xfId="1762" xr:uid="{00000000-0005-0000-0000-0000CE020000}"/>
    <cellStyle name="Comma 7 4 3 3 2" xfId="2682" xr:uid="{00000000-0005-0000-0000-000037020000}"/>
    <cellStyle name="Comma 7 4 3 3 3" xfId="3617" xr:uid="{00000000-0005-0000-0000-0000CE020000}"/>
    <cellStyle name="Comma 7 4 3 3 4" xfId="7902" xr:uid="{00000000-0005-0000-0000-0000CB020000}"/>
    <cellStyle name="Comma 7 4 3 3 5" xfId="10299" xr:uid="{00000000-0005-0000-0000-0000CB020000}"/>
    <cellStyle name="Comma 7 4 3 4" xfId="1760" xr:uid="{00000000-0005-0000-0000-0000CF020000}"/>
    <cellStyle name="Comma 7 4 3 4 2" xfId="3816" xr:uid="{00000000-0005-0000-0000-000035020000}"/>
    <cellStyle name="Comma 7 4 3 5" xfId="4131" xr:uid="{00000000-0005-0000-0000-000035020000}"/>
    <cellStyle name="Comma 7 4 3 6" xfId="5794" xr:uid="{00000000-0005-0000-0000-0000A6010000}"/>
    <cellStyle name="Comma 7 4 3 7" xfId="5055" xr:uid="{00000000-0005-0000-0000-0000AD010000}"/>
    <cellStyle name="Comma 7 4 3 8" xfId="6985" xr:uid="{00000000-0005-0000-0000-0000C9020000}"/>
    <cellStyle name="Comma 7 4 3 9" xfId="9393" xr:uid="{00000000-0005-0000-0000-0000C9020000}"/>
    <cellStyle name="Comma 7 4 4" xfId="519" xr:uid="{00000000-0005-0000-0000-0000D0020000}"/>
    <cellStyle name="Comma 7 4 4 2" xfId="1764" xr:uid="{00000000-0005-0000-0000-0000D1020000}"/>
    <cellStyle name="Comma 7 4 4 2 2" xfId="6453" xr:uid="{00000000-0005-0000-0000-0000BE020000}"/>
    <cellStyle name="Comma 7 4 4 2 3" xfId="8392" xr:uid="{00000000-0005-0000-0000-0000CD020000}"/>
    <cellStyle name="Comma 7 4 4 2 4" xfId="10789" xr:uid="{00000000-0005-0000-0000-0000CD020000}"/>
    <cellStyle name="Comma 7 4 4 3" xfId="1765" xr:uid="{00000000-0005-0000-0000-0000D2020000}"/>
    <cellStyle name="Comma 7 4 4 4" xfId="1763" xr:uid="{00000000-0005-0000-0000-0000D3020000}"/>
    <cellStyle name="Comma 7 4 4 5" xfId="4416" xr:uid="{00000000-0005-0000-0000-000038020000}"/>
    <cellStyle name="Comma 7 4 4 6" xfId="5574" xr:uid="{00000000-0005-0000-0000-0000A7010000}"/>
    <cellStyle name="Comma 7 4 4 7" xfId="6986" xr:uid="{00000000-0005-0000-0000-0000CC020000}"/>
    <cellStyle name="Comma 7 4 4 8" xfId="9394" xr:uid="{00000000-0005-0000-0000-0000CC020000}"/>
    <cellStyle name="Comma 7 4 5" xfId="1766" xr:uid="{00000000-0005-0000-0000-0000D4020000}"/>
    <cellStyle name="Comma 7 4 5 2" xfId="2877" xr:uid="{00000000-0005-0000-0000-000039020000}"/>
    <cellStyle name="Comma 7 4 5 2 2" xfId="8183" xr:uid="{00000000-0005-0000-0000-0000CF020000}"/>
    <cellStyle name="Comma 7 4 5 2 3" xfId="10580" xr:uid="{00000000-0005-0000-0000-0000CF020000}"/>
    <cellStyle name="Comma 7 4 5 3" xfId="3557" xr:uid="{00000000-0005-0000-0000-0000D4020000}"/>
    <cellStyle name="Comma 7 4 5 4" xfId="6982" xr:uid="{00000000-0005-0000-0000-0000CE020000}"/>
    <cellStyle name="Comma 7 4 5 5" xfId="9390" xr:uid="{00000000-0005-0000-0000-0000CE020000}"/>
    <cellStyle name="Comma 7 4 6" xfId="1767" xr:uid="{00000000-0005-0000-0000-0000D5020000}"/>
    <cellStyle name="Comma 7 4 6 2" xfId="2450" xr:uid="{00000000-0005-0000-0000-00003A020000}"/>
    <cellStyle name="Comma 7 4 6 3" xfId="3598" xr:uid="{00000000-0005-0000-0000-0000D5020000}"/>
    <cellStyle name="Comma 7 4 6 4" xfId="7648" xr:uid="{00000000-0005-0000-0000-0000D0020000}"/>
    <cellStyle name="Comma 7 4 6 5" xfId="10045" xr:uid="{00000000-0005-0000-0000-0000D0020000}"/>
    <cellStyle name="Comma 7 4 7" xfId="1753" xr:uid="{00000000-0005-0000-0000-0000D6020000}"/>
    <cellStyle name="Comma 7 4 7 2" xfId="2204" xr:uid="{00000000-0005-0000-0000-00002E020000}"/>
    <cellStyle name="Comma 7 4 7 3" xfId="3586" xr:uid="{00000000-0005-0000-0000-0000D6020000}"/>
    <cellStyle name="Comma 7 4 8" xfId="3872" xr:uid="{00000000-0005-0000-0000-000071010000}"/>
    <cellStyle name="Comma 7 4 9" xfId="5328" xr:uid="{00000000-0005-0000-0000-0000A2010000}"/>
    <cellStyle name="Comma 7 5" xfId="520" xr:uid="{00000000-0005-0000-0000-0000D7020000}"/>
    <cellStyle name="Comma 7 5 10" xfId="4853" xr:uid="{00000000-0005-0000-0000-0000AE010000}"/>
    <cellStyle name="Comma 7 5 11" xfId="6599" xr:uid="{00000000-0005-0000-0000-0000D1020000}"/>
    <cellStyle name="Comma 7 5 12" xfId="9020" xr:uid="{00000000-0005-0000-0000-0000D1020000}"/>
    <cellStyle name="Comma 7 5 2" xfId="521" xr:uid="{00000000-0005-0000-0000-0000D8020000}"/>
    <cellStyle name="Comma 7 5 2 10" xfId="9181" xr:uid="{00000000-0005-0000-0000-0000D2020000}"/>
    <cellStyle name="Comma 7 5 2 2" xfId="522" xr:uid="{00000000-0005-0000-0000-0000D9020000}"/>
    <cellStyle name="Comma 7 5 2 2 2" xfId="1771" xr:uid="{00000000-0005-0000-0000-0000DA020000}"/>
    <cellStyle name="Comma 7 5 2 2 2 2" xfId="6501" xr:uid="{00000000-0005-0000-0000-0000C5020000}"/>
    <cellStyle name="Comma 7 5 2 2 2 3" xfId="8393" xr:uid="{00000000-0005-0000-0000-0000D4020000}"/>
    <cellStyle name="Comma 7 5 2 2 2 4" xfId="10790" xr:uid="{00000000-0005-0000-0000-0000D4020000}"/>
    <cellStyle name="Comma 7 5 2 2 3" xfId="1772" xr:uid="{00000000-0005-0000-0000-0000DB020000}"/>
    <cellStyle name="Comma 7 5 2 2 4" xfId="1770" xr:uid="{00000000-0005-0000-0000-0000DC020000}"/>
    <cellStyle name="Comma 7 5 2 2 5" xfId="6360" xr:uid="{00000000-0005-0000-0000-00003D020000}"/>
    <cellStyle name="Comma 7 5 2 2 6" xfId="6989" xr:uid="{00000000-0005-0000-0000-0000D3020000}"/>
    <cellStyle name="Comma 7 5 2 2 7" xfId="9397" xr:uid="{00000000-0005-0000-0000-0000D3020000}"/>
    <cellStyle name="Comma 7 5 2 3" xfId="1773" xr:uid="{00000000-0005-0000-0000-0000DD020000}"/>
    <cellStyle name="Comma 7 5 2 3 2" xfId="2683" xr:uid="{00000000-0005-0000-0000-00003E020000}"/>
    <cellStyle name="Comma 7 5 2 3 3" xfId="3604" xr:uid="{00000000-0005-0000-0000-0000DD020000}"/>
    <cellStyle name="Comma 7 5 2 3 4" xfId="6164" xr:uid="{00000000-0005-0000-0000-00003E020000}"/>
    <cellStyle name="Comma 7 5 2 3 5" xfId="6988" xr:uid="{00000000-0005-0000-0000-0000D5020000}"/>
    <cellStyle name="Comma 7 5 2 3 6" xfId="9396" xr:uid="{00000000-0005-0000-0000-0000D5020000}"/>
    <cellStyle name="Comma 7 5 2 4" xfId="1774" xr:uid="{00000000-0005-0000-0000-0000DE020000}"/>
    <cellStyle name="Comma 7 5 2 4 2" xfId="4661" xr:uid="{00000000-0005-0000-0000-00003C020000}"/>
    <cellStyle name="Comma 7 5 2 4 3" xfId="7904" xr:uid="{00000000-0005-0000-0000-0000D6020000}"/>
    <cellStyle name="Comma 7 5 2 4 4" xfId="10301" xr:uid="{00000000-0005-0000-0000-0000D6020000}"/>
    <cellStyle name="Comma 7 5 2 5" xfId="1769" xr:uid="{00000000-0005-0000-0000-0000DF020000}"/>
    <cellStyle name="Comma 7 5 2 6" xfId="4132" xr:uid="{00000000-0005-0000-0000-00003C020000}"/>
    <cellStyle name="Comma 7 5 2 7" xfId="5796" xr:uid="{00000000-0005-0000-0000-0000A9010000}"/>
    <cellStyle name="Comma 7 5 2 8" xfId="5057" xr:uid="{00000000-0005-0000-0000-0000AF010000}"/>
    <cellStyle name="Comma 7 5 2 9" xfId="6760" xr:uid="{00000000-0005-0000-0000-0000D2020000}"/>
    <cellStyle name="Comma 7 5 3" xfId="523" xr:uid="{00000000-0005-0000-0000-0000E0020000}"/>
    <cellStyle name="Comma 7 5 3 2" xfId="1776" xr:uid="{00000000-0005-0000-0000-0000E1020000}"/>
    <cellStyle name="Comma 7 5 3 2 2" xfId="6463" xr:uid="{00000000-0005-0000-0000-0000C8020000}"/>
    <cellStyle name="Comma 7 5 3 2 3" xfId="8394" xr:uid="{00000000-0005-0000-0000-0000D8020000}"/>
    <cellStyle name="Comma 7 5 3 2 4" xfId="10791" xr:uid="{00000000-0005-0000-0000-0000D8020000}"/>
    <cellStyle name="Comma 7 5 3 3" xfId="1777" xr:uid="{00000000-0005-0000-0000-0000E2020000}"/>
    <cellStyle name="Comma 7 5 3 4" xfId="1775" xr:uid="{00000000-0005-0000-0000-0000E3020000}"/>
    <cellStyle name="Comma 7 5 3 5" xfId="4417" xr:uid="{00000000-0005-0000-0000-00003F020000}"/>
    <cellStyle name="Comma 7 5 3 6" xfId="5634" xr:uid="{00000000-0005-0000-0000-0000AA010000}"/>
    <cellStyle name="Comma 7 5 3 7" xfId="6990" xr:uid="{00000000-0005-0000-0000-0000D7020000}"/>
    <cellStyle name="Comma 7 5 3 8" xfId="9398" xr:uid="{00000000-0005-0000-0000-0000D7020000}"/>
    <cellStyle name="Comma 7 5 4" xfId="524" xr:uid="{00000000-0005-0000-0000-0000E4020000}"/>
    <cellStyle name="Comma 7 5 4 2" xfId="1779" xr:uid="{00000000-0005-0000-0000-0000E5020000}"/>
    <cellStyle name="Comma 7 5 4 2 2" xfId="6485" xr:uid="{00000000-0005-0000-0000-0000CA020000}"/>
    <cellStyle name="Comma 7 5 4 2 3" xfId="8184" xr:uid="{00000000-0005-0000-0000-0000DA020000}"/>
    <cellStyle name="Comma 7 5 4 2 4" xfId="10581" xr:uid="{00000000-0005-0000-0000-0000DA020000}"/>
    <cellStyle name="Comma 7 5 4 3" xfId="1780" xr:uid="{00000000-0005-0000-0000-0000E6020000}"/>
    <cellStyle name="Comma 7 5 4 4" xfId="1778" xr:uid="{00000000-0005-0000-0000-0000E7020000}"/>
    <cellStyle name="Comma 7 5 4 5" xfId="6269" xr:uid="{00000000-0005-0000-0000-000040020000}"/>
    <cellStyle name="Comma 7 5 4 6" xfId="6991" xr:uid="{00000000-0005-0000-0000-0000D9020000}"/>
    <cellStyle name="Comma 7 5 4 7" xfId="9399" xr:uid="{00000000-0005-0000-0000-0000D9020000}"/>
    <cellStyle name="Comma 7 5 5" xfId="1781" xr:uid="{00000000-0005-0000-0000-0000E8020000}"/>
    <cellStyle name="Comma 7 5 5 2" xfId="2510" xr:uid="{00000000-0005-0000-0000-000041020000}"/>
    <cellStyle name="Comma 7 5 5 3" xfId="3668" xr:uid="{00000000-0005-0000-0000-0000E8020000}"/>
    <cellStyle name="Comma 7 5 5 4" xfId="6987" xr:uid="{00000000-0005-0000-0000-0000DB020000}"/>
    <cellStyle name="Comma 7 5 5 5" xfId="9395" xr:uid="{00000000-0005-0000-0000-0000DB020000}"/>
    <cellStyle name="Comma 7 5 6" xfId="1782" xr:uid="{00000000-0005-0000-0000-0000E9020000}"/>
    <cellStyle name="Comma 7 5 6 2" xfId="2286" xr:uid="{00000000-0005-0000-0000-00003B020000}"/>
    <cellStyle name="Comma 7 5 6 3" xfId="3709" xr:uid="{00000000-0005-0000-0000-0000E9020000}"/>
    <cellStyle name="Comma 7 5 6 4" xfId="7708" xr:uid="{00000000-0005-0000-0000-0000DC020000}"/>
    <cellStyle name="Comma 7 5 6 5" xfId="10105" xr:uid="{00000000-0005-0000-0000-0000DC020000}"/>
    <cellStyle name="Comma 7 5 7" xfId="1768" xr:uid="{00000000-0005-0000-0000-0000EA020000}"/>
    <cellStyle name="Comma 7 5 8" xfId="3873" xr:uid="{00000000-0005-0000-0000-000073010000}"/>
    <cellStyle name="Comma 7 5 9" xfId="5388" xr:uid="{00000000-0005-0000-0000-0000A8010000}"/>
    <cellStyle name="Comma 7 6" xfId="525" xr:uid="{00000000-0005-0000-0000-0000EB020000}"/>
    <cellStyle name="Comma 7 6 10" xfId="4854" xr:uid="{00000000-0005-0000-0000-0000B0010000}"/>
    <cellStyle name="Comma 7 6 11" xfId="6600" xr:uid="{00000000-0005-0000-0000-0000DD020000}"/>
    <cellStyle name="Comma 7 6 12" xfId="9021" xr:uid="{00000000-0005-0000-0000-0000DD020000}"/>
    <cellStyle name="Comma 7 6 2" xfId="526" xr:uid="{00000000-0005-0000-0000-0000EC020000}"/>
    <cellStyle name="Comma 7 6 2 10" xfId="9182" xr:uid="{00000000-0005-0000-0000-0000DE020000}"/>
    <cellStyle name="Comma 7 6 2 2" xfId="527" xr:uid="{00000000-0005-0000-0000-0000ED020000}"/>
    <cellStyle name="Comma 7 6 2 2 2" xfId="1786" xr:uid="{00000000-0005-0000-0000-0000EE020000}"/>
    <cellStyle name="Comma 7 6 2 2 2 2" xfId="6464" xr:uid="{00000000-0005-0000-0000-0000CF020000}"/>
    <cellStyle name="Comma 7 6 2 2 2 3" xfId="8395" xr:uid="{00000000-0005-0000-0000-0000E0020000}"/>
    <cellStyle name="Comma 7 6 2 2 2 4" xfId="10792" xr:uid="{00000000-0005-0000-0000-0000E0020000}"/>
    <cellStyle name="Comma 7 6 2 2 3" xfId="1787" xr:uid="{00000000-0005-0000-0000-0000EF020000}"/>
    <cellStyle name="Comma 7 6 2 2 4" xfId="1785" xr:uid="{00000000-0005-0000-0000-0000F0020000}"/>
    <cellStyle name="Comma 7 6 2 2 5" xfId="6361" xr:uid="{00000000-0005-0000-0000-000044020000}"/>
    <cellStyle name="Comma 7 6 2 2 6" xfId="6994" xr:uid="{00000000-0005-0000-0000-0000DF020000}"/>
    <cellStyle name="Comma 7 6 2 2 7" xfId="9402" xr:uid="{00000000-0005-0000-0000-0000DF020000}"/>
    <cellStyle name="Comma 7 6 2 3" xfId="1788" xr:uid="{00000000-0005-0000-0000-0000F1020000}"/>
    <cellStyle name="Comma 7 6 2 3 2" xfId="2684" xr:uid="{00000000-0005-0000-0000-000045020000}"/>
    <cellStyle name="Comma 7 6 2 3 3" xfId="3618" xr:uid="{00000000-0005-0000-0000-0000F1020000}"/>
    <cellStyle name="Comma 7 6 2 3 4" xfId="6165" xr:uid="{00000000-0005-0000-0000-000045020000}"/>
    <cellStyle name="Comma 7 6 2 3 5" xfId="6993" xr:uid="{00000000-0005-0000-0000-0000E1020000}"/>
    <cellStyle name="Comma 7 6 2 3 6" xfId="9401" xr:uid="{00000000-0005-0000-0000-0000E1020000}"/>
    <cellStyle name="Comma 7 6 2 4" xfId="1789" xr:uid="{00000000-0005-0000-0000-0000F2020000}"/>
    <cellStyle name="Comma 7 6 2 4 2" xfId="4664" xr:uid="{00000000-0005-0000-0000-000043020000}"/>
    <cellStyle name="Comma 7 6 2 4 3" xfId="7905" xr:uid="{00000000-0005-0000-0000-0000E2020000}"/>
    <cellStyle name="Comma 7 6 2 4 4" xfId="10302" xr:uid="{00000000-0005-0000-0000-0000E2020000}"/>
    <cellStyle name="Comma 7 6 2 5" xfId="1784" xr:uid="{00000000-0005-0000-0000-0000F3020000}"/>
    <cellStyle name="Comma 7 6 2 6" xfId="4133" xr:uid="{00000000-0005-0000-0000-000043020000}"/>
    <cellStyle name="Comma 7 6 2 7" xfId="5797" xr:uid="{00000000-0005-0000-0000-0000AC010000}"/>
    <cellStyle name="Comma 7 6 2 8" xfId="5058" xr:uid="{00000000-0005-0000-0000-0000B1010000}"/>
    <cellStyle name="Comma 7 6 2 9" xfId="6761" xr:uid="{00000000-0005-0000-0000-0000DE020000}"/>
    <cellStyle name="Comma 7 6 3" xfId="528" xr:uid="{00000000-0005-0000-0000-0000F4020000}"/>
    <cellStyle name="Comma 7 6 3 2" xfId="1791" xr:uid="{00000000-0005-0000-0000-0000F5020000}"/>
    <cellStyle name="Comma 7 6 3 2 2" xfId="6473" xr:uid="{00000000-0005-0000-0000-0000D2020000}"/>
    <cellStyle name="Comma 7 6 3 2 3" xfId="8396" xr:uid="{00000000-0005-0000-0000-0000E4020000}"/>
    <cellStyle name="Comma 7 6 3 2 4" xfId="10793" xr:uid="{00000000-0005-0000-0000-0000E4020000}"/>
    <cellStyle name="Comma 7 6 3 3" xfId="1792" xr:uid="{00000000-0005-0000-0000-0000F6020000}"/>
    <cellStyle name="Comma 7 6 3 4" xfId="1790" xr:uid="{00000000-0005-0000-0000-0000F7020000}"/>
    <cellStyle name="Comma 7 6 3 5" xfId="4418" xr:uid="{00000000-0005-0000-0000-000046020000}"/>
    <cellStyle name="Comma 7 6 3 6" xfId="5680" xr:uid="{00000000-0005-0000-0000-0000AD010000}"/>
    <cellStyle name="Comma 7 6 3 7" xfId="6995" xr:uid="{00000000-0005-0000-0000-0000E3020000}"/>
    <cellStyle name="Comma 7 6 3 8" xfId="9403" xr:uid="{00000000-0005-0000-0000-0000E3020000}"/>
    <cellStyle name="Comma 7 6 4" xfId="529" xr:uid="{00000000-0005-0000-0000-0000F8020000}"/>
    <cellStyle name="Comma 7 6 4 2" xfId="1794" xr:uid="{00000000-0005-0000-0000-0000F9020000}"/>
    <cellStyle name="Comma 7 6 4 2 2" xfId="6480" xr:uid="{00000000-0005-0000-0000-0000D4020000}"/>
    <cellStyle name="Comma 7 6 4 2 3" xfId="8185" xr:uid="{00000000-0005-0000-0000-0000E6020000}"/>
    <cellStyle name="Comma 7 6 4 2 4" xfId="10582" xr:uid="{00000000-0005-0000-0000-0000E6020000}"/>
    <cellStyle name="Comma 7 6 4 3" xfId="1795" xr:uid="{00000000-0005-0000-0000-0000FA020000}"/>
    <cellStyle name="Comma 7 6 4 4" xfId="1793" xr:uid="{00000000-0005-0000-0000-0000FB020000}"/>
    <cellStyle name="Comma 7 6 4 5" xfId="6270" xr:uid="{00000000-0005-0000-0000-000047020000}"/>
    <cellStyle name="Comma 7 6 4 6" xfId="6996" xr:uid="{00000000-0005-0000-0000-0000E5020000}"/>
    <cellStyle name="Comma 7 6 4 7" xfId="9404" xr:uid="{00000000-0005-0000-0000-0000E5020000}"/>
    <cellStyle name="Comma 7 6 5" xfId="1796" xr:uid="{00000000-0005-0000-0000-0000FC020000}"/>
    <cellStyle name="Comma 7 6 5 2" xfId="2573" xr:uid="{00000000-0005-0000-0000-000048020000}"/>
    <cellStyle name="Comma 7 6 5 3" xfId="2063" xr:uid="{00000000-0005-0000-0000-0000FC020000}"/>
    <cellStyle name="Comma 7 6 5 4" xfId="6992" xr:uid="{00000000-0005-0000-0000-0000E7020000}"/>
    <cellStyle name="Comma 7 6 5 5" xfId="9400" xr:uid="{00000000-0005-0000-0000-0000E7020000}"/>
    <cellStyle name="Comma 7 6 6" xfId="1797" xr:uid="{00000000-0005-0000-0000-0000FD020000}"/>
    <cellStyle name="Comma 7 6 6 2" xfId="2287" xr:uid="{00000000-0005-0000-0000-000042020000}"/>
    <cellStyle name="Comma 7 6 6 3" xfId="3566" xr:uid="{00000000-0005-0000-0000-0000FD020000}"/>
    <cellStyle name="Comma 7 6 6 4" xfId="7771" xr:uid="{00000000-0005-0000-0000-0000E8020000}"/>
    <cellStyle name="Comma 7 6 6 5" xfId="10168" xr:uid="{00000000-0005-0000-0000-0000E8020000}"/>
    <cellStyle name="Comma 7 6 7" xfId="1783" xr:uid="{00000000-0005-0000-0000-0000FE020000}"/>
    <cellStyle name="Comma 7 6 8" xfId="3874" xr:uid="{00000000-0005-0000-0000-000074010000}"/>
    <cellStyle name="Comma 7 6 9" xfId="5449" xr:uid="{00000000-0005-0000-0000-0000AB010000}"/>
    <cellStyle name="Comma 7 7" xfId="530" xr:uid="{00000000-0005-0000-0000-0000FF020000}"/>
    <cellStyle name="Comma 7 7 10" xfId="6601" xr:uid="{00000000-0005-0000-0000-0000E9020000}"/>
    <cellStyle name="Comma 7 7 11" xfId="9022" xr:uid="{00000000-0005-0000-0000-0000E9020000}"/>
    <cellStyle name="Comma 7 7 2" xfId="531" xr:uid="{00000000-0005-0000-0000-000000030000}"/>
    <cellStyle name="Comma 7 7 2 2" xfId="1800" xr:uid="{00000000-0005-0000-0000-000001030000}"/>
    <cellStyle name="Comma 7 7 2 2 2" xfId="2878" xr:uid="{00000000-0005-0000-0000-00004B020000}"/>
    <cellStyle name="Comma 7 7 2 2 3" xfId="3580" xr:uid="{00000000-0005-0000-0000-000001030000}"/>
    <cellStyle name="Comma 7 7 2 2 4" xfId="6271" xr:uid="{00000000-0005-0000-0000-00004B020000}"/>
    <cellStyle name="Comma 7 7 2 2 5" xfId="6998" xr:uid="{00000000-0005-0000-0000-0000EB020000}"/>
    <cellStyle name="Comma 7 7 2 2 6" xfId="9406" xr:uid="{00000000-0005-0000-0000-0000EB020000}"/>
    <cellStyle name="Comma 7 7 2 3" xfId="1801" xr:uid="{00000000-0005-0000-0000-000002030000}"/>
    <cellStyle name="Comma 7 7 2 3 2" xfId="6438" xr:uid="{00000000-0005-0000-0000-000002030000}"/>
    <cellStyle name="Comma 7 7 2 3 3" xfId="8186" xr:uid="{00000000-0005-0000-0000-0000EC020000}"/>
    <cellStyle name="Comma 7 7 2 3 4" xfId="10583" xr:uid="{00000000-0005-0000-0000-0000EC020000}"/>
    <cellStyle name="Comma 7 7 2 3 5" xfId="4718" xr:uid="{00000000-0005-0000-0000-0000CB010000}"/>
    <cellStyle name="Comma 7 7 2 4" xfId="1799" xr:uid="{00000000-0005-0000-0000-000003030000}"/>
    <cellStyle name="Comma 7 7 2 5" xfId="6096" xr:uid="{00000000-0005-0000-0000-00004A020000}"/>
    <cellStyle name="Comma 7 7 2 6" xfId="5059" xr:uid="{00000000-0005-0000-0000-0000B3010000}"/>
    <cellStyle name="Comma 7 7 2 7" xfId="6762" xr:uid="{00000000-0005-0000-0000-0000EA020000}"/>
    <cellStyle name="Comma 7 7 2 8" xfId="9183" xr:uid="{00000000-0005-0000-0000-0000EA020000}"/>
    <cellStyle name="Comma 7 7 3" xfId="532" xr:uid="{00000000-0005-0000-0000-000004030000}"/>
    <cellStyle name="Comma 7 7 3 2" xfId="1803" xr:uid="{00000000-0005-0000-0000-000005030000}"/>
    <cellStyle name="Comma 7 7 3 3" xfId="1804" xr:uid="{00000000-0005-0000-0000-000006030000}"/>
    <cellStyle name="Comma 7 7 3 4" xfId="1802" xr:uid="{00000000-0005-0000-0000-000007030000}"/>
    <cellStyle name="Comma 7 7 3 5" xfId="6166" xr:uid="{00000000-0005-0000-0000-00004C020000}"/>
    <cellStyle name="Comma 7 7 3 6" xfId="6999" xr:uid="{00000000-0005-0000-0000-0000ED020000}"/>
    <cellStyle name="Comma 7 7 3 7" xfId="9407" xr:uid="{00000000-0005-0000-0000-0000ED020000}"/>
    <cellStyle name="Comma 7 7 4" xfId="1805" xr:uid="{00000000-0005-0000-0000-000008030000}"/>
    <cellStyle name="Comma 7 7 4 2" xfId="2288" xr:uid="{00000000-0005-0000-0000-000049020000}"/>
    <cellStyle name="Comma 7 7 4 3" xfId="2059" xr:uid="{00000000-0005-0000-0000-000008030000}"/>
    <cellStyle name="Comma 7 7 4 4" xfId="6055" xr:uid="{00000000-0005-0000-0000-000049020000}"/>
    <cellStyle name="Comma 7 7 4 5" xfId="6997" xr:uid="{00000000-0005-0000-0000-0000EE020000}"/>
    <cellStyle name="Comma 7 7 4 6" xfId="9405" xr:uid="{00000000-0005-0000-0000-0000EE020000}"/>
    <cellStyle name="Comma 7 7 5" xfId="1806" xr:uid="{00000000-0005-0000-0000-000009030000}"/>
    <cellStyle name="Comma 7 7 5 2" xfId="6511" xr:uid="{00000000-0005-0000-0000-0000DB020000}"/>
    <cellStyle name="Comma 7 7 5 3" xfId="7906" xr:uid="{00000000-0005-0000-0000-0000EF020000}"/>
    <cellStyle name="Comma 7 7 5 4" xfId="10303" xr:uid="{00000000-0005-0000-0000-0000EF020000}"/>
    <cellStyle name="Comma 7 7 6" xfId="1798" xr:uid="{00000000-0005-0000-0000-00000A030000}"/>
    <cellStyle name="Comma 7 7 7" xfId="3875" xr:uid="{00000000-0005-0000-0000-000075010000}"/>
    <cellStyle name="Comma 7 7 8" xfId="5798" xr:uid="{00000000-0005-0000-0000-0000AE010000}"/>
    <cellStyle name="Comma 7 7 9" xfId="4855" xr:uid="{00000000-0005-0000-0000-0000B2010000}"/>
    <cellStyle name="Comma 7 8" xfId="533" xr:uid="{00000000-0005-0000-0000-00000B030000}"/>
    <cellStyle name="Comma 7 8 10" xfId="6602" xr:uid="{00000000-0005-0000-0000-0000F0020000}"/>
    <cellStyle name="Comma 7 8 11" xfId="9023" xr:uid="{00000000-0005-0000-0000-0000F0020000}"/>
    <cellStyle name="Comma 7 8 2" xfId="534" xr:uid="{00000000-0005-0000-0000-00000C030000}"/>
    <cellStyle name="Comma 7 8 2 2" xfId="1809" xr:uid="{00000000-0005-0000-0000-00000D030000}"/>
    <cellStyle name="Comma 7 8 2 2 2" xfId="2879" xr:uid="{00000000-0005-0000-0000-00004F020000}"/>
    <cellStyle name="Comma 7 8 2 2 3" xfId="3672" xr:uid="{00000000-0005-0000-0000-00000D030000}"/>
    <cellStyle name="Comma 7 8 2 2 4" xfId="6272" xr:uid="{00000000-0005-0000-0000-00004F020000}"/>
    <cellStyle name="Comma 7 8 2 2 5" xfId="7001" xr:uid="{00000000-0005-0000-0000-0000F2020000}"/>
    <cellStyle name="Comma 7 8 2 2 6" xfId="9409" xr:uid="{00000000-0005-0000-0000-0000F2020000}"/>
    <cellStyle name="Comma 7 8 2 3" xfId="1810" xr:uid="{00000000-0005-0000-0000-00000E030000}"/>
    <cellStyle name="Comma 7 8 2 3 2" xfId="6445" xr:uid="{00000000-0005-0000-0000-00000E030000}"/>
    <cellStyle name="Comma 7 8 2 3 3" xfId="8187" xr:uid="{00000000-0005-0000-0000-0000F3020000}"/>
    <cellStyle name="Comma 7 8 2 3 4" xfId="10584" xr:uid="{00000000-0005-0000-0000-0000F3020000}"/>
    <cellStyle name="Comma 7 8 2 3 5" xfId="4719" xr:uid="{00000000-0005-0000-0000-0000D1010000}"/>
    <cellStyle name="Comma 7 8 2 4" xfId="1808" xr:uid="{00000000-0005-0000-0000-00000F030000}"/>
    <cellStyle name="Comma 7 8 2 5" xfId="6097" xr:uid="{00000000-0005-0000-0000-00004E020000}"/>
    <cellStyle name="Comma 7 8 2 6" xfId="5060" xr:uid="{00000000-0005-0000-0000-0000B5010000}"/>
    <cellStyle name="Comma 7 8 2 7" xfId="6763" xr:uid="{00000000-0005-0000-0000-0000F1020000}"/>
    <cellStyle name="Comma 7 8 2 8" xfId="9184" xr:uid="{00000000-0005-0000-0000-0000F1020000}"/>
    <cellStyle name="Comma 7 8 3" xfId="535" xr:uid="{00000000-0005-0000-0000-000010030000}"/>
    <cellStyle name="Comma 7 8 3 2" xfId="1812" xr:uid="{00000000-0005-0000-0000-000011030000}"/>
    <cellStyle name="Comma 7 8 3 3" xfId="1813" xr:uid="{00000000-0005-0000-0000-000012030000}"/>
    <cellStyle name="Comma 7 8 3 4" xfId="1811" xr:uid="{00000000-0005-0000-0000-000013030000}"/>
    <cellStyle name="Comma 7 8 3 5" xfId="6167" xr:uid="{00000000-0005-0000-0000-000050020000}"/>
    <cellStyle name="Comma 7 8 3 6" xfId="7002" xr:uid="{00000000-0005-0000-0000-0000F4020000}"/>
    <cellStyle name="Comma 7 8 3 7" xfId="9410" xr:uid="{00000000-0005-0000-0000-0000F4020000}"/>
    <cellStyle name="Comma 7 8 4" xfId="1814" xr:uid="{00000000-0005-0000-0000-000014030000}"/>
    <cellStyle name="Comma 7 8 4 2" xfId="2289" xr:uid="{00000000-0005-0000-0000-00004D020000}"/>
    <cellStyle name="Comma 7 8 4 3" xfId="3599" xr:uid="{00000000-0005-0000-0000-000014030000}"/>
    <cellStyle name="Comma 7 8 4 4" xfId="6056" xr:uid="{00000000-0005-0000-0000-00004D020000}"/>
    <cellStyle name="Comma 7 8 4 5" xfId="7000" xr:uid="{00000000-0005-0000-0000-0000F5020000}"/>
    <cellStyle name="Comma 7 8 4 6" xfId="9408" xr:uid="{00000000-0005-0000-0000-0000F5020000}"/>
    <cellStyle name="Comma 7 8 5" xfId="1815" xr:uid="{00000000-0005-0000-0000-000015030000}"/>
    <cellStyle name="Comma 7 8 5 2" xfId="6515" xr:uid="{00000000-0005-0000-0000-0000E1020000}"/>
    <cellStyle name="Comma 7 8 5 3" xfId="7907" xr:uid="{00000000-0005-0000-0000-0000F6020000}"/>
    <cellStyle name="Comma 7 8 5 4" xfId="10304" xr:uid="{00000000-0005-0000-0000-0000F6020000}"/>
    <cellStyle name="Comma 7 8 6" xfId="1807" xr:uid="{00000000-0005-0000-0000-000016030000}"/>
    <cellStyle name="Comma 7 8 7" xfId="3876" xr:uid="{00000000-0005-0000-0000-000076010000}"/>
    <cellStyle name="Comma 7 8 8" xfId="5799" xr:uid="{00000000-0005-0000-0000-0000AF010000}"/>
    <cellStyle name="Comma 7 8 9" xfId="4856" xr:uid="{00000000-0005-0000-0000-0000B4010000}"/>
    <cellStyle name="Comma 7 9" xfId="536" xr:uid="{00000000-0005-0000-0000-000017030000}"/>
    <cellStyle name="Comma 7 9 2" xfId="1817" xr:uid="{00000000-0005-0000-0000-000018030000}"/>
    <cellStyle name="Comma 7 9 2 2" xfId="3074" xr:uid="{00000000-0005-0000-0000-000052020000}"/>
    <cellStyle name="Comma 7 9 2 2 2" xfId="8397" xr:uid="{00000000-0005-0000-0000-0000F9020000}"/>
    <cellStyle name="Comma 7 9 2 2 3" xfId="10794" xr:uid="{00000000-0005-0000-0000-0000F9020000}"/>
    <cellStyle name="Comma 7 9 2 2 4" xfId="11344" xr:uid="{00000000-0005-0000-0000-0000DF2C0000}"/>
    <cellStyle name="Comma 7 9 2 3" xfId="3539" xr:uid="{00000000-0005-0000-0000-000018030000}"/>
    <cellStyle name="Comma 7 9 2 4" xfId="6362" xr:uid="{00000000-0005-0000-0000-000052020000}"/>
    <cellStyle name="Comma 7 9 2 5" xfId="5061" xr:uid="{00000000-0005-0000-0000-0000B7010000}"/>
    <cellStyle name="Comma 7 9 2 6" xfId="7003" xr:uid="{00000000-0005-0000-0000-0000F8020000}"/>
    <cellStyle name="Comma 7 9 2 7" xfId="9411" xr:uid="{00000000-0005-0000-0000-0000F8020000}"/>
    <cellStyle name="Comma 7 9 3" xfId="1818" xr:uid="{00000000-0005-0000-0000-000019030000}"/>
    <cellStyle name="Comma 7 9 3 2" xfId="2676" xr:uid="{00000000-0005-0000-0000-000053020000}"/>
    <cellStyle name="Comma 7 9 3 3" xfId="3679" xr:uid="{00000000-0005-0000-0000-000019030000}"/>
    <cellStyle name="Comma 7 9 3 4" xfId="6162" xr:uid="{00000000-0005-0000-0000-000053020000}"/>
    <cellStyle name="Comma 7 9 3 5" xfId="7894" xr:uid="{00000000-0005-0000-0000-0000FA020000}"/>
    <cellStyle name="Comma 7 9 3 6" xfId="10291" xr:uid="{00000000-0005-0000-0000-0000FA020000}"/>
    <cellStyle name="Comma 7 9 4" xfId="1816" xr:uid="{00000000-0005-0000-0000-00001A030000}"/>
    <cellStyle name="Comma 7 9 4 2" xfId="2281" xr:uid="{00000000-0005-0000-0000-000051020000}"/>
    <cellStyle name="Comma 7 9 4 3" xfId="3554" xr:uid="{00000000-0005-0000-0000-00001A030000}"/>
    <cellStyle name="Comma 7 9 4 4" xfId="11561" xr:uid="{00000000-0005-0000-0000-000030020000}"/>
    <cellStyle name="Comma 7 9 5" xfId="3820" xr:uid="{00000000-0005-0000-0000-000077010000}"/>
    <cellStyle name="Comma 7 9 5 2" xfId="11396" xr:uid="{00000000-0005-0000-0000-0000E7020000}"/>
    <cellStyle name="Comma 7 9 6" xfId="5786" xr:uid="{00000000-0005-0000-0000-0000B0010000}"/>
    <cellStyle name="Comma 7 9 7" xfId="4848" xr:uid="{00000000-0005-0000-0000-0000B6010000}"/>
    <cellStyle name="Comma 7 9 8" xfId="6594" xr:uid="{00000000-0005-0000-0000-0000F7020000}"/>
    <cellStyle name="Comma 7 9 9" xfId="9015" xr:uid="{00000000-0005-0000-0000-0000F7020000}"/>
    <cellStyle name="Comma 8" xfId="537" xr:uid="{00000000-0005-0000-0000-00001B030000}"/>
    <cellStyle name="Comma 9" xfId="538" xr:uid="{00000000-0005-0000-0000-00001C030000}"/>
    <cellStyle name="Comma 9 10" xfId="5358" xr:uid="{00000000-0005-0000-0000-0000B2010000}"/>
    <cellStyle name="Comma 9 11" xfId="4814" xr:uid="{00000000-0005-0000-0000-0000B9010000}"/>
    <cellStyle name="Comma 9 12" xfId="6560" xr:uid="{00000000-0005-0000-0000-0000FC020000}"/>
    <cellStyle name="Comma 9 13" xfId="8981" xr:uid="{00000000-0005-0000-0000-0000FC020000}"/>
    <cellStyle name="Comma 9 2" xfId="539" xr:uid="{00000000-0005-0000-0000-00001D030000}"/>
    <cellStyle name="Comma 9 2 10" xfId="4858" xr:uid="{00000000-0005-0000-0000-0000BA010000}"/>
    <cellStyle name="Comma 9 2 11" xfId="6604" xr:uid="{00000000-0005-0000-0000-0000FD020000}"/>
    <cellStyle name="Comma 9 2 12" xfId="9025" xr:uid="{00000000-0005-0000-0000-0000FD020000}"/>
    <cellStyle name="Comma 9 2 2" xfId="540" xr:uid="{00000000-0005-0000-0000-00001E030000}"/>
    <cellStyle name="Comma 9 2 2 10" xfId="6765" xr:uid="{00000000-0005-0000-0000-0000FE020000}"/>
    <cellStyle name="Comma 9 2 2 11" xfId="9186" xr:uid="{00000000-0005-0000-0000-0000FE020000}"/>
    <cellStyle name="Comma 9 2 2 2" xfId="1822" xr:uid="{00000000-0005-0000-0000-00001F030000}"/>
    <cellStyle name="Comma 9 2 2 2 2" xfId="3076" xr:uid="{00000000-0005-0000-0000-000059020000}"/>
    <cellStyle name="Comma 9 2 2 2 2 2" xfId="8399" xr:uid="{00000000-0005-0000-0000-000000030000}"/>
    <cellStyle name="Comma 9 2 2 2 2 3" xfId="10796" xr:uid="{00000000-0005-0000-0000-000000030000}"/>
    <cellStyle name="Comma 9 2 2 2 3" xfId="2687" xr:uid="{00000000-0005-0000-0000-000058020000}"/>
    <cellStyle name="Comma 9 2 2 2 3 2" xfId="7910" xr:uid="{00000000-0005-0000-0000-000001030000}"/>
    <cellStyle name="Comma 9 2 2 2 3 3" xfId="10307" xr:uid="{00000000-0005-0000-0000-000001030000}"/>
    <cellStyle name="Comma 9 2 2 2 4" xfId="2046" xr:uid="{00000000-0005-0000-0000-00001F030000}"/>
    <cellStyle name="Comma 9 2 2 2 5" xfId="4269" xr:uid="{00000000-0005-0000-0000-000058020000}"/>
    <cellStyle name="Comma 9 2 2 2 6" xfId="5802" xr:uid="{00000000-0005-0000-0000-0000B5010000}"/>
    <cellStyle name="Comma 9 2 2 2 7" xfId="7006" xr:uid="{00000000-0005-0000-0000-0000FF020000}"/>
    <cellStyle name="Comma 9 2 2 2 8" xfId="9414" xr:uid="{00000000-0005-0000-0000-0000FF020000}"/>
    <cellStyle name="Comma 9 2 2 3" xfId="1823" xr:uid="{00000000-0005-0000-0000-000020030000}"/>
    <cellStyle name="Comma 9 2 2 3 2" xfId="3077" xr:uid="{00000000-0005-0000-0000-00005A020000}"/>
    <cellStyle name="Comma 9 2 2 3 2 2" xfId="11453" xr:uid="{00000000-0005-0000-0000-0000F0020000}"/>
    <cellStyle name="Comma 9 2 2 3 3" xfId="2090" xr:uid="{00000000-0005-0000-0000-000020030000}"/>
    <cellStyle name="Comma 9 2 2 3 4" xfId="4419" xr:uid="{00000000-0005-0000-0000-00005A020000}"/>
    <cellStyle name="Comma 9 2 2 3 5" xfId="5748" xr:uid="{00000000-0005-0000-0000-0000B6010000}"/>
    <cellStyle name="Comma 9 2 2 3 6" xfId="8400" xr:uid="{00000000-0005-0000-0000-000002030000}"/>
    <cellStyle name="Comma 9 2 2 3 7" xfId="10797" xr:uid="{00000000-0005-0000-0000-000002030000}"/>
    <cellStyle name="Comma 9 2 2 4" xfId="1821" xr:uid="{00000000-0005-0000-0000-000021030000}"/>
    <cellStyle name="Comma 9 2 2 4 2" xfId="3075" xr:uid="{00000000-0005-0000-0000-00005B020000}"/>
    <cellStyle name="Comma 9 2 2 4 3" xfId="3607" xr:uid="{00000000-0005-0000-0000-000021030000}"/>
    <cellStyle name="Comma 9 2 2 4 4" xfId="8398" xr:uid="{00000000-0005-0000-0000-000003030000}"/>
    <cellStyle name="Comma 9 2 2 4 5" xfId="10795" xr:uid="{00000000-0005-0000-0000-000003030000}"/>
    <cellStyle name="Comma 9 2 2 5" xfId="2642" xr:uid="{00000000-0005-0000-0000-00005C020000}"/>
    <cellStyle name="Comma 9 2 2 5 2" xfId="7841" xr:uid="{00000000-0005-0000-0000-000004030000}"/>
    <cellStyle name="Comma 9 2 2 5 3" xfId="10238" xr:uid="{00000000-0005-0000-0000-000004030000}"/>
    <cellStyle name="Comma 9 2 2 6" xfId="2291" xr:uid="{00000000-0005-0000-0000-000057020000}"/>
    <cellStyle name="Comma 9 2 2 7" xfId="3826" xr:uid="{00000000-0005-0000-0000-00007B010000}"/>
    <cellStyle name="Comma 9 2 2 8" xfId="5519" xr:uid="{00000000-0005-0000-0000-0000B4010000}"/>
    <cellStyle name="Comma 9 2 2 9" xfId="5063" xr:uid="{00000000-0005-0000-0000-0000BB010000}"/>
    <cellStyle name="Comma 9 2 3" xfId="541" xr:uid="{00000000-0005-0000-0000-000022030000}"/>
    <cellStyle name="Comma 9 2 3 2" xfId="1825" xr:uid="{00000000-0005-0000-0000-000023030000}"/>
    <cellStyle name="Comma 9 2 3 2 2" xfId="3078" xr:uid="{00000000-0005-0000-0000-00005E020000}"/>
    <cellStyle name="Comma 9 2 3 2 3" xfId="3698" xr:uid="{00000000-0005-0000-0000-000023030000}"/>
    <cellStyle name="Comma 9 2 3 2 4" xfId="8401" xr:uid="{00000000-0005-0000-0000-000006030000}"/>
    <cellStyle name="Comma 9 2 3 2 5" xfId="10798" xr:uid="{00000000-0005-0000-0000-000006030000}"/>
    <cellStyle name="Comma 9 2 3 3" xfId="1826" xr:uid="{00000000-0005-0000-0000-000024030000}"/>
    <cellStyle name="Comma 9 2 3 3 2" xfId="2686" xr:uid="{00000000-0005-0000-0000-00005F020000}"/>
    <cellStyle name="Comma 9 2 3 3 3" xfId="2079" xr:uid="{00000000-0005-0000-0000-000024030000}"/>
    <cellStyle name="Comma 9 2 3 3 4" xfId="7909" xr:uid="{00000000-0005-0000-0000-000007030000}"/>
    <cellStyle name="Comma 9 2 3 3 5" xfId="10306" xr:uid="{00000000-0005-0000-0000-000007030000}"/>
    <cellStyle name="Comma 9 2 3 4" xfId="1824" xr:uid="{00000000-0005-0000-0000-000025030000}"/>
    <cellStyle name="Comma 9 2 3 4 2" xfId="4655" xr:uid="{00000000-0005-0000-0000-00005D020000}"/>
    <cellStyle name="Comma 9 2 3 5" xfId="4135" xr:uid="{00000000-0005-0000-0000-00005D020000}"/>
    <cellStyle name="Comma 9 2 3 6" xfId="5801" xr:uid="{00000000-0005-0000-0000-0000B7010000}"/>
    <cellStyle name="Comma 9 2 3 7" xfId="7007" xr:uid="{00000000-0005-0000-0000-000005030000}"/>
    <cellStyle name="Comma 9 2 3 8" xfId="9415" xr:uid="{00000000-0005-0000-0000-000005030000}"/>
    <cellStyle name="Comma 9 2 4" xfId="1827" xr:uid="{00000000-0005-0000-0000-000026030000}"/>
    <cellStyle name="Comma 9 2 4 2" xfId="3079" xr:uid="{00000000-0005-0000-0000-000060020000}"/>
    <cellStyle name="Comma 9 2 4 2 2" xfId="8402" xr:uid="{00000000-0005-0000-0000-000009030000}"/>
    <cellStyle name="Comma 9 2 4 2 3" xfId="10799" xr:uid="{00000000-0005-0000-0000-000009030000}"/>
    <cellStyle name="Comma 9 2 4 3" xfId="3619" xr:uid="{00000000-0005-0000-0000-000026030000}"/>
    <cellStyle name="Comma 9 2 4 4" xfId="4420" xr:uid="{00000000-0005-0000-0000-000060020000}"/>
    <cellStyle name="Comma 9 2 4 5" xfId="5663" xr:uid="{00000000-0005-0000-0000-0000B8010000}"/>
    <cellStyle name="Comma 9 2 4 6" xfId="7005" xr:uid="{00000000-0005-0000-0000-000008030000}"/>
    <cellStyle name="Comma 9 2 4 7" xfId="9413" xr:uid="{00000000-0005-0000-0000-000008030000}"/>
    <cellStyle name="Comma 9 2 5" xfId="1828" xr:uid="{00000000-0005-0000-0000-000027030000}"/>
    <cellStyle name="Comma 9 2 5 2" xfId="2881" xr:uid="{00000000-0005-0000-0000-000061020000}"/>
    <cellStyle name="Comma 9 2 5 3" xfId="3537" xr:uid="{00000000-0005-0000-0000-000027030000}"/>
    <cellStyle name="Comma 9 2 5 4" xfId="8189" xr:uid="{00000000-0005-0000-0000-00000A030000}"/>
    <cellStyle name="Comma 9 2 5 5" xfId="10586" xr:uid="{00000000-0005-0000-0000-00000A030000}"/>
    <cellStyle name="Comma 9 2 6" xfId="1820" xr:uid="{00000000-0005-0000-0000-000028030000}"/>
    <cellStyle name="Comma 9 2 6 2" xfId="2540" xr:uid="{00000000-0005-0000-0000-000062020000}"/>
    <cellStyle name="Comma 9 2 6 3" xfId="3706" xr:uid="{00000000-0005-0000-0000-000028030000}"/>
    <cellStyle name="Comma 9 2 6 4" xfId="7738" xr:uid="{00000000-0005-0000-0000-00000B030000}"/>
    <cellStyle name="Comma 9 2 6 5" xfId="10135" xr:uid="{00000000-0005-0000-0000-00000B030000}"/>
    <cellStyle name="Comma 9 2 7" xfId="2234" xr:uid="{00000000-0005-0000-0000-000056020000}"/>
    <cellStyle name="Comma 9 2 8" xfId="3878" xr:uid="{00000000-0005-0000-0000-00007A010000}"/>
    <cellStyle name="Comma 9 2 9" xfId="5418" xr:uid="{00000000-0005-0000-0000-0000B3010000}"/>
    <cellStyle name="Comma 9 3" xfId="542" xr:uid="{00000000-0005-0000-0000-000029030000}"/>
    <cellStyle name="Comma 9 3 10" xfId="6603" xr:uid="{00000000-0005-0000-0000-00000C030000}"/>
    <cellStyle name="Comma 9 3 11" xfId="9024" xr:uid="{00000000-0005-0000-0000-00000C030000}"/>
    <cellStyle name="Comma 9 3 2" xfId="1830" xr:uid="{00000000-0005-0000-0000-00002A030000}"/>
    <cellStyle name="Comma 9 3 2 2" xfId="3081" xr:uid="{00000000-0005-0000-0000-000065020000}"/>
    <cellStyle name="Comma 9 3 2 2 2" xfId="6482" xr:uid="{00000000-0005-0000-0000-0000FD020000}"/>
    <cellStyle name="Comma 9 3 2 2 2 2" xfId="11455" xr:uid="{00000000-0005-0000-0000-0000FD020000}"/>
    <cellStyle name="Comma 9 3 2 2 3" xfId="8404" xr:uid="{00000000-0005-0000-0000-00000E030000}"/>
    <cellStyle name="Comma 9 3 2 2 4" xfId="10801" xr:uid="{00000000-0005-0000-0000-00000E030000}"/>
    <cellStyle name="Comma 9 3 2 2 5" xfId="11347" xr:uid="{00000000-0005-0000-0000-0000E02C0000}"/>
    <cellStyle name="Comma 9 3 2 3" xfId="2688" xr:uid="{00000000-0005-0000-0000-000064020000}"/>
    <cellStyle name="Comma 9 3 2 3 2" xfId="7911" xr:uid="{00000000-0005-0000-0000-00000F030000}"/>
    <cellStyle name="Comma 9 3 2 3 3" xfId="10308" xr:uid="{00000000-0005-0000-0000-00000F030000}"/>
    <cellStyle name="Comma 9 3 2 4" xfId="3695" xr:uid="{00000000-0005-0000-0000-00002A030000}"/>
    <cellStyle name="Comma 9 3 2 5" xfId="4270" xr:uid="{00000000-0005-0000-0000-000064020000}"/>
    <cellStyle name="Comma 9 3 2 6" xfId="5803" xr:uid="{00000000-0005-0000-0000-0000BA010000}"/>
    <cellStyle name="Comma 9 3 2 7" xfId="5064" xr:uid="{00000000-0005-0000-0000-0000BD010000}"/>
    <cellStyle name="Comma 9 3 2 8" xfId="7008" xr:uid="{00000000-0005-0000-0000-00000D030000}"/>
    <cellStyle name="Comma 9 3 2 9" xfId="9416" xr:uid="{00000000-0005-0000-0000-00000D030000}"/>
    <cellStyle name="Comma 9 3 3" xfId="1831" xr:uid="{00000000-0005-0000-0000-00002B030000}"/>
    <cellStyle name="Comma 9 3 3 2" xfId="3082" xr:uid="{00000000-0005-0000-0000-000066020000}"/>
    <cellStyle name="Comma 9 3 3 2 2" xfId="11456" xr:uid="{00000000-0005-0000-0000-000000030000}"/>
    <cellStyle name="Comma 9 3 3 3" xfId="3705" xr:uid="{00000000-0005-0000-0000-00002B030000}"/>
    <cellStyle name="Comma 9 3 3 4" xfId="4421" xr:uid="{00000000-0005-0000-0000-000066020000}"/>
    <cellStyle name="Comma 9 3 3 5" xfId="5690" xr:uid="{00000000-0005-0000-0000-0000BB010000}"/>
    <cellStyle name="Comma 9 3 3 6" xfId="8405" xr:uid="{00000000-0005-0000-0000-000010030000}"/>
    <cellStyle name="Comma 9 3 3 7" xfId="10802" xr:uid="{00000000-0005-0000-0000-000010030000}"/>
    <cellStyle name="Comma 9 3 4" xfId="1829" xr:uid="{00000000-0005-0000-0000-00002C030000}"/>
    <cellStyle name="Comma 9 3 4 2" xfId="3080" xr:uid="{00000000-0005-0000-0000-000067020000}"/>
    <cellStyle name="Comma 9 3 4 2 2" xfId="11454" xr:uid="{00000000-0005-0000-0000-000002030000}"/>
    <cellStyle name="Comma 9 3 4 3" xfId="3670" xr:uid="{00000000-0005-0000-0000-00002C030000}"/>
    <cellStyle name="Comma 9 3 4 4" xfId="8403" xr:uid="{00000000-0005-0000-0000-000011030000}"/>
    <cellStyle name="Comma 9 3 4 5" xfId="10800" xr:uid="{00000000-0005-0000-0000-000011030000}"/>
    <cellStyle name="Comma 9 3 5" xfId="2583" xr:uid="{00000000-0005-0000-0000-000068020000}"/>
    <cellStyle name="Comma 9 3 5 2" xfId="7781" xr:uid="{00000000-0005-0000-0000-000012030000}"/>
    <cellStyle name="Comma 9 3 5 3" xfId="10178" xr:uid="{00000000-0005-0000-0000-000012030000}"/>
    <cellStyle name="Comma 9 3 6" xfId="2290" xr:uid="{00000000-0005-0000-0000-000063020000}"/>
    <cellStyle name="Comma 9 3 7" xfId="3825" xr:uid="{00000000-0005-0000-0000-00007C010000}"/>
    <cellStyle name="Comma 9 3 8" xfId="5459" xr:uid="{00000000-0005-0000-0000-0000B9010000}"/>
    <cellStyle name="Comma 9 3 9" xfId="4857" xr:uid="{00000000-0005-0000-0000-0000BC010000}"/>
    <cellStyle name="Comma 9 4" xfId="543" xr:uid="{00000000-0005-0000-0000-00002D030000}"/>
    <cellStyle name="Comma 9 4 2" xfId="1833" xr:uid="{00000000-0005-0000-0000-00002E030000}"/>
    <cellStyle name="Comma 9 4 2 2" xfId="3083" xr:uid="{00000000-0005-0000-0000-00006A020000}"/>
    <cellStyle name="Comma 9 4 2 2 2" xfId="8406" xr:uid="{00000000-0005-0000-0000-000015030000}"/>
    <cellStyle name="Comma 9 4 2 2 3" xfId="10803" xr:uid="{00000000-0005-0000-0000-000015030000}"/>
    <cellStyle name="Comma 9 4 2 3" xfId="2863" xr:uid="{00000000-0005-0000-0000-00002E030000}"/>
    <cellStyle name="Comma 9 4 2 4" xfId="6363" xr:uid="{00000000-0005-0000-0000-00006A020000}"/>
    <cellStyle name="Comma 9 4 2 5" xfId="7009" xr:uid="{00000000-0005-0000-0000-000014030000}"/>
    <cellStyle name="Comma 9 4 2 6" xfId="9417" xr:uid="{00000000-0005-0000-0000-000014030000}"/>
    <cellStyle name="Comma 9 4 3" xfId="1834" xr:uid="{00000000-0005-0000-0000-00002F030000}"/>
    <cellStyle name="Comma 9 4 3 2" xfId="2685" xr:uid="{00000000-0005-0000-0000-00006B020000}"/>
    <cellStyle name="Comma 9 4 3 3" xfId="2865" xr:uid="{00000000-0005-0000-0000-00002F030000}"/>
    <cellStyle name="Comma 9 4 3 4" xfId="6168" xr:uid="{00000000-0005-0000-0000-00006B020000}"/>
    <cellStyle name="Comma 9 4 3 5" xfId="7908" xr:uid="{00000000-0005-0000-0000-000016030000}"/>
    <cellStyle name="Comma 9 4 3 6" xfId="10305" xr:uid="{00000000-0005-0000-0000-000016030000}"/>
    <cellStyle name="Comma 9 4 4" xfId="1832" xr:uid="{00000000-0005-0000-0000-000030030000}"/>
    <cellStyle name="Comma 9 4 4 2" xfId="4625" xr:uid="{00000000-0005-0000-0000-000069020000}"/>
    <cellStyle name="Comma 9 4 5" xfId="4134" xr:uid="{00000000-0005-0000-0000-000069020000}"/>
    <cellStyle name="Comma 9 4 6" xfId="5800" xr:uid="{00000000-0005-0000-0000-0000BC010000}"/>
    <cellStyle name="Comma 9 4 7" xfId="5062" xr:uid="{00000000-0005-0000-0000-0000BE010000}"/>
    <cellStyle name="Comma 9 4 8" xfId="6764" xr:uid="{00000000-0005-0000-0000-000013030000}"/>
    <cellStyle name="Comma 9 4 9" xfId="9185" xr:uid="{00000000-0005-0000-0000-000013030000}"/>
    <cellStyle name="Comma 9 5" xfId="544" xr:uid="{00000000-0005-0000-0000-000031030000}"/>
    <cellStyle name="Comma 9 5 2" xfId="1836" xr:uid="{00000000-0005-0000-0000-000032030000}"/>
    <cellStyle name="Comma 9 5 2 2" xfId="5964" xr:uid="{00000000-0005-0000-0000-000009030000}"/>
    <cellStyle name="Comma 9 5 2 3" xfId="8407" xr:uid="{00000000-0005-0000-0000-000018030000}"/>
    <cellStyle name="Comma 9 5 2 4" xfId="10804" xr:uid="{00000000-0005-0000-0000-000018030000}"/>
    <cellStyle name="Comma 9 5 3" xfId="1837" xr:uid="{00000000-0005-0000-0000-000033030000}"/>
    <cellStyle name="Comma 9 5 4" xfId="1835" xr:uid="{00000000-0005-0000-0000-000034030000}"/>
    <cellStyle name="Comma 9 5 5" xfId="4422" xr:uid="{00000000-0005-0000-0000-00006C020000}"/>
    <cellStyle name="Comma 9 5 6" xfId="5604" xr:uid="{00000000-0005-0000-0000-0000BD010000}"/>
    <cellStyle name="Comma 9 5 7" xfId="7010" xr:uid="{00000000-0005-0000-0000-000017030000}"/>
    <cellStyle name="Comma 9 5 8" xfId="9418" xr:uid="{00000000-0005-0000-0000-000017030000}"/>
    <cellStyle name="Comma 9 6" xfId="1838" xr:uid="{00000000-0005-0000-0000-000035030000}"/>
    <cellStyle name="Comma 9 6 2" xfId="2880" xr:uid="{00000000-0005-0000-0000-00006D020000}"/>
    <cellStyle name="Comma 9 6 2 2" xfId="8188" xr:uid="{00000000-0005-0000-0000-00001A030000}"/>
    <cellStyle name="Comma 9 6 2 3" xfId="10585" xr:uid="{00000000-0005-0000-0000-00001A030000}"/>
    <cellStyle name="Comma 9 6 3" xfId="3701" xr:uid="{00000000-0005-0000-0000-000035030000}"/>
    <cellStyle name="Comma 9 6 4" xfId="6273" xr:uid="{00000000-0005-0000-0000-00006D020000}"/>
    <cellStyle name="Comma 9 6 5" xfId="7004" xr:uid="{00000000-0005-0000-0000-000019030000}"/>
    <cellStyle name="Comma 9 6 6" xfId="9412" xr:uid="{00000000-0005-0000-0000-000019030000}"/>
    <cellStyle name="Comma 9 7" xfId="1839" xr:uid="{00000000-0005-0000-0000-000036030000}"/>
    <cellStyle name="Comma 9 7 2" xfId="2480" xr:uid="{00000000-0005-0000-0000-00006E020000}"/>
    <cellStyle name="Comma 9 7 3" xfId="3659" xr:uid="{00000000-0005-0000-0000-000036030000}"/>
    <cellStyle name="Comma 9 7 4" xfId="7678" xr:uid="{00000000-0005-0000-0000-00001B030000}"/>
    <cellStyle name="Comma 9 7 5" xfId="10075" xr:uid="{00000000-0005-0000-0000-00001B030000}"/>
    <cellStyle name="Comma 9 8" xfId="1819" xr:uid="{00000000-0005-0000-0000-000037030000}"/>
    <cellStyle name="Comma 9 8 2" xfId="2174" xr:uid="{00000000-0005-0000-0000-000055020000}"/>
    <cellStyle name="Comma 9 8 3" xfId="3546" xr:uid="{00000000-0005-0000-0000-000037030000}"/>
    <cellStyle name="Comma 9 9" xfId="3877" xr:uid="{00000000-0005-0000-0000-000079010000}"/>
    <cellStyle name="Currency" xfId="545" builtinId="4"/>
    <cellStyle name="Currency 2" xfId="546" xr:uid="{00000000-0005-0000-0000-000039030000}"/>
    <cellStyle name="Currency 2 2" xfId="547" xr:uid="{00000000-0005-0000-0000-00003A030000}"/>
    <cellStyle name="Currency 2 2 2" xfId="1841" xr:uid="{00000000-0005-0000-0000-00003B030000}"/>
    <cellStyle name="Currency 2 2 2 2" xfId="5291" xr:uid="{00000000-0005-0000-0000-00000F030000}"/>
    <cellStyle name="Currency 2 2 3" xfId="1842" xr:uid="{00000000-0005-0000-0000-00003C030000}"/>
    <cellStyle name="Currency 2 2 4" xfId="1840" xr:uid="{00000000-0005-0000-0000-00003D030000}"/>
    <cellStyle name="Currency 2 3" xfId="548" xr:uid="{00000000-0005-0000-0000-00003E030000}"/>
    <cellStyle name="Currency 2 4" xfId="549" xr:uid="{00000000-0005-0000-0000-00003F030000}"/>
    <cellStyle name="Currency 2 4 2" xfId="550" xr:uid="{00000000-0005-0000-0000-000040030000}"/>
    <cellStyle name="Currency 2 4 2 2" xfId="1845" xr:uid="{00000000-0005-0000-0000-000041030000}"/>
    <cellStyle name="Currency 2 4 2 3" xfId="1846" xr:uid="{00000000-0005-0000-0000-000042030000}"/>
    <cellStyle name="Currency 2 4 2 4" xfId="1844" xr:uid="{00000000-0005-0000-0000-000043030000}"/>
    <cellStyle name="Currency 2 4 2 5" xfId="7013" xr:uid="{00000000-0005-0000-0000-000020030000}"/>
    <cellStyle name="Currency 2 4 2 6" xfId="9421" xr:uid="{00000000-0005-0000-0000-000020030000}"/>
    <cellStyle name="Currency 2 4 3" xfId="1847" xr:uid="{00000000-0005-0000-0000-000044030000}"/>
    <cellStyle name="Currency 2 4 4" xfId="1848" xr:uid="{00000000-0005-0000-0000-000045030000}"/>
    <cellStyle name="Currency 2 4 5" xfId="1843" xr:uid="{00000000-0005-0000-0000-000046030000}"/>
    <cellStyle name="Currency 2 4 6" xfId="6502" xr:uid="{00000000-0005-0000-0000-000012030000}"/>
    <cellStyle name="Currency 2 4 7" xfId="7012" xr:uid="{00000000-0005-0000-0000-00001F030000}"/>
    <cellStyle name="Currency 2 4 8" xfId="9420" xr:uid="{00000000-0005-0000-0000-00001F030000}"/>
    <cellStyle name="Currency 2 5" xfId="1849" xr:uid="{00000000-0005-0000-0000-000047030000}"/>
    <cellStyle name="Currency 3" xfId="551" xr:uid="{00000000-0005-0000-0000-000048030000}"/>
    <cellStyle name="Currency 3 2" xfId="552" xr:uid="{00000000-0005-0000-0000-000049030000}"/>
    <cellStyle name="Currency 3 2 2" xfId="1851" xr:uid="{00000000-0005-0000-0000-00004A030000}"/>
    <cellStyle name="Currency 3 2 3" xfId="1852" xr:uid="{00000000-0005-0000-0000-00004B030000}"/>
    <cellStyle name="Currency 3 2 4" xfId="1850" xr:uid="{00000000-0005-0000-0000-00004C030000}"/>
    <cellStyle name="Currency 3 2 5" xfId="7014" xr:uid="{00000000-0005-0000-0000-000022030000}"/>
    <cellStyle name="Currency 3 2 6" xfId="9422" xr:uid="{00000000-0005-0000-0000-000022030000}"/>
    <cellStyle name="Currency 4" xfId="553" xr:uid="{00000000-0005-0000-0000-00004D030000}"/>
    <cellStyle name="Currency 4 10" xfId="554" xr:uid="{00000000-0005-0000-0000-00004E030000}"/>
    <cellStyle name="Currency 4 10 2" xfId="1855" xr:uid="{00000000-0005-0000-0000-00004F030000}"/>
    <cellStyle name="Currency 4 10 2 2" xfId="3084" xr:uid="{00000000-0005-0000-0000-000075020000}"/>
    <cellStyle name="Currency 4 10 2 3" xfId="2052" xr:uid="{00000000-0005-0000-0000-00004F030000}"/>
    <cellStyle name="Currency 4 10 2 4" xfId="6364" xr:uid="{00000000-0005-0000-0000-000075020000}"/>
    <cellStyle name="Currency 4 10 2 5" xfId="7016" xr:uid="{00000000-0005-0000-0000-000025030000}"/>
    <cellStyle name="Currency 4 10 2 6" xfId="9424" xr:uid="{00000000-0005-0000-0000-000025030000}"/>
    <cellStyle name="Currency 4 10 3" xfId="1856" xr:uid="{00000000-0005-0000-0000-000050030000}"/>
    <cellStyle name="Currency 4 10 3 2" xfId="6088" xr:uid="{00000000-0005-0000-0000-000050030000}"/>
    <cellStyle name="Currency 4 10 3 3" xfId="8408" xr:uid="{00000000-0005-0000-0000-000026030000}"/>
    <cellStyle name="Currency 4 10 3 4" xfId="10805" xr:uid="{00000000-0005-0000-0000-000026030000}"/>
    <cellStyle name="Currency 4 10 3 5" xfId="4720" xr:uid="{00000000-0005-0000-0000-0000EE010000}"/>
    <cellStyle name="Currency 4 10 4" xfId="1854" xr:uid="{00000000-0005-0000-0000-000051030000}"/>
    <cellStyle name="Currency 4 10 5" xfId="4136" xr:uid="{00000000-0005-0000-0000-000074020000}"/>
    <cellStyle name="Currency 4 10 6" xfId="5558" xr:uid="{00000000-0005-0000-0000-0000C3010000}"/>
    <cellStyle name="Currency 4 10 7" xfId="5066" xr:uid="{00000000-0005-0000-0000-0000C4010000}"/>
    <cellStyle name="Currency 4 10 8" xfId="6767" xr:uid="{00000000-0005-0000-0000-000024030000}"/>
    <cellStyle name="Currency 4 10 9" xfId="9188" xr:uid="{00000000-0005-0000-0000-000024030000}"/>
    <cellStyle name="Currency 4 11" xfId="555" xr:uid="{00000000-0005-0000-0000-000052030000}"/>
    <cellStyle name="Currency 4 11 2" xfId="1858" xr:uid="{00000000-0005-0000-0000-000053030000}"/>
    <cellStyle name="Currency 4 11 2 2" xfId="6460" xr:uid="{00000000-0005-0000-0000-000018030000}"/>
    <cellStyle name="Currency 4 11 2 3" xfId="8190" xr:uid="{00000000-0005-0000-0000-000028030000}"/>
    <cellStyle name="Currency 4 11 2 4" xfId="10587" xr:uid="{00000000-0005-0000-0000-000028030000}"/>
    <cellStyle name="Currency 4 11 3" xfId="1859" xr:uid="{00000000-0005-0000-0000-000054030000}"/>
    <cellStyle name="Currency 4 11 4" xfId="1857" xr:uid="{00000000-0005-0000-0000-000055030000}"/>
    <cellStyle name="Currency 4 11 5" xfId="6274" xr:uid="{00000000-0005-0000-0000-000076020000}"/>
    <cellStyle name="Currency 4 11 6" xfId="7017" xr:uid="{00000000-0005-0000-0000-000027030000}"/>
    <cellStyle name="Currency 4 11 7" xfId="9425" xr:uid="{00000000-0005-0000-0000-000027030000}"/>
    <cellStyle name="Currency 4 12" xfId="1860" xr:uid="{00000000-0005-0000-0000-000056030000}"/>
    <cellStyle name="Currency 4 12 2" xfId="2435" xr:uid="{00000000-0005-0000-0000-000077020000}"/>
    <cellStyle name="Currency 4 12 3" xfId="3606" xr:uid="{00000000-0005-0000-0000-000056030000}"/>
    <cellStyle name="Currency 4 12 4" xfId="6147" xr:uid="{00000000-0005-0000-0000-000077020000}"/>
    <cellStyle name="Currency 4 12 5" xfId="7015" xr:uid="{00000000-0005-0000-0000-000029030000}"/>
    <cellStyle name="Currency 4 12 6" xfId="9423" xr:uid="{00000000-0005-0000-0000-000029030000}"/>
    <cellStyle name="Currency 4 13" xfId="1861" xr:uid="{00000000-0005-0000-0000-000057030000}"/>
    <cellStyle name="Currency 4 13 2" xfId="2165" xr:uid="{00000000-0005-0000-0000-000073020000}"/>
    <cellStyle name="Currency 4 13 3" xfId="2077" xr:uid="{00000000-0005-0000-0000-000057030000}"/>
    <cellStyle name="Currency 4 13 4" xfId="7632" xr:uid="{00000000-0005-0000-0000-00002A030000}"/>
    <cellStyle name="Currency 4 13 5" xfId="10029" xr:uid="{00000000-0005-0000-0000-00002A030000}"/>
    <cellStyle name="Currency 4 14" xfId="1853" xr:uid="{00000000-0005-0000-0000-000058030000}"/>
    <cellStyle name="Currency 4 15" xfId="3881" xr:uid="{00000000-0005-0000-0000-000081010000}"/>
    <cellStyle name="Currency 4 16" xfId="5312" xr:uid="{00000000-0005-0000-0000-0000C2010000}"/>
    <cellStyle name="Currency 4 17" xfId="4767" xr:uid="{00000000-0005-0000-0000-0000C3010000}"/>
    <cellStyle name="Currency 4 18" xfId="6531" xr:uid="{00000000-0005-0000-0000-000023030000}"/>
    <cellStyle name="Currency 4 19" xfId="8952" xr:uid="{00000000-0005-0000-0000-000023030000}"/>
    <cellStyle name="Currency 4 2" xfId="556" xr:uid="{00000000-0005-0000-0000-000059030000}"/>
    <cellStyle name="Currency 4 2 10" xfId="5372" xr:uid="{00000000-0005-0000-0000-0000C4010000}"/>
    <cellStyle name="Currency 4 2 11" xfId="4828" xr:uid="{00000000-0005-0000-0000-0000C5010000}"/>
    <cellStyle name="Currency 4 2 12" xfId="6574" xr:uid="{00000000-0005-0000-0000-00002B030000}"/>
    <cellStyle name="Currency 4 2 13" xfId="8995" xr:uid="{00000000-0005-0000-0000-00002B030000}"/>
    <cellStyle name="Currency 4 2 2" xfId="557" xr:uid="{00000000-0005-0000-0000-00005A030000}"/>
    <cellStyle name="Currency 4 2 2 10" xfId="4862" xr:uid="{00000000-0005-0000-0000-0000C6010000}"/>
    <cellStyle name="Currency 4 2 2 11" xfId="6608" xr:uid="{00000000-0005-0000-0000-00002C030000}"/>
    <cellStyle name="Currency 4 2 2 12" xfId="9029" xr:uid="{00000000-0005-0000-0000-00002C030000}"/>
    <cellStyle name="Currency 4 2 2 2" xfId="558" xr:uid="{00000000-0005-0000-0000-00005B030000}"/>
    <cellStyle name="Currency 4 2 2 2 10" xfId="6769" xr:uid="{00000000-0005-0000-0000-00002D030000}"/>
    <cellStyle name="Currency 4 2 2 2 11" xfId="9190" xr:uid="{00000000-0005-0000-0000-00002D030000}"/>
    <cellStyle name="Currency 4 2 2 2 2" xfId="1865" xr:uid="{00000000-0005-0000-0000-00005C030000}"/>
    <cellStyle name="Currency 4 2 2 2 2 2" xfId="3086" xr:uid="{00000000-0005-0000-0000-00007C020000}"/>
    <cellStyle name="Currency 4 2 2 2 2 2 2" xfId="8410" xr:uid="{00000000-0005-0000-0000-00002F030000}"/>
    <cellStyle name="Currency 4 2 2 2 2 2 3" xfId="10807" xr:uid="{00000000-0005-0000-0000-00002F030000}"/>
    <cellStyle name="Currency 4 2 2 2 2 3" xfId="2693" xr:uid="{00000000-0005-0000-0000-00007B020000}"/>
    <cellStyle name="Currency 4 2 2 2 2 3 2" xfId="7916" xr:uid="{00000000-0005-0000-0000-000030030000}"/>
    <cellStyle name="Currency 4 2 2 2 2 3 3" xfId="10313" xr:uid="{00000000-0005-0000-0000-000030030000}"/>
    <cellStyle name="Currency 4 2 2 2 2 4" xfId="3703" xr:uid="{00000000-0005-0000-0000-00005C030000}"/>
    <cellStyle name="Currency 4 2 2 2 2 5" xfId="4272" xr:uid="{00000000-0005-0000-0000-00007B020000}"/>
    <cellStyle name="Currency 4 2 2 2 2 6" xfId="5808" xr:uid="{00000000-0005-0000-0000-0000C7010000}"/>
    <cellStyle name="Currency 4 2 2 2 2 7" xfId="7020" xr:uid="{00000000-0005-0000-0000-00002E030000}"/>
    <cellStyle name="Currency 4 2 2 2 2 8" xfId="9428" xr:uid="{00000000-0005-0000-0000-00002E030000}"/>
    <cellStyle name="Currency 4 2 2 2 3" xfId="1866" xr:uid="{00000000-0005-0000-0000-00005D030000}"/>
    <cellStyle name="Currency 4 2 2 2 3 2" xfId="3087" xr:uid="{00000000-0005-0000-0000-00007D020000}"/>
    <cellStyle name="Currency 4 2 2 2 3 2 2" xfId="11457" xr:uid="{00000000-0005-0000-0000-000022030000}"/>
    <cellStyle name="Currency 4 2 2 2 3 3" xfId="2088" xr:uid="{00000000-0005-0000-0000-00005D030000}"/>
    <cellStyle name="Currency 4 2 2 2 3 4" xfId="4423" xr:uid="{00000000-0005-0000-0000-00007D020000}"/>
    <cellStyle name="Currency 4 2 2 2 3 5" xfId="5755" xr:uid="{00000000-0005-0000-0000-0000C8010000}"/>
    <cellStyle name="Currency 4 2 2 2 3 6" xfId="8411" xr:uid="{00000000-0005-0000-0000-000031030000}"/>
    <cellStyle name="Currency 4 2 2 2 3 7" xfId="10808" xr:uid="{00000000-0005-0000-0000-000031030000}"/>
    <cellStyle name="Currency 4 2 2 2 4" xfId="1864" xr:uid="{00000000-0005-0000-0000-00005E030000}"/>
    <cellStyle name="Currency 4 2 2 2 4 2" xfId="3085" xr:uid="{00000000-0005-0000-0000-00007E020000}"/>
    <cellStyle name="Currency 4 2 2 2 4 3" xfId="3587" xr:uid="{00000000-0005-0000-0000-00005E030000}"/>
    <cellStyle name="Currency 4 2 2 2 4 4" xfId="8409" xr:uid="{00000000-0005-0000-0000-000032030000}"/>
    <cellStyle name="Currency 4 2 2 2 4 5" xfId="10806" xr:uid="{00000000-0005-0000-0000-000032030000}"/>
    <cellStyle name="Currency 4 2 2 2 5" xfId="2649" xr:uid="{00000000-0005-0000-0000-00007F020000}"/>
    <cellStyle name="Currency 4 2 2 2 5 2" xfId="7855" xr:uid="{00000000-0005-0000-0000-000033030000}"/>
    <cellStyle name="Currency 4 2 2 2 5 3" xfId="10252" xr:uid="{00000000-0005-0000-0000-000033030000}"/>
    <cellStyle name="Currency 4 2 2 2 6" xfId="2294" xr:uid="{00000000-0005-0000-0000-00007A020000}"/>
    <cellStyle name="Currency 4 2 2 2 7" xfId="3829" xr:uid="{00000000-0005-0000-0000-000084010000}"/>
    <cellStyle name="Currency 4 2 2 2 8" xfId="5533" xr:uid="{00000000-0005-0000-0000-0000C6010000}"/>
    <cellStyle name="Currency 4 2 2 2 9" xfId="5068" xr:uid="{00000000-0005-0000-0000-0000C7010000}"/>
    <cellStyle name="Currency 4 2 2 3" xfId="559" xr:uid="{00000000-0005-0000-0000-00005F030000}"/>
    <cellStyle name="Currency 4 2 2 3 2" xfId="1868" xr:uid="{00000000-0005-0000-0000-000060030000}"/>
    <cellStyle name="Currency 4 2 2 3 2 2" xfId="3088" xr:uid="{00000000-0005-0000-0000-000081020000}"/>
    <cellStyle name="Currency 4 2 2 3 2 3" xfId="3588" xr:uid="{00000000-0005-0000-0000-000060030000}"/>
    <cellStyle name="Currency 4 2 2 3 2 4" xfId="8412" xr:uid="{00000000-0005-0000-0000-000035030000}"/>
    <cellStyle name="Currency 4 2 2 3 2 5" xfId="10809" xr:uid="{00000000-0005-0000-0000-000035030000}"/>
    <cellStyle name="Currency 4 2 2 3 3" xfId="1869" xr:uid="{00000000-0005-0000-0000-000061030000}"/>
    <cellStyle name="Currency 4 2 2 3 3 2" xfId="2692" xr:uid="{00000000-0005-0000-0000-000082020000}"/>
    <cellStyle name="Currency 4 2 2 3 3 3" xfId="3657" xr:uid="{00000000-0005-0000-0000-000061030000}"/>
    <cellStyle name="Currency 4 2 2 3 3 4" xfId="7915" xr:uid="{00000000-0005-0000-0000-000036030000}"/>
    <cellStyle name="Currency 4 2 2 3 3 5" xfId="10312" xr:uid="{00000000-0005-0000-0000-000036030000}"/>
    <cellStyle name="Currency 4 2 2 3 4" xfId="1867" xr:uid="{00000000-0005-0000-0000-000062030000}"/>
    <cellStyle name="Currency 4 2 2 3 4 2" xfId="4657" xr:uid="{00000000-0005-0000-0000-000080020000}"/>
    <cellStyle name="Currency 4 2 2 3 5" xfId="4138" xr:uid="{00000000-0005-0000-0000-000080020000}"/>
    <cellStyle name="Currency 4 2 2 3 6" xfId="5807" xr:uid="{00000000-0005-0000-0000-0000C9010000}"/>
    <cellStyle name="Currency 4 2 2 3 7" xfId="7021" xr:uid="{00000000-0005-0000-0000-000034030000}"/>
    <cellStyle name="Currency 4 2 2 3 8" xfId="9429" xr:uid="{00000000-0005-0000-0000-000034030000}"/>
    <cellStyle name="Currency 4 2 2 4" xfId="1870" xr:uid="{00000000-0005-0000-0000-000063030000}"/>
    <cellStyle name="Currency 4 2 2 4 2" xfId="3089" xr:uid="{00000000-0005-0000-0000-000083020000}"/>
    <cellStyle name="Currency 4 2 2 4 2 2" xfId="8413" xr:uid="{00000000-0005-0000-0000-000038030000}"/>
    <cellStyle name="Currency 4 2 2 4 2 3" xfId="10810" xr:uid="{00000000-0005-0000-0000-000038030000}"/>
    <cellStyle name="Currency 4 2 2 4 3" xfId="3658" xr:uid="{00000000-0005-0000-0000-000063030000}"/>
    <cellStyle name="Currency 4 2 2 4 4" xfId="4424" xr:uid="{00000000-0005-0000-0000-000083020000}"/>
    <cellStyle name="Currency 4 2 2 4 5" xfId="5670" xr:uid="{00000000-0005-0000-0000-0000CA010000}"/>
    <cellStyle name="Currency 4 2 2 4 6" xfId="7019" xr:uid="{00000000-0005-0000-0000-000037030000}"/>
    <cellStyle name="Currency 4 2 2 4 7" xfId="9427" xr:uid="{00000000-0005-0000-0000-000037030000}"/>
    <cellStyle name="Currency 4 2 2 5" xfId="1871" xr:uid="{00000000-0005-0000-0000-000064030000}"/>
    <cellStyle name="Currency 4 2 2 5 2" xfId="2883" xr:uid="{00000000-0005-0000-0000-000084020000}"/>
    <cellStyle name="Currency 4 2 2 5 3" xfId="3583" xr:uid="{00000000-0005-0000-0000-000064030000}"/>
    <cellStyle name="Currency 4 2 2 5 4" xfId="8192" xr:uid="{00000000-0005-0000-0000-000039030000}"/>
    <cellStyle name="Currency 4 2 2 5 5" xfId="10589" xr:uid="{00000000-0005-0000-0000-000039030000}"/>
    <cellStyle name="Currency 4 2 2 6" xfId="1863" xr:uid="{00000000-0005-0000-0000-000065030000}"/>
    <cellStyle name="Currency 4 2 2 6 2" xfId="2554" xr:uid="{00000000-0005-0000-0000-000085020000}"/>
    <cellStyle name="Currency 4 2 2 6 3" xfId="3622" xr:uid="{00000000-0005-0000-0000-000065030000}"/>
    <cellStyle name="Currency 4 2 2 6 4" xfId="7752" xr:uid="{00000000-0005-0000-0000-00003A030000}"/>
    <cellStyle name="Currency 4 2 2 6 5" xfId="10149" xr:uid="{00000000-0005-0000-0000-00003A030000}"/>
    <cellStyle name="Currency 4 2 2 7" xfId="2248" xr:uid="{00000000-0005-0000-0000-000079020000}"/>
    <cellStyle name="Currency 4 2 2 8" xfId="3883" xr:uid="{00000000-0005-0000-0000-000083010000}"/>
    <cellStyle name="Currency 4 2 2 9" xfId="5432" xr:uid="{00000000-0005-0000-0000-0000C5010000}"/>
    <cellStyle name="Currency 4 2 3" xfId="560" xr:uid="{00000000-0005-0000-0000-000066030000}"/>
    <cellStyle name="Currency 4 2 3 10" xfId="6607" xr:uid="{00000000-0005-0000-0000-00003B030000}"/>
    <cellStyle name="Currency 4 2 3 11" xfId="9028" xr:uid="{00000000-0005-0000-0000-00003B030000}"/>
    <cellStyle name="Currency 4 2 3 2" xfId="1873" xr:uid="{00000000-0005-0000-0000-000067030000}"/>
    <cellStyle name="Currency 4 2 3 2 2" xfId="3091" xr:uid="{00000000-0005-0000-0000-000088020000}"/>
    <cellStyle name="Currency 4 2 3 2 2 2" xfId="6503" xr:uid="{00000000-0005-0000-0000-00002F030000}"/>
    <cellStyle name="Currency 4 2 3 2 2 2 2" xfId="11459" xr:uid="{00000000-0005-0000-0000-00002F030000}"/>
    <cellStyle name="Currency 4 2 3 2 2 3" xfId="8415" xr:uid="{00000000-0005-0000-0000-00003D030000}"/>
    <cellStyle name="Currency 4 2 3 2 2 4" xfId="10812" xr:uid="{00000000-0005-0000-0000-00003D030000}"/>
    <cellStyle name="Currency 4 2 3 2 2 5" xfId="11367" xr:uid="{00000000-0005-0000-0000-0000E12C0000}"/>
    <cellStyle name="Currency 4 2 3 2 3" xfId="2694" xr:uid="{00000000-0005-0000-0000-000087020000}"/>
    <cellStyle name="Currency 4 2 3 2 3 2" xfId="7917" xr:uid="{00000000-0005-0000-0000-00003E030000}"/>
    <cellStyle name="Currency 4 2 3 2 3 3" xfId="10314" xr:uid="{00000000-0005-0000-0000-00003E030000}"/>
    <cellStyle name="Currency 4 2 3 2 4" xfId="3616" xr:uid="{00000000-0005-0000-0000-000067030000}"/>
    <cellStyle name="Currency 4 2 3 2 5" xfId="4273" xr:uid="{00000000-0005-0000-0000-000087020000}"/>
    <cellStyle name="Currency 4 2 3 2 6" xfId="5809" xr:uid="{00000000-0005-0000-0000-0000CC010000}"/>
    <cellStyle name="Currency 4 2 3 2 7" xfId="5069" xr:uid="{00000000-0005-0000-0000-0000C9010000}"/>
    <cellStyle name="Currency 4 2 3 2 8" xfId="7022" xr:uid="{00000000-0005-0000-0000-00003C030000}"/>
    <cellStyle name="Currency 4 2 3 2 9" xfId="9430" xr:uid="{00000000-0005-0000-0000-00003C030000}"/>
    <cellStyle name="Currency 4 2 3 3" xfId="1874" xr:uid="{00000000-0005-0000-0000-000068030000}"/>
    <cellStyle name="Currency 4 2 3 3 2" xfId="3092" xr:uid="{00000000-0005-0000-0000-000089020000}"/>
    <cellStyle name="Currency 4 2 3 3 2 2" xfId="11460" xr:uid="{00000000-0005-0000-0000-000032030000}"/>
    <cellStyle name="Currency 4 2 3 3 3" xfId="3696" xr:uid="{00000000-0005-0000-0000-000068030000}"/>
    <cellStyle name="Currency 4 2 3 3 4" xfId="4425" xr:uid="{00000000-0005-0000-0000-000089020000}"/>
    <cellStyle name="Currency 4 2 3 3 5" xfId="5704" xr:uid="{00000000-0005-0000-0000-0000CD010000}"/>
    <cellStyle name="Currency 4 2 3 3 6" xfId="8416" xr:uid="{00000000-0005-0000-0000-00003F030000}"/>
    <cellStyle name="Currency 4 2 3 3 7" xfId="10813" xr:uid="{00000000-0005-0000-0000-00003F030000}"/>
    <cellStyle name="Currency 4 2 3 4" xfId="1872" xr:uid="{00000000-0005-0000-0000-000069030000}"/>
    <cellStyle name="Currency 4 2 3 4 2" xfId="3090" xr:uid="{00000000-0005-0000-0000-00008A020000}"/>
    <cellStyle name="Currency 4 2 3 4 2 2" xfId="11458" xr:uid="{00000000-0005-0000-0000-000034030000}"/>
    <cellStyle name="Currency 4 2 3 4 3" xfId="2078" xr:uid="{00000000-0005-0000-0000-000069030000}"/>
    <cellStyle name="Currency 4 2 3 4 4" xfId="8414" xr:uid="{00000000-0005-0000-0000-000040030000}"/>
    <cellStyle name="Currency 4 2 3 4 5" xfId="10811" xr:uid="{00000000-0005-0000-0000-000040030000}"/>
    <cellStyle name="Currency 4 2 3 5" xfId="2597" xr:uid="{00000000-0005-0000-0000-00008B020000}"/>
    <cellStyle name="Currency 4 2 3 5 2" xfId="7795" xr:uid="{00000000-0005-0000-0000-000041030000}"/>
    <cellStyle name="Currency 4 2 3 5 3" xfId="10192" xr:uid="{00000000-0005-0000-0000-000041030000}"/>
    <cellStyle name="Currency 4 2 3 6" xfId="2293" xr:uid="{00000000-0005-0000-0000-000086020000}"/>
    <cellStyle name="Currency 4 2 3 7" xfId="3828" xr:uid="{00000000-0005-0000-0000-000085010000}"/>
    <cellStyle name="Currency 4 2 3 8" xfId="5473" xr:uid="{00000000-0005-0000-0000-0000CB010000}"/>
    <cellStyle name="Currency 4 2 3 9" xfId="4861" xr:uid="{00000000-0005-0000-0000-0000C8010000}"/>
    <cellStyle name="Currency 4 2 4" xfId="561" xr:uid="{00000000-0005-0000-0000-00006A030000}"/>
    <cellStyle name="Currency 4 2 4 2" xfId="1876" xr:uid="{00000000-0005-0000-0000-00006B030000}"/>
    <cellStyle name="Currency 4 2 4 2 2" xfId="3093" xr:uid="{00000000-0005-0000-0000-00008D020000}"/>
    <cellStyle name="Currency 4 2 4 2 2 2" xfId="8417" xr:uid="{00000000-0005-0000-0000-000044030000}"/>
    <cellStyle name="Currency 4 2 4 2 2 3" xfId="10814" xr:uid="{00000000-0005-0000-0000-000044030000}"/>
    <cellStyle name="Currency 4 2 4 2 3" xfId="2862" xr:uid="{00000000-0005-0000-0000-00006B030000}"/>
    <cellStyle name="Currency 4 2 4 2 4" xfId="6365" xr:uid="{00000000-0005-0000-0000-00008D020000}"/>
    <cellStyle name="Currency 4 2 4 2 5" xfId="7023" xr:uid="{00000000-0005-0000-0000-000043030000}"/>
    <cellStyle name="Currency 4 2 4 2 6" xfId="9431" xr:uid="{00000000-0005-0000-0000-000043030000}"/>
    <cellStyle name="Currency 4 2 4 3" xfId="1877" xr:uid="{00000000-0005-0000-0000-00006C030000}"/>
    <cellStyle name="Currency 4 2 4 3 2" xfId="2691" xr:uid="{00000000-0005-0000-0000-00008E020000}"/>
    <cellStyle name="Currency 4 2 4 3 3" xfId="3544" xr:uid="{00000000-0005-0000-0000-00006C030000}"/>
    <cellStyle name="Currency 4 2 4 3 4" xfId="6171" xr:uid="{00000000-0005-0000-0000-00008E020000}"/>
    <cellStyle name="Currency 4 2 4 3 5" xfId="7914" xr:uid="{00000000-0005-0000-0000-000045030000}"/>
    <cellStyle name="Currency 4 2 4 3 6" xfId="10311" xr:uid="{00000000-0005-0000-0000-000045030000}"/>
    <cellStyle name="Currency 4 2 4 4" xfId="1875" xr:uid="{00000000-0005-0000-0000-00006D030000}"/>
    <cellStyle name="Currency 4 2 4 4 2" xfId="4674" xr:uid="{00000000-0005-0000-0000-00008C020000}"/>
    <cellStyle name="Currency 4 2 4 5" xfId="4137" xr:uid="{00000000-0005-0000-0000-00008C020000}"/>
    <cellStyle name="Currency 4 2 4 6" xfId="5806" xr:uid="{00000000-0005-0000-0000-0000CE010000}"/>
    <cellStyle name="Currency 4 2 4 7" xfId="5067" xr:uid="{00000000-0005-0000-0000-0000CA010000}"/>
    <cellStyle name="Currency 4 2 4 8" xfId="6768" xr:uid="{00000000-0005-0000-0000-000042030000}"/>
    <cellStyle name="Currency 4 2 4 9" xfId="9189" xr:uid="{00000000-0005-0000-0000-000042030000}"/>
    <cellStyle name="Currency 4 2 5" xfId="562" xr:uid="{00000000-0005-0000-0000-00006E030000}"/>
    <cellStyle name="Currency 4 2 5 2" xfId="1879" xr:uid="{00000000-0005-0000-0000-00006F030000}"/>
    <cellStyle name="Currency 4 2 5 2 2" xfId="5296" xr:uid="{00000000-0005-0000-0000-00003B030000}"/>
    <cellStyle name="Currency 4 2 5 2 3" xfId="8418" xr:uid="{00000000-0005-0000-0000-000047030000}"/>
    <cellStyle name="Currency 4 2 5 2 4" xfId="10815" xr:uid="{00000000-0005-0000-0000-000047030000}"/>
    <cellStyle name="Currency 4 2 5 3" xfId="1880" xr:uid="{00000000-0005-0000-0000-000070030000}"/>
    <cellStyle name="Currency 4 2 5 4" xfId="1878" xr:uid="{00000000-0005-0000-0000-000071030000}"/>
    <cellStyle name="Currency 4 2 5 5" xfId="4426" xr:uid="{00000000-0005-0000-0000-00008F020000}"/>
    <cellStyle name="Currency 4 2 5 6" xfId="5618" xr:uid="{00000000-0005-0000-0000-0000CF010000}"/>
    <cellStyle name="Currency 4 2 5 7" xfId="7024" xr:uid="{00000000-0005-0000-0000-000046030000}"/>
    <cellStyle name="Currency 4 2 5 8" xfId="9432" xr:uid="{00000000-0005-0000-0000-000046030000}"/>
    <cellStyle name="Currency 4 2 6" xfId="1881" xr:uid="{00000000-0005-0000-0000-000072030000}"/>
    <cellStyle name="Currency 4 2 6 2" xfId="2882" xr:uid="{00000000-0005-0000-0000-000090020000}"/>
    <cellStyle name="Currency 4 2 6 2 2" xfId="8191" xr:uid="{00000000-0005-0000-0000-000049030000}"/>
    <cellStyle name="Currency 4 2 6 2 3" xfId="10588" xr:uid="{00000000-0005-0000-0000-000049030000}"/>
    <cellStyle name="Currency 4 2 6 3" xfId="3621" xr:uid="{00000000-0005-0000-0000-000072030000}"/>
    <cellStyle name="Currency 4 2 6 4" xfId="6275" xr:uid="{00000000-0005-0000-0000-000090020000}"/>
    <cellStyle name="Currency 4 2 6 5" xfId="7018" xr:uid="{00000000-0005-0000-0000-000048030000}"/>
    <cellStyle name="Currency 4 2 6 6" xfId="9426" xr:uid="{00000000-0005-0000-0000-000048030000}"/>
    <cellStyle name="Currency 4 2 7" xfId="1882" xr:uid="{00000000-0005-0000-0000-000073030000}"/>
    <cellStyle name="Currency 4 2 7 2" xfId="2494" xr:uid="{00000000-0005-0000-0000-000091020000}"/>
    <cellStyle name="Currency 4 2 7 3" xfId="3603" xr:uid="{00000000-0005-0000-0000-000073030000}"/>
    <cellStyle name="Currency 4 2 7 4" xfId="7692" xr:uid="{00000000-0005-0000-0000-00004A030000}"/>
    <cellStyle name="Currency 4 2 7 5" xfId="10089" xr:uid="{00000000-0005-0000-0000-00004A030000}"/>
    <cellStyle name="Currency 4 2 8" xfId="1862" xr:uid="{00000000-0005-0000-0000-000074030000}"/>
    <cellStyle name="Currency 4 2 8 2" xfId="2188" xr:uid="{00000000-0005-0000-0000-000078020000}"/>
    <cellStyle name="Currency 4 2 8 3" xfId="3651" xr:uid="{00000000-0005-0000-0000-000074030000}"/>
    <cellStyle name="Currency 4 2 9" xfId="3882" xr:uid="{00000000-0005-0000-0000-000082010000}"/>
    <cellStyle name="Currency 4 3" xfId="563" xr:uid="{00000000-0005-0000-0000-000075030000}"/>
    <cellStyle name="Currency 4 3 10" xfId="5349" xr:uid="{00000000-0005-0000-0000-0000D0010000}"/>
    <cellStyle name="Currency 4 3 11" xfId="4805" xr:uid="{00000000-0005-0000-0000-0000CB010000}"/>
    <cellStyle name="Currency 4 3 12" xfId="6551" xr:uid="{00000000-0005-0000-0000-00004B030000}"/>
    <cellStyle name="Currency 4 3 13" xfId="8972" xr:uid="{00000000-0005-0000-0000-00004B030000}"/>
    <cellStyle name="Currency 4 3 2" xfId="564" xr:uid="{00000000-0005-0000-0000-000076030000}"/>
    <cellStyle name="Currency 4 3 2 10" xfId="6609" xr:uid="{00000000-0005-0000-0000-00004C030000}"/>
    <cellStyle name="Currency 4 3 2 11" xfId="9030" xr:uid="{00000000-0005-0000-0000-00004C030000}"/>
    <cellStyle name="Currency 4 3 2 2" xfId="565" xr:uid="{00000000-0005-0000-0000-000077030000}"/>
    <cellStyle name="Currency 4 3 2 2 2" xfId="1886" xr:uid="{00000000-0005-0000-0000-000078030000}"/>
    <cellStyle name="Currency 4 3 2 2 2 2" xfId="3095" xr:uid="{00000000-0005-0000-0000-000095020000}"/>
    <cellStyle name="Currency 4 3 2 2 2 2 2" xfId="11462" xr:uid="{00000000-0005-0000-0000-000043030000}"/>
    <cellStyle name="Currency 4 3 2 2 2 3" xfId="2051" xr:uid="{00000000-0005-0000-0000-000078030000}"/>
    <cellStyle name="Currency 4 3 2 2 2 4" xfId="8420" xr:uid="{00000000-0005-0000-0000-00004E030000}"/>
    <cellStyle name="Currency 4 3 2 2 2 5" xfId="10817" xr:uid="{00000000-0005-0000-0000-00004E030000}"/>
    <cellStyle name="Currency 4 3 2 2 3" xfId="1887" xr:uid="{00000000-0005-0000-0000-000079030000}"/>
    <cellStyle name="Currency 4 3 2 2 3 2" xfId="4683" xr:uid="{00000000-0005-0000-0000-000094020000}"/>
    <cellStyle name="Currency 4 3 2 2 3 3" xfId="7919" xr:uid="{00000000-0005-0000-0000-00004F030000}"/>
    <cellStyle name="Currency 4 3 2 2 3 4" xfId="10316" xr:uid="{00000000-0005-0000-0000-00004F030000}"/>
    <cellStyle name="Currency 4 3 2 2 4" xfId="1885" xr:uid="{00000000-0005-0000-0000-00007A030000}"/>
    <cellStyle name="Currency 4 3 2 2 5" xfId="4275" xr:uid="{00000000-0005-0000-0000-000094020000}"/>
    <cellStyle name="Currency 4 3 2 2 6" xfId="5811" xr:uid="{00000000-0005-0000-0000-0000D2010000}"/>
    <cellStyle name="Currency 4 3 2 2 7" xfId="5071" xr:uid="{00000000-0005-0000-0000-0000CD010000}"/>
    <cellStyle name="Currency 4 3 2 2 8" xfId="7027" xr:uid="{00000000-0005-0000-0000-00004D030000}"/>
    <cellStyle name="Currency 4 3 2 2 9" xfId="9435" xr:uid="{00000000-0005-0000-0000-00004D030000}"/>
    <cellStyle name="Currency 4 3 2 3" xfId="1888" xr:uid="{00000000-0005-0000-0000-00007B030000}"/>
    <cellStyle name="Currency 4 3 2 3 2" xfId="3096" xr:uid="{00000000-0005-0000-0000-000096020000}"/>
    <cellStyle name="Currency 4 3 2 3 2 2" xfId="8421" xr:uid="{00000000-0005-0000-0000-000051030000}"/>
    <cellStyle name="Currency 4 3 2 3 2 3" xfId="10818" xr:uid="{00000000-0005-0000-0000-000051030000}"/>
    <cellStyle name="Currency 4 3 2 3 3" xfId="3600" xr:uid="{00000000-0005-0000-0000-00007B030000}"/>
    <cellStyle name="Currency 4 3 2 3 4" xfId="4427" xr:uid="{00000000-0005-0000-0000-000096020000}"/>
    <cellStyle name="Currency 4 3 2 3 5" xfId="5655" xr:uid="{00000000-0005-0000-0000-0000D3010000}"/>
    <cellStyle name="Currency 4 3 2 3 6" xfId="7026" xr:uid="{00000000-0005-0000-0000-000050030000}"/>
    <cellStyle name="Currency 4 3 2 3 7" xfId="9434" xr:uid="{00000000-0005-0000-0000-000050030000}"/>
    <cellStyle name="Currency 4 3 2 4" xfId="1889" xr:uid="{00000000-0005-0000-0000-00007C030000}"/>
    <cellStyle name="Currency 4 3 2 4 2" xfId="3094" xr:uid="{00000000-0005-0000-0000-000097020000}"/>
    <cellStyle name="Currency 4 3 2 4 2 2" xfId="11461" xr:uid="{00000000-0005-0000-0000-000048030000}"/>
    <cellStyle name="Currency 4 3 2 4 3" xfId="3643" xr:uid="{00000000-0005-0000-0000-00007C030000}"/>
    <cellStyle name="Currency 4 3 2 4 4" xfId="8419" xr:uid="{00000000-0005-0000-0000-000052030000}"/>
    <cellStyle name="Currency 4 3 2 4 5" xfId="10816" xr:uid="{00000000-0005-0000-0000-000052030000}"/>
    <cellStyle name="Currency 4 3 2 5" xfId="1884" xr:uid="{00000000-0005-0000-0000-00007D030000}"/>
    <cellStyle name="Currency 4 3 2 5 2" xfId="2531" xr:uid="{00000000-0005-0000-0000-000098020000}"/>
    <cellStyle name="Currency 4 3 2 5 3" xfId="3595" xr:uid="{00000000-0005-0000-0000-00007D030000}"/>
    <cellStyle name="Currency 4 3 2 5 4" xfId="7729" xr:uid="{00000000-0005-0000-0000-000053030000}"/>
    <cellStyle name="Currency 4 3 2 5 5" xfId="10126" xr:uid="{00000000-0005-0000-0000-000053030000}"/>
    <cellStyle name="Currency 4 3 2 6" xfId="2295" xr:uid="{00000000-0005-0000-0000-000093020000}"/>
    <cellStyle name="Currency 4 3 2 7" xfId="3830" xr:uid="{00000000-0005-0000-0000-000087010000}"/>
    <cellStyle name="Currency 4 3 2 8" xfId="5409" xr:uid="{00000000-0005-0000-0000-0000D1010000}"/>
    <cellStyle name="Currency 4 3 2 9" xfId="4863" xr:uid="{00000000-0005-0000-0000-0000CC010000}"/>
    <cellStyle name="Currency 4 3 3" xfId="566" xr:uid="{00000000-0005-0000-0000-00007E030000}"/>
    <cellStyle name="Currency 4 3 3 10" xfId="9191" xr:uid="{00000000-0005-0000-0000-000054030000}"/>
    <cellStyle name="Currency 4 3 3 2" xfId="1891" xr:uid="{00000000-0005-0000-0000-00007F030000}"/>
    <cellStyle name="Currency 4 3 3 2 2" xfId="3098" xr:uid="{00000000-0005-0000-0000-00009B020000}"/>
    <cellStyle name="Currency 4 3 3 2 2 2" xfId="8423" xr:uid="{00000000-0005-0000-0000-000056030000}"/>
    <cellStyle name="Currency 4 3 3 2 2 3" xfId="10820" xr:uid="{00000000-0005-0000-0000-000056030000}"/>
    <cellStyle name="Currency 4 3 3 2 3" xfId="2695" xr:uid="{00000000-0005-0000-0000-00009A020000}"/>
    <cellStyle name="Currency 4 3 3 2 3 2" xfId="7920" xr:uid="{00000000-0005-0000-0000-000057030000}"/>
    <cellStyle name="Currency 4 3 3 2 3 3" xfId="10317" xr:uid="{00000000-0005-0000-0000-000057030000}"/>
    <cellStyle name="Currency 4 3 3 2 4" xfId="2062" xr:uid="{00000000-0005-0000-0000-00007F030000}"/>
    <cellStyle name="Currency 4 3 3 2 5" xfId="4276" xr:uid="{00000000-0005-0000-0000-00009A020000}"/>
    <cellStyle name="Currency 4 3 3 2 6" xfId="5812" xr:uid="{00000000-0005-0000-0000-0000D5010000}"/>
    <cellStyle name="Currency 4 3 3 2 7" xfId="7028" xr:uid="{00000000-0005-0000-0000-000055030000}"/>
    <cellStyle name="Currency 4 3 3 2 8" xfId="9436" xr:uid="{00000000-0005-0000-0000-000055030000}"/>
    <cellStyle name="Currency 4 3 3 3" xfId="1892" xr:uid="{00000000-0005-0000-0000-000080030000}"/>
    <cellStyle name="Currency 4 3 3 3 2" xfId="3099" xr:uid="{00000000-0005-0000-0000-00009C020000}"/>
    <cellStyle name="Currency 4 3 3 3 2 2" xfId="11463" xr:uid="{00000000-0005-0000-0000-00004F030000}"/>
    <cellStyle name="Currency 4 3 3 3 3" xfId="3663" xr:uid="{00000000-0005-0000-0000-000080030000}"/>
    <cellStyle name="Currency 4 3 3 3 4" xfId="4428" xr:uid="{00000000-0005-0000-0000-00009C020000}"/>
    <cellStyle name="Currency 4 3 3 3 5" xfId="5740" xr:uid="{00000000-0005-0000-0000-0000D6010000}"/>
    <cellStyle name="Currency 4 3 3 3 6" xfId="8424" xr:uid="{00000000-0005-0000-0000-000058030000}"/>
    <cellStyle name="Currency 4 3 3 3 7" xfId="10821" xr:uid="{00000000-0005-0000-0000-000058030000}"/>
    <cellStyle name="Currency 4 3 3 4" xfId="1890" xr:uid="{00000000-0005-0000-0000-000081030000}"/>
    <cellStyle name="Currency 4 3 3 4 2" xfId="3097" xr:uid="{00000000-0005-0000-0000-00009D020000}"/>
    <cellStyle name="Currency 4 3 3 4 3" xfId="3692" xr:uid="{00000000-0005-0000-0000-000081030000}"/>
    <cellStyle name="Currency 4 3 3 4 4" xfId="8422" xr:uid="{00000000-0005-0000-0000-000059030000}"/>
    <cellStyle name="Currency 4 3 3 4 5" xfId="10819" xr:uid="{00000000-0005-0000-0000-000059030000}"/>
    <cellStyle name="Currency 4 3 3 5" xfId="2634" xr:uid="{00000000-0005-0000-0000-00009E020000}"/>
    <cellStyle name="Currency 4 3 3 5 2" xfId="7832" xr:uid="{00000000-0005-0000-0000-00005A030000}"/>
    <cellStyle name="Currency 4 3 3 5 3" xfId="10229" xr:uid="{00000000-0005-0000-0000-00005A030000}"/>
    <cellStyle name="Currency 4 3 3 6" xfId="4139" xr:uid="{00000000-0005-0000-0000-000099020000}"/>
    <cellStyle name="Currency 4 3 3 7" xfId="5510" xr:uid="{00000000-0005-0000-0000-0000D4010000}"/>
    <cellStyle name="Currency 4 3 3 8" xfId="5070" xr:uid="{00000000-0005-0000-0000-0000CE010000}"/>
    <cellStyle name="Currency 4 3 3 9" xfId="6770" xr:uid="{00000000-0005-0000-0000-000054030000}"/>
    <cellStyle name="Currency 4 3 4" xfId="567" xr:uid="{00000000-0005-0000-0000-000082030000}"/>
    <cellStyle name="Currency 4 3 4 2" xfId="1894" xr:uid="{00000000-0005-0000-0000-000083030000}"/>
    <cellStyle name="Currency 4 3 4 2 2" xfId="3100" xr:uid="{00000000-0005-0000-0000-0000A0020000}"/>
    <cellStyle name="Currency 4 3 4 2 3" xfId="3628" xr:uid="{00000000-0005-0000-0000-000083030000}"/>
    <cellStyle name="Currency 4 3 4 2 4" xfId="8425" xr:uid="{00000000-0005-0000-0000-00005C030000}"/>
    <cellStyle name="Currency 4 3 4 2 5" xfId="10822" xr:uid="{00000000-0005-0000-0000-00005C030000}"/>
    <cellStyle name="Currency 4 3 4 3" xfId="1895" xr:uid="{00000000-0005-0000-0000-000084030000}"/>
    <cellStyle name="Currency 4 3 4 3 2" xfId="4673" xr:uid="{00000000-0005-0000-0000-00009F020000}"/>
    <cellStyle name="Currency 4 3 4 3 3" xfId="7918" xr:uid="{00000000-0005-0000-0000-00005D030000}"/>
    <cellStyle name="Currency 4 3 4 3 4" xfId="10315" xr:uid="{00000000-0005-0000-0000-00005D030000}"/>
    <cellStyle name="Currency 4 3 4 4" xfId="1893" xr:uid="{00000000-0005-0000-0000-000085030000}"/>
    <cellStyle name="Currency 4 3 4 5" xfId="4274" xr:uid="{00000000-0005-0000-0000-00009F020000}"/>
    <cellStyle name="Currency 4 3 4 6" xfId="5810" xr:uid="{00000000-0005-0000-0000-0000D7010000}"/>
    <cellStyle name="Currency 4 3 4 7" xfId="7029" xr:uid="{00000000-0005-0000-0000-00005B030000}"/>
    <cellStyle name="Currency 4 3 4 8" xfId="9437" xr:uid="{00000000-0005-0000-0000-00005B030000}"/>
    <cellStyle name="Currency 4 3 5" xfId="1896" xr:uid="{00000000-0005-0000-0000-000086030000}"/>
    <cellStyle name="Currency 4 3 5 2" xfId="3101" xr:uid="{00000000-0005-0000-0000-0000A1020000}"/>
    <cellStyle name="Currency 4 3 5 2 2" xfId="8426" xr:uid="{00000000-0005-0000-0000-00005F030000}"/>
    <cellStyle name="Currency 4 3 5 2 3" xfId="10823" xr:uid="{00000000-0005-0000-0000-00005F030000}"/>
    <cellStyle name="Currency 4 3 5 3" xfId="3560" xr:uid="{00000000-0005-0000-0000-000086030000}"/>
    <cellStyle name="Currency 4 3 5 4" xfId="4429" xr:uid="{00000000-0005-0000-0000-0000A1020000}"/>
    <cellStyle name="Currency 4 3 5 5" xfId="5595" xr:uid="{00000000-0005-0000-0000-0000D8010000}"/>
    <cellStyle name="Currency 4 3 5 6" xfId="7025" xr:uid="{00000000-0005-0000-0000-00005E030000}"/>
    <cellStyle name="Currency 4 3 5 7" xfId="9433" xr:uid="{00000000-0005-0000-0000-00005E030000}"/>
    <cellStyle name="Currency 4 3 6" xfId="1897" xr:uid="{00000000-0005-0000-0000-000087030000}"/>
    <cellStyle name="Currency 4 3 6 2" xfId="2884" xr:uid="{00000000-0005-0000-0000-0000A2020000}"/>
    <cellStyle name="Currency 4 3 6 3" xfId="3589" xr:uid="{00000000-0005-0000-0000-000087030000}"/>
    <cellStyle name="Currency 4 3 6 4" xfId="8193" xr:uid="{00000000-0005-0000-0000-000060030000}"/>
    <cellStyle name="Currency 4 3 6 5" xfId="10590" xr:uid="{00000000-0005-0000-0000-000060030000}"/>
    <cellStyle name="Currency 4 3 7" xfId="1883" xr:uid="{00000000-0005-0000-0000-000088030000}"/>
    <cellStyle name="Currency 4 3 7 2" xfId="2471" xr:uid="{00000000-0005-0000-0000-0000A3020000}"/>
    <cellStyle name="Currency 4 3 7 3" xfId="3702" xr:uid="{00000000-0005-0000-0000-000088030000}"/>
    <cellStyle name="Currency 4 3 7 4" xfId="7669" xr:uid="{00000000-0005-0000-0000-000061030000}"/>
    <cellStyle name="Currency 4 3 7 5" xfId="10066" xr:uid="{00000000-0005-0000-0000-000061030000}"/>
    <cellStyle name="Currency 4 3 8" xfId="2225" xr:uid="{00000000-0005-0000-0000-000092020000}"/>
    <cellStyle name="Currency 4 3 9" xfId="3884" xr:uid="{00000000-0005-0000-0000-000086010000}"/>
    <cellStyle name="Currency 4 4" xfId="568" xr:uid="{00000000-0005-0000-0000-000089030000}"/>
    <cellStyle name="Currency 4 4 10" xfId="4785" xr:uid="{00000000-0005-0000-0000-0000CF010000}"/>
    <cellStyle name="Currency 4 4 11" xfId="6610" xr:uid="{00000000-0005-0000-0000-000062030000}"/>
    <cellStyle name="Currency 4 4 12" xfId="9031" xr:uid="{00000000-0005-0000-0000-000062030000}"/>
    <cellStyle name="Currency 4 4 2" xfId="569" xr:uid="{00000000-0005-0000-0000-00008A030000}"/>
    <cellStyle name="Currency 4 4 2 10" xfId="6771" xr:uid="{00000000-0005-0000-0000-000063030000}"/>
    <cellStyle name="Currency 4 4 2 11" xfId="9192" xr:uid="{00000000-0005-0000-0000-000063030000}"/>
    <cellStyle name="Currency 4 4 2 2" xfId="570" xr:uid="{00000000-0005-0000-0000-00008B030000}"/>
    <cellStyle name="Currency 4 4 2 2 2" xfId="1901" xr:uid="{00000000-0005-0000-0000-00008C030000}"/>
    <cellStyle name="Currency 4 4 2 2 2 2" xfId="3103" xr:uid="{00000000-0005-0000-0000-0000A7020000}"/>
    <cellStyle name="Currency 4 4 2 2 2 2 2" xfId="11465" xr:uid="{00000000-0005-0000-0000-00005D030000}"/>
    <cellStyle name="Currency 4 4 2 2 2 3" xfId="2060" xr:uid="{00000000-0005-0000-0000-00008C030000}"/>
    <cellStyle name="Currency 4 4 2 2 2 4" xfId="8428" xr:uid="{00000000-0005-0000-0000-000065030000}"/>
    <cellStyle name="Currency 4 4 2 2 2 5" xfId="10825" xr:uid="{00000000-0005-0000-0000-000065030000}"/>
    <cellStyle name="Currency 4 4 2 2 3" xfId="1902" xr:uid="{00000000-0005-0000-0000-00008D030000}"/>
    <cellStyle name="Currency 4 4 2 2 3 2" xfId="4638" xr:uid="{00000000-0005-0000-0000-0000A6020000}"/>
    <cellStyle name="Currency 4 4 2 2 3 3" xfId="7922" xr:uid="{00000000-0005-0000-0000-000066030000}"/>
    <cellStyle name="Currency 4 4 2 2 3 4" xfId="10319" xr:uid="{00000000-0005-0000-0000-000066030000}"/>
    <cellStyle name="Currency 4 4 2 2 4" xfId="1900" xr:uid="{00000000-0005-0000-0000-00008E030000}"/>
    <cellStyle name="Currency 4 4 2 2 5" xfId="4277" xr:uid="{00000000-0005-0000-0000-0000A6020000}"/>
    <cellStyle name="Currency 4 4 2 2 6" xfId="5814" xr:uid="{00000000-0005-0000-0000-0000DB010000}"/>
    <cellStyle name="Currency 4 4 2 2 7" xfId="5073" xr:uid="{00000000-0005-0000-0000-0000D1010000}"/>
    <cellStyle name="Currency 4 4 2 2 8" xfId="7032" xr:uid="{00000000-0005-0000-0000-000064030000}"/>
    <cellStyle name="Currency 4 4 2 2 9" xfId="9440" xr:uid="{00000000-0005-0000-0000-000064030000}"/>
    <cellStyle name="Currency 4 4 2 3" xfId="1903" xr:uid="{00000000-0005-0000-0000-00008F030000}"/>
    <cellStyle name="Currency 4 4 2 3 2" xfId="3104" xr:uid="{00000000-0005-0000-0000-0000A8020000}"/>
    <cellStyle name="Currency 4 4 2 3 2 2" xfId="8429" xr:uid="{00000000-0005-0000-0000-000068030000}"/>
    <cellStyle name="Currency 4 4 2 3 2 3" xfId="10826" xr:uid="{00000000-0005-0000-0000-000068030000}"/>
    <cellStyle name="Currency 4 4 2 3 3" xfId="3693" xr:uid="{00000000-0005-0000-0000-00008F030000}"/>
    <cellStyle name="Currency 4 4 2 3 4" xfId="4430" xr:uid="{00000000-0005-0000-0000-0000A8020000}"/>
    <cellStyle name="Currency 4 4 2 3 5" xfId="5720" xr:uid="{00000000-0005-0000-0000-0000DC010000}"/>
    <cellStyle name="Currency 4 4 2 3 6" xfId="7031" xr:uid="{00000000-0005-0000-0000-000067030000}"/>
    <cellStyle name="Currency 4 4 2 3 7" xfId="9439" xr:uid="{00000000-0005-0000-0000-000067030000}"/>
    <cellStyle name="Currency 4 4 2 4" xfId="1904" xr:uid="{00000000-0005-0000-0000-000090030000}"/>
    <cellStyle name="Currency 4 4 2 4 2" xfId="3102" xr:uid="{00000000-0005-0000-0000-0000A9020000}"/>
    <cellStyle name="Currency 4 4 2 4 2 2" xfId="11464" xr:uid="{00000000-0005-0000-0000-000062030000}"/>
    <cellStyle name="Currency 4 4 2 4 3" xfId="3558" xr:uid="{00000000-0005-0000-0000-000090030000}"/>
    <cellStyle name="Currency 4 4 2 4 4" xfId="8427" xr:uid="{00000000-0005-0000-0000-000069030000}"/>
    <cellStyle name="Currency 4 4 2 4 5" xfId="10824" xr:uid="{00000000-0005-0000-0000-000069030000}"/>
    <cellStyle name="Currency 4 4 2 5" xfId="1899" xr:uid="{00000000-0005-0000-0000-000091030000}"/>
    <cellStyle name="Currency 4 4 2 5 2" xfId="2614" xr:uid="{00000000-0005-0000-0000-0000AA020000}"/>
    <cellStyle name="Currency 4 4 2 5 3" xfId="3662" xr:uid="{00000000-0005-0000-0000-000091030000}"/>
    <cellStyle name="Currency 4 4 2 5 4" xfId="7812" xr:uid="{00000000-0005-0000-0000-00006A030000}"/>
    <cellStyle name="Currency 4 4 2 5 5" xfId="10209" xr:uid="{00000000-0005-0000-0000-00006A030000}"/>
    <cellStyle name="Currency 4 4 2 6" xfId="2296" xr:uid="{00000000-0005-0000-0000-0000A5020000}"/>
    <cellStyle name="Currency 4 4 2 7" xfId="3831" xr:uid="{00000000-0005-0000-0000-000089010000}"/>
    <cellStyle name="Currency 4 4 2 8" xfId="5490" xr:uid="{00000000-0005-0000-0000-0000DA010000}"/>
    <cellStyle name="Currency 4 4 2 9" xfId="4864" xr:uid="{00000000-0005-0000-0000-0000D0010000}"/>
    <cellStyle name="Currency 4 4 3" xfId="571" xr:uid="{00000000-0005-0000-0000-000092030000}"/>
    <cellStyle name="Currency 4 4 3 2" xfId="1906" xr:uid="{00000000-0005-0000-0000-000093030000}"/>
    <cellStyle name="Currency 4 4 3 2 2" xfId="3105" xr:uid="{00000000-0005-0000-0000-0000AC020000}"/>
    <cellStyle name="Currency 4 4 3 2 2 2" xfId="11466" xr:uid="{00000000-0005-0000-0000-000066030000}"/>
    <cellStyle name="Currency 4 4 3 2 3" xfId="3555" xr:uid="{00000000-0005-0000-0000-000093030000}"/>
    <cellStyle name="Currency 4 4 3 2 4" xfId="8430" xr:uid="{00000000-0005-0000-0000-00006C030000}"/>
    <cellStyle name="Currency 4 4 3 2 5" xfId="10827" xr:uid="{00000000-0005-0000-0000-00006C030000}"/>
    <cellStyle name="Currency 4 4 3 3" xfId="1907" xr:uid="{00000000-0005-0000-0000-000094030000}"/>
    <cellStyle name="Currency 4 4 3 3 2" xfId="2696" xr:uid="{00000000-0005-0000-0000-0000AD020000}"/>
    <cellStyle name="Currency 4 4 3 3 3" xfId="3585" xr:uid="{00000000-0005-0000-0000-000094030000}"/>
    <cellStyle name="Currency 4 4 3 3 4" xfId="7921" xr:uid="{00000000-0005-0000-0000-00006D030000}"/>
    <cellStyle name="Currency 4 4 3 3 5" xfId="10318" xr:uid="{00000000-0005-0000-0000-00006D030000}"/>
    <cellStyle name="Currency 4 4 3 4" xfId="1905" xr:uid="{00000000-0005-0000-0000-000095030000}"/>
    <cellStyle name="Currency 4 4 3 4 2" xfId="3771" xr:uid="{00000000-0005-0000-0000-0000AB020000}"/>
    <cellStyle name="Currency 4 4 3 5" xfId="4140" xr:uid="{00000000-0005-0000-0000-0000AB020000}"/>
    <cellStyle name="Currency 4 4 3 6" xfId="5813" xr:uid="{00000000-0005-0000-0000-0000DD010000}"/>
    <cellStyle name="Currency 4 4 3 7" xfId="5072" xr:uid="{00000000-0005-0000-0000-0000D2010000}"/>
    <cellStyle name="Currency 4 4 3 8" xfId="7033" xr:uid="{00000000-0005-0000-0000-00006B030000}"/>
    <cellStyle name="Currency 4 4 3 9" xfId="9441" xr:uid="{00000000-0005-0000-0000-00006B030000}"/>
    <cellStyle name="Currency 4 4 4" xfId="572" xr:uid="{00000000-0005-0000-0000-000096030000}"/>
    <cellStyle name="Currency 4 4 4 2" xfId="1909" xr:uid="{00000000-0005-0000-0000-000097030000}"/>
    <cellStyle name="Currency 4 4 4 2 2" xfId="6455" xr:uid="{00000000-0005-0000-0000-000069030000}"/>
    <cellStyle name="Currency 4 4 4 2 3" xfId="8431" xr:uid="{00000000-0005-0000-0000-00006F030000}"/>
    <cellStyle name="Currency 4 4 4 2 4" xfId="10828" xr:uid="{00000000-0005-0000-0000-00006F030000}"/>
    <cellStyle name="Currency 4 4 4 3" xfId="1910" xr:uid="{00000000-0005-0000-0000-000098030000}"/>
    <cellStyle name="Currency 4 4 4 4" xfId="1908" xr:uid="{00000000-0005-0000-0000-000099030000}"/>
    <cellStyle name="Currency 4 4 4 5" xfId="4431" xr:uid="{00000000-0005-0000-0000-0000AE020000}"/>
    <cellStyle name="Currency 4 4 4 6" xfId="5575" xr:uid="{00000000-0005-0000-0000-0000DE010000}"/>
    <cellStyle name="Currency 4 4 4 7" xfId="7034" xr:uid="{00000000-0005-0000-0000-00006E030000}"/>
    <cellStyle name="Currency 4 4 4 8" xfId="9442" xr:uid="{00000000-0005-0000-0000-00006E030000}"/>
    <cellStyle name="Currency 4 4 5" xfId="1911" xr:uid="{00000000-0005-0000-0000-00009A030000}"/>
    <cellStyle name="Currency 4 4 5 2" xfId="2885" xr:uid="{00000000-0005-0000-0000-0000AF020000}"/>
    <cellStyle name="Currency 4 4 5 2 2" xfId="8194" xr:uid="{00000000-0005-0000-0000-000071030000}"/>
    <cellStyle name="Currency 4 4 5 2 3" xfId="10591" xr:uid="{00000000-0005-0000-0000-000071030000}"/>
    <cellStyle name="Currency 4 4 5 3" xfId="3561" xr:uid="{00000000-0005-0000-0000-00009A030000}"/>
    <cellStyle name="Currency 4 4 5 4" xfId="7030" xr:uid="{00000000-0005-0000-0000-000070030000}"/>
    <cellStyle name="Currency 4 4 5 5" xfId="9438" xr:uid="{00000000-0005-0000-0000-000070030000}"/>
    <cellStyle name="Currency 4 4 6" xfId="1912" xr:uid="{00000000-0005-0000-0000-00009B030000}"/>
    <cellStyle name="Currency 4 4 6 2" xfId="2451" xr:uid="{00000000-0005-0000-0000-0000B0020000}"/>
    <cellStyle name="Currency 4 4 6 3" xfId="3593" xr:uid="{00000000-0005-0000-0000-00009B030000}"/>
    <cellStyle name="Currency 4 4 6 4" xfId="7649" xr:uid="{00000000-0005-0000-0000-000072030000}"/>
    <cellStyle name="Currency 4 4 6 5" xfId="10046" xr:uid="{00000000-0005-0000-0000-000072030000}"/>
    <cellStyle name="Currency 4 4 7" xfId="1898" xr:uid="{00000000-0005-0000-0000-00009C030000}"/>
    <cellStyle name="Currency 4 4 7 2" xfId="2205" xr:uid="{00000000-0005-0000-0000-0000A4020000}"/>
    <cellStyle name="Currency 4 4 7 3" xfId="3551" xr:uid="{00000000-0005-0000-0000-00009C030000}"/>
    <cellStyle name="Currency 4 4 8" xfId="3885" xr:uid="{00000000-0005-0000-0000-000088010000}"/>
    <cellStyle name="Currency 4 4 9" xfId="5329" xr:uid="{00000000-0005-0000-0000-0000D9010000}"/>
    <cellStyle name="Currency 4 5" xfId="573" xr:uid="{00000000-0005-0000-0000-00009D030000}"/>
    <cellStyle name="Currency 4 5 10" xfId="4865" xr:uid="{00000000-0005-0000-0000-0000D3010000}"/>
    <cellStyle name="Currency 4 5 11" xfId="6611" xr:uid="{00000000-0005-0000-0000-000073030000}"/>
    <cellStyle name="Currency 4 5 12" xfId="9032" xr:uid="{00000000-0005-0000-0000-000073030000}"/>
    <cellStyle name="Currency 4 5 2" xfId="574" xr:uid="{00000000-0005-0000-0000-00009E030000}"/>
    <cellStyle name="Currency 4 5 2 10" xfId="9193" xr:uid="{00000000-0005-0000-0000-000074030000}"/>
    <cellStyle name="Currency 4 5 2 2" xfId="575" xr:uid="{00000000-0005-0000-0000-00009F030000}"/>
    <cellStyle name="Currency 4 5 2 2 2" xfId="1916" xr:uid="{00000000-0005-0000-0000-0000A0030000}"/>
    <cellStyle name="Currency 4 5 2 2 2 2" xfId="6489" xr:uid="{00000000-0005-0000-0000-000070030000}"/>
    <cellStyle name="Currency 4 5 2 2 2 3" xfId="8432" xr:uid="{00000000-0005-0000-0000-000076030000}"/>
    <cellStyle name="Currency 4 5 2 2 2 4" xfId="10829" xr:uid="{00000000-0005-0000-0000-000076030000}"/>
    <cellStyle name="Currency 4 5 2 2 3" xfId="1917" xr:uid="{00000000-0005-0000-0000-0000A1030000}"/>
    <cellStyle name="Currency 4 5 2 2 4" xfId="1915" xr:uid="{00000000-0005-0000-0000-0000A2030000}"/>
    <cellStyle name="Currency 4 5 2 2 5" xfId="6366" xr:uid="{00000000-0005-0000-0000-0000B3020000}"/>
    <cellStyle name="Currency 4 5 2 2 6" xfId="7037" xr:uid="{00000000-0005-0000-0000-000075030000}"/>
    <cellStyle name="Currency 4 5 2 2 7" xfId="9445" xr:uid="{00000000-0005-0000-0000-000075030000}"/>
    <cellStyle name="Currency 4 5 2 3" xfId="1918" xr:uid="{00000000-0005-0000-0000-0000A3030000}"/>
    <cellStyle name="Currency 4 5 2 3 2" xfId="2697" xr:uid="{00000000-0005-0000-0000-0000B4020000}"/>
    <cellStyle name="Currency 4 5 2 3 3" xfId="3676" xr:uid="{00000000-0005-0000-0000-0000A3030000}"/>
    <cellStyle name="Currency 4 5 2 3 4" xfId="6172" xr:uid="{00000000-0005-0000-0000-0000B4020000}"/>
    <cellStyle name="Currency 4 5 2 3 5" xfId="7036" xr:uid="{00000000-0005-0000-0000-000077030000}"/>
    <cellStyle name="Currency 4 5 2 3 6" xfId="9444" xr:uid="{00000000-0005-0000-0000-000077030000}"/>
    <cellStyle name="Currency 4 5 2 4" xfId="1919" xr:uid="{00000000-0005-0000-0000-0000A4030000}"/>
    <cellStyle name="Currency 4 5 2 4 2" xfId="4632" xr:uid="{00000000-0005-0000-0000-0000B2020000}"/>
    <cellStyle name="Currency 4 5 2 4 3" xfId="7923" xr:uid="{00000000-0005-0000-0000-000078030000}"/>
    <cellStyle name="Currency 4 5 2 4 4" xfId="10320" xr:uid="{00000000-0005-0000-0000-000078030000}"/>
    <cellStyle name="Currency 4 5 2 5" xfId="1914" xr:uid="{00000000-0005-0000-0000-0000A5030000}"/>
    <cellStyle name="Currency 4 5 2 6" xfId="4141" xr:uid="{00000000-0005-0000-0000-0000B2020000}"/>
    <cellStyle name="Currency 4 5 2 7" xfId="5815" xr:uid="{00000000-0005-0000-0000-0000E0010000}"/>
    <cellStyle name="Currency 4 5 2 8" xfId="5074" xr:uid="{00000000-0005-0000-0000-0000D4010000}"/>
    <cellStyle name="Currency 4 5 2 9" xfId="6772" xr:uid="{00000000-0005-0000-0000-000074030000}"/>
    <cellStyle name="Currency 4 5 3" xfId="576" xr:uid="{00000000-0005-0000-0000-0000A6030000}"/>
    <cellStyle name="Currency 4 5 3 2" xfId="1921" xr:uid="{00000000-0005-0000-0000-0000A7030000}"/>
    <cellStyle name="Currency 4 5 3 2 2" xfId="6497" xr:uid="{00000000-0005-0000-0000-000073030000}"/>
    <cellStyle name="Currency 4 5 3 2 3" xfId="8433" xr:uid="{00000000-0005-0000-0000-00007A030000}"/>
    <cellStyle name="Currency 4 5 3 2 4" xfId="10830" xr:uid="{00000000-0005-0000-0000-00007A030000}"/>
    <cellStyle name="Currency 4 5 3 3" xfId="1922" xr:uid="{00000000-0005-0000-0000-0000A8030000}"/>
    <cellStyle name="Currency 4 5 3 4" xfId="1920" xr:uid="{00000000-0005-0000-0000-0000A9030000}"/>
    <cellStyle name="Currency 4 5 3 5" xfId="4432" xr:uid="{00000000-0005-0000-0000-0000B5020000}"/>
    <cellStyle name="Currency 4 5 3 6" xfId="5635" xr:uid="{00000000-0005-0000-0000-0000E1010000}"/>
    <cellStyle name="Currency 4 5 3 7" xfId="7038" xr:uid="{00000000-0005-0000-0000-000079030000}"/>
    <cellStyle name="Currency 4 5 3 8" xfId="9446" xr:uid="{00000000-0005-0000-0000-000079030000}"/>
    <cellStyle name="Currency 4 5 4" xfId="577" xr:uid="{00000000-0005-0000-0000-0000AA030000}"/>
    <cellStyle name="Currency 4 5 4 2" xfId="1924" xr:uid="{00000000-0005-0000-0000-0000AB030000}"/>
    <cellStyle name="Currency 4 5 4 2 2" xfId="6467" xr:uid="{00000000-0005-0000-0000-000075030000}"/>
    <cellStyle name="Currency 4 5 4 2 3" xfId="8195" xr:uid="{00000000-0005-0000-0000-00007C030000}"/>
    <cellStyle name="Currency 4 5 4 2 4" xfId="10592" xr:uid="{00000000-0005-0000-0000-00007C030000}"/>
    <cellStyle name="Currency 4 5 4 3" xfId="1925" xr:uid="{00000000-0005-0000-0000-0000AC030000}"/>
    <cellStyle name="Currency 4 5 4 4" xfId="1923" xr:uid="{00000000-0005-0000-0000-0000AD030000}"/>
    <cellStyle name="Currency 4 5 4 5" xfId="6276" xr:uid="{00000000-0005-0000-0000-0000B6020000}"/>
    <cellStyle name="Currency 4 5 4 6" xfId="7039" xr:uid="{00000000-0005-0000-0000-00007B030000}"/>
    <cellStyle name="Currency 4 5 4 7" xfId="9447" xr:uid="{00000000-0005-0000-0000-00007B030000}"/>
    <cellStyle name="Currency 4 5 5" xfId="1926" xr:uid="{00000000-0005-0000-0000-0000AE030000}"/>
    <cellStyle name="Currency 4 5 5 2" xfId="2511" xr:uid="{00000000-0005-0000-0000-0000B7020000}"/>
    <cellStyle name="Currency 4 5 5 3" xfId="3687" xr:uid="{00000000-0005-0000-0000-0000AE030000}"/>
    <cellStyle name="Currency 4 5 5 4" xfId="7035" xr:uid="{00000000-0005-0000-0000-00007D030000}"/>
    <cellStyle name="Currency 4 5 5 5" xfId="9443" xr:uid="{00000000-0005-0000-0000-00007D030000}"/>
    <cellStyle name="Currency 4 5 6" xfId="1927" xr:uid="{00000000-0005-0000-0000-0000AF030000}"/>
    <cellStyle name="Currency 4 5 6 2" xfId="2297" xr:uid="{00000000-0005-0000-0000-0000B1020000}"/>
    <cellStyle name="Currency 4 5 6 3" xfId="2050" xr:uid="{00000000-0005-0000-0000-0000AF030000}"/>
    <cellStyle name="Currency 4 5 6 4" xfId="7709" xr:uid="{00000000-0005-0000-0000-00007E030000}"/>
    <cellStyle name="Currency 4 5 6 5" xfId="10106" xr:uid="{00000000-0005-0000-0000-00007E030000}"/>
    <cellStyle name="Currency 4 5 7" xfId="1913" xr:uid="{00000000-0005-0000-0000-0000B0030000}"/>
    <cellStyle name="Currency 4 5 8" xfId="3886" xr:uid="{00000000-0005-0000-0000-00008A010000}"/>
    <cellStyle name="Currency 4 5 9" xfId="5389" xr:uid="{00000000-0005-0000-0000-0000DF010000}"/>
    <cellStyle name="Currency 4 6" xfId="578" xr:uid="{00000000-0005-0000-0000-0000B1030000}"/>
    <cellStyle name="Currency 4 6 10" xfId="4866" xr:uid="{00000000-0005-0000-0000-0000D5010000}"/>
    <cellStyle name="Currency 4 6 11" xfId="6612" xr:uid="{00000000-0005-0000-0000-00007F030000}"/>
    <cellStyle name="Currency 4 6 12" xfId="9033" xr:uid="{00000000-0005-0000-0000-00007F030000}"/>
    <cellStyle name="Currency 4 6 2" xfId="579" xr:uid="{00000000-0005-0000-0000-0000B2030000}"/>
    <cellStyle name="Currency 4 6 2 10" xfId="9194" xr:uid="{00000000-0005-0000-0000-000080030000}"/>
    <cellStyle name="Currency 4 6 2 2" xfId="580" xr:uid="{00000000-0005-0000-0000-0000B3030000}"/>
    <cellStyle name="Currency 4 6 2 2 2" xfId="1931" xr:uid="{00000000-0005-0000-0000-0000B4030000}"/>
    <cellStyle name="Currency 4 6 2 2 2 2" xfId="6465" xr:uid="{00000000-0005-0000-0000-00007A030000}"/>
    <cellStyle name="Currency 4 6 2 2 2 3" xfId="8434" xr:uid="{00000000-0005-0000-0000-000082030000}"/>
    <cellStyle name="Currency 4 6 2 2 2 4" xfId="10831" xr:uid="{00000000-0005-0000-0000-000082030000}"/>
    <cellStyle name="Currency 4 6 2 2 3" xfId="1932" xr:uid="{00000000-0005-0000-0000-0000B5030000}"/>
    <cellStyle name="Currency 4 6 2 2 4" xfId="1930" xr:uid="{00000000-0005-0000-0000-0000B6030000}"/>
    <cellStyle name="Currency 4 6 2 2 5" xfId="6367" xr:uid="{00000000-0005-0000-0000-0000BA020000}"/>
    <cellStyle name="Currency 4 6 2 2 6" xfId="7042" xr:uid="{00000000-0005-0000-0000-000081030000}"/>
    <cellStyle name="Currency 4 6 2 2 7" xfId="9450" xr:uid="{00000000-0005-0000-0000-000081030000}"/>
    <cellStyle name="Currency 4 6 2 3" xfId="1933" xr:uid="{00000000-0005-0000-0000-0000B7030000}"/>
    <cellStyle name="Currency 4 6 2 3 2" xfId="2698" xr:uid="{00000000-0005-0000-0000-0000BB020000}"/>
    <cellStyle name="Currency 4 6 2 3 3" xfId="3636" xr:uid="{00000000-0005-0000-0000-0000B7030000}"/>
    <cellStyle name="Currency 4 6 2 3 4" xfId="6173" xr:uid="{00000000-0005-0000-0000-0000BB020000}"/>
    <cellStyle name="Currency 4 6 2 3 5" xfId="7041" xr:uid="{00000000-0005-0000-0000-000083030000}"/>
    <cellStyle name="Currency 4 6 2 3 6" xfId="9449" xr:uid="{00000000-0005-0000-0000-000083030000}"/>
    <cellStyle name="Currency 4 6 2 4" xfId="1934" xr:uid="{00000000-0005-0000-0000-0000B8030000}"/>
    <cellStyle name="Currency 4 6 2 4 2" xfId="3770" xr:uid="{00000000-0005-0000-0000-0000B9020000}"/>
    <cellStyle name="Currency 4 6 2 4 3" xfId="7924" xr:uid="{00000000-0005-0000-0000-000084030000}"/>
    <cellStyle name="Currency 4 6 2 4 4" xfId="10321" xr:uid="{00000000-0005-0000-0000-000084030000}"/>
    <cellStyle name="Currency 4 6 2 5" xfId="1929" xr:uid="{00000000-0005-0000-0000-0000B9030000}"/>
    <cellStyle name="Currency 4 6 2 6" xfId="4142" xr:uid="{00000000-0005-0000-0000-0000B9020000}"/>
    <cellStyle name="Currency 4 6 2 7" xfId="5816" xr:uid="{00000000-0005-0000-0000-0000E3010000}"/>
    <cellStyle name="Currency 4 6 2 8" xfId="5075" xr:uid="{00000000-0005-0000-0000-0000D6010000}"/>
    <cellStyle name="Currency 4 6 2 9" xfId="6773" xr:uid="{00000000-0005-0000-0000-000080030000}"/>
    <cellStyle name="Currency 4 6 3" xfId="581" xr:uid="{00000000-0005-0000-0000-0000BA030000}"/>
    <cellStyle name="Currency 4 6 3 2" xfId="1936" xr:uid="{00000000-0005-0000-0000-0000BB030000}"/>
    <cellStyle name="Currency 4 6 3 2 2" xfId="6451" xr:uid="{00000000-0005-0000-0000-00007D030000}"/>
    <cellStyle name="Currency 4 6 3 2 3" xfId="8435" xr:uid="{00000000-0005-0000-0000-000086030000}"/>
    <cellStyle name="Currency 4 6 3 2 4" xfId="10832" xr:uid="{00000000-0005-0000-0000-000086030000}"/>
    <cellStyle name="Currency 4 6 3 3" xfId="1937" xr:uid="{00000000-0005-0000-0000-0000BC030000}"/>
    <cellStyle name="Currency 4 6 3 4" xfId="1935" xr:uid="{00000000-0005-0000-0000-0000BD030000}"/>
    <cellStyle name="Currency 4 6 3 5" xfId="4433" xr:uid="{00000000-0005-0000-0000-0000BC020000}"/>
    <cellStyle name="Currency 4 6 3 6" xfId="5681" xr:uid="{00000000-0005-0000-0000-0000E4010000}"/>
    <cellStyle name="Currency 4 6 3 7" xfId="7043" xr:uid="{00000000-0005-0000-0000-000085030000}"/>
    <cellStyle name="Currency 4 6 3 8" xfId="9451" xr:uid="{00000000-0005-0000-0000-000085030000}"/>
    <cellStyle name="Currency 4 6 4" xfId="582" xr:uid="{00000000-0005-0000-0000-0000BE030000}"/>
    <cellStyle name="Currency 4 6 4 2" xfId="1939" xr:uid="{00000000-0005-0000-0000-0000BF030000}"/>
    <cellStyle name="Currency 4 6 4 2 2" xfId="6471" xr:uid="{00000000-0005-0000-0000-00007F030000}"/>
    <cellStyle name="Currency 4 6 4 2 3" xfId="8196" xr:uid="{00000000-0005-0000-0000-000088030000}"/>
    <cellStyle name="Currency 4 6 4 2 4" xfId="10593" xr:uid="{00000000-0005-0000-0000-000088030000}"/>
    <cellStyle name="Currency 4 6 4 3" xfId="1940" xr:uid="{00000000-0005-0000-0000-0000C0030000}"/>
    <cellStyle name="Currency 4 6 4 4" xfId="1938" xr:uid="{00000000-0005-0000-0000-0000C1030000}"/>
    <cellStyle name="Currency 4 6 4 5" xfId="6277" xr:uid="{00000000-0005-0000-0000-0000BD020000}"/>
    <cellStyle name="Currency 4 6 4 6" xfId="7044" xr:uid="{00000000-0005-0000-0000-000087030000}"/>
    <cellStyle name="Currency 4 6 4 7" xfId="9452" xr:uid="{00000000-0005-0000-0000-000087030000}"/>
    <cellStyle name="Currency 4 6 5" xfId="1941" xr:uid="{00000000-0005-0000-0000-0000C2030000}"/>
    <cellStyle name="Currency 4 6 5 2" xfId="2574" xr:uid="{00000000-0005-0000-0000-0000BE020000}"/>
    <cellStyle name="Currency 4 6 5 3" xfId="2085" xr:uid="{00000000-0005-0000-0000-0000C2030000}"/>
    <cellStyle name="Currency 4 6 5 4" xfId="7040" xr:uid="{00000000-0005-0000-0000-000089030000}"/>
    <cellStyle name="Currency 4 6 5 5" xfId="9448" xr:uid="{00000000-0005-0000-0000-000089030000}"/>
    <cellStyle name="Currency 4 6 6" xfId="1942" xr:uid="{00000000-0005-0000-0000-0000C3030000}"/>
    <cellStyle name="Currency 4 6 6 2" xfId="2298" xr:uid="{00000000-0005-0000-0000-0000B8020000}"/>
    <cellStyle name="Currency 4 6 6 3" xfId="3568" xr:uid="{00000000-0005-0000-0000-0000C3030000}"/>
    <cellStyle name="Currency 4 6 6 4" xfId="7772" xr:uid="{00000000-0005-0000-0000-00008A030000}"/>
    <cellStyle name="Currency 4 6 6 5" xfId="10169" xr:uid="{00000000-0005-0000-0000-00008A030000}"/>
    <cellStyle name="Currency 4 6 7" xfId="1928" xr:uid="{00000000-0005-0000-0000-0000C4030000}"/>
    <cellStyle name="Currency 4 6 8" xfId="3887" xr:uid="{00000000-0005-0000-0000-00008B010000}"/>
    <cellStyle name="Currency 4 6 9" xfId="5450" xr:uid="{00000000-0005-0000-0000-0000E2010000}"/>
    <cellStyle name="Currency 4 7" xfId="583" xr:uid="{00000000-0005-0000-0000-0000C5030000}"/>
    <cellStyle name="Currency 4 7 10" xfId="6613" xr:uid="{00000000-0005-0000-0000-00008B030000}"/>
    <cellStyle name="Currency 4 7 11" xfId="9034" xr:uid="{00000000-0005-0000-0000-00008B030000}"/>
    <cellStyle name="Currency 4 7 2" xfId="584" xr:uid="{00000000-0005-0000-0000-0000C6030000}"/>
    <cellStyle name="Currency 4 7 2 2" xfId="1945" xr:uid="{00000000-0005-0000-0000-0000C7030000}"/>
    <cellStyle name="Currency 4 7 2 2 2" xfId="2886" xr:uid="{00000000-0005-0000-0000-0000C1020000}"/>
    <cellStyle name="Currency 4 7 2 2 3" xfId="3675" xr:uid="{00000000-0005-0000-0000-0000C7030000}"/>
    <cellStyle name="Currency 4 7 2 2 4" xfId="6278" xr:uid="{00000000-0005-0000-0000-0000C1020000}"/>
    <cellStyle name="Currency 4 7 2 2 5" xfId="7046" xr:uid="{00000000-0005-0000-0000-00008D030000}"/>
    <cellStyle name="Currency 4 7 2 2 6" xfId="9454" xr:uid="{00000000-0005-0000-0000-00008D030000}"/>
    <cellStyle name="Currency 4 7 2 3" xfId="1946" xr:uid="{00000000-0005-0000-0000-0000C8030000}"/>
    <cellStyle name="Currency 4 7 2 3 2" xfId="6045" xr:uid="{00000000-0005-0000-0000-0000C8030000}"/>
    <cellStyle name="Currency 4 7 2 3 3" xfId="8197" xr:uid="{00000000-0005-0000-0000-00008E030000}"/>
    <cellStyle name="Currency 4 7 2 3 4" xfId="10594" xr:uid="{00000000-0005-0000-0000-00008E030000}"/>
    <cellStyle name="Currency 4 7 2 3 5" xfId="4721" xr:uid="{00000000-0005-0000-0000-00001E020000}"/>
    <cellStyle name="Currency 4 7 2 4" xfId="1944" xr:uid="{00000000-0005-0000-0000-0000C9030000}"/>
    <cellStyle name="Currency 4 7 2 5" xfId="6098" xr:uid="{00000000-0005-0000-0000-0000C0020000}"/>
    <cellStyle name="Currency 4 7 2 6" xfId="5076" xr:uid="{00000000-0005-0000-0000-0000D8010000}"/>
    <cellStyle name="Currency 4 7 2 7" xfId="6774" xr:uid="{00000000-0005-0000-0000-00008C030000}"/>
    <cellStyle name="Currency 4 7 2 8" xfId="9195" xr:uid="{00000000-0005-0000-0000-00008C030000}"/>
    <cellStyle name="Currency 4 7 3" xfId="585" xr:uid="{00000000-0005-0000-0000-0000CA030000}"/>
    <cellStyle name="Currency 4 7 3 2" xfId="1948" xr:uid="{00000000-0005-0000-0000-0000CB030000}"/>
    <cellStyle name="Currency 4 7 3 3" xfId="1949" xr:uid="{00000000-0005-0000-0000-0000CC030000}"/>
    <cellStyle name="Currency 4 7 3 4" xfId="1947" xr:uid="{00000000-0005-0000-0000-0000CD030000}"/>
    <cellStyle name="Currency 4 7 3 5" xfId="6174" xr:uid="{00000000-0005-0000-0000-0000C2020000}"/>
    <cellStyle name="Currency 4 7 3 6" xfId="7047" xr:uid="{00000000-0005-0000-0000-00008F030000}"/>
    <cellStyle name="Currency 4 7 3 7" xfId="9455" xr:uid="{00000000-0005-0000-0000-00008F030000}"/>
    <cellStyle name="Currency 4 7 4" xfId="1950" xr:uid="{00000000-0005-0000-0000-0000CE030000}"/>
    <cellStyle name="Currency 4 7 4 2" xfId="2299" xr:uid="{00000000-0005-0000-0000-0000BF020000}"/>
    <cellStyle name="Currency 4 7 4 3" xfId="3637" xr:uid="{00000000-0005-0000-0000-0000CE030000}"/>
    <cellStyle name="Currency 4 7 4 4" xfId="6057" xr:uid="{00000000-0005-0000-0000-0000BF020000}"/>
    <cellStyle name="Currency 4 7 4 5" xfId="7045" xr:uid="{00000000-0005-0000-0000-000090030000}"/>
    <cellStyle name="Currency 4 7 4 6" xfId="9453" xr:uid="{00000000-0005-0000-0000-000090030000}"/>
    <cellStyle name="Currency 4 7 5" xfId="1951" xr:uid="{00000000-0005-0000-0000-0000CF030000}"/>
    <cellStyle name="Currency 4 7 5 2" xfId="5963" xr:uid="{00000000-0005-0000-0000-000086030000}"/>
    <cellStyle name="Currency 4 7 5 3" xfId="7925" xr:uid="{00000000-0005-0000-0000-000091030000}"/>
    <cellStyle name="Currency 4 7 5 4" xfId="10322" xr:uid="{00000000-0005-0000-0000-000091030000}"/>
    <cellStyle name="Currency 4 7 6" xfId="1943" xr:uid="{00000000-0005-0000-0000-0000D0030000}"/>
    <cellStyle name="Currency 4 7 7" xfId="3888" xr:uid="{00000000-0005-0000-0000-00008C010000}"/>
    <cellStyle name="Currency 4 7 8" xfId="5817" xr:uid="{00000000-0005-0000-0000-0000E5010000}"/>
    <cellStyle name="Currency 4 7 9" xfId="4867" xr:uid="{00000000-0005-0000-0000-0000D7010000}"/>
    <cellStyle name="Currency 4 8" xfId="586" xr:uid="{00000000-0005-0000-0000-0000D1030000}"/>
    <cellStyle name="Currency 4 8 10" xfId="6614" xr:uid="{00000000-0005-0000-0000-000092030000}"/>
    <cellStyle name="Currency 4 8 11" xfId="9035" xr:uid="{00000000-0005-0000-0000-000092030000}"/>
    <cellStyle name="Currency 4 8 2" xfId="587" xr:uid="{00000000-0005-0000-0000-0000D2030000}"/>
    <cellStyle name="Currency 4 8 2 2" xfId="1954" xr:uid="{00000000-0005-0000-0000-0000D3030000}"/>
    <cellStyle name="Currency 4 8 2 2 2" xfId="2887" xr:uid="{00000000-0005-0000-0000-0000C5020000}"/>
    <cellStyle name="Currency 4 8 2 2 3" xfId="3564" xr:uid="{00000000-0005-0000-0000-0000D3030000}"/>
    <cellStyle name="Currency 4 8 2 2 4" xfId="6279" xr:uid="{00000000-0005-0000-0000-0000C5020000}"/>
    <cellStyle name="Currency 4 8 2 2 5" xfId="7049" xr:uid="{00000000-0005-0000-0000-000094030000}"/>
    <cellStyle name="Currency 4 8 2 2 6" xfId="9457" xr:uid="{00000000-0005-0000-0000-000094030000}"/>
    <cellStyle name="Currency 4 8 2 3" xfId="1955" xr:uid="{00000000-0005-0000-0000-0000D4030000}"/>
    <cellStyle name="Currency 4 8 2 3 2" xfId="6441" xr:uid="{00000000-0005-0000-0000-0000D4030000}"/>
    <cellStyle name="Currency 4 8 2 3 3" xfId="8198" xr:uid="{00000000-0005-0000-0000-000095030000}"/>
    <cellStyle name="Currency 4 8 2 3 4" xfId="10595" xr:uid="{00000000-0005-0000-0000-000095030000}"/>
    <cellStyle name="Currency 4 8 2 3 5" xfId="4722" xr:uid="{00000000-0005-0000-0000-000024020000}"/>
    <cellStyle name="Currency 4 8 2 4" xfId="1953" xr:uid="{00000000-0005-0000-0000-0000D5030000}"/>
    <cellStyle name="Currency 4 8 2 5" xfId="6099" xr:uid="{00000000-0005-0000-0000-0000C4020000}"/>
    <cellStyle name="Currency 4 8 2 6" xfId="5077" xr:uid="{00000000-0005-0000-0000-0000DA010000}"/>
    <cellStyle name="Currency 4 8 2 7" xfId="6775" xr:uid="{00000000-0005-0000-0000-000093030000}"/>
    <cellStyle name="Currency 4 8 2 8" xfId="9196" xr:uid="{00000000-0005-0000-0000-000093030000}"/>
    <cellStyle name="Currency 4 8 3" xfId="588" xr:uid="{00000000-0005-0000-0000-0000D6030000}"/>
    <cellStyle name="Currency 4 8 3 2" xfId="1957" xr:uid="{00000000-0005-0000-0000-0000D7030000}"/>
    <cellStyle name="Currency 4 8 3 3" xfId="1958" xr:uid="{00000000-0005-0000-0000-0000D8030000}"/>
    <cellStyle name="Currency 4 8 3 4" xfId="1956" xr:uid="{00000000-0005-0000-0000-0000D9030000}"/>
    <cellStyle name="Currency 4 8 3 5" xfId="6175" xr:uid="{00000000-0005-0000-0000-0000C6020000}"/>
    <cellStyle name="Currency 4 8 3 6" xfId="7050" xr:uid="{00000000-0005-0000-0000-000096030000}"/>
    <cellStyle name="Currency 4 8 3 7" xfId="9458" xr:uid="{00000000-0005-0000-0000-000096030000}"/>
    <cellStyle name="Currency 4 8 4" xfId="1959" xr:uid="{00000000-0005-0000-0000-0000DA030000}"/>
    <cellStyle name="Currency 4 8 4 2" xfId="2300" xr:uid="{00000000-0005-0000-0000-0000C3020000}"/>
    <cellStyle name="Currency 4 8 4 3" xfId="2089" xr:uid="{00000000-0005-0000-0000-0000DA030000}"/>
    <cellStyle name="Currency 4 8 4 4" xfId="6058" xr:uid="{00000000-0005-0000-0000-0000C3020000}"/>
    <cellStyle name="Currency 4 8 4 5" xfId="7048" xr:uid="{00000000-0005-0000-0000-000097030000}"/>
    <cellStyle name="Currency 4 8 4 6" xfId="9456" xr:uid="{00000000-0005-0000-0000-000097030000}"/>
    <cellStyle name="Currency 4 8 5" xfId="1960" xr:uid="{00000000-0005-0000-0000-0000DB030000}"/>
    <cellStyle name="Currency 4 8 5 2" xfId="6488" xr:uid="{00000000-0005-0000-0000-00008C030000}"/>
    <cellStyle name="Currency 4 8 5 3" xfId="7926" xr:uid="{00000000-0005-0000-0000-000098030000}"/>
    <cellStyle name="Currency 4 8 5 4" xfId="10323" xr:uid="{00000000-0005-0000-0000-000098030000}"/>
    <cellStyle name="Currency 4 8 6" xfId="1952" xr:uid="{00000000-0005-0000-0000-0000DC030000}"/>
    <cellStyle name="Currency 4 8 7" xfId="3889" xr:uid="{00000000-0005-0000-0000-00008D010000}"/>
    <cellStyle name="Currency 4 8 8" xfId="5818" xr:uid="{00000000-0005-0000-0000-0000E6010000}"/>
    <cellStyle name="Currency 4 8 9" xfId="4868" xr:uid="{00000000-0005-0000-0000-0000D9010000}"/>
    <cellStyle name="Currency 4 9" xfId="589" xr:uid="{00000000-0005-0000-0000-0000DD030000}"/>
    <cellStyle name="Currency 4 9 2" xfId="1962" xr:uid="{00000000-0005-0000-0000-0000DE030000}"/>
    <cellStyle name="Currency 4 9 2 2" xfId="3106" xr:uid="{00000000-0005-0000-0000-0000C8020000}"/>
    <cellStyle name="Currency 4 9 2 2 2" xfId="8436" xr:uid="{00000000-0005-0000-0000-00009B030000}"/>
    <cellStyle name="Currency 4 9 2 2 3" xfId="10833" xr:uid="{00000000-0005-0000-0000-00009B030000}"/>
    <cellStyle name="Currency 4 9 2 2 4" xfId="11351" xr:uid="{00000000-0005-0000-0000-0000E22C0000}"/>
    <cellStyle name="Currency 4 9 2 3" xfId="3686" xr:uid="{00000000-0005-0000-0000-0000DE030000}"/>
    <cellStyle name="Currency 4 9 2 4" xfId="6368" xr:uid="{00000000-0005-0000-0000-0000C8020000}"/>
    <cellStyle name="Currency 4 9 2 5" xfId="5078" xr:uid="{00000000-0005-0000-0000-0000DC010000}"/>
    <cellStyle name="Currency 4 9 2 6" xfId="7051" xr:uid="{00000000-0005-0000-0000-00009A030000}"/>
    <cellStyle name="Currency 4 9 2 7" xfId="9459" xr:uid="{00000000-0005-0000-0000-00009A030000}"/>
    <cellStyle name="Currency 4 9 3" xfId="1963" xr:uid="{00000000-0005-0000-0000-0000DF030000}"/>
    <cellStyle name="Currency 4 9 3 2" xfId="2690" xr:uid="{00000000-0005-0000-0000-0000C9020000}"/>
    <cellStyle name="Currency 4 9 3 3" xfId="3656" xr:uid="{00000000-0005-0000-0000-0000DF030000}"/>
    <cellStyle name="Currency 4 9 3 4" xfId="6170" xr:uid="{00000000-0005-0000-0000-0000C9020000}"/>
    <cellStyle name="Currency 4 9 3 5" xfId="7913" xr:uid="{00000000-0005-0000-0000-00009C030000}"/>
    <cellStyle name="Currency 4 9 3 6" xfId="10310" xr:uid="{00000000-0005-0000-0000-00009C030000}"/>
    <cellStyle name="Currency 4 9 4" xfId="1961" xr:uid="{00000000-0005-0000-0000-0000E0030000}"/>
    <cellStyle name="Currency 4 9 4 2" xfId="2292" xr:uid="{00000000-0005-0000-0000-0000C7020000}"/>
    <cellStyle name="Currency 4 9 4 3" xfId="3645" xr:uid="{00000000-0005-0000-0000-0000E0030000}"/>
    <cellStyle name="Currency 4 9 4 4" xfId="11562" xr:uid="{00000000-0005-0000-0000-00008B020000}"/>
    <cellStyle name="Currency 4 9 5" xfId="3827" xr:uid="{00000000-0005-0000-0000-00008E010000}"/>
    <cellStyle name="Currency 4 9 5 2" xfId="11397" xr:uid="{00000000-0005-0000-0000-000092030000}"/>
    <cellStyle name="Currency 4 9 6" xfId="5805" xr:uid="{00000000-0005-0000-0000-0000E7010000}"/>
    <cellStyle name="Currency 4 9 7" xfId="4860" xr:uid="{00000000-0005-0000-0000-0000DB010000}"/>
    <cellStyle name="Currency 4 9 8" xfId="6606" xr:uid="{00000000-0005-0000-0000-000099030000}"/>
    <cellStyle name="Currency 4 9 9" xfId="9027" xr:uid="{00000000-0005-0000-0000-000099030000}"/>
    <cellStyle name="Currency 5" xfId="590" xr:uid="{00000000-0005-0000-0000-0000E1030000}"/>
    <cellStyle name="Currency 5 10" xfId="5359" xr:uid="{00000000-0005-0000-0000-0000E8010000}"/>
    <cellStyle name="Currency 5 11" xfId="4815" xr:uid="{00000000-0005-0000-0000-0000DD010000}"/>
    <cellStyle name="Currency 5 12" xfId="6561" xr:uid="{00000000-0005-0000-0000-00009D030000}"/>
    <cellStyle name="Currency 5 13" xfId="8982" xr:uid="{00000000-0005-0000-0000-00009D030000}"/>
    <cellStyle name="Currency 5 2" xfId="591" xr:uid="{00000000-0005-0000-0000-0000E2030000}"/>
    <cellStyle name="Currency 5 2 10" xfId="4870" xr:uid="{00000000-0005-0000-0000-0000DE010000}"/>
    <cellStyle name="Currency 5 2 11" xfId="6616" xr:uid="{00000000-0005-0000-0000-00009E030000}"/>
    <cellStyle name="Currency 5 2 12" xfId="9037" xr:uid="{00000000-0005-0000-0000-00009E030000}"/>
    <cellStyle name="Currency 5 2 2" xfId="592" xr:uid="{00000000-0005-0000-0000-0000E3030000}"/>
    <cellStyle name="Currency 5 2 2 10" xfId="6777" xr:uid="{00000000-0005-0000-0000-00009F030000}"/>
    <cellStyle name="Currency 5 2 2 11" xfId="9198" xr:uid="{00000000-0005-0000-0000-00009F030000}"/>
    <cellStyle name="Currency 5 2 2 2" xfId="1967" xr:uid="{00000000-0005-0000-0000-0000E4030000}"/>
    <cellStyle name="Currency 5 2 2 2 2" xfId="3108" xr:uid="{00000000-0005-0000-0000-0000CE020000}"/>
    <cellStyle name="Currency 5 2 2 2 2 2" xfId="8438" xr:uid="{00000000-0005-0000-0000-0000A1030000}"/>
    <cellStyle name="Currency 5 2 2 2 2 3" xfId="10835" xr:uid="{00000000-0005-0000-0000-0000A1030000}"/>
    <cellStyle name="Currency 5 2 2 2 3" xfId="2701" xr:uid="{00000000-0005-0000-0000-0000CD020000}"/>
    <cellStyle name="Currency 5 2 2 2 3 2" xfId="7929" xr:uid="{00000000-0005-0000-0000-0000A2030000}"/>
    <cellStyle name="Currency 5 2 2 2 3 3" xfId="10326" xr:uid="{00000000-0005-0000-0000-0000A2030000}"/>
    <cellStyle name="Currency 5 2 2 2 4" xfId="2048" xr:uid="{00000000-0005-0000-0000-0000E4030000}"/>
    <cellStyle name="Currency 5 2 2 2 5" xfId="4278" xr:uid="{00000000-0005-0000-0000-0000CD020000}"/>
    <cellStyle name="Currency 5 2 2 2 6" xfId="5821" xr:uid="{00000000-0005-0000-0000-0000EB010000}"/>
    <cellStyle name="Currency 5 2 2 2 7" xfId="7054" xr:uid="{00000000-0005-0000-0000-0000A0030000}"/>
    <cellStyle name="Currency 5 2 2 2 8" xfId="9462" xr:uid="{00000000-0005-0000-0000-0000A0030000}"/>
    <cellStyle name="Currency 5 2 2 3" xfId="1968" xr:uid="{00000000-0005-0000-0000-0000E5030000}"/>
    <cellStyle name="Currency 5 2 2 3 2" xfId="3109" xr:uid="{00000000-0005-0000-0000-0000CF020000}"/>
    <cellStyle name="Currency 5 2 2 3 2 2" xfId="11467" xr:uid="{00000000-0005-0000-0000-00009A030000}"/>
    <cellStyle name="Currency 5 2 2 3 3" xfId="3549" xr:uid="{00000000-0005-0000-0000-0000E5030000}"/>
    <cellStyle name="Currency 5 2 2 3 4" xfId="4434" xr:uid="{00000000-0005-0000-0000-0000CF020000}"/>
    <cellStyle name="Currency 5 2 2 3 5" xfId="5749" xr:uid="{00000000-0005-0000-0000-0000EC010000}"/>
    <cellStyle name="Currency 5 2 2 3 6" xfId="8439" xr:uid="{00000000-0005-0000-0000-0000A3030000}"/>
    <cellStyle name="Currency 5 2 2 3 7" xfId="10836" xr:uid="{00000000-0005-0000-0000-0000A3030000}"/>
    <cellStyle name="Currency 5 2 2 4" xfId="1966" xr:uid="{00000000-0005-0000-0000-0000E6030000}"/>
    <cellStyle name="Currency 5 2 2 4 2" xfId="3107" xr:uid="{00000000-0005-0000-0000-0000D0020000}"/>
    <cellStyle name="Currency 5 2 2 4 3" xfId="3681" xr:uid="{00000000-0005-0000-0000-0000E6030000}"/>
    <cellStyle name="Currency 5 2 2 4 4" xfId="8437" xr:uid="{00000000-0005-0000-0000-0000A4030000}"/>
    <cellStyle name="Currency 5 2 2 4 5" xfId="10834" xr:uid="{00000000-0005-0000-0000-0000A4030000}"/>
    <cellStyle name="Currency 5 2 2 5" xfId="2643" xr:uid="{00000000-0005-0000-0000-0000D1020000}"/>
    <cellStyle name="Currency 5 2 2 5 2" xfId="7842" xr:uid="{00000000-0005-0000-0000-0000A5030000}"/>
    <cellStyle name="Currency 5 2 2 5 3" xfId="10239" xr:uid="{00000000-0005-0000-0000-0000A5030000}"/>
    <cellStyle name="Currency 5 2 2 6" xfId="2302" xr:uid="{00000000-0005-0000-0000-0000CC020000}"/>
    <cellStyle name="Currency 5 2 2 7" xfId="3833" xr:uid="{00000000-0005-0000-0000-000091010000}"/>
    <cellStyle name="Currency 5 2 2 8" xfId="5520" xr:uid="{00000000-0005-0000-0000-0000EA010000}"/>
    <cellStyle name="Currency 5 2 2 9" xfId="5080" xr:uid="{00000000-0005-0000-0000-0000DF010000}"/>
    <cellStyle name="Currency 5 2 3" xfId="593" xr:uid="{00000000-0005-0000-0000-0000E7030000}"/>
    <cellStyle name="Currency 5 2 3 2" xfId="1970" xr:uid="{00000000-0005-0000-0000-0000E8030000}"/>
    <cellStyle name="Currency 5 2 3 2 2" xfId="3110" xr:uid="{00000000-0005-0000-0000-0000D3020000}"/>
    <cellStyle name="Currency 5 2 3 2 3" xfId="3665" xr:uid="{00000000-0005-0000-0000-0000E8030000}"/>
    <cellStyle name="Currency 5 2 3 2 4" xfId="8440" xr:uid="{00000000-0005-0000-0000-0000A7030000}"/>
    <cellStyle name="Currency 5 2 3 2 5" xfId="10837" xr:uid="{00000000-0005-0000-0000-0000A7030000}"/>
    <cellStyle name="Currency 5 2 3 3" xfId="1971" xr:uid="{00000000-0005-0000-0000-0000E9030000}"/>
    <cellStyle name="Currency 5 2 3 3 2" xfId="2700" xr:uid="{00000000-0005-0000-0000-0000D4020000}"/>
    <cellStyle name="Currency 5 2 3 3 3" xfId="3579" xr:uid="{00000000-0005-0000-0000-0000E9030000}"/>
    <cellStyle name="Currency 5 2 3 3 4" xfId="7928" xr:uid="{00000000-0005-0000-0000-0000A8030000}"/>
    <cellStyle name="Currency 5 2 3 3 5" xfId="10325" xr:uid="{00000000-0005-0000-0000-0000A8030000}"/>
    <cellStyle name="Currency 5 2 3 4" xfId="1969" xr:uid="{00000000-0005-0000-0000-0000EA030000}"/>
    <cellStyle name="Currency 5 2 3 4 2" xfId="3775" xr:uid="{00000000-0005-0000-0000-0000D2020000}"/>
    <cellStyle name="Currency 5 2 3 5" xfId="4144" xr:uid="{00000000-0005-0000-0000-0000D2020000}"/>
    <cellStyle name="Currency 5 2 3 6" xfId="5820" xr:uid="{00000000-0005-0000-0000-0000ED010000}"/>
    <cellStyle name="Currency 5 2 3 7" xfId="7055" xr:uid="{00000000-0005-0000-0000-0000A6030000}"/>
    <cellStyle name="Currency 5 2 3 8" xfId="9463" xr:uid="{00000000-0005-0000-0000-0000A6030000}"/>
    <cellStyle name="Currency 5 2 4" xfId="1972" xr:uid="{00000000-0005-0000-0000-0000EB030000}"/>
    <cellStyle name="Currency 5 2 4 2" xfId="3111" xr:uid="{00000000-0005-0000-0000-0000D5020000}"/>
    <cellStyle name="Currency 5 2 4 2 2" xfId="8441" xr:uid="{00000000-0005-0000-0000-0000AA030000}"/>
    <cellStyle name="Currency 5 2 4 2 3" xfId="10838" xr:uid="{00000000-0005-0000-0000-0000AA030000}"/>
    <cellStyle name="Currency 5 2 4 3" xfId="2049" xr:uid="{00000000-0005-0000-0000-0000EB030000}"/>
    <cellStyle name="Currency 5 2 4 4" xfId="4435" xr:uid="{00000000-0005-0000-0000-0000D5020000}"/>
    <cellStyle name="Currency 5 2 4 5" xfId="5664" xr:uid="{00000000-0005-0000-0000-0000EE010000}"/>
    <cellStyle name="Currency 5 2 4 6" xfId="7053" xr:uid="{00000000-0005-0000-0000-0000A9030000}"/>
    <cellStyle name="Currency 5 2 4 7" xfId="9461" xr:uid="{00000000-0005-0000-0000-0000A9030000}"/>
    <cellStyle name="Currency 5 2 5" xfId="1973" xr:uid="{00000000-0005-0000-0000-0000EC030000}"/>
    <cellStyle name="Currency 5 2 5 2" xfId="2889" xr:uid="{00000000-0005-0000-0000-0000D6020000}"/>
    <cellStyle name="Currency 5 2 5 3" xfId="3608" xr:uid="{00000000-0005-0000-0000-0000EC030000}"/>
    <cellStyle name="Currency 5 2 5 4" xfId="8200" xr:uid="{00000000-0005-0000-0000-0000AB030000}"/>
    <cellStyle name="Currency 5 2 5 5" xfId="10597" xr:uid="{00000000-0005-0000-0000-0000AB030000}"/>
    <cellStyle name="Currency 5 2 6" xfId="1965" xr:uid="{00000000-0005-0000-0000-0000ED030000}"/>
    <cellStyle name="Currency 5 2 6 2" xfId="2541" xr:uid="{00000000-0005-0000-0000-0000D7020000}"/>
    <cellStyle name="Currency 5 2 6 3" xfId="3594" xr:uid="{00000000-0005-0000-0000-0000ED030000}"/>
    <cellStyle name="Currency 5 2 6 4" xfId="7739" xr:uid="{00000000-0005-0000-0000-0000AC030000}"/>
    <cellStyle name="Currency 5 2 6 5" xfId="10136" xr:uid="{00000000-0005-0000-0000-0000AC030000}"/>
    <cellStyle name="Currency 5 2 7" xfId="2235" xr:uid="{00000000-0005-0000-0000-0000CB020000}"/>
    <cellStyle name="Currency 5 2 8" xfId="3891" xr:uid="{00000000-0005-0000-0000-000090010000}"/>
    <cellStyle name="Currency 5 2 9" xfId="5419" xr:uid="{00000000-0005-0000-0000-0000E9010000}"/>
    <cellStyle name="Currency 5 3" xfId="594" xr:uid="{00000000-0005-0000-0000-0000EE030000}"/>
    <cellStyle name="Currency 5 3 10" xfId="6615" xr:uid="{00000000-0005-0000-0000-0000AD030000}"/>
    <cellStyle name="Currency 5 3 11" xfId="9036" xr:uid="{00000000-0005-0000-0000-0000AD030000}"/>
    <cellStyle name="Currency 5 3 2" xfId="1975" xr:uid="{00000000-0005-0000-0000-0000EF030000}"/>
    <cellStyle name="Currency 5 3 2 2" xfId="3113" xr:uid="{00000000-0005-0000-0000-0000DA020000}"/>
    <cellStyle name="Currency 5 3 2 2 2" xfId="6512" xr:uid="{00000000-0005-0000-0000-0000A7030000}"/>
    <cellStyle name="Currency 5 3 2 2 2 2" xfId="11469" xr:uid="{00000000-0005-0000-0000-0000A7030000}"/>
    <cellStyle name="Currency 5 3 2 2 3" xfId="8443" xr:uid="{00000000-0005-0000-0000-0000AF030000}"/>
    <cellStyle name="Currency 5 3 2 2 4" xfId="10840" xr:uid="{00000000-0005-0000-0000-0000AF030000}"/>
    <cellStyle name="Currency 5 3 2 2 5" xfId="11352" xr:uid="{00000000-0005-0000-0000-0000E32C0000}"/>
    <cellStyle name="Currency 5 3 2 3" xfId="2702" xr:uid="{00000000-0005-0000-0000-0000D9020000}"/>
    <cellStyle name="Currency 5 3 2 3 2" xfId="7930" xr:uid="{00000000-0005-0000-0000-0000B0030000}"/>
    <cellStyle name="Currency 5 3 2 3 3" xfId="10327" xr:uid="{00000000-0005-0000-0000-0000B0030000}"/>
    <cellStyle name="Currency 5 3 2 4" xfId="3700" xr:uid="{00000000-0005-0000-0000-0000EF030000}"/>
    <cellStyle name="Currency 5 3 2 5" xfId="4279" xr:uid="{00000000-0005-0000-0000-0000D9020000}"/>
    <cellStyle name="Currency 5 3 2 6" xfId="5822" xr:uid="{00000000-0005-0000-0000-0000F0010000}"/>
    <cellStyle name="Currency 5 3 2 7" xfId="5081" xr:uid="{00000000-0005-0000-0000-0000E1010000}"/>
    <cellStyle name="Currency 5 3 2 8" xfId="7056" xr:uid="{00000000-0005-0000-0000-0000AE030000}"/>
    <cellStyle name="Currency 5 3 2 9" xfId="9464" xr:uid="{00000000-0005-0000-0000-0000AE030000}"/>
    <cellStyle name="Currency 5 3 3" xfId="1976" xr:uid="{00000000-0005-0000-0000-0000F0030000}"/>
    <cellStyle name="Currency 5 3 3 2" xfId="3114" xr:uid="{00000000-0005-0000-0000-0000DB020000}"/>
    <cellStyle name="Currency 5 3 3 2 2" xfId="11470" xr:uid="{00000000-0005-0000-0000-0000AA030000}"/>
    <cellStyle name="Currency 5 3 3 3" xfId="2087" xr:uid="{00000000-0005-0000-0000-0000F0030000}"/>
    <cellStyle name="Currency 5 3 3 4" xfId="4436" xr:uid="{00000000-0005-0000-0000-0000DB020000}"/>
    <cellStyle name="Currency 5 3 3 5" xfId="5691" xr:uid="{00000000-0005-0000-0000-0000F1010000}"/>
    <cellStyle name="Currency 5 3 3 6" xfId="8444" xr:uid="{00000000-0005-0000-0000-0000B1030000}"/>
    <cellStyle name="Currency 5 3 3 7" xfId="10841" xr:uid="{00000000-0005-0000-0000-0000B1030000}"/>
    <cellStyle name="Currency 5 3 4" xfId="1974" xr:uid="{00000000-0005-0000-0000-0000F1030000}"/>
    <cellStyle name="Currency 5 3 4 2" xfId="3112" xr:uid="{00000000-0005-0000-0000-0000DC020000}"/>
    <cellStyle name="Currency 5 3 4 2 2" xfId="11468" xr:uid="{00000000-0005-0000-0000-0000AC030000}"/>
    <cellStyle name="Currency 5 3 4 3" xfId="3545" xr:uid="{00000000-0005-0000-0000-0000F1030000}"/>
    <cellStyle name="Currency 5 3 4 4" xfId="8442" xr:uid="{00000000-0005-0000-0000-0000B2030000}"/>
    <cellStyle name="Currency 5 3 4 5" xfId="10839" xr:uid="{00000000-0005-0000-0000-0000B2030000}"/>
    <cellStyle name="Currency 5 3 5" xfId="2584" xr:uid="{00000000-0005-0000-0000-0000DD020000}"/>
    <cellStyle name="Currency 5 3 5 2" xfId="7782" xr:uid="{00000000-0005-0000-0000-0000B3030000}"/>
    <cellStyle name="Currency 5 3 5 3" xfId="10179" xr:uid="{00000000-0005-0000-0000-0000B3030000}"/>
    <cellStyle name="Currency 5 3 6" xfId="2301" xr:uid="{00000000-0005-0000-0000-0000D8020000}"/>
    <cellStyle name="Currency 5 3 7" xfId="3832" xr:uid="{00000000-0005-0000-0000-000092010000}"/>
    <cellStyle name="Currency 5 3 8" xfId="5460" xr:uid="{00000000-0005-0000-0000-0000EF010000}"/>
    <cellStyle name="Currency 5 3 9" xfId="4869" xr:uid="{00000000-0005-0000-0000-0000E0010000}"/>
    <cellStyle name="Currency 5 4" xfId="595" xr:uid="{00000000-0005-0000-0000-0000F2030000}"/>
    <cellStyle name="Currency 5 4 2" xfId="1978" xr:uid="{00000000-0005-0000-0000-0000F3030000}"/>
    <cellStyle name="Currency 5 4 2 2" xfId="3115" xr:uid="{00000000-0005-0000-0000-0000DF020000}"/>
    <cellStyle name="Currency 5 4 2 2 2" xfId="8445" xr:uid="{00000000-0005-0000-0000-0000B6030000}"/>
    <cellStyle name="Currency 5 4 2 2 3" xfId="10842" xr:uid="{00000000-0005-0000-0000-0000B6030000}"/>
    <cellStyle name="Currency 5 4 2 3" xfId="3642" xr:uid="{00000000-0005-0000-0000-0000F3030000}"/>
    <cellStyle name="Currency 5 4 2 4" xfId="6369" xr:uid="{00000000-0005-0000-0000-0000DF020000}"/>
    <cellStyle name="Currency 5 4 2 5" xfId="7057" xr:uid="{00000000-0005-0000-0000-0000B5030000}"/>
    <cellStyle name="Currency 5 4 2 6" xfId="9465" xr:uid="{00000000-0005-0000-0000-0000B5030000}"/>
    <cellStyle name="Currency 5 4 3" xfId="1979" xr:uid="{00000000-0005-0000-0000-0000F4030000}"/>
    <cellStyle name="Currency 5 4 3 2" xfId="2699" xr:uid="{00000000-0005-0000-0000-0000E0020000}"/>
    <cellStyle name="Currency 5 4 3 3" xfId="2076" xr:uid="{00000000-0005-0000-0000-0000F4030000}"/>
    <cellStyle name="Currency 5 4 3 4" xfId="6176" xr:uid="{00000000-0005-0000-0000-0000E0020000}"/>
    <cellStyle name="Currency 5 4 3 5" xfId="7927" xr:uid="{00000000-0005-0000-0000-0000B7030000}"/>
    <cellStyle name="Currency 5 4 3 6" xfId="10324" xr:uid="{00000000-0005-0000-0000-0000B7030000}"/>
    <cellStyle name="Currency 5 4 4" xfId="1977" xr:uid="{00000000-0005-0000-0000-0000F5030000}"/>
    <cellStyle name="Currency 5 4 4 2" xfId="4687" xr:uid="{00000000-0005-0000-0000-0000DE020000}"/>
    <cellStyle name="Currency 5 4 5" xfId="4143" xr:uid="{00000000-0005-0000-0000-0000DE020000}"/>
    <cellStyle name="Currency 5 4 6" xfId="5819" xr:uid="{00000000-0005-0000-0000-0000F2010000}"/>
    <cellStyle name="Currency 5 4 7" xfId="5079" xr:uid="{00000000-0005-0000-0000-0000E2010000}"/>
    <cellStyle name="Currency 5 4 8" xfId="6776" xr:uid="{00000000-0005-0000-0000-0000B4030000}"/>
    <cellStyle name="Currency 5 4 9" xfId="9197" xr:uid="{00000000-0005-0000-0000-0000B4030000}"/>
    <cellStyle name="Currency 5 5" xfId="596" xr:uid="{00000000-0005-0000-0000-0000F6030000}"/>
    <cellStyle name="Currency 5 5 2" xfId="1981" xr:uid="{00000000-0005-0000-0000-0000F7030000}"/>
    <cellStyle name="Currency 5 5 2 2" xfId="6449" xr:uid="{00000000-0005-0000-0000-0000B3030000}"/>
    <cellStyle name="Currency 5 5 2 3" xfId="8446" xr:uid="{00000000-0005-0000-0000-0000B9030000}"/>
    <cellStyle name="Currency 5 5 2 4" xfId="10843" xr:uid="{00000000-0005-0000-0000-0000B9030000}"/>
    <cellStyle name="Currency 5 5 3" xfId="1982" xr:uid="{00000000-0005-0000-0000-0000F8030000}"/>
    <cellStyle name="Currency 5 5 4" xfId="1980" xr:uid="{00000000-0005-0000-0000-0000F9030000}"/>
    <cellStyle name="Currency 5 5 5" xfId="4437" xr:uid="{00000000-0005-0000-0000-0000E1020000}"/>
    <cellStyle name="Currency 5 5 6" xfId="5605" xr:uid="{00000000-0005-0000-0000-0000F3010000}"/>
    <cellStyle name="Currency 5 5 7" xfId="7058" xr:uid="{00000000-0005-0000-0000-0000B8030000}"/>
    <cellStyle name="Currency 5 5 8" xfId="9466" xr:uid="{00000000-0005-0000-0000-0000B8030000}"/>
    <cellStyle name="Currency 5 6" xfId="1983" xr:uid="{00000000-0005-0000-0000-0000FA030000}"/>
    <cellStyle name="Currency 5 6 2" xfId="2888" xr:uid="{00000000-0005-0000-0000-0000E2020000}"/>
    <cellStyle name="Currency 5 6 2 2" xfId="8199" xr:uid="{00000000-0005-0000-0000-0000BB030000}"/>
    <cellStyle name="Currency 5 6 2 3" xfId="10596" xr:uid="{00000000-0005-0000-0000-0000BB030000}"/>
    <cellStyle name="Currency 5 6 3" xfId="3691" xr:uid="{00000000-0005-0000-0000-0000FA030000}"/>
    <cellStyle name="Currency 5 6 4" xfId="6280" xr:uid="{00000000-0005-0000-0000-0000E2020000}"/>
    <cellStyle name="Currency 5 6 5" xfId="7052" xr:uid="{00000000-0005-0000-0000-0000BA030000}"/>
    <cellStyle name="Currency 5 6 6" xfId="9460" xr:uid="{00000000-0005-0000-0000-0000BA030000}"/>
    <cellStyle name="Currency 5 7" xfId="1984" xr:uid="{00000000-0005-0000-0000-0000FB030000}"/>
    <cellStyle name="Currency 5 7 2" xfId="2481" xr:uid="{00000000-0005-0000-0000-0000E3020000}"/>
    <cellStyle name="Currency 5 7 3" xfId="3647" xr:uid="{00000000-0005-0000-0000-0000FB030000}"/>
    <cellStyle name="Currency 5 7 4" xfId="7679" xr:uid="{00000000-0005-0000-0000-0000BC030000}"/>
    <cellStyle name="Currency 5 7 5" xfId="10076" xr:uid="{00000000-0005-0000-0000-0000BC030000}"/>
    <cellStyle name="Currency 5 8" xfId="1964" xr:uid="{00000000-0005-0000-0000-0000FC030000}"/>
    <cellStyle name="Currency 5 8 2" xfId="2175" xr:uid="{00000000-0005-0000-0000-0000CA020000}"/>
    <cellStyle name="Currency 5 8 3" xfId="3699" xr:uid="{00000000-0005-0000-0000-0000FC030000}"/>
    <cellStyle name="Currency 5 9" xfId="3890" xr:uid="{00000000-0005-0000-0000-00008F010000}"/>
    <cellStyle name="Currency 6" xfId="597" xr:uid="{00000000-0005-0000-0000-0000FD030000}"/>
    <cellStyle name="Currency 6 10" xfId="6605" xr:uid="{00000000-0005-0000-0000-0000BD030000}"/>
    <cellStyle name="Currency 6 11" xfId="9026" xr:uid="{00000000-0005-0000-0000-0000BD030000}"/>
    <cellStyle name="Currency 6 2" xfId="1986" xr:uid="{00000000-0005-0000-0000-0000FE030000}"/>
    <cellStyle name="Currency 6 2 2" xfId="3117" xr:uid="{00000000-0005-0000-0000-0000E6020000}"/>
    <cellStyle name="Currency 6 2 2 2" xfId="5294" xr:uid="{00000000-0005-0000-0000-0000BA030000}"/>
    <cellStyle name="Currency 6 2 2 2 2" xfId="11472" xr:uid="{00000000-0005-0000-0000-0000BA030000}"/>
    <cellStyle name="Currency 6 2 2 3" xfId="8448" xr:uid="{00000000-0005-0000-0000-0000BF030000}"/>
    <cellStyle name="Currency 6 2 2 4" xfId="10845" xr:uid="{00000000-0005-0000-0000-0000BF030000}"/>
    <cellStyle name="Currency 6 2 2 5" xfId="11383" xr:uid="{00000000-0005-0000-0000-0000E42C0000}"/>
    <cellStyle name="Currency 6 2 3" xfId="2703" xr:uid="{00000000-0005-0000-0000-0000E5020000}"/>
    <cellStyle name="Currency 6 2 3 2" xfId="7931" xr:uid="{00000000-0005-0000-0000-0000C0030000}"/>
    <cellStyle name="Currency 6 2 3 3" xfId="10328" xr:uid="{00000000-0005-0000-0000-0000C0030000}"/>
    <cellStyle name="Currency 6 2 4" xfId="3655" xr:uid="{00000000-0005-0000-0000-0000FE030000}"/>
    <cellStyle name="Currency 6 2 5" xfId="4280" xr:uid="{00000000-0005-0000-0000-0000E5020000}"/>
    <cellStyle name="Currency 6 2 6" xfId="5823" xr:uid="{00000000-0005-0000-0000-0000F5010000}"/>
    <cellStyle name="Currency 6 2 7" xfId="5082" xr:uid="{00000000-0005-0000-0000-0000E4010000}"/>
    <cellStyle name="Currency 6 2 8" xfId="7059" xr:uid="{00000000-0005-0000-0000-0000BE030000}"/>
    <cellStyle name="Currency 6 2 9" xfId="9467" xr:uid="{00000000-0005-0000-0000-0000BE030000}"/>
    <cellStyle name="Currency 6 3" xfId="1987" xr:uid="{00000000-0005-0000-0000-0000FF030000}"/>
    <cellStyle name="Currency 6 3 2" xfId="3118" xr:uid="{00000000-0005-0000-0000-0000E7020000}"/>
    <cellStyle name="Currency 6 3 2 2" xfId="11473" xr:uid="{00000000-0005-0000-0000-0000BD030000}"/>
    <cellStyle name="Currency 6 3 3" xfId="3548" xr:uid="{00000000-0005-0000-0000-0000FF030000}"/>
    <cellStyle name="Currency 6 3 4" xfId="4438" xr:uid="{00000000-0005-0000-0000-0000E7020000}"/>
    <cellStyle name="Currency 6 3 5" xfId="5760" xr:uid="{00000000-0005-0000-0000-0000F6010000}"/>
    <cellStyle name="Currency 6 3 6" xfId="8449" xr:uid="{00000000-0005-0000-0000-0000C1030000}"/>
    <cellStyle name="Currency 6 3 7" xfId="10846" xr:uid="{00000000-0005-0000-0000-0000C1030000}"/>
    <cellStyle name="Currency 6 4" xfId="1985" xr:uid="{00000000-0005-0000-0000-000000040000}"/>
    <cellStyle name="Currency 6 4 2" xfId="3116" xr:uid="{00000000-0005-0000-0000-0000E8020000}"/>
    <cellStyle name="Currency 6 4 2 2" xfId="11471" xr:uid="{00000000-0005-0000-0000-0000BF030000}"/>
    <cellStyle name="Currency 6 4 3" xfId="3553" xr:uid="{00000000-0005-0000-0000-000000040000}"/>
    <cellStyle name="Currency 6 4 4" xfId="8447" xr:uid="{00000000-0005-0000-0000-0000C2030000}"/>
    <cellStyle name="Currency 6 4 5" xfId="10844" xr:uid="{00000000-0005-0000-0000-0000C2030000}"/>
    <cellStyle name="Currency 6 5" xfId="2655" xr:uid="{00000000-0005-0000-0000-0000E9020000}"/>
    <cellStyle name="Currency 6 5 2" xfId="7867" xr:uid="{00000000-0005-0000-0000-0000C3030000}"/>
    <cellStyle name="Currency 6 5 3" xfId="10264" xr:uid="{00000000-0005-0000-0000-0000C3030000}"/>
    <cellStyle name="Currency 6 6" xfId="2260" xr:uid="{00000000-0005-0000-0000-0000E4020000}"/>
    <cellStyle name="Currency 6 7" xfId="3879" xr:uid="{00000000-0005-0000-0000-000093010000}"/>
    <cellStyle name="Currency 6 8" xfId="5545" xr:uid="{00000000-0005-0000-0000-0000F4010000}"/>
    <cellStyle name="Currency 6 9" xfId="4859" xr:uid="{00000000-0005-0000-0000-0000E3010000}"/>
    <cellStyle name="Currency 7" xfId="2689" xr:uid="{00000000-0005-0000-0000-0000EA020000}"/>
    <cellStyle name="Currency 7 2" xfId="3119" xr:uid="{00000000-0005-0000-0000-0000EB020000}"/>
    <cellStyle name="Currency 7 2 2" xfId="6495" xr:uid="{00000000-0005-0000-0000-0000C3030000}"/>
    <cellStyle name="Currency 7 2 2 2" xfId="11474" xr:uid="{00000000-0005-0000-0000-0000C3030000}"/>
    <cellStyle name="Currency 7 2 3" xfId="6370" xr:uid="{00000000-0005-0000-0000-0000EB020000}"/>
    <cellStyle name="Currency 7 2 4" xfId="8450" xr:uid="{00000000-0005-0000-0000-0000C5030000}"/>
    <cellStyle name="Currency 7 2 5" xfId="10847" xr:uid="{00000000-0005-0000-0000-0000C5030000}"/>
    <cellStyle name="Currency 7 2 6" xfId="11371" xr:uid="{00000000-0005-0000-0000-0000E52C0000}"/>
    <cellStyle name="Currency 7 3" xfId="4271" xr:uid="{00000000-0005-0000-0000-0000EA020000}"/>
    <cellStyle name="Currency 7 3 2" xfId="6169" xr:uid="{00000000-0005-0000-0000-0000EA020000}"/>
    <cellStyle name="Currency 7 3 3" xfId="7912" xr:uid="{00000000-0005-0000-0000-0000C6030000}"/>
    <cellStyle name="Currency 7 3 4" xfId="10309" xr:uid="{00000000-0005-0000-0000-0000C6030000}"/>
    <cellStyle name="Currency 7 4" xfId="5804" xr:uid="{00000000-0005-0000-0000-0000F7010000}"/>
    <cellStyle name="Currency 7 5" xfId="5766" xr:uid="{00000000-0005-0000-0000-0000C1030000}"/>
    <cellStyle name="Currency 7 6" xfId="5065" xr:uid="{00000000-0005-0000-0000-0000E5010000}"/>
    <cellStyle name="Currency 7 7" xfId="6766" xr:uid="{00000000-0005-0000-0000-0000C4030000}"/>
    <cellStyle name="Currency 7 8" xfId="9187" xr:uid="{00000000-0005-0000-0000-0000C4030000}"/>
    <cellStyle name="Currency 8" xfId="6506" xr:uid="{00000000-0005-0000-0000-0000C5030000}"/>
    <cellStyle name="Currency 8 2" xfId="7011" xr:uid="{00000000-0005-0000-0000-0000C7030000}"/>
    <cellStyle name="Currency 8 3" xfId="9419" xr:uid="{00000000-0005-0000-0000-0000C7030000}"/>
    <cellStyle name="Emphasis 1" xfId="598" xr:uid="{00000000-0005-0000-0000-000001040000}"/>
    <cellStyle name="Emphasis 2" xfId="599" xr:uid="{00000000-0005-0000-0000-000002040000}"/>
    <cellStyle name="Emphasis 3" xfId="600" xr:uid="{00000000-0005-0000-0000-000003040000}"/>
    <cellStyle name="Good 2" xfId="601" xr:uid="{00000000-0005-0000-0000-000004040000}"/>
    <cellStyle name="Good 3" xfId="602" xr:uid="{00000000-0005-0000-0000-000005040000}"/>
    <cellStyle name="Heading 1 2" xfId="603" xr:uid="{00000000-0005-0000-0000-000006040000}"/>
    <cellStyle name="Heading 1 3" xfId="604" xr:uid="{00000000-0005-0000-0000-000007040000}"/>
    <cellStyle name="Heading 2 2" xfId="605" xr:uid="{00000000-0005-0000-0000-000008040000}"/>
    <cellStyle name="Heading 2 3" xfId="606" xr:uid="{00000000-0005-0000-0000-000009040000}"/>
    <cellStyle name="Heading 3 2" xfId="607" xr:uid="{00000000-0005-0000-0000-00000A040000}"/>
    <cellStyle name="Heading 3 3" xfId="608" xr:uid="{00000000-0005-0000-0000-00000B040000}"/>
    <cellStyle name="Heading 4 2" xfId="609" xr:uid="{00000000-0005-0000-0000-00000C040000}"/>
    <cellStyle name="Heading 4 3" xfId="610" xr:uid="{00000000-0005-0000-0000-00000D040000}"/>
    <cellStyle name="Hyperlink" xfId="611" builtinId="8"/>
    <cellStyle name="Hyperlink 2" xfId="612" xr:uid="{00000000-0005-0000-0000-00000F040000}"/>
    <cellStyle name="Hyperlink 3" xfId="613" xr:uid="{00000000-0005-0000-0000-000010040000}"/>
    <cellStyle name="Hyperlink 4" xfId="614" xr:uid="{00000000-0005-0000-0000-000011040000}"/>
    <cellStyle name="Input 2" xfId="615" xr:uid="{00000000-0005-0000-0000-000012040000}"/>
    <cellStyle name="Input 3" xfId="616" xr:uid="{00000000-0005-0000-0000-000013040000}"/>
    <cellStyle name="Linked Cell 2" xfId="617" xr:uid="{00000000-0005-0000-0000-000014040000}"/>
    <cellStyle name="Linked Cell 3" xfId="618" xr:uid="{00000000-0005-0000-0000-000015040000}"/>
    <cellStyle name="Neutral 2" xfId="619" xr:uid="{00000000-0005-0000-0000-000016040000}"/>
    <cellStyle name="Neutral 3" xfId="620" xr:uid="{00000000-0005-0000-0000-000017040000}"/>
    <cellStyle name="Normal" xfId="0" builtinId="0"/>
    <cellStyle name="Normal 10" xfId="621" xr:uid="{00000000-0005-0000-0000-000019040000}"/>
    <cellStyle name="Normal 10 10" xfId="622" xr:uid="{00000000-0005-0000-0000-00001A040000}"/>
    <cellStyle name="Normal 10 10 2" xfId="3120" xr:uid="{00000000-0005-0000-0000-000005030000}"/>
    <cellStyle name="Normal 10 10 2 2" xfId="6371" xr:uid="{00000000-0005-0000-0000-000005030000}"/>
    <cellStyle name="Normal 10 10 2 2 2" xfId="8451" xr:uid="{00000000-0005-0000-0000-0000E2030000}"/>
    <cellStyle name="Normal 10 10 2 2 3" xfId="10848" xr:uid="{00000000-0005-0000-0000-0000E2030000}"/>
    <cellStyle name="Normal 10 10 2 3" xfId="7063" xr:uid="{00000000-0005-0000-0000-0000E1030000}"/>
    <cellStyle name="Normal 10 10 2 4" xfId="9469" xr:uid="{00000000-0005-0000-0000-0000E1030000}"/>
    <cellStyle name="Normal 10 10 3" xfId="2859" xr:uid="{00000000-0005-0000-0000-000006030000}"/>
    <cellStyle name="Normal 10 10 3 2" xfId="6254" xr:uid="{00000000-0005-0000-0000-000006030000}"/>
    <cellStyle name="Normal 10 10 3 3" xfId="8158" xr:uid="{00000000-0005-0000-0000-0000E3030000}"/>
    <cellStyle name="Normal 10 10 3 4" xfId="10555" xr:uid="{00000000-0005-0000-0000-0000E3030000}"/>
    <cellStyle name="Normal 10 10 4" xfId="4145" xr:uid="{00000000-0005-0000-0000-000004030000}"/>
    <cellStyle name="Normal 10 10 5" xfId="5566" xr:uid="{00000000-0005-0000-0000-000010020000}"/>
    <cellStyle name="Normal 10 10 6" xfId="5083" xr:uid="{00000000-0005-0000-0000-0000FE010000}"/>
    <cellStyle name="Normal 10 10 7" xfId="6778" xr:uid="{00000000-0005-0000-0000-0000E0030000}"/>
    <cellStyle name="Normal 10 10 8" xfId="9199" xr:uid="{00000000-0005-0000-0000-0000E0030000}"/>
    <cellStyle name="Normal 10 11" xfId="623" xr:uid="{00000000-0005-0000-0000-00001B040000}"/>
    <cellStyle name="Normal 10 11 2" xfId="6492" xr:uid="{00000000-0005-0000-0000-0000E2030000}"/>
    <cellStyle name="Normal 10 11 2 2" xfId="8201" xr:uid="{00000000-0005-0000-0000-0000E5030000}"/>
    <cellStyle name="Normal 10 11 2 3" xfId="10598" xr:uid="{00000000-0005-0000-0000-0000E5030000}"/>
    <cellStyle name="Normal 10 11 3" xfId="6281" xr:uid="{00000000-0005-0000-0000-000007030000}"/>
    <cellStyle name="Normal 10 11 4" xfId="7064" xr:uid="{00000000-0005-0000-0000-0000E4030000}"/>
    <cellStyle name="Normal 10 11 5" xfId="9470" xr:uid="{00000000-0005-0000-0000-0000E4030000}"/>
    <cellStyle name="Normal 10 12" xfId="624" xr:uid="{00000000-0005-0000-0000-00001C040000}"/>
    <cellStyle name="Normal 10 12 2" xfId="6153" xr:uid="{00000000-0005-0000-0000-000008030000}"/>
    <cellStyle name="Normal 10 12 3" xfId="7065" xr:uid="{00000000-0005-0000-0000-0000E6030000}"/>
    <cellStyle name="Normal 10 12 4" xfId="9471" xr:uid="{00000000-0005-0000-0000-0000E6030000}"/>
    <cellStyle name="Normal 10 13" xfId="2173" xr:uid="{00000000-0005-0000-0000-000003030000}"/>
    <cellStyle name="Normal 10 13 2" xfId="7062" xr:uid="{00000000-0005-0000-0000-0000E7030000}"/>
    <cellStyle name="Normal 10 13 3" xfId="9468" xr:uid="{00000000-0005-0000-0000-0000E7030000}"/>
    <cellStyle name="Normal 10 14" xfId="3904" xr:uid="{00000000-0005-0000-0000-0000AB010000}"/>
    <cellStyle name="Normal 10 14 2" xfId="7640" xr:uid="{00000000-0005-0000-0000-0000E8030000}"/>
    <cellStyle name="Normal 10 14 3" xfId="10037" xr:uid="{00000000-0005-0000-0000-0000E8030000}"/>
    <cellStyle name="Normal 10 15" xfId="5320" xr:uid="{00000000-0005-0000-0000-00000F020000}"/>
    <cellStyle name="Normal 10 16" xfId="4776" xr:uid="{00000000-0005-0000-0000-0000FD010000}"/>
    <cellStyle name="Normal 10 17" xfId="6539" xr:uid="{00000000-0005-0000-0000-0000DF030000}"/>
    <cellStyle name="Normal 10 18" xfId="8960" xr:uid="{00000000-0005-0000-0000-0000DF030000}"/>
    <cellStyle name="Normal 10 2" xfId="625" xr:uid="{00000000-0005-0000-0000-00001D040000}"/>
    <cellStyle name="Normal 10 2 10" xfId="5380" xr:uid="{00000000-0005-0000-0000-000011020000}"/>
    <cellStyle name="Normal 10 2 11" xfId="4836" xr:uid="{00000000-0005-0000-0000-0000FF010000}"/>
    <cellStyle name="Normal 10 2 12" xfId="6582" xr:uid="{00000000-0005-0000-0000-0000E9030000}"/>
    <cellStyle name="Normal 10 2 13" xfId="9003" xr:uid="{00000000-0005-0000-0000-0000E9030000}"/>
    <cellStyle name="Normal 10 2 2" xfId="626" xr:uid="{00000000-0005-0000-0000-00001E040000}"/>
    <cellStyle name="Normal 10 2 2 10" xfId="4872" xr:uid="{00000000-0005-0000-0000-000000020000}"/>
    <cellStyle name="Normal 10 2 2 11" xfId="6618" xr:uid="{00000000-0005-0000-0000-0000EA030000}"/>
    <cellStyle name="Normal 10 2 2 12" xfId="9039" xr:uid="{00000000-0005-0000-0000-0000EA030000}"/>
    <cellStyle name="Normal 10 2 2 2" xfId="627" xr:uid="{00000000-0005-0000-0000-00001F040000}"/>
    <cellStyle name="Normal 10 2 2 2 2" xfId="628" xr:uid="{00000000-0005-0000-0000-000020040000}"/>
    <cellStyle name="Normal 10 2 2 2 2 2" xfId="3123" xr:uid="{00000000-0005-0000-0000-00000D030000}"/>
    <cellStyle name="Normal 10 2 2 2 2 2 2" xfId="6522" xr:uid="{00000000-0005-0000-0000-0000E9030000}"/>
    <cellStyle name="Normal 10 2 2 2 2 2 2 2" xfId="8454" xr:uid="{00000000-0005-0000-0000-0000EE030000}"/>
    <cellStyle name="Normal 10 2 2 2 2 2 2 3" xfId="10851" xr:uid="{00000000-0005-0000-0000-0000EE030000}"/>
    <cellStyle name="Normal 10 2 2 2 2 2 3" xfId="6372" xr:uid="{00000000-0005-0000-0000-00000D030000}"/>
    <cellStyle name="Normal 10 2 2 2 2 2 4" xfId="7069" xr:uid="{00000000-0005-0000-0000-0000ED030000}"/>
    <cellStyle name="Normal 10 2 2 2 2 2 5" xfId="9475" xr:uid="{00000000-0005-0000-0000-0000ED030000}"/>
    <cellStyle name="Normal 10 2 2 2 2 3" xfId="4282" xr:uid="{00000000-0005-0000-0000-00000C030000}"/>
    <cellStyle name="Normal 10 2 2 2 2 3 2" xfId="7935" xr:uid="{00000000-0005-0000-0000-0000EF030000}"/>
    <cellStyle name="Normal 10 2 2 2 2 3 3" xfId="10332" xr:uid="{00000000-0005-0000-0000-0000EF030000}"/>
    <cellStyle name="Normal 10 2 2 2 2 4" xfId="5827" xr:uid="{00000000-0005-0000-0000-000014020000}"/>
    <cellStyle name="Normal 10 2 2 2 2 5" xfId="5232" xr:uid="{00000000-0005-0000-0000-000002020000}"/>
    <cellStyle name="Normal 10 2 2 2 2 6" xfId="6904" xr:uid="{00000000-0005-0000-0000-0000EC030000}"/>
    <cellStyle name="Normal 10 2 2 2 2 7" xfId="9325" xr:uid="{00000000-0005-0000-0000-0000EC030000}"/>
    <cellStyle name="Normal 10 2 2 2 3" xfId="3124" xr:uid="{00000000-0005-0000-0000-00000E030000}"/>
    <cellStyle name="Normal 10 2 2 2 3 2" xfId="4439" xr:uid="{00000000-0005-0000-0000-00000E030000}"/>
    <cellStyle name="Normal 10 2 2 2 3 3" xfId="8455" xr:uid="{00000000-0005-0000-0000-0000F0030000}"/>
    <cellStyle name="Normal 10 2 2 2 3 4" xfId="10852" xr:uid="{00000000-0005-0000-0000-0000F0030000}"/>
    <cellStyle name="Normal 10 2 2 2 4" xfId="3122" xr:uid="{00000000-0005-0000-0000-00000F030000}"/>
    <cellStyle name="Normal 10 2 2 2 4 2" xfId="8453" xr:uid="{00000000-0005-0000-0000-0000F1030000}"/>
    <cellStyle name="Normal 10 2 2 2 4 3" xfId="10850" xr:uid="{00000000-0005-0000-0000-0000F1030000}"/>
    <cellStyle name="Normal 10 2 2 2 5" xfId="4250" xr:uid="{00000000-0005-0000-0000-00000B030000}"/>
    <cellStyle name="Normal 10 2 2 2 5 2" xfId="7863" xr:uid="{00000000-0005-0000-0000-0000F2030000}"/>
    <cellStyle name="Normal 10 2 2 2 5 3" xfId="10260" xr:uid="{00000000-0005-0000-0000-0000F2030000}"/>
    <cellStyle name="Normal 10 2 2 2 6" xfId="5541" xr:uid="{00000000-0005-0000-0000-000013020000}"/>
    <cellStyle name="Normal 10 2 2 2 7" xfId="5085" xr:uid="{00000000-0005-0000-0000-000001020000}"/>
    <cellStyle name="Normal 10 2 2 2 8" xfId="7068" xr:uid="{00000000-0005-0000-0000-0000EB030000}"/>
    <cellStyle name="Normal 10 2 2 2 9" xfId="9474" xr:uid="{00000000-0005-0000-0000-0000EB030000}"/>
    <cellStyle name="Normal 10 2 2 3" xfId="2706" xr:uid="{00000000-0005-0000-0000-000010030000}"/>
    <cellStyle name="Normal 10 2 2 3 2" xfId="3125" xr:uid="{00000000-0005-0000-0000-000011030000}"/>
    <cellStyle name="Normal 10 2 2 3 2 2" xfId="8456" xr:uid="{00000000-0005-0000-0000-0000F4030000}"/>
    <cellStyle name="Normal 10 2 2 3 2 3" xfId="10853" xr:uid="{00000000-0005-0000-0000-0000F4030000}"/>
    <cellStyle name="Normal 10 2 2 3 3" xfId="4281" xr:uid="{00000000-0005-0000-0000-000010030000}"/>
    <cellStyle name="Normal 10 2 2 3 3 2" xfId="7934" xr:uid="{00000000-0005-0000-0000-0000F5030000}"/>
    <cellStyle name="Normal 10 2 2 3 3 3" xfId="10331" xr:uid="{00000000-0005-0000-0000-0000F5030000}"/>
    <cellStyle name="Normal 10 2 2 3 4" xfId="5826" xr:uid="{00000000-0005-0000-0000-000016020000}"/>
    <cellStyle name="Normal 10 2 2 3 5" xfId="7067" xr:uid="{00000000-0005-0000-0000-0000F3030000}"/>
    <cellStyle name="Normal 10 2 2 3 6" xfId="9473" xr:uid="{00000000-0005-0000-0000-0000F3030000}"/>
    <cellStyle name="Normal 10 2 2 4" xfId="3126" xr:uid="{00000000-0005-0000-0000-000012030000}"/>
    <cellStyle name="Normal 10 2 2 4 2" xfId="4440" xr:uid="{00000000-0005-0000-0000-000012030000}"/>
    <cellStyle name="Normal 10 2 2 4 3" xfId="8457" xr:uid="{00000000-0005-0000-0000-0000F6030000}"/>
    <cellStyle name="Normal 10 2 2 4 4" xfId="10854" xr:uid="{00000000-0005-0000-0000-0000F6030000}"/>
    <cellStyle name="Normal 10 2 2 5" xfId="3121" xr:uid="{00000000-0005-0000-0000-000013030000}"/>
    <cellStyle name="Normal 10 2 2 5 2" xfId="8452" xr:uid="{00000000-0005-0000-0000-0000F7030000}"/>
    <cellStyle name="Normal 10 2 2 5 3" xfId="10849" xr:uid="{00000000-0005-0000-0000-0000F7030000}"/>
    <cellStyle name="Normal 10 2 2 6" xfId="2562" xr:uid="{00000000-0005-0000-0000-000014030000}"/>
    <cellStyle name="Normal 10 2 2 6 2" xfId="7760" xr:uid="{00000000-0005-0000-0000-0000F8030000}"/>
    <cellStyle name="Normal 10 2 2 6 3" xfId="10157" xr:uid="{00000000-0005-0000-0000-0000F8030000}"/>
    <cellStyle name="Normal 10 2 2 7" xfId="2256" xr:uid="{00000000-0005-0000-0000-00000A030000}"/>
    <cellStyle name="Normal 10 2 2 8" xfId="3806" xr:uid="{00000000-0005-0000-0000-0000AD010000}"/>
    <cellStyle name="Normal 10 2 2 9" xfId="5440" xr:uid="{00000000-0005-0000-0000-000012020000}"/>
    <cellStyle name="Normal 10 2 3" xfId="629" xr:uid="{00000000-0005-0000-0000-000021040000}"/>
    <cellStyle name="Normal 10 2 3 10" xfId="6779" xr:uid="{00000000-0005-0000-0000-0000F9030000}"/>
    <cellStyle name="Normal 10 2 3 11" xfId="9200" xr:uid="{00000000-0005-0000-0000-0000F9030000}"/>
    <cellStyle name="Normal 10 2 3 2" xfId="2707" xr:uid="{00000000-0005-0000-0000-000016030000}"/>
    <cellStyle name="Normal 10 2 3 2 2" xfId="3128" xr:uid="{00000000-0005-0000-0000-000017030000}"/>
    <cellStyle name="Normal 10 2 3 2 2 2" xfId="8459" xr:uid="{00000000-0005-0000-0000-0000FB030000}"/>
    <cellStyle name="Normal 10 2 3 2 2 3" xfId="10856" xr:uid="{00000000-0005-0000-0000-0000FB030000}"/>
    <cellStyle name="Normal 10 2 3 2 3" xfId="4283" xr:uid="{00000000-0005-0000-0000-000016030000}"/>
    <cellStyle name="Normal 10 2 3 2 3 2" xfId="7936" xr:uid="{00000000-0005-0000-0000-0000FC030000}"/>
    <cellStyle name="Normal 10 2 3 2 3 3" xfId="10333" xr:uid="{00000000-0005-0000-0000-0000FC030000}"/>
    <cellStyle name="Normal 10 2 3 2 4" xfId="5828" xr:uid="{00000000-0005-0000-0000-000019020000}"/>
    <cellStyle name="Normal 10 2 3 2 5" xfId="7070" xr:uid="{00000000-0005-0000-0000-0000FA030000}"/>
    <cellStyle name="Normal 10 2 3 2 6" xfId="9476" xr:uid="{00000000-0005-0000-0000-0000FA030000}"/>
    <cellStyle name="Normal 10 2 3 3" xfId="3129" xr:uid="{00000000-0005-0000-0000-000018030000}"/>
    <cellStyle name="Normal 10 2 3 3 2" xfId="4441" xr:uid="{00000000-0005-0000-0000-000018030000}"/>
    <cellStyle name="Normal 10 2 3 3 3" xfId="5711" xr:uid="{00000000-0005-0000-0000-00001A020000}"/>
    <cellStyle name="Normal 10 2 3 3 4" xfId="8460" xr:uid="{00000000-0005-0000-0000-0000FD030000}"/>
    <cellStyle name="Normal 10 2 3 3 5" xfId="10857" xr:uid="{00000000-0005-0000-0000-0000FD030000}"/>
    <cellStyle name="Normal 10 2 3 4" xfId="3127" xr:uid="{00000000-0005-0000-0000-000019030000}"/>
    <cellStyle name="Normal 10 2 3 4 2" xfId="8458" xr:uid="{00000000-0005-0000-0000-0000FE030000}"/>
    <cellStyle name="Normal 10 2 3 4 3" xfId="10855" xr:uid="{00000000-0005-0000-0000-0000FE030000}"/>
    <cellStyle name="Normal 10 2 3 5" xfId="2605" xr:uid="{00000000-0005-0000-0000-00001A030000}"/>
    <cellStyle name="Normal 10 2 3 5 2" xfId="7803" xr:uid="{00000000-0005-0000-0000-0000FF030000}"/>
    <cellStyle name="Normal 10 2 3 5 3" xfId="10200" xr:uid="{00000000-0005-0000-0000-0000FF030000}"/>
    <cellStyle name="Normal 10 2 3 6" xfId="2304" xr:uid="{00000000-0005-0000-0000-000015030000}"/>
    <cellStyle name="Normal 10 2 3 7" xfId="3835" xr:uid="{00000000-0005-0000-0000-0000AE010000}"/>
    <cellStyle name="Normal 10 2 3 8" xfId="5481" xr:uid="{00000000-0005-0000-0000-000018020000}"/>
    <cellStyle name="Normal 10 2 3 9" xfId="5084" xr:uid="{00000000-0005-0000-0000-000003020000}"/>
    <cellStyle name="Normal 10 2 4" xfId="630" xr:uid="{00000000-0005-0000-0000-000022040000}"/>
    <cellStyle name="Normal 10 2 4 2" xfId="3130" xr:uid="{00000000-0005-0000-0000-00001C030000}"/>
    <cellStyle name="Normal 10 2 4 2 2" xfId="8461" xr:uid="{00000000-0005-0000-0000-000001040000}"/>
    <cellStyle name="Normal 10 2 4 2 3" xfId="10858" xr:uid="{00000000-0005-0000-0000-000001040000}"/>
    <cellStyle name="Normal 10 2 4 3" xfId="2705" xr:uid="{00000000-0005-0000-0000-00001D030000}"/>
    <cellStyle name="Normal 10 2 4 3 2" xfId="7933" xr:uid="{00000000-0005-0000-0000-000002040000}"/>
    <cellStyle name="Normal 10 2 4 3 3" xfId="10330" xr:uid="{00000000-0005-0000-0000-000002040000}"/>
    <cellStyle name="Normal 10 2 4 4" xfId="4146" xr:uid="{00000000-0005-0000-0000-00001B030000}"/>
    <cellStyle name="Normal 10 2 4 5" xfId="5825" xr:uid="{00000000-0005-0000-0000-00001B020000}"/>
    <cellStyle name="Normal 10 2 4 6" xfId="7071" xr:uid="{00000000-0005-0000-0000-000000040000}"/>
    <cellStyle name="Normal 10 2 4 7" xfId="9477" xr:uid="{00000000-0005-0000-0000-000000040000}"/>
    <cellStyle name="Normal 10 2 5" xfId="3131" xr:uid="{00000000-0005-0000-0000-00001E030000}"/>
    <cellStyle name="Normal 10 2 5 2" xfId="4442" xr:uid="{00000000-0005-0000-0000-00001E030000}"/>
    <cellStyle name="Normal 10 2 5 2 2" xfId="8462" xr:uid="{00000000-0005-0000-0000-000004040000}"/>
    <cellStyle name="Normal 10 2 5 2 3" xfId="10859" xr:uid="{00000000-0005-0000-0000-000004040000}"/>
    <cellStyle name="Normal 10 2 5 3" xfId="5626" xr:uid="{00000000-0005-0000-0000-00001C020000}"/>
    <cellStyle name="Normal 10 2 5 4" xfId="7066" xr:uid="{00000000-0005-0000-0000-000003040000}"/>
    <cellStyle name="Normal 10 2 5 5" xfId="9472" xr:uid="{00000000-0005-0000-0000-000003040000}"/>
    <cellStyle name="Normal 10 2 6" xfId="2890" xr:uid="{00000000-0005-0000-0000-00001F030000}"/>
    <cellStyle name="Normal 10 2 6 2" xfId="8202" xr:uid="{00000000-0005-0000-0000-000005040000}"/>
    <cellStyle name="Normal 10 2 6 3" xfId="10599" xr:uid="{00000000-0005-0000-0000-000005040000}"/>
    <cellStyle name="Normal 10 2 7" xfId="2502" xr:uid="{00000000-0005-0000-0000-000020030000}"/>
    <cellStyle name="Normal 10 2 7 2" xfId="7700" xr:uid="{00000000-0005-0000-0000-000006040000}"/>
    <cellStyle name="Normal 10 2 7 3" xfId="10097" xr:uid="{00000000-0005-0000-0000-000006040000}"/>
    <cellStyle name="Normal 10 2 8" xfId="2196" xr:uid="{00000000-0005-0000-0000-000009030000}"/>
    <cellStyle name="Normal 10 2 9" xfId="3905" xr:uid="{00000000-0005-0000-0000-0000AC010000}"/>
    <cellStyle name="Normal 10 3" xfId="631" xr:uid="{00000000-0005-0000-0000-000023040000}"/>
    <cellStyle name="Normal 10 3 10" xfId="5357" xr:uid="{00000000-0005-0000-0000-00001D020000}"/>
    <cellStyle name="Normal 10 3 11" xfId="4813" xr:uid="{00000000-0005-0000-0000-000004020000}"/>
    <cellStyle name="Normal 10 3 12" xfId="6559" xr:uid="{00000000-0005-0000-0000-000007040000}"/>
    <cellStyle name="Normal 10 3 13" xfId="8980" xr:uid="{00000000-0005-0000-0000-000007040000}"/>
    <cellStyle name="Normal 10 3 2" xfId="632" xr:uid="{00000000-0005-0000-0000-000024040000}"/>
    <cellStyle name="Normal 10 3 2 10" xfId="6619" xr:uid="{00000000-0005-0000-0000-000008040000}"/>
    <cellStyle name="Normal 10 3 2 11" xfId="9040" xr:uid="{00000000-0005-0000-0000-000008040000}"/>
    <cellStyle name="Normal 10 3 2 2" xfId="633" xr:uid="{00000000-0005-0000-0000-000025040000}"/>
    <cellStyle name="Normal 10 3 2 2 2" xfId="3133" xr:uid="{00000000-0005-0000-0000-000024030000}"/>
    <cellStyle name="Normal 10 3 2 2 2 2" xfId="8464" xr:uid="{00000000-0005-0000-0000-00000A040000}"/>
    <cellStyle name="Normal 10 3 2 2 2 3" xfId="10861" xr:uid="{00000000-0005-0000-0000-00000A040000}"/>
    <cellStyle name="Normal 10 3 2 2 3" xfId="4285" xr:uid="{00000000-0005-0000-0000-000023030000}"/>
    <cellStyle name="Normal 10 3 2 2 3 2" xfId="7938" xr:uid="{00000000-0005-0000-0000-00000B040000}"/>
    <cellStyle name="Normal 10 3 2 2 3 3" xfId="10335" xr:uid="{00000000-0005-0000-0000-00000B040000}"/>
    <cellStyle name="Normal 10 3 2 2 4" xfId="5830" xr:uid="{00000000-0005-0000-0000-00001F020000}"/>
    <cellStyle name="Normal 10 3 2 2 5" xfId="5087" xr:uid="{00000000-0005-0000-0000-000006020000}"/>
    <cellStyle name="Normal 10 3 2 2 6" xfId="7074" xr:uid="{00000000-0005-0000-0000-000009040000}"/>
    <cellStyle name="Normal 10 3 2 2 7" xfId="9480" xr:uid="{00000000-0005-0000-0000-000009040000}"/>
    <cellStyle name="Normal 10 3 2 3" xfId="3134" xr:uid="{00000000-0005-0000-0000-000025030000}"/>
    <cellStyle name="Normal 10 3 2 3 2" xfId="4443" xr:uid="{00000000-0005-0000-0000-000025030000}"/>
    <cellStyle name="Normal 10 3 2 3 2 2" xfId="8465" xr:uid="{00000000-0005-0000-0000-00000D040000}"/>
    <cellStyle name="Normal 10 3 2 3 2 3" xfId="10862" xr:uid="{00000000-0005-0000-0000-00000D040000}"/>
    <cellStyle name="Normal 10 3 2 3 3" xfId="5662" xr:uid="{00000000-0005-0000-0000-000020020000}"/>
    <cellStyle name="Normal 10 3 2 3 4" xfId="7073" xr:uid="{00000000-0005-0000-0000-00000C040000}"/>
    <cellStyle name="Normal 10 3 2 3 5" xfId="9479" xr:uid="{00000000-0005-0000-0000-00000C040000}"/>
    <cellStyle name="Normal 10 3 2 4" xfId="3132" xr:uid="{00000000-0005-0000-0000-000026030000}"/>
    <cellStyle name="Normal 10 3 2 4 2" xfId="8463" xr:uid="{00000000-0005-0000-0000-00000E040000}"/>
    <cellStyle name="Normal 10 3 2 4 3" xfId="10860" xr:uid="{00000000-0005-0000-0000-00000E040000}"/>
    <cellStyle name="Normal 10 3 2 5" xfId="2539" xr:uid="{00000000-0005-0000-0000-000027030000}"/>
    <cellStyle name="Normal 10 3 2 5 2" xfId="7737" xr:uid="{00000000-0005-0000-0000-00000F040000}"/>
    <cellStyle name="Normal 10 3 2 5 3" xfId="10134" xr:uid="{00000000-0005-0000-0000-00000F040000}"/>
    <cellStyle name="Normal 10 3 2 6" xfId="2305" xr:uid="{00000000-0005-0000-0000-000022030000}"/>
    <cellStyle name="Normal 10 3 2 7" xfId="3836" xr:uid="{00000000-0005-0000-0000-0000B0010000}"/>
    <cellStyle name="Normal 10 3 2 8" xfId="5417" xr:uid="{00000000-0005-0000-0000-00001E020000}"/>
    <cellStyle name="Normal 10 3 2 9" xfId="4873" xr:uid="{00000000-0005-0000-0000-000005020000}"/>
    <cellStyle name="Normal 10 3 3" xfId="634" xr:uid="{00000000-0005-0000-0000-000026040000}"/>
    <cellStyle name="Normal 10 3 3 10" xfId="9201" xr:uid="{00000000-0005-0000-0000-000010040000}"/>
    <cellStyle name="Normal 10 3 3 2" xfId="2708" xr:uid="{00000000-0005-0000-0000-000029030000}"/>
    <cellStyle name="Normal 10 3 3 2 2" xfId="3136" xr:uid="{00000000-0005-0000-0000-00002A030000}"/>
    <cellStyle name="Normal 10 3 3 2 2 2" xfId="8467" xr:uid="{00000000-0005-0000-0000-000012040000}"/>
    <cellStyle name="Normal 10 3 3 2 2 3" xfId="10864" xr:uid="{00000000-0005-0000-0000-000012040000}"/>
    <cellStyle name="Normal 10 3 3 2 3" xfId="4286" xr:uid="{00000000-0005-0000-0000-000029030000}"/>
    <cellStyle name="Normal 10 3 3 2 3 2" xfId="7939" xr:uid="{00000000-0005-0000-0000-000013040000}"/>
    <cellStyle name="Normal 10 3 3 2 3 3" xfId="10336" xr:uid="{00000000-0005-0000-0000-000013040000}"/>
    <cellStyle name="Normal 10 3 3 2 4" xfId="5831" xr:uid="{00000000-0005-0000-0000-000022020000}"/>
    <cellStyle name="Normal 10 3 3 2 5" xfId="7075" xr:uid="{00000000-0005-0000-0000-000011040000}"/>
    <cellStyle name="Normal 10 3 3 2 6" xfId="9481" xr:uid="{00000000-0005-0000-0000-000011040000}"/>
    <cellStyle name="Normal 10 3 3 3" xfId="3137" xr:uid="{00000000-0005-0000-0000-00002B030000}"/>
    <cellStyle name="Normal 10 3 3 3 2" xfId="4444" xr:uid="{00000000-0005-0000-0000-00002B030000}"/>
    <cellStyle name="Normal 10 3 3 3 3" xfId="5747" xr:uid="{00000000-0005-0000-0000-000023020000}"/>
    <cellStyle name="Normal 10 3 3 3 4" xfId="8468" xr:uid="{00000000-0005-0000-0000-000014040000}"/>
    <cellStyle name="Normal 10 3 3 3 5" xfId="10865" xr:uid="{00000000-0005-0000-0000-000014040000}"/>
    <cellStyle name="Normal 10 3 3 4" xfId="3135" xr:uid="{00000000-0005-0000-0000-00002C030000}"/>
    <cellStyle name="Normal 10 3 3 4 2" xfId="8466" xr:uid="{00000000-0005-0000-0000-000015040000}"/>
    <cellStyle name="Normal 10 3 3 4 3" xfId="10863" xr:uid="{00000000-0005-0000-0000-000015040000}"/>
    <cellStyle name="Normal 10 3 3 5" xfId="2641" xr:uid="{00000000-0005-0000-0000-00002D030000}"/>
    <cellStyle name="Normal 10 3 3 5 2" xfId="7840" xr:uid="{00000000-0005-0000-0000-000016040000}"/>
    <cellStyle name="Normal 10 3 3 5 3" xfId="10237" xr:uid="{00000000-0005-0000-0000-000016040000}"/>
    <cellStyle name="Normal 10 3 3 6" xfId="4147" xr:uid="{00000000-0005-0000-0000-000028030000}"/>
    <cellStyle name="Normal 10 3 3 7" xfId="5518" xr:uid="{00000000-0005-0000-0000-000021020000}"/>
    <cellStyle name="Normal 10 3 3 8" xfId="5086" xr:uid="{00000000-0005-0000-0000-000007020000}"/>
    <cellStyle name="Normal 10 3 3 9" xfId="6780" xr:uid="{00000000-0005-0000-0000-000010040000}"/>
    <cellStyle name="Normal 10 3 4" xfId="635" xr:uid="{00000000-0005-0000-0000-000027040000}"/>
    <cellStyle name="Normal 10 3 4 2" xfId="3138" xr:uid="{00000000-0005-0000-0000-00002F030000}"/>
    <cellStyle name="Normal 10 3 4 2 2" xfId="8469" xr:uid="{00000000-0005-0000-0000-000018040000}"/>
    <cellStyle name="Normal 10 3 4 2 3" xfId="10866" xr:uid="{00000000-0005-0000-0000-000018040000}"/>
    <cellStyle name="Normal 10 3 4 3" xfId="4284" xr:uid="{00000000-0005-0000-0000-00002E030000}"/>
    <cellStyle name="Normal 10 3 4 3 2" xfId="7937" xr:uid="{00000000-0005-0000-0000-000019040000}"/>
    <cellStyle name="Normal 10 3 4 3 3" xfId="10334" xr:uid="{00000000-0005-0000-0000-000019040000}"/>
    <cellStyle name="Normal 10 3 4 4" xfId="5829" xr:uid="{00000000-0005-0000-0000-000024020000}"/>
    <cellStyle name="Normal 10 3 4 5" xfId="7076" xr:uid="{00000000-0005-0000-0000-000017040000}"/>
    <cellStyle name="Normal 10 3 4 6" xfId="9482" xr:uid="{00000000-0005-0000-0000-000017040000}"/>
    <cellStyle name="Normal 10 3 5" xfId="3139" xr:uid="{00000000-0005-0000-0000-000030030000}"/>
    <cellStyle name="Normal 10 3 5 2" xfId="4445" xr:uid="{00000000-0005-0000-0000-000030030000}"/>
    <cellStyle name="Normal 10 3 5 2 2" xfId="8470" xr:uid="{00000000-0005-0000-0000-00001B040000}"/>
    <cellStyle name="Normal 10 3 5 2 3" xfId="10867" xr:uid="{00000000-0005-0000-0000-00001B040000}"/>
    <cellStyle name="Normal 10 3 5 3" xfId="5603" xr:uid="{00000000-0005-0000-0000-000025020000}"/>
    <cellStyle name="Normal 10 3 5 4" xfId="7072" xr:uid="{00000000-0005-0000-0000-00001A040000}"/>
    <cellStyle name="Normal 10 3 5 5" xfId="9478" xr:uid="{00000000-0005-0000-0000-00001A040000}"/>
    <cellStyle name="Normal 10 3 6" xfId="2891" xr:uid="{00000000-0005-0000-0000-000031030000}"/>
    <cellStyle name="Normal 10 3 6 2" xfId="8203" xr:uid="{00000000-0005-0000-0000-00001C040000}"/>
    <cellStyle name="Normal 10 3 6 3" xfId="10600" xr:uid="{00000000-0005-0000-0000-00001C040000}"/>
    <cellStyle name="Normal 10 3 7" xfId="2479" xr:uid="{00000000-0005-0000-0000-000032030000}"/>
    <cellStyle name="Normal 10 3 7 2" xfId="7677" xr:uid="{00000000-0005-0000-0000-00001D040000}"/>
    <cellStyle name="Normal 10 3 7 3" xfId="10074" xr:uid="{00000000-0005-0000-0000-00001D040000}"/>
    <cellStyle name="Normal 10 3 8" xfId="2233" xr:uid="{00000000-0005-0000-0000-000021030000}"/>
    <cellStyle name="Normal 10 3 9" xfId="3906" xr:uid="{00000000-0005-0000-0000-0000AF010000}"/>
    <cellStyle name="Normal 10 4" xfId="636" xr:uid="{00000000-0005-0000-0000-000028040000}"/>
    <cellStyle name="Normal 10 4 10" xfId="4793" xr:uid="{00000000-0005-0000-0000-000008020000}"/>
    <cellStyle name="Normal 10 4 11" xfId="6620" xr:uid="{00000000-0005-0000-0000-00001E040000}"/>
    <cellStyle name="Normal 10 4 12" xfId="9041" xr:uid="{00000000-0005-0000-0000-00001E040000}"/>
    <cellStyle name="Normal 10 4 2" xfId="637" xr:uid="{00000000-0005-0000-0000-000029040000}"/>
    <cellStyle name="Normal 10 4 2 10" xfId="6781" xr:uid="{00000000-0005-0000-0000-00001F040000}"/>
    <cellStyle name="Normal 10 4 2 11" xfId="9202" xr:uid="{00000000-0005-0000-0000-00001F040000}"/>
    <cellStyle name="Normal 10 4 2 2" xfId="638" xr:uid="{00000000-0005-0000-0000-00002A040000}"/>
    <cellStyle name="Normal 10 4 2 2 2" xfId="3141" xr:uid="{00000000-0005-0000-0000-000036030000}"/>
    <cellStyle name="Normal 10 4 2 2 2 2" xfId="8472" xr:uid="{00000000-0005-0000-0000-000021040000}"/>
    <cellStyle name="Normal 10 4 2 2 2 3" xfId="10869" xr:uid="{00000000-0005-0000-0000-000021040000}"/>
    <cellStyle name="Normal 10 4 2 2 3" xfId="4287" xr:uid="{00000000-0005-0000-0000-000035030000}"/>
    <cellStyle name="Normal 10 4 2 2 3 2" xfId="7941" xr:uid="{00000000-0005-0000-0000-000022040000}"/>
    <cellStyle name="Normal 10 4 2 2 3 3" xfId="10338" xr:uid="{00000000-0005-0000-0000-000022040000}"/>
    <cellStyle name="Normal 10 4 2 2 4" xfId="5833" xr:uid="{00000000-0005-0000-0000-000028020000}"/>
    <cellStyle name="Normal 10 4 2 2 5" xfId="5089" xr:uid="{00000000-0005-0000-0000-00000A020000}"/>
    <cellStyle name="Normal 10 4 2 2 6" xfId="7079" xr:uid="{00000000-0005-0000-0000-000020040000}"/>
    <cellStyle name="Normal 10 4 2 2 7" xfId="9485" xr:uid="{00000000-0005-0000-0000-000020040000}"/>
    <cellStyle name="Normal 10 4 2 3" xfId="3142" xr:uid="{00000000-0005-0000-0000-000037030000}"/>
    <cellStyle name="Normal 10 4 2 3 2" xfId="4446" xr:uid="{00000000-0005-0000-0000-000037030000}"/>
    <cellStyle name="Normal 10 4 2 3 2 2" xfId="8473" xr:uid="{00000000-0005-0000-0000-000024040000}"/>
    <cellStyle name="Normal 10 4 2 3 2 3" xfId="10870" xr:uid="{00000000-0005-0000-0000-000024040000}"/>
    <cellStyle name="Normal 10 4 2 3 3" xfId="5728" xr:uid="{00000000-0005-0000-0000-000029020000}"/>
    <cellStyle name="Normal 10 4 2 3 4" xfId="7078" xr:uid="{00000000-0005-0000-0000-000023040000}"/>
    <cellStyle name="Normal 10 4 2 3 5" xfId="9484" xr:uid="{00000000-0005-0000-0000-000023040000}"/>
    <cellStyle name="Normal 10 4 2 4" xfId="3140" xr:uid="{00000000-0005-0000-0000-000038030000}"/>
    <cellStyle name="Normal 10 4 2 4 2" xfId="8471" xr:uid="{00000000-0005-0000-0000-000025040000}"/>
    <cellStyle name="Normal 10 4 2 4 3" xfId="10868" xr:uid="{00000000-0005-0000-0000-000025040000}"/>
    <cellStyle name="Normal 10 4 2 5" xfId="2622" xr:uid="{00000000-0005-0000-0000-000039030000}"/>
    <cellStyle name="Normal 10 4 2 5 2" xfId="7820" xr:uid="{00000000-0005-0000-0000-000026040000}"/>
    <cellStyle name="Normal 10 4 2 5 3" xfId="10217" xr:uid="{00000000-0005-0000-0000-000026040000}"/>
    <cellStyle name="Normal 10 4 2 6" xfId="2306" xr:uid="{00000000-0005-0000-0000-000034030000}"/>
    <cellStyle name="Normal 10 4 2 7" xfId="3837" xr:uid="{00000000-0005-0000-0000-0000B2010000}"/>
    <cellStyle name="Normal 10 4 2 8" xfId="5498" xr:uid="{00000000-0005-0000-0000-000027020000}"/>
    <cellStyle name="Normal 10 4 2 9" xfId="4874" xr:uid="{00000000-0005-0000-0000-000009020000}"/>
    <cellStyle name="Normal 10 4 3" xfId="639" xr:uid="{00000000-0005-0000-0000-00002B040000}"/>
    <cellStyle name="Normal 10 4 3 2" xfId="3143" xr:uid="{00000000-0005-0000-0000-00003B030000}"/>
    <cellStyle name="Normal 10 4 3 2 2" xfId="8474" xr:uid="{00000000-0005-0000-0000-000028040000}"/>
    <cellStyle name="Normal 10 4 3 2 3" xfId="10871" xr:uid="{00000000-0005-0000-0000-000028040000}"/>
    <cellStyle name="Normal 10 4 3 3" xfId="2709" xr:uid="{00000000-0005-0000-0000-00003C030000}"/>
    <cellStyle name="Normal 10 4 3 3 2" xfId="7940" xr:uid="{00000000-0005-0000-0000-000029040000}"/>
    <cellStyle name="Normal 10 4 3 3 3" xfId="10337" xr:uid="{00000000-0005-0000-0000-000029040000}"/>
    <cellStyle name="Normal 10 4 3 4" xfId="4148" xr:uid="{00000000-0005-0000-0000-00003A030000}"/>
    <cellStyle name="Normal 10 4 3 5" xfId="5832" xr:uid="{00000000-0005-0000-0000-00002A020000}"/>
    <cellStyle name="Normal 10 4 3 6" xfId="5088" xr:uid="{00000000-0005-0000-0000-00000B020000}"/>
    <cellStyle name="Normal 10 4 3 7" xfId="7080" xr:uid="{00000000-0005-0000-0000-000027040000}"/>
    <cellStyle name="Normal 10 4 3 8" xfId="9486" xr:uid="{00000000-0005-0000-0000-000027040000}"/>
    <cellStyle name="Normal 10 4 4" xfId="640" xr:uid="{00000000-0005-0000-0000-00002C040000}"/>
    <cellStyle name="Normal 10 4 4 2" xfId="4447" xr:uid="{00000000-0005-0000-0000-00003D030000}"/>
    <cellStyle name="Normal 10 4 4 2 2" xfId="8475" xr:uid="{00000000-0005-0000-0000-00002B040000}"/>
    <cellStyle name="Normal 10 4 4 2 3" xfId="10872" xr:uid="{00000000-0005-0000-0000-00002B040000}"/>
    <cellStyle name="Normal 10 4 4 3" xfId="5583" xr:uid="{00000000-0005-0000-0000-00002B020000}"/>
    <cellStyle name="Normal 10 4 4 4" xfId="7081" xr:uid="{00000000-0005-0000-0000-00002A040000}"/>
    <cellStyle name="Normal 10 4 4 5" xfId="9487" xr:uid="{00000000-0005-0000-0000-00002A040000}"/>
    <cellStyle name="Normal 10 4 5" xfId="2892" xr:uid="{00000000-0005-0000-0000-00003E030000}"/>
    <cellStyle name="Normal 10 4 5 2" xfId="8204" xr:uid="{00000000-0005-0000-0000-00002D040000}"/>
    <cellStyle name="Normal 10 4 5 2 2" xfId="10601" xr:uid="{00000000-0005-0000-0000-00002D040000}"/>
    <cellStyle name="Normal 10 4 5 3" xfId="7077" xr:uid="{00000000-0005-0000-0000-00002C040000}"/>
    <cellStyle name="Normal 10 4 5 4" xfId="9483" xr:uid="{00000000-0005-0000-0000-00002C040000}"/>
    <cellStyle name="Normal 10 4 6" xfId="2459" xr:uid="{00000000-0005-0000-0000-00003F030000}"/>
    <cellStyle name="Normal 10 4 6 2" xfId="7657" xr:uid="{00000000-0005-0000-0000-00002E040000}"/>
    <cellStyle name="Normal 10 4 6 3" xfId="10054" xr:uid="{00000000-0005-0000-0000-00002E040000}"/>
    <cellStyle name="Normal 10 4 7" xfId="2213" xr:uid="{00000000-0005-0000-0000-000033030000}"/>
    <cellStyle name="Normal 10 4 8" xfId="3907" xr:uid="{00000000-0005-0000-0000-0000B1010000}"/>
    <cellStyle name="Normal 10 4 9" xfId="5337" xr:uid="{00000000-0005-0000-0000-000026020000}"/>
    <cellStyle name="Normal 10 5" xfId="641" xr:uid="{00000000-0005-0000-0000-00002D040000}"/>
    <cellStyle name="Normal 10 5 10" xfId="6621" xr:uid="{00000000-0005-0000-0000-00002F040000}"/>
    <cellStyle name="Normal 10 5 11" xfId="9042" xr:uid="{00000000-0005-0000-0000-00002F040000}"/>
    <cellStyle name="Normal 10 5 2" xfId="642" xr:uid="{00000000-0005-0000-0000-00002E040000}"/>
    <cellStyle name="Normal 10 5 2 2" xfId="643" xr:uid="{00000000-0005-0000-0000-00002F040000}"/>
    <cellStyle name="Normal 10 5 2 2 2" xfId="6373" xr:uid="{00000000-0005-0000-0000-000042030000}"/>
    <cellStyle name="Normal 10 5 2 2 2 2" xfId="8476" xr:uid="{00000000-0005-0000-0000-000032040000}"/>
    <cellStyle name="Normal 10 5 2 2 2 3" xfId="10873" xr:uid="{00000000-0005-0000-0000-000032040000}"/>
    <cellStyle name="Normal 10 5 2 2 3" xfId="7084" xr:uid="{00000000-0005-0000-0000-000031040000}"/>
    <cellStyle name="Normal 10 5 2 2 4" xfId="9490" xr:uid="{00000000-0005-0000-0000-000031040000}"/>
    <cellStyle name="Normal 10 5 2 3" xfId="2710" xr:uid="{00000000-0005-0000-0000-000043030000}"/>
    <cellStyle name="Normal 10 5 2 3 2" xfId="6178" xr:uid="{00000000-0005-0000-0000-000043030000}"/>
    <cellStyle name="Normal 10 5 2 3 3" xfId="7083" xr:uid="{00000000-0005-0000-0000-000033040000}"/>
    <cellStyle name="Normal 10 5 2 3 4" xfId="9489" xr:uid="{00000000-0005-0000-0000-000033040000}"/>
    <cellStyle name="Normal 10 5 2 4" xfId="4149" xr:uid="{00000000-0005-0000-0000-000041030000}"/>
    <cellStyle name="Normal 10 5 2 4 2" xfId="7942" xr:uid="{00000000-0005-0000-0000-000034040000}"/>
    <cellStyle name="Normal 10 5 2 4 3" xfId="10339" xr:uid="{00000000-0005-0000-0000-000034040000}"/>
    <cellStyle name="Normal 10 5 2 5" xfId="5834" xr:uid="{00000000-0005-0000-0000-00002D020000}"/>
    <cellStyle name="Normal 10 5 2 6" xfId="5090" xr:uid="{00000000-0005-0000-0000-00000D020000}"/>
    <cellStyle name="Normal 10 5 2 7" xfId="6782" xr:uid="{00000000-0005-0000-0000-000030040000}"/>
    <cellStyle name="Normal 10 5 2 8" xfId="9203" xr:uid="{00000000-0005-0000-0000-000030040000}"/>
    <cellStyle name="Normal 10 5 3" xfId="644" xr:uid="{00000000-0005-0000-0000-000030040000}"/>
    <cellStyle name="Normal 10 5 3 2" xfId="4448" xr:uid="{00000000-0005-0000-0000-000044030000}"/>
    <cellStyle name="Normal 10 5 3 2 2" xfId="8477" xr:uid="{00000000-0005-0000-0000-000036040000}"/>
    <cellStyle name="Normal 10 5 3 2 3" xfId="10874" xr:uid="{00000000-0005-0000-0000-000036040000}"/>
    <cellStyle name="Normal 10 5 3 3" xfId="5643" xr:uid="{00000000-0005-0000-0000-00002E020000}"/>
    <cellStyle name="Normal 10 5 3 4" xfId="7085" xr:uid="{00000000-0005-0000-0000-000035040000}"/>
    <cellStyle name="Normal 10 5 3 5" xfId="9491" xr:uid="{00000000-0005-0000-0000-000035040000}"/>
    <cellStyle name="Normal 10 5 4" xfId="645" xr:uid="{00000000-0005-0000-0000-000031040000}"/>
    <cellStyle name="Normal 10 5 4 2" xfId="6282" xr:uid="{00000000-0005-0000-0000-000045030000}"/>
    <cellStyle name="Normal 10 5 4 2 2" xfId="8205" xr:uid="{00000000-0005-0000-0000-000038040000}"/>
    <cellStyle name="Normal 10 5 4 2 3" xfId="10602" xr:uid="{00000000-0005-0000-0000-000038040000}"/>
    <cellStyle name="Normal 10 5 4 3" xfId="7086" xr:uid="{00000000-0005-0000-0000-000037040000}"/>
    <cellStyle name="Normal 10 5 4 4" xfId="9492" xr:uid="{00000000-0005-0000-0000-000037040000}"/>
    <cellStyle name="Normal 10 5 5" xfId="2519" xr:uid="{00000000-0005-0000-0000-000046030000}"/>
    <cellStyle name="Normal 10 5 5 2" xfId="7082" xr:uid="{00000000-0005-0000-0000-000039040000}"/>
    <cellStyle name="Normal 10 5 5 3" xfId="9488" xr:uid="{00000000-0005-0000-0000-000039040000}"/>
    <cellStyle name="Normal 10 5 6" xfId="2307" xr:uid="{00000000-0005-0000-0000-000040030000}"/>
    <cellStyle name="Normal 10 5 6 2" xfId="7717" xr:uid="{00000000-0005-0000-0000-00003A040000}"/>
    <cellStyle name="Normal 10 5 6 3" xfId="10114" xr:uid="{00000000-0005-0000-0000-00003A040000}"/>
    <cellStyle name="Normal 10 5 7" xfId="3908" xr:uid="{00000000-0005-0000-0000-0000B3010000}"/>
    <cellStyle name="Normal 10 5 8" xfId="5397" xr:uid="{00000000-0005-0000-0000-00002C020000}"/>
    <cellStyle name="Normal 10 5 9" xfId="4875" xr:uid="{00000000-0005-0000-0000-00000C020000}"/>
    <cellStyle name="Normal 10 6" xfId="646" xr:uid="{00000000-0005-0000-0000-000032040000}"/>
    <cellStyle name="Normal 10 6 10" xfId="6622" xr:uid="{00000000-0005-0000-0000-00003B040000}"/>
    <cellStyle name="Normal 10 6 11" xfId="9043" xr:uid="{00000000-0005-0000-0000-00003B040000}"/>
    <cellStyle name="Normal 10 6 2" xfId="647" xr:uid="{00000000-0005-0000-0000-000033040000}"/>
    <cellStyle name="Normal 10 6 2 2" xfId="648" xr:uid="{00000000-0005-0000-0000-000034040000}"/>
    <cellStyle name="Normal 10 6 2 2 2" xfId="6374" xr:uid="{00000000-0005-0000-0000-000049030000}"/>
    <cellStyle name="Normal 10 6 2 2 2 2" xfId="8478" xr:uid="{00000000-0005-0000-0000-00003E040000}"/>
    <cellStyle name="Normal 10 6 2 2 2 3" xfId="10875" xr:uid="{00000000-0005-0000-0000-00003E040000}"/>
    <cellStyle name="Normal 10 6 2 2 3" xfId="7089" xr:uid="{00000000-0005-0000-0000-00003D040000}"/>
    <cellStyle name="Normal 10 6 2 2 4" xfId="9495" xr:uid="{00000000-0005-0000-0000-00003D040000}"/>
    <cellStyle name="Normal 10 6 2 3" xfId="2711" xr:uid="{00000000-0005-0000-0000-00004A030000}"/>
    <cellStyle name="Normal 10 6 2 3 2" xfId="6179" xr:uid="{00000000-0005-0000-0000-00004A030000}"/>
    <cellStyle name="Normal 10 6 2 3 3" xfId="7088" xr:uid="{00000000-0005-0000-0000-00003F040000}"/>
    <cellStyle name="Normal 10 6 2 3 4" xfId="9494" xr:uid="{00000000-0005-0000-0000-00003F040000}"/>
    <cellStyle name="Normal 10 6 2 4" xfId="4150" xr:uid="{00000000-0005-0000-0000-000048030000}"/>
    <cellStyle name="Normal 10 6 2 4 2" xfId="7943" xr:uid="{00000000-0005-0000-0000-000040040000}"/>
    <cellStyle name="Normal 10 6 2 4 3" xfId="10340" xr:uid="{00000000-0005-0000-0000-000040040000}"/>
    <cellStyle name="Normal 10 6 2 5" xfId="5835" xr:uid="{00000000-0005-0000-0000-000030020000}"/>
    <cellStyle name="Normal 10 6 2 6" xfId="5091" xr:uid="{00000000-0005-0000-0000-00000F020000}"/>
    <cellStyle name="Normal 10 6 2 7" xfId="6783" xr:uid="{00000000-0005-0000-0000-00003C040000}"/>
    <cellStyle name="Normal 10 6 2 8" xfId="9204" xr:uid="{00000000-0005-0000-0000-00003C040000}"/>
    <cellStyle name="Normal 10 6 3" xfId="649" xr:uid="{00000000-0005-0000-0000-000035040000}"/>
    <cellStyle name="Normal 10 6 3 2" xfId="4449" xr:uid="{00000000-0005-0000-0000-00004B030000}"/>
    <cellStyle name="Normal 10 6 3 2 2" xfId="8479" xr:uid="{00000000-0005-0000-0000-000042040000}"/>
    <cellStyle name="Normal 10 6 3 2 3" xfId="10876" xr:uid="{00000000-0005-0000-0000-000042040000}"/>
    <cellStyle name="Normal 10 6 3 3" xfId="5689" xr:uid="{00000000-0005-0000-0000-000031020000}"/>
    <cellStyle name="Normal 10 6 3 4" xfId="7090" xr:uid="{00000000-0005-0000-0000-000041040000}"/>
    <cellStyle name="Normal 10 6 3 5" xfId="9496" xr:uid="{00000000-0005-0000-0000-000041040000}"/>
    <cellStyle name="Normal 10 6 4" xfId="650" xr:uid="{00000000-0005-0000-0000-000036040000}"/>
    <cellStyle name="Normal 10 6 4 2" xfId="6283" xr:uid="{00000000-0005-0000-0000-00004C030000}"/>
    <cellStyle name="Normal 10 6 4 2 2" xfId="8206" xr:uid="{00000000-0005-0000-0000-000044040000}"/>
    <cellStyle name="Normal 10 6 4 2 3" xfId="10603" xr:uid="{00000000-0005-0000-0000-000044040000}"/>
    <cellStyle name="Normal 10 6 4 3" xfId="7091" xr:uid="{00000000-0005-0000-0000-000043040000}"/>
    <cellStyle name="Normal 10 6 4 4" xfId="9497" xr:uid="{00000000-0005-0000-0000-000043040000}"/>
    <cellStyle name="Normal 10 6 5" xfId="2582" xr:uid="{00000000-0005-0000-0000-00004D030000}"/>
    <cellStyle name="Normal 10 6 5 2" xfId="7087" xr:uid="{00000000-0005-0000-0000-000045040000}"/>
    <cellStyle name="Normal 10 6 5 3" xfId="9493" xr:uid="{00000000-0005-0000-0000-000045040000}"/>
    <cellStyle name="Normal 10 6 6" xfId="2308" xr:uid="{00000000-0005-0000-0000-000047030000}"/>
    <cellStyle name="Normal 10 6 6 2" xfId="7780" xr:uid="{00000000-0005-0000-0000-000046040000}"/>
    <cellStyle name="Normal 10 6 6 3" xfId="10177" xr:uid="{00000000-0005-0000-0000-000046040000}"/>
    <cellStyle name="Normal 10 6 7" xfId="3909" xr:uid="{00000000-0005-0000-0000-0000B4010000}"/>
    <cellStyle name="Normal 10 6 8" xfId="5458" xr:uid="{00000000-0005-0000-0000-00002F020000}"/>
    <cellStyle name="Normal 10 6 9" xfId="4876" xr:uid="{00000000-0005-0000-0000-00000E020000}"/>
    <cellStyle name="Normal 10 7" xfId="651" xr:uid="{00000000-0005-0000-0000-000037040000}"/>
    <cellStyle name="Normal 10 7 2" xfId="652" xr:uid="{00000000-0005-0000-0000-000038040000}"/>
    <cellStyle name="Normal 10 7 2 2" xfId="2893" xr:uid="{00000000-0005-0000-0000-000050030000}"/>
    <cellStyle name="Normal 10 7 2 2 2" xfId="6284" xr:uid="{00000000-0005-0000-0000-000050030000}"/>
    <cellStyle name="Normal 10 7 2 2 3" xfId="7093" xr:uid="{00000000-0005-0000-0000-000049040000}"/>
    <cellStyle name="Normal 10 7 2 2 4" xfId="9499" xr:uid="{00000000-0005-0000-0000-000049040000}"/>
    <cellStyle name="Normal 10 7 2 3" xfId="4723" xr:uid="{00000000-0005-0000-0000-000085020000}"/>
    <cellStyle name="Normal 10 7 2 3 2" xfId="6100" xr:uid="{00000000-0005-0000-0000-00004F030000}"/>
    <cellStyle name="Normal 10 7 2 3 3" xfId="8207" xr:uid="{00000000-0005-0000-0000-00004A040000}"/>
    <cellStyle name="Normal 10 7 2 3 4" xfId="10604" xr:uid="{00000000-0005-0000-0000-00004A040000}"/>
    <cellStyle name="Normal 10 7 2 4" xfId="5092" xr:uid="{00000000-0005-0000-0000-000011020000}"/>
    <cellStyle name="Normal 10 7 2 5" xfId="6784" xr:uid="{00000000-0005-0000-0000-000048040000}"/>
    <cellStyle name="Normal 10 7 2 6" xfId="9205" xr:uid="{00000000-0005-0000-0000-000048040000}"/>
    <cellStyle name="Normal 10 7 3" xfId="653" xr:uid="{00000000-0005-0000-0000-000039040000}"/>
    <cellStyle name="Normal 10 7 3 2" xfId="6180" xr:uid="{00000000-0005-0000-0000-000051030000}"/>
    <cellStyle name="Normal 10 7 3 3" xfId="7094" xr:uid="{00000000-0005-0000-0000-00004B040000}"/>
    <cellStyle name="Normal 10 7 3 4" xfId="9500" xr:uid="{00000000-0005-0000-0000-00004B040000}"/>
    <cellStyle name="Normal 10 7 4" xfId="2309" xr:uid="{00000000-0005-0000-0000-00004E030000}"/>
    <cellStyle name="Normal 10 7 4 2" xfId="6059" xr:uid="{00000000-0005-0000-0000-00004E030000}"/>
    <cellStyle name="Normal 10 7 4 3" xfId="7092" xr:uid="{00000000-0005-0000-0000-00004C040000}"/>
    <cellStyle name="Normal 10 7 4 4" xfId="9498" xr:uid="{00000000-0005-0000-0000-00004C040000}"/>
    <cellStyle name="Normal 10 7 5" xfId="3910" xr:uid="{00000000-0005-0000-0000-0000B5010000}"/>
    <cellStyle name="Normal 10 7 5 2" xfId="7944" xr:uid="{00000000-0005-0000-0000-00004D040000}"/>
    <cellStyle name="Normal 10 7 5 3" xfId="10341" xr:uid="{00000000-0005-0000-0000-00004D040000}"/>
    <cellStyle name="Normal 10 7 6" xfId="5836" xr:uid="{00000000-0005-0000-0000-000032020000}"/>
    <cellStyle name="Normal 10 7 7" xfId="4877" xr:uid="{00000000-0005-0000-0000-000010020000}"/>
    <cellStyle name="Normal 10 7 8" xfId="6623" xr:uid="{00000000-0005-0000-0000-000047040000}"/>
    <cellStyle name="Normal 10 7 9" xfId="9044" xr:uid="{00000000-0005-0000-0000-000047040000}"/>
    <cellStyle name="Normal 10 8" xfId="654" xr:uid="{00000000-0005-0000-0000-00003A040000}"/>
    <cellStyle name="Normal 10 8 2" xfId="655" xr:uid="{00000000-0005-0000-0000-00003B040000}"/>
    <cellStyle name="Normal 10 8 2 2" xfId="2894" xr:uid="{00000000-0005-0000-0000-000054030000}"/>
    <cellStyle name="Normal 10 8 2 2 2" xfId="6285" xr:uid="{00000000-0005-0000-0000-000054030000}"/>
    <cellStyle name="Normal 10 8 2 2 3" xfId="7096" xr:uid="{00000000-0005-0000-0000-000050040000}"/>
    <cellStyle name="Normal 10 8 2 2 4" xfId="9502" xr:uid="{00000000-0005-0000-0000-000050040000}"/>
    <cellStyle name="Normal 10 8 2 3" xfId="4724" xr:uid="{00000000-0005-0000-0000-00008B020000}"/>
    <cellStyle name="Normal 10 8 2 3 2" xfId="6101" xr:uid="{00000000-0005-0000-0000-000053030000}"/>
    <cellStyle name="Normal 10 8 2 3 3" xfId="8208" xr:uid="{00000000-0005-0000-0000-000051040000}"/>
    <cellStyle name="Normal 10 8 2 3 4" xfId="10605" xr:uid="{00000000-0005-0000-0000-000051040000}"/>
    <cellStyle name="Normal 10 8 2 4" xfId="5093" xr:uid="{00000000-0005-0000-0000-000013020000}"/>
    <cellStyle name="Normal 10 8 2 5" xfId="6785" xr:uid="{00000000-0005-0000-0000-00004F040000}"/>
    <cellStyle name="Normal 10 8 2 6" xfId="9206" xr:uid="{00000000-0005-0000-0000-00004F040000}"/>
    <cellStyle name="Normal 10 8 3" xfId="656" xr:uid="{00000000-0005-0000-0000-00003C040000}"/>
    <cellStyle name="Normal 10 8 3 2" xfId="6181" xr:uid="{00000000-0005-0000-0000-000055030000}"/>
    <cellStyle name="Normal 10 8 3 3" xfId="7097" xr:uid="{00000000-0005-0000-0000-000052040000}"/>
    <cellStyle name="Normal 10 8 3 4" xfId="9503" xr:uid="{00000000-0005-0000-0000-000052040000}"/>
    <cellStyle name="Normal 10 8 4" xfId="2310" xr:uid="{00000000-0005-0000-0000-000052030000}"/>
    <cellStyle name="Normal 10 8 4 2" xfId="6060" xr:uid="{00000000-0005-0000-0000-000052030000}"/>
    <cellStyle name="Normal 10 8 4 3" xfId="7095" xr:uid="{00000000-0005-0000-0000-000053040000}"/>
    <cellStyle name="Normal 10 8 4 4" xfId="9501" xr:uid="{00000000-0005-0000-0000-000053040000}"/>
    <cellStyle name="Normal 10 8 5" xfId="3911" xr:uid="{00000000-0005-0000-0000-0000B6010000}"/>
    <cellStyle name="Normal 10 8 5 2" xfId="7945" xr:uid="{00000000-0005-0000-0000-000054040000}"/>
    <cellStyle name="Normal 10 8 5 3" xfId="10342" xr:uid="{00000000-0005-0000-0000-000054040000}"/>
    <cellStyle name="Normal 10 8 6" xfId="5837" xr:uid="{00000000-0005-0000-0000-000033020000}"/>
    <cellStyle name="Normal 10 8 7" xfId="4878" xr:uid="{00000000-0005-0000-0000-000012020000}"/>
    <cellStyle name="Normal 10 8 8" xfId="6624" xr:uid="{00000000-0005-0000-0000-00004E040000}"/>
    <cellStyle name="Normal 10 8 9" xfId="9045" xr:uid="{00000000-0005-0000-0000-00004E040000}"/>
    <cellStyle name="Normal 10 9" xfId="657" xr:uid="{00000000-0005-0000-0000-00003D040000}"/>
    <cellStyle name="Normal 10 9 2" xfId="658" xr:uid="{00000000-0005-0000-0000-00003E040000}"/>
    <cellStyle name="Normal 10 9 2 2" xfId="6375" xr:uid="{00000000-0005-0000-0000-000057030000}"/>
    <cellStyle name="Normal 10 9 2 2 2" xfId="8480" xr:uid="{00000000-0005-0000-0000-000057040000}"/>
    <cellStyle name="Normal 10 9 2 2 3" xfId="10877" xr:uid="{00000000-0005-0000-0000-000057040000}"/>
    <cellStyle name="Normal 10 9 2 3" xfId="5094" xr:uid="{00000000-0005-0000-0000-000015020000}"/>
    <cellStyle name="Normal 10 9 2 4" xfId="7099" xr:uid="{00000000-0005-0000-0000-000056040000}"/>
    <cellStyle name="Normal 10 9 2 5" xfId="9505" xr:uid="{00000000-0005-0000-0000-000056040000}"/>
    <cellStyle name="Normal 10 9 3" xfId="659" xr:uid="{00000000-0005-0000-0000-00003F040000}"/>
    <cellStyle name="Normal 10 9 3 2" xfId="2704" xr:uid="{00000000-0005-0000-0000-000058030000}"/>
    <cellStyle name="Normal 10 9 3 3" xfId="3627" xr:uid="{00000000-0005-0000-0000-00003F040000}"/>
    <cellStyle name="Normal 10 9 3 4" xfId="6177" xr:uid="{00000000-0005-0000-0000-000058030000}"/>
    <cellStyle name="Normal 10 9 3 5" xfId="11563" xr:uid="{00000000-0005-0000-0000-0000E5020000}"/>
    <cellStyle name="Normal 10 9 4" xfId="2303" xr:uid="{00000000-0005-0000-0000-000056030000}"/>
    <cellStyle name="Normal 10 9 4 2" xfId="7098" xr:uid="{00000000-0005-0000-0000-000059040000}"/>
    <cellStyle name="Normal 10 9 4 3" xfId="9504" xr:uid="{00000000-0005-0000-0000-000059040000}"/>
    <cellStyle name="Normal 10 9 5" xfId="3834" xr:uid="{00000000-0005-0000-0000-0000B7010000}"/>
    <cellStyle name="Normal 10 9 5 2" xfId="7932" xr:uid="{00000000-0005-0000-0000-00005A040000}"/>
    <cellStyle name="Normal 10 9 5 3" xfId="10329" xr:uid="{00000000-0005-0000-0000-00005A040000}"/>
    <cellStyle name="Normal 10 9 6" xfId="5824" xr:uid="{00000000-0005-0000-0000-000034020000}"/>
    <cellStyle name="Normal 10 9 7" xfId="4871" xr:uid="{00000000-0005-0000-0000-000014020000}"/>
    <cellStyle name="Normal 10 9 8" xfId="6617" xr:uid="{00000000-0005-0000-0000-000055040000}"/>
    <cellStyle name="Normal 10 9 9" xfId="9038" xr:uid="{00000000-0005-0000-0000-000055040000}"/>
    <cellStyle name="Normal 11" xfId="660" xr:uid="{00000000-0005-0000-0000-000040040000}"/>
    <cellStyle name="Normal 11 10" xfId="3912" xr:uid="{00000000-0005-0000-0000-0000B8010000}"/>
    <cellStyle name="Normal 11 11" xfId="5542" xr:uid="{00000000-0005-0000-0000-000035020000}"/>
    <cellStyle name="Normal 11 12" xfId="4775" xr:uid="{00000000-0005-0000-0000-000016020000}"/>
    <cellStyle name="Normal 11 13" xfId="6625" xr:uid="{00000000-0005-0000-0000-00005B040000}"/>
    <cellStyle name="Normal 11 14" xfId="9046" xr:uid="{00000000-0005-0000-0000-00005B040000}"/>
    <cellStyle name="Normal 11 2" xfId="661" xr:uid="{00000000-0005-0000-0000-000041040000}"/>
    <cellStyle name="Normal 11 2 2" xfId="662" xr:uid="{00000000-0005-0000-0000-000042040000}"/>
    <cellStyle name="Normal 11 2 2 2" xfId="663" xr:uid="{00000000-0005-0000-0000-000043040000}"/>
    <cellStyle name="Normal 11 2 2 2 2" xfId="6287" xr:uid="{00000000-0005-0000-0000-00005C030000}"/>
    <cellStyle name="Normal 11 2 2 2 3" xfId="7103" xr:uid="{00000000-0005-0000-0000-00005E040000}"/>
    <cellStyle name="Normal 11 2 2 2 4" xfId="9509" xr:uid="{00000000-0005-0000-0000-00005E040000}"/>
    <cellStyle name="Normal 11 2 2 3" xfId="4725" xr:uid="{00000000-0005-0000-0000-000095020000}"/>
    <cellStyle name="Normal 11 2 2 3 2" xfId="6102" xr:uid="{00000000-0005-0000-0000-00005B030000}"/>
    <cellStyle name="Normal 11 2 2 3 3" xfId="7102" xr:uid="{00000000-0005-0000-0000-00005F040000}"/>
    <cellStyle name="Normal 11 2 2 3 4" xfId="9508" xr:uid="{00000000-0005-0000-0000-00005F040000}"/>
    <cellStyle name="Normal 11 2 2 4" xfId="5096" xr:uid="{00000000-0005-0000-0000-000018020000}"/>
    <cellStyle name="Normal 11 2 2 4 2" xfId="8210" xr:uid="{00000000-0005-0000-0000-000060040000}"/>
    <cellStyle name="Normal 11 2 2 4 3" xfId="10607" xr:uid="{00000000-0005-0000-0000-000060040000}"/>
    <cellStyle name="Normal 11 2 2 5" xfId="6787" xr:uid="{00000000-0005-0000-0000-00005D040000}"/>
    <cellStyle name="Normal 11 2 2 6" xfId="9208" xr:uid="{00000000-0005-0000-0000-00005D040000}"/>
    <cellStyle name="Normal 11 2 3" xfId="664" xr:uid="{00000000-0005-0000-0000-000044040000}"/>
    <cellStyle name="Normal 11 2 3 2" xfId="6183" xr:uid="{00000000-0005-0000-0000-00005D030000}"/>
    <cellStyle name="Normal 11 2 3 3" xfId="7104" xr:uid="{00000000-0005-0000-0000-000061040000}"/>
    <cellStyle name="Normal 11 2 3 4" xfId="9510" xr:uid="{00000000-0005-0000-0000-000061040000}"/>
    <cellStyle name="Normal 11 2 4" xfId="665" xr:uid="{00000000-0005-0000-0000-000045040000}"/>
    <cellStyle name="Normal 11 2 4 2" xfId="6061" xr:uid="{00000000-0005-0000-0000-00005A030000}"/>
    <cellStyle name="Normal 11 2 4 3" xfId="7105" xr:uid="{00000000-0005-0000-0000-000062040000}"/>
    <cellStyle name="Normal 11 2 4 4" xfId="9511" xr:uid="{00000000-0005-0000-0000-000062040000}"/>
    <cellStyle name="Normal 11 2 5" xfId="3913" xr:uid="{00000000-0005-0000-0000-0000B9010000}"/>
    <cellStyle name="Normal 11 2 5 2" xfId="7101" xr:uid="{00000000-0005-0000-0000-000063040000}"/>
    <cellStyle name="Normal 11 2 5 3" xfId="9507" xr:uid="{00000000-0005-0000-0000-000063040000}"/>
    <cellStyle name="Normal 11 2 6" xfId="5839" xr:uid="{00000000-0005-0000-0000-000036020000}"/>
    <cellStyle name="Normal 11 2 6 2" xfId="7947" xr:uid="{00000000-0005-0000-0000-000064040000}"/>
    <cellStyle name="Normal 11 2 6 3" xfId="10344" xr:uid="{00000000-0005-0000-0000-000064040000}"/>
    <cellStyle name="Normal 11 2 7" xfId="4880" xr:uid="{00000000-0005-0000-0000-000017020000}"/>
    <cellStyle name="Normal 11 2 8" xfId="6626" xr:uid="{00000000-0005-0000-0000-00005C040000}"/>
    <cellStyle name="Normal 11 2 9" xfId="9047" xr:uid="{00000000-0005-0000-0000-00005C040000}"/>
    <cellStyle name="Normal 11 3" xfId="666" xr:uid="{00000000-0005-0000-0000-000046040000}"/>
    <cellStyle name="Normal 11 3 2" xfId="667" xr:uid="{00000000-0005-0000-0000-000047040000}"/>
    <cellStyle name="Normal 11 3 2 2" xfId="668" xr:uid="{00000000-0005-0000-0000-000048040000}"/>
    <cellStyle name="Normal 11 3 2 2 2" xfId="6288" xr:uid="{00000000-0005-0000-0000-000060030000}"/>
    <cellStyle name="Normal 11 3 2 2 3" xfId="7108" xr:uid="{00000000-0005-0000-0000-000067040000}"/>
    <cellStyle name="Normal 11 3 2 2 4" xfId="9514" xr:uid="{00000000-0005-0000-0000-000067040000}"/>
    <cellStyle name="Normal 11 3 2 3" xfId="4726" xr:uid="{00000000-0005-0000-0000-00009B020000}"/>
    <cellStyle name="Normal 11 3 2 3 2" xfId="6103" xr:uid="{00000000-0005-0000-0000-00005F030000}"/>
    <cellStyle name="Normal 11 3 2 3 3" xfId="7107" xr:uid="{00000000-0005-0000-0000-000068040000}"/>
    <cellStyle name="Normal 11 3 2 3 4" xfId="9513" xr:uid="{00000000-0005-0000-0000-000068040000}"/>
    <cellStyle name="Normal 11 3 2 4" xfId="5097" xr:uid="{00000000-0005-0000-0000-00001A020000}"/>
    <cellStyle name="Normal 11 3 2 4 2" xfId="8211" xr:uid="{00000000-0005-0000-0000-000069040000}"/>
    <cellStyle name="Normal 11 3 2 4 3" xfId="10608" xr:uid="{00000000-0005-0000-0000-000069040000}"/>
    <cellStyle name="Normal 11 3 2 5" xfId="6788" xr:uid="{00000000-0005-0000-0000-000066040000}"/>
    <cellStyle name="Normal 11 3 2 6" xfId="9209" xr:uid="{00000000-0005-0000-0000-000066040000}"/>
    <cellStyle name="Normal 11 3 3" xfId="669" xr:uid="{00000000-0005-0000-0000-000049040000}"/>
    <cellStyle name="Normal 11 3 3 2" xfId="6184" xr:uid="{00000000-0005-0000-0000-000061030000}"/>
    <cellStyle name="Normal 11 3 3 3" xfId="7109" xr:uid="{00000000-0005-0000-0000-00006A040000}"/>
    <cellStyle name="Normal 11 3 3 4" xfId="9515" xr:uid="{00000000-0005-0000-0000-00006A040000}"/>
    <cellStyle name="Normal 11 3 4" xfId="670" xr:uid="{00000000-0005-0000-0000-00004A040000}"/>
    <cellStyle name="Normal 11 3 4 2" xfId="6062" xr:uid="{00000000-0005-0000-0000-00005E030000}"/>
    <cellStyle name="Normal 11 3 4 3" xfId="7110" xr:uid="{00000000-0005-0000-0000-00006B040000}"/>
    <cellStyle name="Normal 11 3 4 4" xfId="9516" xr:uid="{00000000-0005-0000-0000-00006B040000}"/>
    <cellStyle name="Normal 11 3 5" xfId="3914" xr:uid="{00000000-0005-0000-0000-0000BA010000}"/>
    <cellStyle name="Normal 11 3 5 2" xfId="7106" xr:uid="{00000000-0005-0000-0000-00006C040000}"/>
    <cellStyle name="Normal 11 3 5 3" xfId="9512" xr:uid="{00000000-0005-0000-0000-00006C040000}"/>
    <cellStyle name="Normal 11 3 6" xfId="5840" xr:uid="{00000000-0005-0000-0000-000037020000}"/>
    <cellStyle name="Normal 11 3 6 2" xfId="7948" xr:uid="{00000000-0005-0000-0000-00006D040000}"/>
    <cellStyle name="Normal 11 3 6 3" xfId="10345" xr:uid="{00000000-0005-0000-0000-00006D040000}"/>
    <cellStyle name="Normal 11 3 7" xfId="4881" xr:uid="{00000000-0005-0000-0000-000019020000}"/>
    <cellStyle name="Normal 11 3 8" xfId="6627" xr:uid="{00000000-0005-0000-0000-000065040000}"/>
    <cellStyle name="Normal 11 3 9" xfId="9048" xr:uid="{00000000-0005-0000-0000-000065040000}"/>
    <cellStyle name="Normal 11 4" xfId="671" xr:uid="{00000000-0005-0000-0000-00004B040000}"/>
    <cellStyle name="Normal 11 4 2" xfId="672" xr:uid="{00000000-0005-0000-0000-00004C040000}"/>
    <cellStyle name="Normal 11 4 2 2" xfId="2895" xr:uid="{00000000-0005-0000-0000-000064030000}"/>
    <cellStyle name="Normal 11 4 2 2 2" xfId="6289" xr:uid="{00000000-0005-0000-0000-000064030000}"/>
    <cellStyle name="Normal 11 4 2 2 3" xfId="7112" xr:uid="{00000000-0005-0000-0000-000070040000}"/>
    <cellStyle name="Normal 11 4 2 2 4" xfId="9518" xr:uid="{00000000-0005-0000-0000-000070040000}"/>
    <cellStyle name="Normal 11 4 2 3" xfId="4727" xr:uid="{00000000-0005-0000-0000-0000A1020000}"/>
    <cellStyle name="Normal 11 4 2 3 2" xfId="6104" xr:uid="{00000000-0005-0000-0000-000063030000}"/>
    <cellStyle name="Normal 11 4 2 3 3" xfId="8212" xr:uid="{00000000-0005-0000-0000-000071040000}"/>
    <cellStyle name="Normal 11 4 2 3 4" xfId="10609" xr:uid="{00000000-0005-0000-0000-000071040000}"/>
    <cellStyle name="Normal 11 4 2 4" xfId="5098" xr:uid="{00000000-0005-0000-0000-00001C020000}"/>
    <cellStyle name="Normal 11 4 2 5" xfId="6789" xr:uid="{00000000-0005-0000-0000-00006F040000}"/>
    <cellStyle name="Normal 11 4 2 6" xfId="9210" xr:uid="{00000000-0005-0000-0000-00006F040000}"/>
    <cellStyle name="Normal 11 4 3" xfId="673" xr:uid="{00000000-0005-0000-0000-00004D040000}"/>
    <cellStyle name="Normal 11 4 3 2" xfId="6185" xr:uid="{00000000-0005-0000-0000-000065030000}"/>
    <cellStyle name="Normal 11 4 3 3" xfId="7113" xr:uid="{00000000-0005-0000-0000-000072040000}"/>
    <cellStyle name="Normal 11 4 3 4" xfId="9519" xr:uid="{00000000-0005-0000-0000-000072040000}"/>
    <cellStyle name="Normal 11 4 4" xfId="2312" xr:uid="{00000000-0005-0000-0000-000062030000}"/>
    <cellStyle name="Normal 11 4 4 2" xfId="6063" xr:uid="{00000000-0005-0000-0000-000062030000}"/>
    <cellStyle name="Normal 11 4 4 3" xfId="7111" xr:uid="{00000000-0005-0000-0000-000073040000}"/>
    <cellStyle name="Normal 11 4 4 4" xfId="9517" xr:uid="{00000000-0005-0000-0000-000073040000}"/>
    <cellStyle name="Normal 11 4 5" xfId="3915" xr:uid="{00000000-0005-0000-0000-0000BB010000}"/>
    <cellStyle name="Normal 11 4 5 2" xfId="7949" xr:uid="{00000000-0005-0000-0000-000074040000}"/>
    <cellStyle name="Normal 11 4 5 3" xfId="10346" xr:uid="{00000000-0005-0000-0000-000074040000}"/>
    <cellStyle name="Normal 11 4 6" xfId="5841" xr:uid="{00000000-0005-0000-0000-000038020000}"/>
    <cellStyle name="Normal 11 4 7" xfId="4882" xr:uid="{00000000-0005-0000-0000-00001B020000}"/>
    <cellStyle name="Normal 11 4 8" xfId="6628" xr:uid="{00000000-0005-0000-0000-00006E040000}"/>
    <cellStyle name="Normal 11 4 9" xfId="9049" xr:uid="{00000000-0005-0000-0000-00006E040000}"/>
    <cellStyle name="Normal 11 5" xfId="674" xr:uid="{00000000-0005-0000-0000-00004E040000}"/>
    <cellStyle name="Normal 11 5 2" xfId="675" xr:uid="{00000000-0005-0000-0000-00004F040000}"/>
    <cellStyle name="Normal 11 5 2 2" xfId="6376" xr:uid="{00000000-0005-0000-0000-000067030000}"/>
    <cellStyle name="Normal 11 5 2 2 2" xfId="8481" xr:uid="{00000000-0005-0000-0000-000077040000}"/>
    <cellStyle name="Normal 11 5 2 2 3" xfId="10878" xr:uid="{00000000-0005-0000-0000-000077040000}"/>
    <cellStyle name="Normal 11 5 2 3" xfId="5099" xr:uid="{00000000-0005-0000-0000-00001E020000}"/>
    <cellStyle name="Normal 11 5 2 4" xfId="7115" xr:uid="{00000000-0005-0000-0000-000076040000}"/>
    <cellStyle name="Normal 11 5 2 5" xfId="9521" xr:uid="{00000000-0005-0000-0000-000076040000}"/>
    <cellStyle name="Normal 11 5 3" xfId="2712" xr:uid="{00000000-0005-0000-0000-000068030000}"/>
    <cellStyle name="Normal 11 5 3 2" xfId="6182" xr:uid="{00000000-0005-0000-0000-000068030000}"/>
    <cellStyle name="Normal 11 5 3 3" xfId="7114" xr:uid="{00000000-0005-0000-0000-000078040000}"/>
    <cellStyle name="Normal 11 5 3 4" xfId="9520" xr:uid="{00000000-0005-0000-0000-000078040000}"/>
    <cellStyle name="Normal 11 5 4" xfId="2311" xr:uid="{00000000-0005-0000-0000-000066030000}"/>
    <cellStyle name="Normal 11 5 4 2" xfId="7946" xr:uid="{00000000-0005-0000-0000-000079040000}"/>
    <cellStyle name="Normal 11 5 4 3" xfId="10343" xr:uid="{00000000-0005-0000-0000-000079040000}"/>
    <cellStyle name="Normal 11 5 5" xfId="3838" xr:uid="{00000000-0005-0000-0000-0000BC010000}"/>
    <cellStyle name="Normal 11 5 6" xfId="5838" xr:uid="{00000000-0005-0000-0000-000039020000}"/>
    <cellStyle name="Normal 11 5 7" xfId="4879" xr:uid="{00000000-0005-0000-0000-00001D020000}"/>
    <cellStyle name="Normal 11 5 8" xfId="6786" xr:uid="{00000000-0005-0000-0000-000075040000}"/>
    <cellStyle name="Normal 11 5 9" xfId="9207" xr:uid="{00000000-0005-0000-0000-000075040000}"/>
    <cellStyle name="Normal 11 6" xfId="676" xr:uid="{00000000-0005-0000-0000-000050040000}"/>
    <cellStyle name="Normal 11 6 2" xfId="3144" xr:uid="{00000000-0005-0000-0000-00006A030000}"/>
    <cellStyle name="Normal 11 6 2 2" xfId="8482" xr:uid="{00000000-0005-0000-0000-00007B040000}"/>
    <cellStyle name="Normal 11 6 2 3" xfId="10879" xr:uid="{00000000-0005-0000-0000-00007B040000}"/>
    <cellStyle name="Normal 11 6 3" xfId="2860" xr:uid="{00000000-0005-0000-0000-00006B030000}"/>
    <cellStyle name="Normal 11 6 3 2" xfId="8159" xr:uid="{00000000-0005-0000-0000-00007C040000}"/>
    <cellStyle name="Normal 11 6 3 3" xfId="10556" xr:uid="{00000000-0005-0000-0000-00007C040000}"/>
    <cellStyle name="Normal 11 6 4" xfId="4151" xr:uid="{00000000-0005-0000-0000-000069030000}"/>
    <cellStyle name="Normal 11 6 5" xfId="5758" xr:uid="{00000000-0005-0000-0000-00003A020000}"/>
    <cellStyle name="Normal 11 6 6" xfId="5095" xr:uid="{00000000-0005-0000-0000-00001F020000}"/>
    <cellStyle name="Normal 11 6 7" xfId="7116" xr:uid="{00000000-0005-0000-0000-00007A040000}"/>
    <cellStyle name="Normal 11 6 8" xfId="9522" xr:uid="{00000000-0005-0000-0000-00007A040000}"/>
    <cellStyle name="Normal 11 7" xfId="677" xr:uid="{00000000-0005-0000-0000-000051040000}"/>
    <cellStyle name="Normal 11 7 2" xfId="6450" xr:uid="{00000000-0005-0000-0000-00005F040000}"/>
    <cellStyle name="Normal 11 7 2 2" xfId="8209" xr:uid="{00000000-0005-0000-0000-00007E040000}"/>
    <cellStyle name="Normal 11 7 2 3" xfId="10606" xr:uid="{00000000-0005-0000-0000-00007E040000}"/>
    <cellStyle name="Normal 11 7 3" xfId="6286" xr:uid="{00000000-0005-0000-0000-00006C030000}"/>
    <cellStyle name="Normal 11 7 4" xfId="7117" xr:uid="{00000000-0005-0000-0000-00007D040000}"/>
    <cellStyle name="Normal 11 7 5" xfId="9523" xr:uid="{00000000-0005-0000-0000-00007D040000}"/>
    <cellStyle name="Normal 11 8" xfId="2652" xr:uid="{00000000-0005-0000-0000-00006D030000}"/>
    <cellStyle name="Normal 11 8 2" xfId="7100" xr:uid="{00000000-0005-0000-0000-00007F040000}"/>
    <cellStyle name="Normal 11 8 3" xfId="9506" xr:uid="{00000000-0005-0000-0000-00007F040000}"/>
    <cellStyle name="Normal 11 9" xfId="2257" xr:uid="{00000000-0005-0000-0000-000059030000}"/>
    <cellStyle name="Normal 11 9 2" xfId="7864" xr:uid="{00000000-0005-0000-0000-000080040000}"/>
    <cellStyle name="Normal 11 9 3" xfId="10261" xr:uid="{00000000-0005-0000-0000-000080040000}"/>
    <cellStyle name="Normal 12" xfId="678" xr:uid="{00000000-0005-0000-0000-000052040000}"/>
    <cellStyle name="Normal 12 10" xfId="9004" xr:uid="{00000000-0005-0000-0000-000081040000}"/>
    <cellStyle name="Normal 12 2" xfId="679" xr:uid="{00000000-0005-0000-0000-000053040000}"/>
    <cellStyle name="Normal 12 2 2" xfId="6255" xr:uid="{00000000-0005-0000-0000-00006F030000}"/>
    <cellStyle name="Normal 12 2 2 2" xfId="8160" xr:uid="{00000000-0005-0000-0000-000083040000}"/>
    <cellStyle name="Normal 12 2 2 3" xfId="10557" xr:uid="{00000000-0005-0000-0000-000083040000}"/>
    <cellStyle name="Normal 12 2 3" xfId="5100" xr:uid="{00000000-0005-0000-0000-000021020000}"/>
    <cellStyle name="Normal 12 2 4" xfId="7119" xr:uid="{00000000-0005-0000-0000-000082040000}"/>
    <cellStyle name="Normal 12 2 5" xfId="9525" xr:uid="{00000000-0005-0000-0000-000082040000}"/>
    <cellStyle name="Normal 12 3" xfId="3145" xr:uid="{00000000-0005-0000-0000-000070030000}"/>
    <cellStyle name="Normal 12 3 2" xfId="6514" xr:uid="{00000000-0005-0000-0000-000065040000}"/>
    <cellStyle name="Normal 12 3 2 2" xfId="8483" xr:uid="{00000000-0005-0000-0000-000085040000}"/>
    <cellStyle name="Normal 12 3 2 3" xfId="10880" xr:uid="{00000000-0005-0000-0000-000085040000}"/>
    <cellStyle name="Normal 12 3 3" xfId="6377" xr:uid="{00000000-0005-0000-0000-000070030000}"/>
    <cellStyle name="Normal 12 3 4" xfId="7118" xr:uid="{00000000-0005-0000-0000-000084040000}"/>
    <cellStyle name="Normal 12 3 5" xfId="9524" xr:uid="{00000000-0005-0000-0000-000084040000}"/>
    <cellStyle name="Normal 12 4" xfId="2660" xr:uid="{00000000-0005-0000-0000-000071030000}"/>
    <cellStyle name="Normal 12 4 2" xfId="7872" xr:uid="{00000000-0005-0000-0000-000086040000}"/>
    <cellStyle name="Normal 12 4 3" xfId="10269" xr:uid="{00000000-0005-0000-0000-000086040000}"/>
    <cellStyle name="Normal 12 5" xfId="2265" xr:uid="{00000000-0005-0000-0000-00006E030000}"/>
    <cellStyle name="Normal 12 6" xfId="3788" xr:uid="{00000000-0005-0000-0000-0000BD010000}"/>
    <cellStyle name="Normal 12 7" xfId="5765" xr:uid="{00000000-0005-0000-0000-00003B020000}"/>
    <cellStyle name="Normal 12 8" xfId="4837" xr:uid="{00000000-0005-0000-0000-000020020000}"/>
    <cellStyle name="Normal 12 9" xfId="6583" xr:uid="{00000000-0005-0000-0000-000081040000}"/>
    <cellStyle name="Normal 13" xfId="680" xr:uid="{00000000-0005-0000-0000-000054040000}"/>
    <cellStyle name="Normal 13 2" xfId="2858" xr:uid="{00000000-0005-0000-0000-000073030000}"/>
    <cellStyle name="Normal 13 2 2" xfId="6253" xr:uid="{00000000-0005-0000-0000-000073030000}"/>
    <cellStyle name="Normal 13 2 3" xfId="7120" xr:uid="{00000000-0005-0000-0000-000088040000}"/>
    <cellStyle name="Normal 13 2 4" xfId="9526" xr:uid="{00000000-0005-0000-0000-000088040000}"/>
    <cellStyle name="Normal 13 3" xfId="4712" xr:uid="{00000000-0005-0000-0000-0000AE020000}"/>
    <cellStyle name="Normal 13 3 2" xfId="6089" xr:uid="{00000000-0005-0000-0000-000072030000}"/>
    <cellStyle name="Normal 13 3 3" xfId="8157" xr:uid="{00000000-0005-0000-0000-000089040000}"/>
    <cellStyle name="Normal 13 3 4" xfId="10554" xr:uid="{00000000-0005-0000-0000-000089040000}"/>
    <cellStyle name="Normal 13 4" xfId="5030" xr:uid="{00000000-0005-0000-0000-000022020000}"/>
    <cellStyle name="Normal 13 5" xfId="6744" xr:uid="{00000000-0005-0000-0000-000087040000}"/>
    <cellStyle name="Normal 13 6" xfId="9165" xr:uid="{00000000-0005-0000-0000-000087040000}"/>
    <cellStyle name="Normal 14" xfId="681" xr:uid="{00000000-0005-0000-0000-000055040000}"/>
    <cellStyle name="Normal 14 2" xfId="6447" xr:uid="{00000000-0005-0000-0000-00006A040000}"/>
    <cellStyle name="Normal 14 2 2" xfId="8163" xr:uid="{00000000-0005-0000-0000-00008B040000}"/>
    <cellStyle name="Normal 14 2 3" xfId="10560" xr:uid="{00000000-0005-0000-0000-00008B040000}"/>
    <cellStyle name="Normal 14 3" xfId="7121" xr:uid="{00000000-0005-0000-0000-00008A040000}"/>
    <cellStyle name="Normal 14 4" xfId="9527" xr:uid="{00000000-0005-0000-0000-00008A040000}"/>
    <cellStyle name="Normal 15" xfId="2427" xr:uid="{00000000-0005-0000-0000-000075030000}"/>
    <cellStyle name="Normal 15 2" xfId="7623" xr:uid="{00000000-0005-0000-0000-00008D040000}"/>
    <cellStyle name="Normal 15 3" xfId="6905" xr:uid="{00000000-0005-0000-0000-00008C040000}"/>
    <cellStyle name="Normal 15 4" xfId="9326" xr:uid="{00000000-0005-0000-0000-00008C040000}"/>
    <cellStyle name="Normal 16" xfId="2426" xr:uid="{00000000-0005-0000-0000-000076030000}"/>
    <cellStyle name="Normal 16 2" xfId="7622" xr:uid="{00000000-0005-0000-0000-00008E040000}"/>
    <cellStyle name="Normal 16 3" xfId="10020" xr:uid="{00000000-0005-0000-0000-00008E040000}"/>
    <cellStyle name="Normal 2" xfId="682" xr:uid="{00000000-0005-0000-0000-000056040000}"/>
    <cellStyle name="Normal 2 10" xfId="683" xr:uid="{00000000-0005-0000-0000-000057040000}"/>
    <cellStyle name="Normal 2 10 10" xfId="6629" xr:uid="{00000000-0005-0000-0000-000090040000}"/>
    <cellStyle name="Normal 2 10 11" xfId="9050" xr:uid="{00000000-0005-0000-0000-000090040000}"/>
    <cellStyle name="Normal 2 10 2" xfId="684" xr:uid="{00000000-0005-0000-0000-000058040000}"/>
    <cellStyle name="Normal 2 10 2 2" xfId="685" xr:uid="{00000000-0005-0000-0000-000059040000}"/>
    <cellStyle name="Normal 2 10 2 2 2" xfId="6378" xr:uid="{00000000-0005-0000-0000-00007A030000}"/>
    <cellStyle name="Normal 2 10 2 2 2 2" xfId="8484" xr:uid="{00000000-0005-0000-0000-000093040000}"/>
    <cellStyle name="Normal 2 10 2 2 2 3" xfId="10881" xr:uid="{00000000-0005-0000-0000-000093040000}"/>
    <cellStyle name="Normal 2 10 2 2 3" xfId="7124" xr:uid="{00000000-0005-0000-0000-000092040000}"/>
    <cellStyle name="Normal 2 10 2 2 4" xfId="9530" xr:uid="{00000000-0005-0000-0000-000092040000}"/>
    <cellStyle name="Normal 2 10 2 3" xfId="2713" xr:uid="{00000000-0005-0000-0000-00007B030000}"/>
    <cellStyle name="Normal 2 10 2 3 2" xfId="6186" xr:uid="{00000000-0005-0000-0000-00007B030000}"/>
    <cellStyle name="Normal 2 10 2 3 3" xfId="7123" xr:uid="{00000000-0005-0000-0000-000094040000}"/>
    <cellStyle name="Normal 2 10 2 3 4" xfId="9529" xr:uid="{00000000-0005-0000-0000-000094040000}"/>
    <cellStyle name="Normal 2 10 2 4" xfId="2421" xr:uid="{00000000-0005-0000-0000-000079030000}"/>
    <cellStyle name="Normal 2 10 2 4 2" xfId="7950" xr:uid="{00000000-0005-0000-0000-000095040000}"/>
    <cellStyle name="Normal 2 10 2 4 3" xfId="10347" xr:uid="{00000000-0005-0000-0000-000095040000}"/>
    <cellStyle name="Normal 2 10 2 5" xfId="3917" xr:uid="{00000000-0005-0000-0000-0000C0010000}"/>
    <cellStyle name="Normal 2 10 2 6" xfId="5842" xr:uid="{00000000-0005-0000-0000-00003E020000}"/>
    <cellStyle name="Normal 2 10 2 7" xfId="5101" xr:uid="{00000000-0005-0000-0000-000025020000}"/>
    <cellStyle name="Normal 2 10 2 8" xfId="6790" xr:uid="{00000000-0005-0000-0000-000091040000}"/>
    <cellStyle name="Normal 2 10 2 9" xfId="9211" xr:uid="{00000000-0005-0000-0000-000091040000}"/>
    <cellStyle name="Normal 2 10 3" xfId="686" xr:uid="{00000000-0005-0000-0000-00005A040000}"/>
    <cellStyle name="Normal 2 10 3 2" xfId="4450" xr:uid="{00000000-0005-0000-0000-00007C030000}"/>
    <cellStyle name="Normal 2 10 3 2 2" xfId="8485" xr:uid="{00000000-0005-0000-0000-000097040000}"/>
    <cellStyle name="Normal 2 10 3 2 3" xfId="10882" xr:uid="{00000000-0005-0000-0000-000097040000}"/>
    <cellStyle name="Normal 2 10 3 3" xfId="5628" xr:uid="{00000000-0005-0000-0000-00003F020000}"/>
    <cellStyle name="Normal 2 10 3 4" xfId="7125" xr:uid="{00000000-0005-0000-0000-000096040000}"/>
    <cellStyle name="Normal 2 10 3 5" xfId="9531" xr:uid="{00000000-0005-0000-0000-000096040000}"/>
    <cellStyle name="Normal 2 10 4" xfId="687" xr:uid="{00000000-0005-0000-0000-00005B040000}"/>
    <cellStyle name="Normal 2 10 4 2" xfId="6290" xr:uid="{00000000-0005-0000-0000-00007D030000}"/>
    <cellStyle name="Normal 2 10 4 2 2" xfId="8213" xr:uid="{00000000-0005-0000-0000-000099040000}"/>
    <cellStyle name="Normal 2 10 4 2 3" xfId="10610" xr:uid="{00000000-0005-0000-0000-000099040000}"/>
    <cellStyle name="Normal 2 10 4 3" xfId="7126" xr:uid="{00000000-0005-0000-0000-000098040000}"/>
    <cellStyle name="Normal 2 10 4 4" xfId="9532" xr:uid="{00000000-0005-0000-0000-000098040000}"/>
    <cellStyle name="Normal 2 10 5" xfId="2504" xr:uid="{00000000-0005-0000-0000-00007E030000}"/>
    <cellStyle name="Normal 2 10 5 2" xfId="7122" xr:uid="{00000000-0005-0000-0000-00009A040000}"/>
    <cellStyle name="Normal 2 10 5 3" xfId="9528" xr:uid="{00000000-0005-0000-0000-00009A040000}"/>
    <cellStyle name="Normal 2 10 6" xfId="2313" xr:uid="{00000000-0005-0000-0000-000078030000}"/>
    <cellStyle name="Normal 2 10 6 2" xfId="7702" xr:uid="{00000000-0005-0000-0000-00009B040000}"/>
    <cellStyle name="Normal 2 10 6 3" xfId="10099" xr:uid="{00000000-0005-0000-0000-00009B040000}"/>
    <cellStyle name="Normal 2 10 7" xfId="3787" xr:uid="{00000000-0005-0000-0000-0000BF010000}"/>
    <cellStyle name="Normal 2 10 8" xfId="5382" xr:uid="{00000000-0005-0000-0000-00003D020000}"/>
    <cellStyle name="Normal 2 10 9" xfId="4883" xr:uid="{00000000-0005-0000-0000-000024020000}"/>
    <cellStyle name="Normal 2 11" xfId="688" xr:uid="{00000000-0005-0000-0000-00005C040000}"/>
    <cellStyle name="Normal 2 11 10" xfId="6630" xr:uid="{00000000-0005-0000-0000-00009C040000}"/>
    <cellStyle name="Normal 2 11 11" xfId="9051" xr:uid="{00000000-0005-0000-0000-00009C040000}"/>
    <cellStyle name="Normal 2 11 2" xfId="689" xr:uid="{00000000-0005-0000-0000-00005D040000}"/>
    <cellStyle name="Normal 2 11 2 2" xfId="690" xr:uid="{00000000-0005-0000-0000-00005E040000}"/>
    <cellStyle name="Normal 2 11 2 2 2" xfId="6379" xr:uid="{00000000-0005-0000-0000-000081030000}"/>
    <cellStyle name="Normal 2 11 2 2 2 2" xfId="8486" xr:uid="{00000000-0005-0000-0000-00009F040000}"/>
    <cellStyle name="Normal 2 11 2 2 2 3" xfId="10883" xr:uid="{00000000-0005-0000-0000-00009F040000}"/>
    <cellStyle name="Normal 2 11 2 2 3" xfId="7129" xr:uid="{00000000-0005-0000-0000-00009E040000}"/>
    <cellStyle name="Normal 2 11 2 2 4" xfId="9535" xr:uid="{00000000-0005-0000-0000-00009E040000}"/>
    <cellStyle name="Normal 2 11 2 3" xfId="2714" xr:uid="{00000000-0005-0000-0000-000082030000}"/>
    <cellStyle name="Normal 2 11 2 3 2" xfId="6187" xr:uid="{00000000-0005-0000-0000-000082030000}"/>
    <cellStyle name="Normal 2 11 2 3 3" xfId="7128" xr:uid="{00000000-0005-0000-0000-0000A0040000}"/>
    <cellStyle name="Normal 2 11 2 3 4" xfId="9534" xr:uid="{00000000-0005-0000-0000-0000A0040000}"/>
    <cellStyle name="Normal 2 11 2 4" xfId="4152" xr:uid="{00000000-0005-0000-0000-000080030000}"/>
    <cellStyle name="Normal 2 11 2 4 2" xfId="7951" xr:uid="{00000000-0005-0000-0000-0000A1040000}"/>
    <cellStyle name="Normal 2 11 2 4 3" xfId="10348" xr:uid="{00000000-0005-0000-0000-0000A1040000}"/>
    <cellStyle name="Normal 2 11 2 5" xfId="5843" xr:uid="{00000000-0005-0000-0000-000041020000}"/>
    <cellStyle name="Normal 2 11 2 6" xfId="5102" xr:uid="{00000000-0005-0000-0000-000027020000}"/>
    <cellStyle name="Normal 2 11 2 7" xfId="6791" xr:uid="{00000000-0005-0000-0000-00009D040000}"/>
    <cellStyle name="Normal 2 11 2 8" xfId="9212" xr:uid="{00000000-0005-0000-0000-00009D040000}"/>
    <cellStyle name="Normal 2 11 3" xfId="691" xr:uid="{00000000-0005-0000-0000-00005F040000}"/>
    <cellStyle name="Normal 2 11 3 2" xfId="4451" xr:uid="{00000000-0005-0000-0000-000083030000}"/>
    <cellStyle name="Normal 2 11 3 2 2" xfId="8487" xr:uid="{00000000-0005-0000-0000-0000A3040000}"/>
    <cellStyle name="Normal 2 11 3 2 3" xfId="10884" xr:uid="{00000000-0005-0000-0000-0000A3040000}"/>
    <cellStyle name="Normal 2 11 3 3" xfId="5673" xr:uid="{00000000-0005-0000-0000-000042020000}"/>
    <cellStyle name="Normal 2 11 3 4" xfId="7130" xr:uid="{00000000-0005-0000-0000-0000A2040000}"/>
    <cellStyle name="Normal 2 11 3 5" xfId="9536" xr:uid="{00000000-0005-0000-0000-0000A2040000}"/>
    <cellStyle name="Normal 2 11 4" xfId="692" xr:uid="{00000000-0005-0000-0000-000060040000}"/>
    <cellStyle name="Normal 2 11 4 2" xfId="6291" xr:uid="{00000000-0005-0000-0000-000084030000}"/>
    <cellStyle name="Normal 2 11 4 2 2" xfId="8214" xr:uid="{00000000-0005-0000-0000-0000A5040000}"/>
    <cellStyle name="Normal 2 11 4 2 3" xfId="10611" xr:uid="{00000000-0005-0000-0000-0000A5040000}"/>
    <cellStyle name="Normal 2 11 4 3" xfId="7131" xr:uid="{00000000-0005-0000-0000-0000A4040000}"/>
    <cellStyle name="Normal 2 11 4 4" xfId="9537" xr:uid="{00000000-0005-0000-0000-0000A4040000}"/>
    <cellStyle name="Normal 2 11 5" xfId="2564" xr:uid="{00000000-0005-0000-0000-000085030000}"/>
    <cellStyle name="Normal 2 11 5 2" xfId="7127" xr:uid="{00000000-0005-0000-0000-0000A6040000}"/>
    <cellStyle name="Normal 2 11 5 3" xfId="9533" xr:uid="{00000000-0005-0000-0000-0000A6040000}"/>
    <cellStyle name="Normal 2 11 6" xfId="2314" xr:uid="{00000000-0005-0000-0000-00007F030000}"/>
    <cellStyle name="Normal 2 11 6 2" xfId="7762" xr:uid="{00000000-0005-0000-0000-0000A7040000}"/>
    <cellStyle name="Normal 2 11 6 3" xfId="10159" xr:uid="{00000000-0005-0000-0000-0000A7040000}"/>
    <cellStyle name="Normal 2 11 7" xfId="3918" xr:uid="{00000000-0005-0000-0000-0000C1010000}"/>
    <cellStyle name="Normal 2 11 8" xfId="5442" xr:uid="{00000000-0005-0000-0000-000040020000}"/>
    <cellStyle name="Normal 2 11 9" xfId="4884" xr:uid="{00000000-0005-0000-0000-000026020000}"/>
    <cellStyle name="Normal 2 12" xfId="693" xr:uid="{00000000-0005-0000-0000-000061040000}"/>
    <cellStyle name="Normal 2 12 10" xfId="9052" xr:uid="{00000000-0005-0000-0000-0000A8040000}"/>
    <cellStyle name="Normal 2 12 2" xfId="694" xr:uid="{00000000-0005-0000-0000-000062040000}"/>
    <cellStyle name="Normal 2 12 2 2" xfId="3146" xr:uid="{00000000-0005-0000-0000-000088030000}"/>
    <cellStyle name="Normal 2 12 2 2 2" xfId="6380" xr:uid="{00000000-0005-0000-0000-000088030000}"/>
    <cellStyle name="Normal 2 12 2 2 3" xfId="7133" xr:uid="{00000000-0005-0000-0000-0000AA040000}"/>
    <cellStyle name="Normal 2 12 2 2 4" xfId="9539" xr:uid="{00000000-0005-0000-0000-0000AA040000}"/>
    <cellStyle name="Normal 2 12 2 3" xfId="4153" xr:uid="{00000000-0005-0000-0000-000087030000}"/>
    <cellStyle name="Normal 2 12 2 3 2" xfId="6105" xr:uid="{00000000-0005-0000-0000-000087030000}"/>
    <cellStyle name="Normal 2 12 2 3 3" xfId="8488" xr:uid="{00000000-0005-0000-0000-0000AB040000}"/>
    <cellStyle name="Normal 2 12 2 3 4" xfId="10885" xr:uid="{00000000-0005-0000-0000-0000AB040000}"/>
    <cellStyle name="Normal 2 12 2 4" xfId="5844" xr:uid="{00000000-0005-0000-0000-000044020000}"/>
    <cellStyle name="Normal 2 12 2 5" xfId="5103" xr:uid="{00000000-0005-0000-0000-000029020000}"/>
    <cellStyle name="Normal 2 12 2 6" xfId="6792" xr:uid="{00000000-0005-0000-0000-0000A9040000}"/>
    <cellStyle name="Normal 2 12 2 7" xfId="9213" xr:uid="{00000000-0005-0000-0000-0000A9040000}"/>
    <cellStyle name="Normal 2 12 3" xfId="695" xr:uid="{00000000-0005-0000-0000-000063040000}"/>
    <cellStyle name="Normal 2 12 3 2" xfId="6459" xr:uid="{00000000-0005-0000-0000-000082040000}"/>
    <cellStyle name="Normal 2 12 3 2 2" xfId="8215" xr:uid="{00000000-0005-0000-0000-0000AD040000}"/>
    <cellStyle name="Normal 2 12 3 2 3" xfId="10612" xr:uid="{00000000-0005-0000-0000-0000AD040000}"/>
    <cellStyle name="Normal 2 12 3 3" xfId="6292" xr:uid="{00000000-0005-0000-0000-000089030000}"/>
    <cellStyle name="Normal 2 12 3 4" xfId="7134" xr:uid="{00000000-0005-0000-0000-0000AC040000}"/>
    <cellStyle name="Normal 2 12 3 5" xfId="9540" xr:uid="{00000000-0005-0000-0000-0000AC040000}"/>
    <cellStyle name="Normal 2 12 4" xfId="2715" xr:uid="{00000000-0005-0000-0000-00008A030000}"/>
    <cellStyle name="Normal 2 12 4 2" xfId="6188" xr:uid="{00000000-0005-0000-0000-00008A030000}"/>
    <cellStyle name="Normal 2 12 4 3" xfId="7132" xr:uid="{00000000-0005-0000-0000-0000AE040000}"/>
    <cellStyle name="Normal 2 12 4 4" xfId="9538" xr:uid="{00000000-0005-0000-0000-0000AE040000}"/>
    <cellStyle name="Normal 2 12 5" xfId="2315" xr:uid="{00000000-0005-0000-0000-000086030000}"/>
    <cellStyle name="Normal 2 12 5 2" xfId="7952" xr:uid="{00000000-0005-0000-0000-0000AF040000}"/>
    <cellStyle name="Normal 2 12 5 3" xfId="10349" xr:uid="{00000000-0005-0000-0000-0000AF040000}"/>
    <cellStyle name="Normal 2 12 6" xfId="3919" xr:uid="{00000000-0005-0000-0000-0000C2010000}"/>
    <cellStyle name="Normal 2 12 7" xfId="5305" xr:uid="{00000000-0005-0000-0000-000043020000}"/>
    <cellStyle name="Normal 2 12 8" xfId="4885" xr:uid="{00000000-0005-0000-0000-000028020000}"/>
    <cellStyle name="Normal 2 12 9" xfId="6631" xr:uid="{00000000-0005-0000-0000-0000A8040000}"/>
    <cellStyle name="Normal 2 13" xfId="696" xr:uid="{00000000-0005-0000-0000-000064040000}"/>
    <cellStyle name="Normal 2 13 2" xfId="697" xr:uid="{00000000-0005-0000-0000-000065040000}"/>
    <cellStyle name="Normal 2 13 2 2" xfId="2896" xr:uid="{00000000-0005-0000-0000-00008D030000}"/>
    <cellStyle name="Normal 2 13 2 2 2" xfId="6293" xr:uid="{00000000-0005-0000-0000-00008D030000}"/>
    <cellStyle name="Normal 2 13 2 2 3" xfId="7136" xr:uid="{00000000-0005-0000-0000-0000B2040000}"/>
    <cellStyle name="Normal 2 13 2 2 4" xfId="9542" xr:uid="{00000000-0005-0000-0000-0000B2040000}"/>
    <cellStyle name="Normal 2 13 2 3" xfId="4728" xr:uid="{00000000-0005-0000-0000-0000C5020000}"/>
    <cellStyle name="Normal 2 13 2 3 2" xfId="6106" xr:uid="{00000000-0005-0000-0000-00008C030000}"/>
    <cellStyle name="Normal 2 13 2 3 3" xfId="8216" xr:uid="{00000000-0005-0000-0000-0000B3040000}"/>
    <cellStyle name="Normal 2 13 2 3 4" xfId="10613" xr:uid="{00000000-0005-0000-0000-0000B3040000}"/>
    <cellStyle name="Normal 2 13 2 4" xfId="5104" xr:uid="{00000000-0005-0000-0000-00002B020000}"/>
    <cellStyle name="Normal 2 13 2 5" xfId="6793" xr:uid="{00000000-0005-0000-0000-0000B1040000}"/>
    <cellStyle name="Normal 2 13 2 6" xfId="9214" xr:uid="{00000000-0005-0000-0000-0000B1040000}"/>
    <cellStyle name="Normal 2 13 3" xfId="698" xr:uid="{00000000-0005-0000-0000-000066040000}"/>
    <cellStyle name="Normal 2 13 3 2" xfId="6189" xr:uid="{00000000-0005-0000-0000-00008E030000}"/>
    <cellStyle name="Normal 2 13 3 3" xfId="7137" xr:uid="{00000000-0005-0000-0000-0000B4040000}"/>
    <cellStyle name="Normal 2 13 3 4" xfId="9543" xr:uid="{00000000-0005-0000-0000-0000B4040000}"/>
    <cellStyle name="Normal 2 13 4" xfId="2316" xr:uid="{00000000-0005-0000-0000-00008B030000}"/>
    <cellStyle name="Normal 2 13 4 2" xfId="6064" xr:uid="{00000000-0005-0000-0000-00008B030000}"/>
    <cellStyle name="Normal 2 13 4 3" xfId="7135" xr:uid="{00000000-0005-0000-0000-0000B5040000}"/>
    <cellStyle name="Normal 2 13 4 4" xfId="9541" xr:uid="{00000000-0005-0000-0000-0000B5040000}"/>
    <cellStyle name="Normal 2 13 5" xfId="3920" xr:uid="{00000000-0005-0000-0000-0000C3010000}"/>
    <cellStyle name="Normal 2 13 5 2" xfId="7953" xr:uid="{00000000-0005-0000-0000-0000B6040000}"/>
    <cellStyle name="Normal 2 13 5 3" xfId="10350" xr:uid="{00000000-0005-0000-0000-0000B6040000}"/>
    <cellStyle name="Normal 2 13 6" xfId="5845" xr:uid="{00000000-0005-0000-0000-000045020000}"/>
    <cellStyle name="Normal 2 13 7" xfId="4886" xr:uid="{00000000-0005-0000-0000-00002A020000}"/>
    <cellStyle name="Normal 2 13 8" xfId="6632" xr:uid="{00000000-0005-0000-0000-0000B0040000}"/>
    <cellStyle name="Normal 2 13 9" xfId="9053" xr:uid="{00000000-0005-0000-0000-0000B0040000}"/>
    <cellStyle name="Normal 2 14" xfId="699" xr:uid="{00000000-0005-0000-0000-000067040000}"/>
    <cellStyle name="Normal 2 14 2" xfId="700" xr:uid="{00000000-0005-0000-0000-000068040000}"/>
    <cellStyle name="Normal 2 14 2 2" xfId="6381" xr:uid="{00000000-0005-0000-0000-000090030000}"/>
    <cellStyle name="Normal 2 14 2 2 2" xfId="8489" xr:uid="{00000000-0005-0000-0000-0000B9040000}"/>
    <cellStyle name="Normal 2 14 2 2 3" xfId="10886" xr:uid="{00000000-0005-0000-0000-0000B9040000}"/>
    <cellStyle name="Normal 2 14 2 3" xfId="5105" xr:uid="{00000000-0005-0000-0000-00002D020000}"/>
    <cellStyle name="Normal 2 14 2 4" xfId="7139" xr:uid="{00000000-0005-0000-0000-0000B8040000}"/>
    <cellStyle name="Normal 2 14 2 5" xfId="9545" xr:uid="{00000000-0005-0000-0000-0000B8040000}"/>
    <cellStyle name="Normal 2 14 3" xfId="2866" xr:uid="{00000000-0005-0000-0000-000091030000}"/>
    <cellStyle name="Normal 2 14 3 2" xfId="8161" xr:uid="{00000000-0005-0000-0000-0000BA040000}"/>
    <cellStyle name="Normal 2 14 3 3" xfId="10558" xr:uid="{00000000-0005-0000-0000-0000BA040000}"/>
    <cellStyle name="Normal 2 14 4" xfId="2266" xr:uid="{00000000-0005-0000-0000-00008F030000}"/>
    <cellStyle name="Normal 2 14 4 2" xfId="11423" xr:uid="{00000000-0005-0000-0000-00008D040000}"/>
    <cellStyle name="Normal 2 14 5" xfId="3809" xr:uid="{00000000-0005-0000-0000-0000C4010000}"/>
    <cellStyle name="Normal 2 14 6" xfId="5551" xr:uid="{00000000-0005-0000-0000-000046020000}"/>
    <cellStyle name="Normal 2 14 7" xfId="5028" xr:uid="{00000000-0005-0000-0000-00002C020000}"/>
    <cellStyle name="Normal 2 14 8" xfId="7138" xr:uid="{00000000-0005-0000-0000-0000B7040000}"/>
    <cellStyle name="Normal 2 14 9" xfId="9544" xr:uid="{00000000-0005-0000-0000-0000B7040000}"/>
    <cellStyle name="Normal 2 15" xfId="701" xr:uid="{00000000-0005-0000-0000-000069040000}"/>
    <cellStyle name="Normal 2 15 2" xfId="702" xr:uid="{00000000-0005-0000-0000-00006A040000}"/>
    <cellStyle name="Normal 2 15 2 2" xfId="6257" xr:uid="{00000000-0005-0000-0000-000093030000}"/>
    <cellStyle name="Normal 2 15 2 3" xfId="7141" xr:uid="{00000000-0005-0000-0000-0000BC040000}"/>
    <cellStyle name="Normal 2 15 2 4" xfId="9547" xr:uid="{00000000-0005-0000-0000-0000BC040000}"/>
    <cellStyle name="Normal 2 15 2 5" xfId="11564" xr:uid="{00000000-0005-0000-0000-000011030000}"/>
    <cellStyle name="Normal 2 15 3" xfId="6090" xr:uid="{00000000-0005-0000-0000-000092030000}"/>
    <cellStyle name="Normal 2 15 3 2" xfId="8164" xr:uid="{00000000-0005-0000-0000-0000BD040000}"/>
    <cellStyle name="Normal 2 15 3 3" xfId="10561" xr:uid="{00000000-0005-0000-0000-0000BD040000}"/>
    <cellStyle name="Normal 2 15 4" xfId="4760" xr:uid="{00000000-0005-0000-0000-00002E020000}"/>
    <cellStyle name="Normal 2 15 5" xfId="7140" xr:uid="{00000000-0005-0000-0000-0000BB040000}"/>
    <cellStyle name="Normal 2 15 6" xfId="9546" xr:uid="{00000000-0005-0000-0000-0000BB040000}"/>
    <cellStyle name="Normal 2 16" xfId="703" xr:uid="{00000000-0005-0000-0000-00006B040000}"/>
    <cellStyle name="Normal 2 16 2" xfId="6140" xr:uid="{00000000-0005-0000-0000-000094030000}"/>
    <cellStyle name="Normal 2 16 3" xfId="7142" xr:uid="{00000000-0005-0000-0000-0000BE040000}"/>
    <cellStyle name="Normal 2 16 4" xfId="9548" xr:uid="{00000000-0005-0000-0000-0000BE040000}"/>
    <cellStyle name="Normal 2 17" xfId="704" xr:uid="{00000000-0005-0000-0000-00006C040000}"/>
    <cellStyle name="Normal 2 17 2" xfId="7143" xr:uid="{00000000-0005-0000-0000-0000BF040000}"/>
    <cellStyle name="Normal 2 17 3" xfId="9549" xr:uid="{00000000-0005-0000-0000-0000BF040000}"/>
    <cellStyle name="Normal 2 18" xfId="3779" xr:uid="{00000000-0005-0000-0000-0000BE010000}"/>
    <cellStyle name="Normal 2 18 2" xfId="7625" xr:uid="{00000000-0005-0000-0000-0000C0040000}"/>
    <cellStyle name="Normal 2 18 3" xfId="10022" xr:uid="{00000000-0005-0000-0000-0000C0040000}"/>
    <cellStyle name="Normal 2 19" xfId="5298" xr:uid="{00000000-0005-0000-0000-00003C020000}"/>
    <cellStyle name="Normal 2 2" xfId="705" xr:uid="{00000000-0005-0000-0000-00006D040000}"/>
    <cellStyle name="Normal 2 2 10" xfId="706" xr:uid="{00000000-0005-0000-0000-00006E040000}"/>
    <cellStyle name="Normal 2 2 10 10" xfId="6634" xr:uid="{00000000-0005-0000-0000-0000C2040000}"/>
    <cellStyle name="Normal 2 2 10 11" xfId="9055" xr:uid="{00000000-0005-0000-0000-0000C2040000}"/>
    <cellStyle name="Normal 2 2 10 2" xfId="707" xr:uid="{00000000-0005-0000-0000-00006F040000}"/>
    <cellStyle name="Normal 2 2 10 2 2" xfId="708" xr:uid="{00000000-0005-0000-0000-000070040000}"/>
    <cellStyle name="Normal 2 2 10 2 2 2" xfId="6382" xr:uid="{00000000-0005-0000-0000-000098030000}"/>
    <cellStyle name="Normal 2 2 10 2 2 2 2" xfId="8490" xr:uid="{00000000-0005-0000-0000-0000C5040000}"/>
    <cellStyle name="Normal 2 2 10 2 2 2 3" xfId="10887" xr:uid="{00000000-0005-0000-0000-0000C5040000}"/>
    <cellStyle name="Normal 2 2 10 2 2 3" xfId="7147" xr:uid="{00000000-0005-0000-0000-0000C4040000}"/>
    <cellStyle name="Normal 2 2 10 2 2 4" xfId="9553" xr:uid="{00000000-0005-0000-0000-0000C4040000}"/>
    <cellStyle name="Normal 2 2 10 2 3" xfId="2717" xr:uid="{00000000-0005-0000-0000-000099030000}"/>
    <cellStyle name="Normal 2 2 10 2 3 2" xfId="6191" xr:uid="{00000000-0005-0000-0000-000099030000}"/>
    <cellStyle name="Normal 2 2 10 2 3 3" xfId="7146" xr:uid="{00000000-0005-0000-0000-0000C6040000}"/>
    <cellStyle name="Normal 2 2 10 2 3 4" xfId="9552" xr:uid="{00000000-0005-0000-0000-0000C6040000}"/>
    <cellStyle name="Normal 2 2 10 2 4" xfId="4154" xr:uid="{00000000-0005-0000-0000-000097030000}"/>
    <cellStyle name="Normal 2 2 10 2 4 2" xfId="7955" xr:uid="{00000000-0005-0000-0000-0000C7040000}"/>
    <cellStyle name="Normal 2 2 10 2 4 3" xfId="10352" xr:uid="{00000000-0005-0000-0000-0000C7040000}"/>
    <cellStyle name="Normal 2 2 10 2 5" xfId="5847" xr:uid="{00000000-0005-0000-0000-000049020000}"/>
    <cellStyle name="Normal 2 2 10 2 6" xfId="5107" xr:uid="{00000000-0005-0000-0000-000032020000}"/>
    <cellStyle name="Normal 2 2 10 2 7" xfId="6795" xr:uid="{00000000-0005-0000-0000-0000C3040000}"/>
    <cellStyle name="Normal 2 2 10 2 8" xfId="9216" xr:uid="{00000000-0005-0000-0000-0000C3040000}"/>
    <cellStyle name="Normal 2 2 10 3" xfId="709" xr:uid="{00000000-0005-0000-0000-000071040000}"/>
    <cellStyle name="Normal 2 2 10 3 2" xfId="4452" xr:uid="{00000000-0005-0000-0000-00009A030000}"/>
    <cellStyle name="Normal 2 2 10 3 2 2" xfId="8491" xr:uid="{00000000-0005-0000-0000-0000C9040000}"/>
    <cellStyle name="Normal 2 2 10 3 2 3" xfId="10888" xr:uid="{00000000-0005-0000-0000-0000C9040000}"/>
    <cellStyle name="Normal 2 2 10 3 3" xfId="5674" xr:uid="{00000000-0005-0000-0000-00004A020000}"/>
    <cellStyle name="Normal 2 2 10 3 4" xfId="7148" xr:uid="{00000000-0005-0000-0000-0000C8040000}"/>
    <cellStyle name="Normal 2 2 10 3 5" xfId="9554" xr:uid="{00000000-0005-0000-0000-0000C8040000}"/>
    <cellStyle name="Normal 2 2 10 4" xfId="710" xr:uid="{00000000-0005-0000-0000-000072040000}"/>
    <cellStyle name="Normal 2 2 10 4 2" xfId="6294" xr:uid="{00000000-0005-0000-0000-00009B030000}"/>
    <cellStyle name="Normal 2 2 10 4 2 2" xfId="8217" xr:uid="{00000000-0005-0000-0000-0000CB040000}"/>
    <cellStyle name="Normal 2 2 10 4 2 3" xfId="10614" xr:uid="{00000000-0005-0000-0000-0000CB040000}"/>
    <cellStyle name="Normal 2 2 10 4 3" xfId="7149" xr:uid="{00000000-0005-0000-0000-0000CA040000}"/>
    <cellStyle name="Normal 2 2 10 4 4" xfId="9555" xr:uid="{00000000-0005-0000-0000-0000CA040000}"/>
    <cellStyle name="Normal 2 2 10 5" xfId="2565" xr:uid="{00000000-0005-0000-0000-00009C030000}"/>
    <cellStyle name="Normal 2 2 10 5 2" xfId="7145" xr:uid="{00000000-0005-0000-0000-0000CC040000}"/>
    <cellStyle name="Normal 2 2 10 5 3" xfId="9551" xr:uid="{00000000-0005-0000-0000-0000CC040000}"/>
    <cellStyle name="Normal 2 2 10 6" xfId="2317" xr:uid="{00000000-0005-0000-0000-000096030000}"/>
    <cellStyle name="Normal 2 2 10 6 2" xfId="7763" xr:uid="{00000000-0005-0000-0000-0000CD040000}"/>
    <cellStyle name="Normal 2 2 10 6 3" xfId="10160" xr:uid="{00000000-0005-0000-0000-0000CD040000}"/>
    <cellStyle name="Normal 2 2 10 7" xfId="3922" xr:uid="{00000000-0005-0000-0000-0000C6010000}"/>
    <cellStyle name="Normal 2 2 10 8" xfId="5443" xr:uid="{00000000-0005-0000-0000-000048020000}"/>
    <cellStyle name="Normal 2 2 10 9" xfId="4888" xr:uid="{00000000-0005-0000-0000-000031020000}"/>
    <cellStyle name="Normal 2 2 11" xfId="711" xr:uid="{00000000-0005-0000-0000-000073040000}"/>
    <cellStyle name="Normal 2 2 11 10" xfId="9056" xr:uid="{00000000-0005-0000-0000-0000CE040000}"/>
    <cellStyle name="Normal 2 2 11 2" xfId="712" xr:uid="{00000000-0005-0000-0000-000074040000}"/>
    <cellStyle name="Normal 2 2 11 2 2" xfId="3147" xr:uid="{00000000-0005-0000-0000-00009F030000}"/>
    <cellStyle name="Normal 2 2 11 2 2 2" xfId="6383" xr:uid="{00000000-0005-0000-0000-00009F030000}"/>
    <cellStyle name="Normal 2 2 11 2 2 3" xfId="7151" xr:uid="{00000000-0005-0000-0000-0000D0040000}"/>
    <cellStyle name="Normal 2 2 11 2 2 4" xfId="9557" xr:uid="{00000000-0005-0000-0000-0000D0040000}"/>
    <cellStyle name="Normal 2 2 11 2 3" xfId="4155" xr:uid="{00000000-0005-0000-0000-00009E030000}"/>
    <cellStyle name="Normal 2 2 11 2 3 2" xfId="6107" xr:uid="{00000000-0005-0000-0000-00009E030000}"/>
    <cellStyle name="Normal 2 2 11 2 3 3" xfId="8492" xr:uid="{00000000-0005-0000-0000-0000D1040000}"/>
    <cellStyle name="Normal 2 2 11 2 3 4" xfId="10889" xr:uid="{00000000-0005-0000-0000-0000D1040000}"/>
    <cellStyle name="Normal 2 2 11 2 4" xfId="5848" xr:uid="{00000000-0005-0000-0000-00004C020000}"/>
    <cellStyle name="Normal 2 2 11 2 5" xfId="5108" xr:uid="{00000000-0005-0000-0000-000034020000}"/>
    <cellStyle name="Normal 2 2 11 2 6" xfId="6796" xr:uid="{00000000-0005-0000-0000-0000CF040000}"/>
    <cellStyle name="Normal 2 2 11 2 7" xfId="9217" xr:uid="{00000000-0005-0000-0000-0000CF040000}"/>
    <cellStyle name="Normal 2 2 11 3" xfId="713" xr:uid="{00000000-0005-0000-0000-000075040000}"/>
    <cellStyle name="Normal 2 2 11 3 2" xfId="6466" xr:uid="{00000000-0005-0000-0000-00009F040000}"/>
    <cellStyle name="Normal 2 2 11 3 2 2" xfId="8218" xr:uid="{00000000-0005-0000-0000-0000D3040000}"/>
    <cellStyle name="Normal 2 2 11 3 2 3" xfId="10615" xr:uid="{00000000-0005-0000-0000-0000D3040000}"/>
    <cellStyle name="Normal 2 2 11 3 3" xfId="6295" xr:uid="{00000000-0005-0000-0000-0000A0030000}"/>
    <cellStyle name="Normal 2 2 11 3 4" xfId="7152" xr:uid="{00000000-0005-0000-0000-0000D2040000}"/>
    <cellStyle name="Normal 2 2 11 3 5" xfId="9558" xr:uid="{00000000-0005-0000-0000-0000D2040000}"/>
    <cellStyle name="Normal 2 2 11 4" xfId="2718" xr:uid="{00000000-0005-0000-0000-0000A1030000}"/>
    <cellStyle name="Normal 2 2 11 4 2" xfId="6192" xr:uid="{00000000-0005-0000-0000-0000A1030000}"/>
    <cellStyle name="Normal 2 2 11 4 3" xfId="7150" xr:uid="{00000000-0005-0000-0000-0000D4040000}"/>
    <cellStyle name="Normal 2 2 11 4 4" xfId="9556" xr:uid="{00000000-0005-0000-0000-0000D4040000}"/>
    <cellStyle name="Normal 2 2 11 5" xfId="2318" xr:uid="{00000000-0005-0000-0000-00009D030000}"/>
    <cellStyle name="Normal 2 2 11 5 2" xfId="7956" xr:uid="{00000000-0005-0000-0000-0000D5040000}"/>
    <cellStyle name="Normal 2 2 11 5 3" xfId="10353" xr:uid="{00000000-0005-0000-0000-0000D5040000}"/>
    <cellStyle name="Normal 2 2 11 6" xfId="3923" xr:uid="{00000000-0005-0000-0000-0000C7010000}"/>
    <cellStyle name="Normal 2 2 11 7" xfId="5306" xr:uid="{00000000-0005-0000-0000-00004B020000}"/>
    <cellStyle name="Normal 2 2 11 8" xfId="4889" xr:uid="{00000000-0005-0000-0000-000033020000}"/>
    <cellStyle name="Normal 2 2 11 9" xfId="6635" xr:uid="{00000000-0005-0000-0000-0000CE040000}"/>
    <cellStyle name="Normal 2 2 12" xfId="714" xr:uid="{00000000-0005-0000-0000-000076040000}"/>
    <cellStyle name="Normal 2 2 12 2" xfId="715" xr:uid="{00000000-0005-0000-0000-000077040000}"/>
    <cellStyle name="Normal 2 2 12 2 2" xfId="2897" xr:uid="{00000000-0005-0000-0000-0000A4030000}"/>
    <cellStyle name="Normal 2 2 12 2 2 2" xfId="6296" xr:uid="{00000000-0005-0000-0000-0000A4030000}"/>
    <cellStyle name="Normal 2 2 12 2 2 3" xfId="7154" xr:uid="{00000000-0005-0000-0000-0000D8040000}"/>
    <cellStyle name="Normal 2 2 12 2 2 4" xfId="9560" xr:uid="{00000000-0005-0000-0000-0000D8040000}"/>
    <cellStyle name="Normal 2 2 12 2 3" xfId="4729" xr:uid="{00000000-0005-0000-0000-0000DC020000}"/>
    <cellStyle name="Normal 2 2 12 2 3 2" xfId="6108" xr:uid="{00000000-0005-0000-0000-0000A3030000}"/>
    <cellStyle name="Normal 2 2 12 2 3 3" xfId="8219" xr:uid="{00000000-0005-0000-0000-0000D9040000}"/>
    <cellStyle name="Normal 2 2 12 2 3 4" xfId="10616" xr:uid="{00000000-0005-0000-0000-0000D9040000}"/>
    <cellStyle name="Normal 2 2 12 2 4" xfId="5109" xr:uid="{00000000-0005-0000-0000-000036020000}"/>
    <cellStyle name="Normal 2 2 12 2 5" xfId="6797" xr:uid="{00000000-0005-0000-0000-0000D7040000}"/>
    <cellStyle name="Normal 2 2 12 2 6" xfId="9218" xr:uid="{00000000-0005-0000-0000-0000D7040000}"/>
    <cellStyle name="Normal 2 2 12 3" xfId="716" xr:uid="{00000000-0005-0000-0000-000078040000}"/>
    <cellStyle name="Normal 2 2 12 3 2" xfId="6193" xr:uid="{00000000-0005-0000-0000-0000A5030000}"/>
    <cellStyle name="Normal 2 2 12 3 3" xfId="7155" xr:uid="{00000000-0005-0000-0000-0000DA040000}"/>
    <cellStyle name="Normal 2 2 12 3 4" xfId="9561" xr:uid="{00000000-0005-0000-0000-0000DA040000}"/>
    <cellStyle name="Normal 2 2 12 4" xfId="2319" xr:uid="{00000000-0005-0000-0000-0000A2030000}"/>
    <cellStyle name="Normal 2 2 12 4 2" xfId="6065" xr:uid="{00000000-0005-0000-0000-0000A2030000}"/>
    <cellStyle name="Normal 2 2 12 4 3" xfId="7153" xr:uid="{00000000-0005-0000-0000-0000DB040000}"/>
    <cellStyle name="Normal 2 2 12 4 4" xfId="9559" xr:uid="{00000000-0005-0000-0000-0000DB040000}"/>
    <cellStyle name="Normal 2 2 12 5" xfId="3924" xr:uid="{00000000-0005-0000-0000-0000C8010000}"/>
    <cellStyle name="Normal 2 2 12 5 2" xfId="7957" xr:uid="{00000000-0005-0000-0000-0000DC040000}"/>
    <cellStyle name="Normal 2 2 12 5 3" xfId="10354" xr:uid="{00000000-0005-0000-0000-0000DC040000}"/>
    <cellStyle name="Normal 2 2 12 6" xfId="5849" xr:uid="{00000000-0005-0000-0000-00004D020000}"/>
    <cellStyle name="Normal 2 2 12 7" xfId="4890" xr:uid="{00000000-0005-0000-0000-000035020000}"/>
    <cellStyle name="Normal 2 2 12 8" xfId="6636" xr:uid="{00000000-0005-0000-0000-0000D6040000}"/>
    <cellStyle name="Normal 2 2 12 9" xfId="9057" xr:uid="{00000000-0005-0000-0000-0000D6040000}"/>
    <cellStyle name="Normal 2 2 13" xfId="717" xr:uid="{00000000-0005-0000-0000-000079040000}"/>
    <cellStyle name="Normal 2 2 13 2" xfId="3148" xr:uid="{00000000-0005-0000-0000-0000A7030000}"/>
    <cellStyle name="Normal 2 2 13 2 2" xfId="6384" xr:uid="{00000000-0005-0000-0000-0000A7030000}"/>
    <cellStyle name="Normal 2 2 13 2 2 2" xfId="8493" xr:uid="{00000000-0005-0000-0000-0000DF040000}"/>
    <cellStyle name="Normal 2 2 13 2 2 3" xfId="10890" xr:uid="{00000000-0005-0000-0000-0000DF040000}"/>
    <cellStyle name="Normal 2 2 13 2 3" xfId="5110" xr:uid="{00000000-0005-0000-0000-000038020000}"/>
    <cellStyle name="Normal 2 2 13 2 4" xfId="7156" xr:uid="{00000000-0005-0000-0000-0000DE040000}"/>
    <cellStyle name="Normal 2 2 13 2 5" xfId="9562" xr:uid="{00000000-0005-0000-0000-0000DE040000}"/>
    <cellStyle name="Normal 2 2 13 3" xfId="2716" xr:uid="{00000000-0005-0000-0000-0000A8030000}"/>
    <cellStyle name="Normal 2 2 13 3 2" xfId="6190" xr:uid="{00000000-0005-0000-0000-0000A8030000}"/>
    <cellStyle name="Normal 2 2 13 3 3" xfId="7954" xr:uid="{00000000-0005-0000-0000-0000E0040000}"/>
    <cellStyle name="Normal 2 2 13 3 4" xfId="10351" xr:uid="{00000000-0005-0000-0000-0000E0040000}"/>
    <cellStyle name="Normal 2 2 13 4" xfId="2267" xr:uid="{00000000-0005-0000-0000-0000A6030000}"/>
    <cellStyle name="Normal 2 2 13 4 2" xfId="11398" xr:uid="{00000000-0005-0000-0000-0000AA040000}"/>
    <cellStyle name="Normal 2 2 13 5" xfId="3921" xr:uid="{00000000-0005-0000-0000-0000C9010000}"/>
    <cellStyle name="Normal 2 2 13 6" xfId="5846" xr:uid="{00000000-0005-0000-0000-00004E020000}"/>
    <cellStyle name="Normal 2 2 13 7" xfId="4887" xr:uid="{00000000-0005-0000-0000-000037020000}"/>
    <cellStyle name="Normal 2 2 13 8" xfId="6633" xr:uid="{00000000-0005-0000-0000-0000DD040000}"/>
    <cellStyle name="Normal 2 2 13 9" xfId="9054" xr:uid="{00000000-0005-0000-0000-0000DD040000}"/>
    <cellStyle name="Normal 2 2 14" xfId="718" xr:uid="{00000000-0005-0000-0000-00007A040000}"/>
    <cellStyle name="Normal 2 2 14 2" xfId="3149" xr:uid="{00000000-0005-0000-0000-0000AA030000}"/>
    <cellStyle name="Normal 2 2 14 2 2" xfId="6385" xr:uid="{00000000-0005-0000-0000-0000AA030000}"/>
    <cellStyle name="Normal 2 2 14 2 3" xfId="5111" xr:uid="{00000000-0005-0000-0000-00003A020000}"/>
    <cellStyle name="Normal 2 2 14 2 4" xfId="7157" xr:uid="{00000000-0005-0000-0000-0000E2040000}"/>
    <cellStyle name="Normal 2 2 14 2 5" xfId="9563" xr:uid="{00000000-0005-0000-0000-0000E2040000}"/>
    <cellStyle name="Normal 2 2 14 3" xfId="4114" xr:uid="{00000000-0005-0000-0000-0000A9030000}"/>
    <cellStyle name="Normal 2 2 14 3 2" xfId="6091" xr:uid="{00000000-0005-0000-0000-0000A9030000}"/>
    <cellStyle name="Normal 2 2 14 3 3" xfId="8494" xr:uid="{00000000-0005-0000-0000-0000E3040000}"/>
    <cellStyle name="Normal 2 2 14 3 4" xfId="10891" xr:uid="{00000000-0005-0000-0000-0000E3040000}"/>
    <cellStyle name="Normal 2 2 14 4" xfId="5552" xr:uid="{00000000-0005-0000-0000-00004F020000}"/>
    <cellStyle name="Normal 2 2 14 5" xfId="4761" xr:uid="{00000000-0005-0000-0000-000039020000}"/>
    <cellStyle name="Normal 2 2 14 6" xfId="6794" xr:uid="{00000000-0005-0000-0000-0000E1040000}"/>
    <cellStyle name="Normal 2 2 14 7" xfId="9215" xr:uid="{00000000-0005-0000-0000-0000E1040000}"/>
    <cellStyle name="Normal 2 2 15" xfId="719" xr:uid="{00000000-0005-0000-0000-00007B040000}"/>
    <cellStyle name="Normal 2 2 15 2" xfId="4693" xr:uid="{00000000-0005-0000-0000-0000E6020000}"/>
    <cellStyle name="Normal 2 2 15 2 2" xfId="6258" xr:uid="{00000000-0005-0000-0000-0000AB030000}"/>
    <cellStyle name="Normal 2 2 15 2 3" xfId="8165" xr:uid="{00000000-0005-0000-0000-0000E5040000}"/>
    <cellStyle name="Normal 2 2 15 2 4" xfId="10562" xr:uid="{00000000-0005-0000-0000-0000E5040000}"/>
    <cellStyle name="Normal 2 2 15 3" xfId="5106" xr:uid="{00000000-0005-0000-0000-00003B020000}"/>
    <cellStyle name="Normal 2 2 15 4" xfId="7158" xr:uid="{00000000-0005-0000-0000-0000E4040000}"/>
    <cellStyle name="Normal 2 2 15 5" xfId="9564" xr:uid="{00000000-0005-0000-0000-0000E4040000}"/>
    <cellStyle name="Normal 2 2 16" xfId="2430" xr:uid="{00000000-0005-0000-0000-0000AC030000}"/>
    <cellStyle name="Normal 2 2 16 2" xfId="6141" xr:uid="{00000000-0005-0000-0000-0000AC030000}"/>
    <cellStyle name="Normal 2 2 16 3" xfId="7144" xr:uid="{00000000-0005-0000-0000-0000E6040000}"/>
    <cellStyle name="Normal 2 2 16 4" xfId="9550" xr:uid="{00000000-0005-0000-0000-0000E6040000}"/>
    <cellStyle name="Normal 2 2 17" xfId="2157" xr:uid="{00000000-0005-0000-0000-000095030000}"/>
    <cellStyle name="Normal 2 2 17 2" xfId="6047" xr:uid="{00000000-0005-0000-0000-000095030000}"/>
    <cellStyle name="Normal 2 2 17 3" xfId="7626" xr:uid="{00000000-0005-0000-0000-0000E7040000}"/>
    <cellStyle name="Normal 2 2 17 4" xfId="10023" xr:uid="{00000000-0005-0000-0000-0000E7040000}"/>
    <cellStyle name="Normal 2 2 18" xfId="3780" xr:uid="{00000000-0005-0000-0000-0000C5010000}"/>
    <cellStyle name="Normal 2 2 19" xfId="5299" xr:uid="{00000000-0005-0000-0000-000047020000}"/>
    <cellStyle name="Normal 2 2 2" xfId="720" xr:uid="{00000000-0005-0000-0000-00007C040000}"/>
    <cellStyle name="Normal 2 2 20" xfId="4754" xr:uid="{00000000-0005-0000-0000-000030020000}"/>
    <cellStyle name="Normal 2 2 21" xfId="6525" xr:uid="{00000000-0005-0000-0000-0000C1040000}"/>
    <cellStyle name="Normal 2 2 22" xfId="8946" xr:uid="{00000000-0005-0000-0000-0000C1040000}"/>
    <cellStyle name="Normal 2 2 3" xfId="721" xr:uid="{00000000-0005-0000-0000-00007D040000}"/>
    <cellStyle name="Normal 2 2 4" xfId="722" xr:uid="{00000000-0005-0000-0000-00007E040000}"/>
    <cellStyle name="Normal 2 2 4 10" xfId="723" xr:uid="{00000000-0005-0000-0000-00007F040000}"/>
    <cellStyle name="Normal 2 2 4 10 2" xfId="3150" xr:uid="{00000000-0005-0000-0000-0000B1030000}"/>
    <cellStyle name="Normal 2 2 4 10 2 2" xfId="6386" xr:uid="{00000000-0005-0000-0000-0000B1030000}"/>
    <cellStyle name="Normal 2 2 4 10 2 3" xfId="7161" xr:uid="{00000000-0005-0000-0000-0000EC040000}"/>
    <cellStyle name="Normal 2 2 4 10 2 4" xfId="9566" xr:uid="{00000000-0005-0000-0000-0000EC040000}"/>
    <cellStyle name="Normal 2 2 4 10 3" xfId="4156" xr:uid="{00000000-0005-0000-0000-0000B0030000}"/>
    <cellStyle name="Normal 2 2 4 10 3 2" xfId="6109" xr:uid="{00000000-0005-0000-0000-0000B0030000}"/>
    <cellStyle name="Normal 2 2 4 10 3 3" xfId="8495" xr:uid="{00000000-0005-0000-0000-0000ED040000}"/>
    <cellStyle name="Normal 2 2 4 10 3 4" xfId="10892" xr:uid="{00000000-0005-0000-0000-0000ED040000}"/>
    <cellStyle name="Normal 2 2 4 10 4" xfId="5560" xr:uid="{00000000-0005-0000-0000-000053020000}"/>
    <cellStyle name="Normal 2 2 4 10 5" xfId="5112" xr:uid="{00000000-0005-0000-0000-00003F020000}"/>
    <cellStyle name="Normal 2 2 4 10 6" xfId="6798" xr:uid="{00000000-0005-0000-0000-0000EB040000}"/>
    <cellStyle name="Normal 2 2 4 10 7" xfId="9219" xr:uid="{00000000-0005-0000-0000-0000EB040000}"/>
    <cellStyle name="Normal 2 2 4 11" xfId="724" xr:uid="{00000000-0005-0000-0000-000080040000}"/>
    <cellStyle name="Normal 2 2 4 11 2" xfId="6487" xr:uid="{00000000-0005-0000-0000-0000B8040000}"/>
    <cellStyle name="Normal 2 2 4 11 2 2" xfId="8220" xr:uid="{00000000-0005-0000-0000-0000EF040000}"/>
    <cellStyle name="Normal 2 2 4 11 2 3" xfId="10617" xr:uid="{00000000-0005-0000-0000-0000EF040000}"/>
    <cellStyle name="Normal 2 2 4 11 3" xfId="6297" xr:uid="{00000000-0005-0000-0000-0000B2030000}"/>
    <cellStyle name="Normal 2 2 4 11 4" xfId="7162" xr:uid="{00000000-0005-0000-0000-0000EE040000}"/>
    <cellStyle name="Normal 2 2 4 11 5" xfId="9567" xr:uid="{00000000-0005-0000-0000-0000EE040000}"/>
    <cellStyle name="Normal 2 2 4 12" xfId="2437" xr:uid="{00000000-0005-0000-0000-0000B3030000}"/>
    <cellStyle name="Normal 2 2 4 12 2" xfId="6149" xr:uid="{00000000-0005-0000-0000-0000B3030000}"/>
    <cellStyle name="Normal 2 2 4 12 3" xfId="7160" xr:uid="{00000000-0005-0000-0000-0000F0040000}"/>
    <cellStyle name="Normal 2 2 4 12 4" xfId="9565" xr:uid="{00000000-0005-0000-0000-0000F0040000}"/>
    <cellStyle name="Normal 2 2 4 13" xfId="2167" xr:uid="{00000000-0005-0000-0000-0000AF030000}"/>
    <cellStyle name="Normal 2 2 4 13 2" xfId="7634" xr:uid="{00000000-0005-0000-0000-0000F1040000}"/>
    <cellStyle name="Normal 2 2 4 13 3" xfId="10031" xr:uid="{00000000-0005-0000-0000-0000F1040000}"/>
    <cellStyle name="Normal 2 2 4 14" xfId="3927" xr:uid="{00000000-0005-0000-0000-0000CC010000}"/>
    <cellStyle name="Normal 2 2 4 15" xfId="5314" xr:uid="{00000000-0005-0000-0000-000052020000}"/>
    <cellStyle name="Normal 2 2 4 16" xfId="4769" xr:uid="{00000000-0005-0000-0000-00003E020000}"/>
    <cellStyle name="Normal 2 2 4 17" xfId="6533" xr:uid="{00000000-0005-0000-0000-0000EA040000}"/>
    <cellStyle name="Normal 2 2 4 18" xfId="8954" xr:uid="{00000000-0005-0000-0000-0000EA040000}"/>
    <cellStyle name="Normal 2 2 4 2" xfId="725" xr:uid="{00000000-0005-0000-0000-000081040000}"/>
    <cellStyle name="Normal 2 2 4 2 10" xfId="5374" xr:uid="{00000000-0005-0000-0000-000054020000}"/>
    <cellStyle name="Normal 2 2 4 2 11" xfId="4830" xr:uid="{00000000-0005-0000-0000-000040020000}"/>
    <cellStyle name="Normal 2 2 4 2 12" xfId="6576" xr:uid="{00000000-0005-0000-0000-0000F2040000}"/>
    <cellStyle name="Normal 2 2 4 2 13" xfId="8997" xr:uid="{00000000-0005-0000-0000-0000F2040000}"/>
    <cellStyle name="Normal 2 2 4 2 2" xfId="726" xr:uid="{00000000-0005-0000-0000-000082040000}"/>
    <cellStyle name="Normal 2 2 4 2 2 10" xfId="4892" xr:uid="{00000000-0005-0000-0000-000041020000}"/>
    <cellStyle name="Normal 2 2 4 2 2 11" xfId="6638" xr:uid="{00000000-0005-0000-0000-0000F3040000}"/>
    <cellStyle name="Normal 2 2 4 2 2 12" xfId="9059" xr:uid="{00000000-0005-0000-0000-0000F3040000}"/>
    <cellStyle name="Normal 2 2 4 2 2 2" xfId="727" xr:uid="{00000000-0005-0000-0000-000083040000}"/>
    <cellStyle name="Normal 2 2 4 2 2 2 2" xfId="2722" xr:uid="{00000000-0005-0000-0000-0000B7030000}"/>
    <cellStyle name="Normal 2 2 4 2 2 2 2 2" xfId="3153" xr:uid="{00000000-0005-0000-0000-0000B8030000}"/>
    <cellStyle name="Normal 2 2 4 2 2 2 2 2 2" xfId="8498" xr:uid="{00000000-0005-0000-0000-0000F6040000}"/>
    <cellStyle name="Normal 2 2 4 2 2 2 2 2 3" xfId="10895" xr:uid="{00000000-0005-0000-0000-0000F6040000}"/>
    <cellStyle name="Normal 2 2 4 2 2 2 2 3" xfId="4289" xr:uid="{00000000-0005-0000-0000-0000B7030000}"/>
    <cellStyle name="Normal 2 2 4 2 2 2 2 3 2" xfId="11400" xr:uid="{00000000-0005-0000-0000-0000BF040000}"/>
    <cellStyle name="Normal 2 2 4 2 2 2 2 4" xfId="7961" xr:uid="{00000000-0005-0000-0000-0000F5040000}"/>
    <cellStyle name="Normal 2 2 4 2 2 2 2 5" xfId="10358" xr:uid="{00000000-0005-0000-0000-0000F5040000}"/>
    <cellStyle name="Normal 2 2 4 2 2 2 3" xfId="3154" xr:uid="{00000000-0005-0000-0000-0000B9030000}"/>
    <cellStyle name="Normal 2 2 4 2 2 2 3 2" xfId="4453" xr:uid="{00000000-0005-0000-0000-0000B9030000}"/>
    <cellStyle name="Normal 2 2 4 2 2 2 3 3" xfId="8499" xr:uid="{00000000-0005-0000-0000-0000F7040000}"/>
    <cellStyle name="Normal 2 2 4 2 2 2 3 4" xfId="10896" xr:uid="{00000000-0005-0000-0000-0000F7040000}"/>
    <cellStyle name="Normal 2 2 4 2 2 2 4" xfId="3152" xr:uid="{00000000-0005-0000-0000-0000BA030000}"/>
    <cellStyle name="Normal 2 2 4 2 2 2 4 2" xfId="8497" xr:uid="{00000000-0005-0000-0000-0000F8040000}"/>
    <cellStyle name="Normal 2 2 4 2 2 2 4 3" xfId="10894" xr:uid="{00000000-0005-0000-0000-0000F8040000}"/>
    <cellStyle name="Normal 2 2 4 2 2 2 5" xfId="4246" xr:uid="{00000000-0005-0000-0000-0000B6030000}"/>
    <cellStyle name="Normal 2 2 4 2 2 2 5 2" xfId="7857" xr:uid="{00000000-0005-0000-0000-0000F9040000}"/>
    <cellStyle name="Normal 2 2 4 2 2 2 5 3" xfId="10254" xr:uid="{00000000-0005-0000-0000-0000F9040000}"/>
    <cellStyle name="Normal 2 2 4 2 2 2 6" xfId="5535" xr:uid="{00000000-0005-0000-0000-000056020000}"/>
    <cellStyle name="Normal 2 2 4 2 2 2 7" xfId="5114" xr:uid="{00000000-0005-0000-0000-000042020000}"/>
    <cellStyle name="Normal 2 2 4 2 2 2 8" xfId="7165" xr:uid="{00000000-0005-0000-0000-0000F4040000}"/>
    <cellStyle name="Normal 2 2 4 2 2 2 9" xfId="9570" xr:uid="{00000000-0005-0000-0000-0000F4040000}"/>
    <cellStyle name="Normal 2 2 4 2 2 3" xfId="2721" xr:uid="{00000000-0005-0000-0000-0000BB030000}"/>
    <cellStyle name="Normal 2 2 4 2 2 3 2" xfId="3155" xr:uid="{00000000-0005-0000-0000-0000BC030000}"/>
    <cellStyle name="Normal 2 2 4 2 2 3 2 2" xfId="8500" xr:uid="{00000000-0005-0000-0000-0000FB040000}"/>
    <cellStyle name="Normal 2 2 4 2 2 3 2 3" xfId="10897" xr:uid="{00000000-0005-0000-0000-0000FB040000}"/>
    <cellStyle name="Normal 2 2 4 2 2 3 3" xfId="4288" xr:uid="{00000000-0005-0000-0000-0000BB030000}"/>
    <cellStyle name="Normal 2 2 4 2 2 3 3 2" xfId="7960" xr:uid="{00000000-0005-0000-0000-0000FC040000}"/>
    <cellStyle name="Normal 2 2 4 2 2 3 3 3" xfId="10357" xr:uid="{00000000-0005-0000-0000-0000FC040000}"/>
    <cellStyle name="Normal 2 2 4 2 2 3 4" xfId="5852" xr:uid="{00000000-0005-0000-0000-000059020000}"/>
    <cellStyle name="Normal 2 2 4 2 2 3 5" xfId="7164" xr:uid="{00000000-0005-0000-0000-0000FA040000}"/>
    <cellStyle name="Normal 2 2 4 2 2 3 6" xfId="9569" xr:uid="{00000000-0005-0000-0000-0000FA040000}"/>
    <cellStyle name="Normal 2 2 4 2 2 4" xfId="3156" xr:uid="{00000000-0005-0000-0000-0000BD030000}"/>
    <cellStyle name="Normal 2 2 4 2 2 4 2" xfId="4454" xr:uid="{00000000-0005-0000-0000-0000BD030000}"/>
    <cellStyle name="Normal 2 2 4 2 2 4 3" xfId="8501" xr:uid="{00000000-0005-0000-0000-0000FD040000}"/>
    <cellStyle name="Normal 2 2 4 2 2 4 4" xfId="10898" xr:uid="{00000000-0005-0000-0000-0000FD040000}"/>
    <cellStyle name="Normal 2 2 4 2 2 5" xfId="3151" xr:uid="{00000000-0005-0000-0000-0000BE030000}"/>
    <cellStyle name="Normal 2 2 4 2 2 5 2" xfId="8496" xr:uid="{00000000-0005-0000-0000-0000FE040000}"/>
    <cellStyle name="Normal 2 2 4 2 2 5 3" xfId="10893" xr:uid="{00000000-0005-0000-0000-0000FE040000}"/>
    <cellStyle name="Normal 2 2 4 2 2 6" xfId="2556" xr:uid="{00000000-0005-0000-0000-0000BF030000}"/>
    <cellStyle name="Normal 2 2 4 2 2 6 2" xfId="7754" xr:uid="{00000000-0005-0000-0000-0000FF040000}"/>
    <cellStyle name="Normal 2 2 4 2 2 6 3" xfId="10151" xr:uid="{00000000-0005-0000-0000-0000FF040000}"/>
    <cellStyle name="Normal 2 2 4 2 2 7" xfId="2250" xr:uid="{00000000-0005-0000-0000-0000B5030000}"/>
    <cellStyle name="Normal 2 2 4 2 2 8" xfId="3801" xr:uid="{00000000-0005-0000-0000-0000CE010000}"/>
    <cellStyle name="Normal 2 2 4 2 2 9" xfId="5434" xr:uid="{00000000-0005-0000-0000-000055020000}"/>
    <cellStyle name="Normal 2 2 4 2 3" xfId="728" xr:uid="{00000000-0005-0000-0000-000084040000}"/>
    <cellStyle name="Normal 2 2 4 2 3 10" xfId="6799" xr:uid="{00000000-0005-0000-0000-000000050000}"/>
    <cellStyle name="Normal 2 2 4 2 3 11" xfId="9220" xr:uid="{00000000-0005-0000-0000-000000050000}"/>
    <cellStyle name="Normal 2 2 4 2 3 2" xfId="2723" xr:uid="{00000000-0005-0000-0000-0000C1030000}"/>
    <cellStyle name="Normal 2 2 4 2 3 2 2" xfId="3158" xr:uid="{00000000-0005-0000-0000-0000C2030000}"/>
    <cellStyle name="Normal 2 2 4 2 3 2 2 2" xfId="8503" xr:uid="{00000000-0005-0000-0000-000002050000}"/>
    <cellStyle name="Normal 2 2 4 2 3 2 2 3" xfId="10900" xr:uid="{00000000-0005-0000-0000-000002050000}"/>
    <cellStyle name="Normal 2 2 4 2 3 2 3" xfId="4290" xr:uid="{00000000-0005-0000-0000-0000C1030000}"/>
    <cellStyle name="Normal 2 2 4 2 3 2 3 2" xfId="7962" xr:uid="{00000000-0005-0000-0000-000003050000}"/>
    <cellStyle name="Normal 2 2 4 2 3 2 3 3" xfId="10359" xr:uid="{00000000-0005-0000-0000-000003050000}"/>
    <cellStyle name="Normal 2 2 4 2 3 2 4" xfId="5853" xr:uid="{00000000-0005-0000-0000-00005C020000}"/>
    <cellStyle name="Normal 2 2 4 2 3 2 5" xfId="7166" xr:uid="{00000000-0005-0000-0000-000001050000}"/>
    <cellStyle name="Normal 2 2 4 2 3 2 6" xfId="9571" xr:uid="{00000000-0005-0000-0000-000001050000}"/>
    <cellStyle name="Normal 2 2 4 2 3 3" xfId="3159" xr:uid="{00000000-0005-0000-0000-0000C3030000}"/>
    <cellStyle name="Normal 2 2 4 2 3 3 2" xfId="4455" xr:uid="{00000000-0005-0000-0000-0000C3030000}"/>
    <cellStyle name="Normal 2 2 4 2 3 3 3" xfId="5706" xr:uid="{00000000-0005-0000-0000-00005D020000}"/>
    <cellStyle name="Normal 2 2 4 2 3 3 4" xfId="8504" xr:uid="{00000000-0005-0000-0000-000004050000}"/>
    <cellStyle name="Normal 2 2 4 2 3 3 5" xfId="10901" xr:uid="{00000000-0005-0000-0000-000004050000}"/>
    <cellStyle name="Normal 2 2 4 2 3 4" xfId="3157" xr:uid="{00000000-0005-0000-0000-0000C4030000}"/>
    <cellStyle name="Normal 2 2 4 2 3 4 2" xfId="8502" xr:uid="{00000000-0005-0000-0000-000005050000}"/>
    <cellStyle name="Normal 2 2 4 2 3 4 3" xfId="10899" xr:uid="{00000000-0005-0000-0000-000005050000}"/>
    <cellStyle name="Normal 2 2 4 2 3 5" xfId="2599" xr:uid="{00000000-0005-0000-0000-0000C5030000}"/>
    <cellStyle name="Normal 2 2 4 2 3 5 2" xfId="7797" xr:uid="{00000000-0005-0000-0000-000006050000}"/>
    <cellStyle name="Normal 2 2 4 2 3 5 3" xfId="10194" xr:uid="{00000000-0005-0000-0000-000006050000}"/>
    <cellStyle name="Normal 2 2 4 2 3 6" xfId="2321" xr:uid="{00000000-0005-0000-0000-0000C0030000}"/>
    <cellStyle name="Normal 2 2 4 2 3 7" xfId="3840" xr:uid="{00000000-0005-0000-0000-0000CF010000}"/>
    <cellStyle name="Normal 2 2 4 2 3 8" xfId="5475" xr:uid="{00000000-0005-0000-0000-00005B020000}"/>
    <cellStyle name="Normal 2 2 4 2 3 9" xfId="5113" xr:uid="{00000000-0005-0000-0000-000043020000}"/>
    <cellStyle name="Normal 2 2 4 2 4" xfId="729" xr:uid="{00000000-0005-0000-0000-000085040000}"/>
    <cellStyle name="Normal 2 2 4 2 4 2" xfId="3160" xr:uid="{00000000-0005-0000-0000-0000C7030000}"/>
    <cellStyle name="Normal 2 2 4 2 4 2 2" xfId="8505" xr:uid="{00000000-0005-0000-0000-000008050000}"/>
    <cellStyle name="Normal 2 2 4 2 4 2 3" xfId="10902" xr:uid="{00000000-0005-0000-0000-000008050000}"/>
    <cellStyle name="Normal 2 2 4 2 4 3" xfId="2720" xr:uid="{00000000-0005-0000-0000-0000C8030000}"/>
    <cellStyle name="Normal 2 2 4 2 4 3 2" xfId="7959" xr:uid="{00000000-0005-0000-0000-000009050000}"/>
    <cellStyle name="Normal 2 2 4 2 4 3 3" xfId="10356" xr:uid="{00000000-0005-0000-0000-000009050000}"/>
    <cellStyle name="Normal 2 2 4 2 4 4" xfId="4157" xr:uid="{00000000-0005-0000-0000-0000C6030000}"/>
    <cellStyle name="Normal 2 2 4 2 4 5" xfId="5851" xr:uid="{00000000-0005-0000-0000-00005E020000}"/>
    <cellStyle name="Normal 2 2 4 2 4 6" xfId="7167" xr:uid="{00000000-0005-0000-0000-000007050000}"/>
    <cellStyle name="Normal 2 2 4 2 4 7" xfId="9572" xr:uid="{00000000-0005-0000-0000-000007050000}"/>
    <cellStyle name="Normal 2 2 4 2 5" xfId="3161" xr:uid="{00000000-0005-0000-0000-0000C9030000}"/>
    <cellStyle name="Normal 2 2 4 2 5 2" xfId="4456" xr:uid="{00000000-0005-0000-0000-0000C9030000}"/>
    <cellStyle name="Normal 2 2 4 2 5 2 2" xfId="8506" xr:uid="{00000000-0005-0000-0000-00000B050000}"/>
    <cellStyle name="Normal 2 2 4 2 5 2 3" xfId="10903" xr:uid="{00000000-0005-0000-0000-00000B050000}"/>
    <cellStyle name="Normal 2 2 4 2 5 3" xfId="5620" xr:uid="{00000000-0005-0000-0000-00005F020000}"/>
    <cellStyle name="Normal 2 2 4 2 5 4" xfId="7163" xr:uid="{00000000-0005-0000-0000-00000A050000}"/>
    <cellStyle name="Normal 2 2 4 2 5 5" xfId="9568" xr:uid="{00000000-0005-0000-0000-00000A050000}"/>
    <cellStyle name="Normal 2 2 4 2 6" xfId="2898" xr:uid="{00000000-0005-0000-0000-0000CA030000}"/>
    <cellStyle name="Normal 2 2 4 2 6 2" xfId="8221" xr:uid="{00000000-0005-0000-0000-00000C050000}"/>
    <cellStyle name="Normal 2 2 4 2 6 3" xfId="10618" xr:uid="{00000000-0005-0000-0000-00000C050000}"/>
    <cellStyle name="Normal 2 2 4 2 7" xfId="2496" xr:uid="{00000000-0005-0000-0000-0000CB030000}"/>
    <cellStyle name="Normal 2 2 4 2 7 2" xfId="7694" xr:uid="{00000000-0005-0000-0000-00000D050000}"/>
    <cellStyle name="Normal 2 2 4 2 7 3" xfId="10091" xr:uid="{00000000-0005-0000-0000-00000D050000}"/>
    <cellStyle name="Normal 2 2 4 2 8" xfId="2190" xr:uid="{00000000-0005-0000-0000-0000B4030000}"/>
    <cellStyle name="Normal 2 2 4 2 9" xfId="3928" xr:uid="{00000000-0005-0000-0000-0000CD010000}"/>
    <cellStyle name="Normal 2 2 4 3" xfId="730" xr:uid="{00000000-0005-0000-0000-000086040000}"/>
    <cellStyle name="Normal 2 2 4 3 10" xfId="5351" xr:uid="{00000000-0005-0000-0000-000060020000}"/>
    <cellStyle name="Normal 2 2 4 3 11" xfId="4807" xr:uid="{00000000-0005-0000-0000-000044020000}"/>
    <cellStyle name="Normal 2 2 4 3 12" xfId="6553" xr:uid="{00000000-0005-0000-0000-00000E050000}"/>
    <cellStyle name="Normal 2 2 4 3 13" xfId="8974" xr:uid="{00000000-0005-0000-0000-00000E050000}"/>
    <cellStyle name="Normal 2 2 4 3 2" xfId="731" xr:uid="{00000000-0005-0000-0000-000087040000}"/>
    <cellStyle name="Normal 2 2 4 3 2 10" xfId="6639" xr:uid="{00000000-0005-0000-0000-00000F050000}"/>
    <cellStyle name="Normal 2 2 4 3 2 11" xfId="9060" xr:uid="{00000000-0005-0000-0000-00000F050000}"/>
    <cellStyle name="Normal 2 2 4 3 2 2" xfId="732" xr:uid="{00000000-0005-0000-0000-000088040000}"/>
    <cellStyle name="Normal 2 2 4 3 2 2 2" xfId="3163" xr:uid="{00000000-0005-0000-0000-0000CF030000}"/>
    <cellStyle name="Normal 2 2 4 3 2 2 2 2" xfId="8508" xr:uid="{00000000-0005-0000-0000-000011050000}"/>
    <cellStyle name="Normal 2 2 4 3 2 2 2 3" xfId="10905" xr:uid="{00000000-0005-0000-0000-000011050000}"/>
    <cellStyle name="Normal 2 2 4 3 2 2 3" xfId="4292" xr:uid="{00000000-0005-0000-0000-0000CE030000}"/>
    <cellStyle name="Normal 2 2 4 3 2 2 3 2" xfId="7964" xr:uid="{00000000-0005-0000-0000-000012050000}"/>
    <cellStyle name="Normal 2 2 4 3 2 2 3 3" xfId="10361" xr:uid="{00000000-0005-0000-0000-000012050000}"/>
    <cellStyle name="Normal 2 2 4 3 2 2 4" xfId="5855" xr:uid="{00000000-0005-0000-0000-000062020000}"/>
    <cellStyle name="Normal 2 2 4 3 2 2 5" xfId="5116" xr:uid="{00000000-0005-0000-0000-000046020000}"/>
    <cellStyle name="Normal 2 2 4 3 2 2 6" xfId="7170" xr:uid="{00000000-0005-0000-0000-000010050000}"/>
    <cellStyle name="Normal 2 2 4 3 2 2 7" xfId="9575" xr:uid="{00000000-0005-0000-0000-000010050000}"/>
    <cellStyle name="Normal 2 2 4 3 2 3" xfId="3164" xr:uid="{00000000-0005-0000-0000-0000D0030000}"/>
    <cellStyle name="Normal 2 2 4 3 2 3 2" xfId="4457" xr:uid="{00000000-0005-0000-0000-0000D0030000}"/>
    <cellStyle name="Normal 2 2 4 3 2 3 2 2" xfId="8509" xr:uid="{00000000-0005-0000-0000-000014050000}"/>
    <cellStyle name="Normal 2 2 4 3 2 3 2 3" xfId="10906" xr:uid="{00000000-0005-0000-0000-000014050000}"/>
    <cellStyle name="Normal 2 2 4 3 2 3 3" xfId="5656" xr:uid="{00000000-0005-0000-0000-000063020000}"/>
    <cellStyle name="Normal 2 2 4 3 2 3 4" xfId="7169" xr:uid="{00000000-0005-0000-0000-000013050000}"/>
    <cellStyle name="Normal 2 2 4 3 2 3 5" xfId="9574" xr:uid="{00000000-0005-0000-0000-000013050000}"/>
    <cellStyle name="Normal 2 2 4 3 2 4" xfId="3162" xr:uid="{00000000-0005-0000-0000-0000D1030000}"/>
    <cellStyle name="Normal 2 2 4 3 2 4 2" xfId="8507" xr:uid="{00000000-0005-0000-0000-000015050000}"/>
    <cellStyle name="Normal 2 2 4 3 2 4 3" xfId="10904" xr:uid="{00000000-0005-0000-0000-000015050000}"/>
    <cellStyle name="Normal 2 2 4 3 2 5" xfId="2533" xr:uid="{00000000-0005-0000-0000-0000D2030000}"/>
    <cellStyle name="Normal 2 2 4 3 2 5 2" xfId="7731" xr:uid="{00000000-0005-0000-0000-000016050000}"/>
    <cellStyle name="Normal 2 2 4 3 2 5 3" xfId="10128" xr:uid="{00000000-0005-0000-0000-000016050000}"/>
    <cellStyle name="Normal 2 2 4 3 2 6" xfId="2322" xr:uid="{00000000-0005-0000-0000-0000CD030000}"/>
    <cellStyle name="Normal 2 2 4 3 2 7" xfId="3841" xr:uid="{00000000-0005-0000-0000-0000D1010000}"/>
    <cellStyle name="Normal 2 2 4 3 2 8" xfId="5411" xr:uid="{00000000-0005-0000-0000-000061020000}"/>
    <cellStyle name="Normal 2 2 4 3 2 9" xfId="4893" xr:uid="{00000000-0005-0000-0000-000045020000}"/>
    <cellStyle name="Normal 2 2 4 3 3" xfId="733" xr:uid="{00000000-0005-0000-0000-000089040000}"/>
    <cellStyle name="Normal 2 2 4 3 3 10" xfId="9221" xr:uid="{00000000-0005-0000-0000-000017050000}"/>
    <cellStyle name="Normal 2 2 4 3 3 2" xfId="2724" xr:uid="{00000000-0005-0000-0000-0000D4030000}"/>
    <cellStyle name="Normal 2 2 4 3 3 2 2" xfId="3166" xr:uid="{00000000-0005-0000-0000-0000D5030000}"/>
    <cellStyle name="Normal 2 2 4 3 3 2 2 2" xfId="8511" xr:uid="{00000000-0005-0000-0000-000019050000}"/>
    <cellStyle name="Normal 2 2 4 3 3 2 2 3" xfId="10908" xr:uid="{00000000-0005-0000-0000-000019050000}"/>
    <cellStyle name="Normal 2 2 4 3 3 2 3" xfId="4293" xr:uid="{00000000-0005-0000-0000-0000D4030000}"/>
    <cellStyle name="Normal 2 2 4 3 3 2 3 2" xfId="7965" xr:uid="{00000000-0005-0000-0000-00001A050000}"/>
    <cellStyle name="Normal 2 2 4 3 3 2 3 3" xfId="10362" xr:uid="{00000000-0005-0000-0000-00001A050000}"/>
    <cellStyle name="Normal 2 2 4 3 3 2 4" xfId="5856" xr:uid="{00000000-0005-0000-0000-000065020000}"/>
    <cellStyle name="Normal 2 2 4 3 3 2 5" xfId="7171" xr:uid="{00000000-0005-0000-0000-000018050000}"/>
    <cellStyle name="Normal 2 2 4 3 3 2 6" xfId="9576" xr:uid="{00000000-0005-0000-0000-000018050000}"/>
    <cellStyle name="Normal 2 2 4 3 3 3" xfId="3167" xr:uid="{00000000-0005-0000-0000-0000D6030000}"/>
    <cellStyle name="Normal 2 2 4 3 3 3 2" xfId="4458" xr:uid="{00000000-0005-0000-0000-0000D6030000}"/>
    <cellStyle name="Normal 2 2 4 3 3 3 3" xfId="5741" xr:uid="{00000000-0005-0000-0000-000066020000}"/>
    <cellStyle name="Normal 2 2 4 3 3 3 4" xfId="8512" xr:uid="{00000000-0005-0000-0000-00001B050000}"/>
    <cellStyle name="Normal 2 2 4 3 3 3 5" xfId="10909" xr:uid="{00000000-0005-0000-0000-00001B050000}"/>
    <cellStyle name="Normal 2 2 4 3 3 4" xfId="3165" xr:uid="{00000000-0005-0000-0000-0000D7030000}"/>
    <cellStyle name="Normal 2 2 4 3 3 4 2" xfId="8510" xr:uid="{00000000-0005-0000-0000-00001C050000}"/>
    <cellStyle name="Normal 2 2 4 3 3 4 3" xfId="10907" xr:uid="{00000000-0005-0000-0000-00001C050000}"/>
    <cellStyle name="Normal 2 2 4 3 3 5" xfId="2635" xr:uid="{00000000-0005-0000-0000-0000D8030000}"/>
    <cellStyle name="Normal 2 2 4 3 3 5 2" xfId="7834" xr:uid="{00000000-0005-0000-0000-00001D050000}"/>
    <cellStyle name="Normal 2 2 4 3 3 5 3" xfId="10231" xr:uid="{00000000-0005-0000-0000-00001D050000}"/>
    <cellStyle name="Normal 2 2 4 3 3 6" xfId="4158" xr:uid="{00000000-0005-0000-0000-0000D3030000}"/>
    <cellStyle name="Normal 2 2 4 3 3 7" xfId="5512" xr:uid="{00000000-0005-0000-0000-000064020000}"/>
    <cellStyle name="Normal 2 2 4 3 3 8" xfId="5115" xr:uid="{00000000-0005-0000-0000-000047020000}"/>
    <cellStyle name="Normal 2 2 4 3 3 9" xfId="6800" xr:uid="{00000000-0005-0000-0000-000017050000}"/>
    <cellStyle name="Normal 2 2 4 3 4" xfId="734" xr:uid="{00000000-0005-0000-0000-00008A040000}"/>
    <cellStyle name="Normal 2 2 4 3 4 2" xfId="3168" xr:uid="{00000000-0005-0000-0000-0000DA030000}"/>
    <cellStyle name="Normal 2 2 4 3 4 2 2" xfId="8513" xr:uid="{00000000-0005-0000-0000-00001F050000}"/>
    <cellStyle name="Normal 2 2 4 3 4 2 3" xfId="10910" xr:uid="{00000000-0005-0000-0000-00001F050000}"/>
    <cellStyle name="Normal 2 2 4 3 4 3" xfId="4291" xr:uid="{00000000-0005-0000-0000-0000D9030000}"/>
    <cellStyle name="Normal 2 2 4 3 4 3 2" xfId="7963" xr:uid="{00000000-0005-0000-0000-000020050000}"/>
    <cellStyle name="Normal 2 2 4 3 4 3 3" xfId="10360" xr:uid="{00000000-0005-0000-0000-000020050000}"/>
    <cellStyle name="Normal 2 2 4 3 4 4" xfId="5854" xr:uid="{00000000-0005-0000-0000-000067020000}"/>
    <cellStyle name="Normal 2 2 4 3 4 5" xfId="7172" xr:uid="{00000000-0005-0000-0000-00001E050000}"/>
    <cellStyle name="Normal 2 2 4 3 4 6" xfId="9577" xr:uid="{00000000-0005-0000-0000-00001E050000}"/>
    <cellStyle name="Normal 2 2 4 3 5" xfId="3169" xr:uid="{00000000-0005-0000-0000-0000DB030000}"/>
    <cellStyle name="Normal 2 2 4 3 5 2" xfId="4459" xr:uid="{00000000-0005-0000-0000-0000DB030000}"/>
    <cellStyle name="Normal 2 2 4 3 5 2 2" xfId="8514" xr:uid="{00000000-0005-0000-0000-000022050000}"/>
    <cellStyle name="Normal 2 2 4 3 5 2 3" xfId="10911" xr:uid="{00000000-0005-0000-0000-000022050000}"/>
    <cellStyle name="Normal 2 2 4 3 5 3" xfId="5597" xr:uid="{00000000-0005-0000-0000-000068020000}"/>
    <cellStyle name="Normal 2 2 4 3 5 4" xfId="7168" xr:uid="{00000000-0005-0000-0000-000021050000}"/>
    <cellStyle name="Normal 2 2 4 3 5 5" xfId="9573" xr:uid="{00000000-0005-0000-0000-000021050000}"/>
    <cellStyle name="Normal 2 2 4 3 6" xfId="2899" xr:uid="{00000000-0005-0000-0000-0000DC030000}"/>
    <cellStyle name="Normal 2 2 4 3 6 2" xfId="8222" xr:uid="{00000000-0005-0000-0000-000023050000}"/>
    <cellStyle name="Normal 2 2 4 3 6 3" xfId="10619" xr:uid="{00000000-0005-0000-0000-000023050000}"/>
    <cellStyle name="Normal 2 2 4 3 7" xfId="2473" xr:uid="{00000000-0005-0000-0000-0000DD030000}"/>
    <cellStyle name="Normal 2 2 4 3 7 2" xfId="7671" xr:uid="{00000000-0005-0000-0000-000024050000}"/>
    <cellStyle name="Normal 2 2 4 3 7 3" xfId="10068" xr:uid="{00000000-0005-0000-0000-000024050000}"/>
    <cellStyle name="Normal 2 2 4 3 8" xfId="2227" xr:uid="{00000000-0005-0000-0000-0000CC030000}"/>
    <cellStyle name="Normal 2 2 4 3 9" xfId="3929" xr:uid="{00000000-0005-0000-0000-0000D0010000}"/>
    <cellStyle name="Normal 2 2 4 4" xfId="735" xr:uid="{00000000-0005-0000-0000-00008B040000}"/>
    <cellStyle name="Normal 2 2 4 4 10" xfId="4787" xr:uid="{00000000-0005-0000-0000-000048020000}"/>
    <cellStyle name="Normal 2 2 4 4 11" xfId="6640" xr:uid="{00000000-0005-0000-0000-000025050000}"/>
    <cellStyle name="Normal 2 2 4 4 12" xfId="9061" xr:uid="{00000000-0005-0000-0000-000025050000}"/>
    <cellStyle name="Normal 2 2 4 4 2" xfId="736" xr:uid="{00000000-0005-0000-0000-00008C040000}"/>
    <cellStyle name="Normal 2 2 4 4 2 10" xfId="6801" xr:uid="{00000000-0005-0000-0000-000026050000}"/>
    <cellStyle name="Normal 2 2 4 4 2 11" xfId="9222" xr:uid="{00000000-0005-0000-0000-000026050000}"/>
    <cellStyle name="Normal 2 2 4 4 2 2" xfId="737" xr:uid="{00000000-0005-0000-0000-00008D040000}"/>
    <cellStyle name="Normal 2 2 4 4 2 2 2" xfId="3171" xr:uid="{00000000-0005-0000-0000-0000E1030000}"/>
    <cellStyle name="Normal 2 2 4 4 2 2 2 2" xfId="8516" xr:uid="{00000000-0005-0000-0000-000028050000}"/>
    <cellStyle name="Normal 2 2 4 4 2 2 2 3" xfId="10913" xr:uid="{00000000-0005-0000-0000-000028050000}"/>
    <cellStyle name="Normal 2 2 4 4 2 2 3" xfId="4294" xr:uid="{00000000-0005-0000-0000-0000E0030000}"/>
    <cellStyle name="Normal 2 2 4 4 2 2 3 2" xfId="7967" xr:uid="{00000000-0005-0000-0000-000029050000}"/>
    <cellStyle name="Normal 2 2 4 4 2 2 3 3" xfId="10364" xr:uid="{00000000-0005-0000-0000-000029050000}"/>
    <cellStyle name="Normal 2 2 4 4 2 2 4" xfId="5858" xr:uid="{00000000-0005-0000-0000-00006B020000}"/>
    <cellStyle name="Normal 2 2 4 4 2 2 5" xfId="5118" xr:uid="{00000000-0005-0000-0000-00004A020000}"/>
    <cellStyle name="Normal 2 2 4 4 2 2 6" xfId="7175" xr:uid="{00000000-0005-0000-0000-000027050000}"/>
    <cellStyle name="Normal 2 2 4 4 2 2 7" xfId="9580" xr:uid="{00000000-0005-0000-0000-000027050000}"/>
    <cellStyle name="Normal 2 2 4 4 2 3" xfId="3172" xr:uid="{00000000-0005-0000-0000-0000E2030000}"/>
    <cellStyle name="Normal 2 2 4 4 2 3 2" xfId="4460" xr:uid="{00000000-0005-0000-0000-0000E2030000}"/>
    <cellStyle name="Normal 2 2 4 4 2 3 2 2" xfId="8517" xr:uid="{00000000-0005-0000-0000-00002B050000}"/>
    <cellStyle name="Normal 2 2 4 4 2 3 2 3" xfId="10914" xr:uid="{00000000-0005-0000-0000-00002B050000}"/>
    <cellStyle name="Normal 2 2 4 4 2 3 3" xfId="5722" xr:uid="{00000000-0005-0000-0000-00006C020000}"/>
    <cellStyle name="Normal 2 2 4 4 2 3 4" xfId="7174" xr:uid="{00000000-0005-0000-0000-00002A050000}"/>
    <cellStyle name="Normal 2 2 4 4 2 3 5" xfId="9579" xr:uid="{00000000-0005-0000-0000-00002A050000}"/>
    <cellStyle name="Normal 2 2 4 4 2 4" xfId="3170" xr:uid="{00000000-0005-0000-0000-0000E3030000}"/>
    <cellStyle name="Normal 2 2 4 4 2 4 2" xfId="8515" xr:uid="{00000000-0005-0000-0000-00002C050000}"/>
    <cellStyle name="Normal 2 2 4 4 2 4 3" xfId="10912" xr:uid="{00000000-0005-0000-0000-00002C050000}"/>
    <cellStyle name="Normal 2 2 4 4 2 5" xfId="2616" xr:uid="{00000000-0005-0000-0000-0000E4030000}"/>
    <cellStyle name="Normal 2 2 4 4 2 5 2" xfId="7814" xr:uid="{00000000-0005-0000-0000-00002D050000}"/>
    <cellStyle name="Normal 2 2 4 4 2 5 3" xfId="10211" xr:uid="{00000000-0005-0000-0000-00002D050000}"/>
    <cellStyle name="Normal 2 2 4 4 2 6" xfId="2323" xr:uid="{00000000-0005-0000-0000-0000DF030000}"/>
    <cellStyle name="Normal 2 2 4 4 2 7" xfId="3842" xr:uid="{00000000-0005-0000-0000-0000D3010000}"/>
    <cellStyle name="Normal 2 2 4 4 2 8" xfId="5492" xr:uid="{00000000-0005-0000-0000-00006A020000}"/>
    <cellStyle name="Normal 2 2 4 4 2 9" xfId="4894" xr:uid="{00000000-0005-0000-0000-000049020000}"/>
    <cellStyle name="Normal 2 2 4 4 3" xfId="738" xr:uid="{00000000-0005-0000-0000-00008E040000}"/>
    <cellStyle name="Normal 2 2 4 4 3 2" xfId="3173" xr:uid="{00000000-0005-0000-0000-0000E6030000}"/>
    <cellStyle name="Normal 2 2 4 4 3 2 2" xfId="8518" xr:uid="{00000000-0005-0000-0000-00002F050000}"/>
    <cellStyle name="Normal 2 2 4 4 3 2 3" xfId="10915" xr:uid="{00000000-0005-0000-0000-00002F050000}"/>
    <cellStyle name="Normal 2 2 4 4 3 3" xfId="2725" xr:uid="{00000000-0005-0000-0000-0000E7030000}"/>
    <cellStyle name="Normal 2 2 4 4 3 3 2" xfId="7966" xr:uid="{00000000-0005-0000-0000-000030050000}"/>
    <cellStyle name="Normal 2 2 4 4 3 3 3" xfId="10363" xr:uid="{00000000-0005-0000-0000-000030050000}"/>
    <cellStyle name="Normal 2 2 4 4 3 4" xfId="4159" xr:uid="{00000000-0005-0000-0000-0000E5030000}"/>
    <cellStyle name="Normal 2 2 4 4 3 5" xfId="5857" xr:uid="{00000000-0005-0000-0000-00006D020000}"/>
    <cellStyle name="Normal 2 2 4 4 3 6" xfId="5117" xr:uid="{00000000-0005-0000-0000-00004B020000}"/>
    <cellStyle name="Normal 2 2 4 4 3 7" xfId="7176" xr:uid="{00000000-0005-0000-0000-00002E050000}"/>
    <cellStyle name="Normal 2 2 4 4 3 8" xfId="9581" xr:uid="{00000000-0005-0000-0000-00002E050000}"/>
    <cellStyle name="Normal 2 2 4 4 4" xfId="739" xr:uid="{00000000-0005-0000-0000-00008F040000}"/>
    <cellStyle name="Normal 2 2 4 4 4 2" xfId="4461" xr:uid="{00000000-0005-0000-0000-0000E8030000}"/>
    <cellStyle name="Normal 2 2 4 4 4 2 2" xfId="8519" xr:uid="{00000000-0005-0000-0000-000032050000}"/>
    <cellStyle name="Normal 2 2 4 4 4 2 3" xfId="10916" xr:uid="{00000000-0005-0000-0000-000032050000}"/>
    <cellStyle name="Normal 2 2 4 4 4 3" xfId="5577" xr:uid="{00000000-0005-0000-0000-00006E020000}"/>
    <cellStyle name="Normal 2 2 4 4 4 4" xfId="7177" xr:uid="{00000000-0005-0000-0000-000031050000}"/>
    <cellStyle name="Normal 2 2 4 4 4 5" xfId="9582" xr:uid="{00000000-0005-0000-0000-000031050000}"/>
    <cellStyle name="Normal 2 2 4 4 5" xfId="2900" xr:uid="{00000000-0005-0000-0000-0000E9030000}"/>
    <cellStyle name="Normal 2 2 4 4 5 2" xfId="8223" xr:uid="{00000000-0005-0000-0000-000034050000}"/>
    <cellStyle name="Normal 2 2 4 4 5 2 2" xfId="10620" xr:uid="{00000000-0005-0000-0000-000034050000}"/>
    <cellStyle name="Normal 2 2 4 4 5 3" xfId="7173" xr:uid="{00000000-0005-0000-0000-000033050000}"/>
    <cellStyle name="Normal 2 2 4 4 5 4" xfId="9578" xr:uid="{00000000-0005-0000-0000-000033050000}"/>
    <cellStyle name="Normal 2 2 4 4 6" xfId="2453" xr:uid="{00000000-0005-0000-0000-0000EA030000}"/>
    <cellStyle name="Normal 2 2 4 4 6 2" xfId="7651" xr:uid="{00000000-0005-0000-0000-000035050000}"/>
    <cellStyle name="Normal 2 2 4 4 6 3" xfId="10048" xr:uid="{00000000-0005-0000-0000-000035050000}"/>
    <cellStyle name="Normal 2 2 4 4 7" xfId="2207" xr:uid="{00000000-0005-0000-0000-0000DE030000}"/>
    <cellStyle name="Normal 2 2 4 4 8" xfId="3930" xr:uid="{00000000-0005-0000-0000-0000D2010000}"/>
    <cellStyle name="Normal 2 2 4 4 9" xfId="5331" xr:uid="{00000000-0005-0000-0000-000069020000}"/>
    <cellStyle name="Normal 2 2 4 5" xfId="740" xr:uid="{00000000-0005-0000-0000-000090040000}"/>
    <cellStyle name="Normal 2 2 4 5 10" xfId="6641" xr:uid="{00000000-0005-0000-0000-000036050000}"/>
    <cellStyle name="Normal 2 2 4 5 11" xfId="9062" xr:uid="{00000000-0005-0000-0000-000036050000}"/>
    <cellStyle name="Normal 2 2 4 5 2" xfId="741" xr:uid="{00000000-0005-0000-0000-000091040000}"/>
    <cellStyle name="Normal 2 2 4 5 2 2" xfId="742" xr:uid="{00000000-0005-0000-0000-000092040000}"/>
    <cellStyle name="Normal 2 2 4 5 2 2 2" xfId="6387" xr:uid="{00000000-0005-0000-0000-0000ED030000}"/>
    <cellStyle name="Normal 2 2 4 5 2 2 2 2" xfId="8520" xr:uid="{00000000-0005-0000-0000-000039050000}"/>
    <cellStyle name="Normal 2 2 4 5 2 2 2 3" xfId="10917" xr:uid="{00000000-0005-0000-0000-000039050000}"/>
    <cellStyle name="Normal 2 2 4 5 2 2 3" xfId="7180" xr:uid="{00000000-0005-0000-0000-000038050000}"/>
    <cellStyle name="Normal 2 2 4 5 2 2 4" xfId="9585" xr:uid="{00000000-0005-0000-0000-000038050000}"/>
    <cellStyle name="Normal 2 2 4 5 2 3" xfId="2726" xr:uid="{00000000-0005-0000-0000-0000EE030000}"/>
    <cellStyle name="Normal 2 2 4 5 2 3 2" xfId="6195" xr:uid="{00000000-0005-0000-0000-0000EE030000}"/>
    <cellStyle name="Normal 2 2 4 5 2 3 3" xfId="7179" xr:uid="{00000000-0005-0000-0000-00003A050000}"/>
    <cellStyle name="Normal 2 2 4 5 2 3 4" xfId="9584" xr:uid="{00000000-0005-0000-0000-00003A050000}"/>
    <cellStyle name="Normal 2 2 4 5 2 4" xfId="4160" xr:uid="{00000000-0005-0000-0000-0000EC030000}"/>
    <cellStyle name="Normal 2 2 4 5 2 4 2" xfId="7968" xr:uid="{00000000-0005-0000-0000-00003B050000}"/>
    <cellStyle name="Normal 2 2 4 5 2 4 3" xfId="10365" xr:uid="{00000000-0005-0000-0000-00003B050000}"/>
    <cellStyle name="Normal 2 2 4 5 2 5" xfId="5859" xr:uid="{00000000-0005-0000-0000-000070020000}"/>
    <cellStyle name="Normal 2 2 4 5 2 6" xfId="5119" xr:uid="{00000000-0005-0000-0000-00004D020000}"/>
    <cellStyle name="Normal 2 2 4 5 2 7" xfId="6802" xr:uid="{00000000-0005-0000-0000-000037050000}"/>
    <cellStyle name="Normal 2 2 4 5 2 8" xfId="9223" xr:uid="{00000000-0005-0000-0000-000037050000}"/>
    <cellStyle name="Normal 2 2 4 5 3" xfId="743" xr:uid="{00000000-0005-0000-0000-000093040000}"/>
    <cellStyle name="Normal 2 2 4 5 3 2" xfId="4462" xr:uid="{00000000-0005-0000-0000-0000EF030000}"/>
    <cellStyle name="Normal 2 2 4 5 3 2 2" xfId="8521" xr:uid="{00000000-0005-0000-0000-00003D050000}"/>
    <cellStyle name="Normal 2 2 4 5 3 2 3" xfId="10918" xr:uid="{00000000-0005-0000-0000-00003D050000}"/>
    <cellStyle name="Normal 2 2 4 5 3 3" xfId="5637" xr:uid="{00000000-0005-0000-0000-000071020000}"/>
    <cellStyle name="Normal 2 2 4 5 3 4" xfId="7181" xr:uid="{00000000-0005-0000-0000-00003C050000}"/>
    <cellStyle name="Normal 2 2 4 5 3 5" xfId="9586" xr:uid="{00000000-0005-0000-0000-00003C050000}"/>
    <cellStyle name="Normal 2 2 4 5 4" xfId="744" xr:uid="{00000000-0005-0000-0000-000094040000}"/>
    <cellStyle name="Normal 2 2 4 5 4 2" xfId="6298" xr:uid="{00000000-0005-0000-0000-0000F0030000}"/>
    <cellStyle name="Normal 2 2 4 5 4 2 2" xfId="8224" xr:uid="{00000000-0005-0000-0000-00003F050000}"/>
    <cellStyle name="Normal 2 2 4 5 4 2 3" xfId="10621" xr:uid="{00000000-0005-0000-0000-00003F050000}"/>
    <cellStyle name="Normal 2 2 4 5 4 3" xfId="7182" xr:uid="{00000000-0005-0000-0000-00003E050000}"/>
    <cellStyle name="Normal 2 2 4 5 4 4" xfId="9587" xr:uid="{00000000-0005-0000-0000-00003E050000}"/>
    <cellStyle name="Normal 2 2 4 5 5" xfId="2513" xr:uid="{00000000-0005-0000-0000-0000F1030000}"/>
    <cellStyle name="Normal 2 2 4 5 5 2" xfId="7178" xr:uid="{00000000-0005-0000-0000-000040050000}"/>
    <cellStyle name="Normal 2 2 4 5 5 3" xfId="9583" xr:uid="{00000000-0005-0000-0000-000040050000}"/>
    <cellStyle name="Normal 2 2 4 5 6" xfId="2324" xr:uid="{00000000-0005-0000-0000-0000EB030000}"/>
    <cellStyle name="Normal 2 2 4 5 6 2" xfId="7711" xr:uid="{00000000-0005-0000-0000-000041050000}"/>
    <cellStyle name="Normal 2 2 4 5 6 3" xfId="10108" xr:uid="{00000000-0005-0000-0000-000041050000}"/>
    <cellStyle name="Normal 2 2 4 5 7" xfId="3931" xr:uid="{00000000-0005-0000-0000-0000D4010000}"/>
    <cellStyle name="Normal 2 2 4 5 8" xfId="5391" xr:uid="{00000000-0005-0000-0000-00006F020000}"/>
    <cellStyle name="Normal 2 2 4 5 9" xfId="4895" xr:uid="{00000000-0005-0000-0000-00004C020000}"/>
    <cellStyle name="Normal 2 2 4 6" xfId="745" xr:uid="{00000000-0005-0000-0000-000095040000}"/>
    <cellStyle name="Normal 2 2 4 6 10" xfId="6642" xr:uid="{00000000-0005-0000-0000-000042050000}"/>
    <cellStyle name="Normal 2 2 4 6 11" xfId="9063" xr:uid="{00000000-0005-0000-0000-000042050000}"/>
    <cellStyle name="Normal 2 2 4 6 2" xfId="746" xr:uid="{00000000-0005-0000-0000-000096040000}"/>
    <cellStyle name="Normal 2 2 4 6 2 2" xfId="747" xr:uid="{00000000-0005-0000-0000-000097040000}"/>
    <cellStyle name="Normal 2 2 4 6 2 2 2" xfId="6388" xr:uid="{00000000-0005-0000-0000-0000F4030000}"/>
    <cellStyle name="Normal 2 2 4 6 2 2 2 2" xfId="8522" xr:uid="{00000000-0005-0000-0000-000045050000}"/>
    <cellStyle name="Normal 2 2 4 6 2 2 2 3" xfId="10919" xr:uid="{00000000-0005-0000-0000-000045050000}"/>
    <cellStyle name="Normal 2 2 4 6 2 2 3" xfId="7185" xr:uid="{00000000-0005-0000-0000-000044050000}"/>
    <cellStyle name="Normal 2 2 4 6 2 2 4" xfId="9590" xr:uid="{00000000-0005-0000-0000-000044050000}"/>
    <cellStyle name="Normal 2 2 4 6 2 3" xfId="2727" xr:uid="{00000000-0005-0000-0000-0000F5030000}"/>
    <cellStyle name="Normal 2 2 4 6 2 3 2" xfId="6196" xr:uid="{00000000-0005-0000-0000-0000F5030000}"/>
    <cellStyle name="Normal 2 2 4 6 2 3 3" xfId="7184" xr:uid="{00000000-0005-0000-0000-000046050000}"/>
    <cellStyle name="Normal 2 2 4 6 2 3 4" xfId="9589" xr:uid="{00000000-0005-0000-0000-000046050000}"/>
    <cellStyle name="Normal 2 2 4 6 2 4" xfId="4161" xr:uid="{00000000-0005-0000-0000-0000F3030000}"/>
    <cellStyle name="Normal 2 2 4 6 2 4 2" xfId="7969" xr:uid="{00000000-0005-0000-0000-000047050000}"/>
    <cellStyle name="Normal 2 2 4 6 2 4 3" xfId="10366" xr:uid="{00000000-0005-0000-0000-000047050000}"/>
    <cellStyle name="Normal 2 2 4 6 2 5" xfId="5860" xr:uid="{00000000-0005-0000-0000-000073020000}"/>
    <cellStyle name="Normal 2 2 4 6 2 6" xfId="5120" xr:uid="{00000000-0005-0000-0000-00004F020000}"/>
    <cellStyle name="Normal 2 2 4 6 2 7" xfId="6803" xr:uid="{00000000-0005-0000-0000-000043050000}"/>
    <cellStyle name="Normal 2 2 4 6 2 8" xfId="9224" xr:uid="{00000000-0005-0000-0000-000043050000}"/>
    <cellStyle name="Normal 2 2 4 6 3" xfId="748" xr:uid="{00000000-0005-0000-0000-000098040000}"/>
    <cellStyle name="Normal 2 2 4 6 3 2" xfId="4463" xr:uid="{00000000-0005-0000-0000-0000F6030000}"/>
    <cellStyle name="Normal 2 2 4 6 3 2 2" xfId="8523" xr:uid="{00000000-0005-0000-0000-000049050000}"/>
    <cellStyle name="Normal 2 2 4 6 3 2 3" xfId="10920" xr:uid="{00000000-0005-0000-0000-000049050000}"/>
    <cellStyle name="Normal 2 2 4 6 3 3" xfId="5683" xr:uid="{00000000-0005-0000-0000-000074020000}"/>
    <cellStyle name="Normal 2 2 4 6 3 4" xfId="7186" xr:uid="{00000000-0005-0000-0000-000048050000}"/>
    <cellStyle name="Normal 2 2 4 6 3 5" xfId="9591" xr:uid="{00000000-0005-0000-0000-000048050000}"/>
    <cellStyle name="Normal 2 2 4 6 4" xfId="749" xr:uid="{00000000-0005-0000-0000-000099040000}"/>
    <cellStyle name="Normal 2 2 4 6 4 2" xfId="6299" xr:uid="{00000000-0005-0000-0000-0000F7030000}"/>
    <cellStyle name="Normal 2 2 4 6 4 2 2" xfId="8225" xr:uid="{00000000-0005-0000-0000-00004B050000}"/>
    <cellStyle name="Normal 2 2 4 6 4 2 3" xfId="10622" xr:uid="{00000000-0005-0000-0000-00004B050000}"/>
    <cellStyle name="Normal 2 2 4 6 4 3" xfId="7187" xr:uid="{00000000-0005-0000-0000-00004A050000}"/>
    <cellStyle name="Normal 2 2 4 6 4 4" xfId="9592" xr:uid="{00000000-0005-0000-0000-00004A050000}"/>
    <cellStyle name="Normal 2 2 4 6 5" xfId="2576" xr:uid="{00000000-0005-0000-0000-0000F8030000}"/>
    <cellStyle name="Normal 2 2 4 6 5 2" xfId="7183" xr:uid="{00000000-0005-0000-0000-00004C050000}"/>
    <cellStyle name="Normal 2 2 4 6 5 3" xfId="9588" xr:uid="{00000000-0005-0000-0000-00004C050000}"/>
    <cellStyle name="Normal 2 2 4 6 6" xfId="2325" xr:uid="{00000000-0005-0000-0000-0000F2030000}"/>
    <cellStyle name="Normal 2 2 4 6 6 2" xfId="7774" xr:uid="{00000000-0005-0000-0000-00004D050000}"/>
    <cellStyle name="Normal 2 2 4 6 6 3" xfId="10171" xr:uid="{00000000-0005-0000-0000-00004D050000}"/>
    <cellStyle name="Normal 2 2 4 6 7" xfId="3932" xr:uid="{00000000-0005-0000-0000-0000D5010000}"/>
    <cellStyle name="Normal 2 2 4 6 8" xfId="5452" xr:uid="{00000000-0005-0000-0000-000072020000}"/>
    <cellStyle name="Normal 2 2 4 6 9" xfId="4896" xr:uid="{00000000-0005-0000-0000-00004E020000}"/>
    <cellStyle name="Normal 2 2 4 7" xfId="750" xr:uid="{00000000-0005-0000-0000-00009A040000}"/>
    <cellStyle name="Normal 2 2 4 7 2" xfId="751" xr:uid="{00000000-0005-0000-0000-00009B040000}"/>
    <cellStyle name="Normal 2 2 4 7 2 2" xfId="2901" xr:uid="{00000000-0005-0000-0000-0000FB030000}"/>
    <cellStyle name="Normal 2 2 4 7 2 2 2" xfId="6300" xr:uid="{00000000-0005-0000-0000-0000FB030000}"/>
    <cellStyle name="Normal 2 2 4 7 2 2 3" xfId="7189" xr:uid="{00000000-0005-0000-0000-000050050000}"/>
    <cellStyle name="Normal 2 2 4 7 2 2 4" xfId="9594" xr:uid="{00000000-0005-0000-0000-000050050000}"/>
    <cellStyle name="Normal 2 2 4 7 2 3" xfId="4730" xr:uid="{00000000-0005-0000-0000-000018030000}"/>
    <cellStyle name="Normal 2 2 4 7 2 3 2" xfId="6110" xr:uid="{00000000-0005-0000-0000-0000FA030000}"/>
    <cellStyle name="Normal 2 2 4 7 2 3 3" xfId="8226" xr:uid="{00000000-0005-0000-0000-000051050000}"/>
    <cellStyle name="Normal 2 2 4 7 2 3 4" xfId="10623" xr:uid="{00000000-0005-0000-0000-000051050000}"/>
    <cellStyle name="Normal 2 2 4 7 2 4" xfId="5121" xr:uid="{00000000-0005-0000-0000-000051020000}"/>
    <cellStyle name="Normal 2 2 4 7 2 5" xfId="6804" xr:uid="{00000000-0005-0000-0000-00004F050000}"/>
    <cellStyle name="Normal 2 2 4 7 2 6" xfId="9225" xr:uid="{00000000-0005-0000-0000-00004F050000}"/>
    <cellStyle name="Normal 2 2 4 7 3" xfId="752" xr:uid="{00000000-0005-0000-0000-00009C040000}"/>
    <cellStyle name="Normal 2 2 4 7 3 2" xfId="6197" xr:uid="{00000000-0005-0000-0000-0000FC030000}"/>
    <cellStyle name="Normal 2 2 4 7 3 3" xfId="7190" xr:uid="{00000000-0005-0000-0000-000052050000}"/>
    <cellStyle name="Normal 2 2 4 7 3 4" xfId="9595" xr:uid="{00000000-0005-0000-0000-000052050000}"/>
    <cellStyle name="Normal 2 2 4 7 4" xfId="2326" xr:uid="{00000000-0005-0000-0000-0000F9030000}"/>
    <cellStyle name="Normal 2 2 4 7 4 2" xfId="6066" xr:uid="{00000000-0005-0000-0000-0000F9030000}"/>
    <cellStyle name="Normal 2 2 4 7 4 3" xfId="7188" xr:uid="{00000000-0005-0000-0000-000053050000}"/>
    <cellStyle name="Normal 2 2 4 7 4 4" xfId="9593" xr:uid="{00000000-0005-0000-0000-000053050000}"/>
    <cellStyle name="Normal 2 2 4 7 5" xfId="3933" xr:uid="{00000000-0005-0000-0000-0000D6010000}"/>
    <cellStyle name="Normal 2 2 4 7 5 2" xfId="7970" xr:uid="{00000000-0005-0000-0000-000054050000}"/>
    <cellStyle name="Normal 2 2 4 7 5 3" xfId="10367" xr:uid="{00000000-0005-0000-0000-000054050000}"/>
    <cellStyle name="Normal 2 2 4 7 6" xfId="5861" xr:uid="{00000000-0005-0000-0000-000075020000}"/>
    <cellStyle name="Normal 2 2 4 7 7" xfId="4897" xr:uid="{00000000-0005-0000-0000-000050020000}"/>
    <cellStyle name="Normal 2 2 4 7 8" xfId="6643" xr:uid="{00000000-0005-0000-0000-00004E050000}"/>
    <cellStyle name="Normal 2 2 4 7 9" xfId="9064" xr:uid="{00000000-0005-0000-0000-00004E050000}"/>
    <cellStyle name="Normal 2 2 4 8" xfId="753" xr:uid="{00000000-0005-0000-0000-00009D040000}"/>
    <cellStyle name="Normal 2 2 4 8 2" xfId="754" xr:uid="{00000000-0005-0000-0000-00009E040000}"/>
    <cellStyle name="Normal 2 2 4 8 2 2" xfId="2902" xr:uid="{00000000-0005-0000-0000-0000FF030000}"/>
    <cellStyle name="Normal 2 2 4 8 2 2 2" xfId="6301" xr:uid="{00000000-0005-0000-0000-0000FF030000}"/>
    <cellStyle name="Normal 2 2 4 8 2 2 3" xfId="7192" xr:uid="{00000000-0005-0000-0000-000057050000}"/>
    <cellStyle name="Normal 2 2 4 8 2 2 4" xfId="9597" xr:uid="{00000000-0005-0000-0000-000057050000}"/>
    <cellStyle name="Normal 2 2 4 8 2 3" xfId="4731" xr:uid="{00000000-0005-0000-0000-00001E030000}"/>
    <cellStyle name="Normal 2 2 4 8 2 3 2" xfId="6111" xr:uid="{00000000-0005-0000-0000-0000FE030000}"/>
    <cellStyle name="Normal 2 2 4 8 2 3 3" xfId="8227" xr:uid="{00000000-0005-0000-0000-000058050000}"/>
    <cellStyle name="Normal 2 2 4 8 2 3 4" xfId="10624" xr:uid="{00000000-0005-0000-0000-000058050000}"/>
    <cellStyle name="Normal 2 2 4 8 2 4" xfId="5122" xr:uid="{00000000-0005-0000-0000-000053020000}"/>
    <cellStyle name="Normal 2 2 4 8 2 5" xfId="6805" xr:uid="{00000000-0005-0000-0000-000056050000}"/>
    <cellStyle name="Normal 2 2 4 8 2 6" xfId="9226" xr:uid="{00000000-0005-0000-0000-000056050000}"/>
    <cellStyle name="Normal 2 2 4 8 3" xfId="755" xr:uid="{00000000-0005-0000-0000-00009F040000}"/>
    <cellStyle name="Normal 2 2 4 8 3 2" xfId="6198" xr:uid="{00000000-0005-0000-0000-000000040000}"/>
    <cellStyle name="Normal 2 2 4 8 3 3" xfId="7193" xr:uid="{00000000-0005-0000-0000-000059050000}"/>
    <cellStyle name="Normal 2 2 4 8 3 4" xfId="9598" xr:uid="{00000000-0005-0000-0000-000059050000}"/>
    <cellStyle name="Normal 2 2 4 8 4" xfId="2327" xr:uid="{00000000-0005-0000-0000-0000FD030000}"/>
    <cellStyle name="Normal 2 2 4 8 4 2" xfId="6067" xr:uid="{00000000-0005-0000-0000-0000FD030000}"/>
    <cellStyle name="Normal 2 2 4 8 4 3" xfId="7191" xr:uid="{00000000-0005-0000-0000-00005A050000}"/>
    <cellStyle name="Normal 2 2 4 8 4 4" xfId="9596" xr:uid="{00000000-0005-0000-0000-00005A050000}"/>
    <cellStyle name="Normal 2 2 4 8 5" xfId="3934" xr:uid="{00000000-0005-0000-0000-0000D7010000}"/>
    <cellStyle name="Normal 2 2 4 8 5 2" xfId="7971" xr:uid="{00000000-0005-0000-0000-00005B050000}"/>
    <cellStyle name="Normal 2 2 4 8 5 3" xfId="10368" xr:uid="{00000000-0005-0000-0000-00005B050000}"/>
    <cellStyle name="Normal 2 2 4 8 6" xfId="5862" xr:uid="{00000000-0005-0000-0000-000076020000}"/>
    <cellStyle name="Normal 2 2 4 8 7" xfId="4898" xr:uid="{00000000-0005-0000-0000-000052020000}"/>
    <cellStyle name="Normal 2 2 4 8 8" xfId="6644" xr:uid="{00000000-0005-0000-0000-000055050000}"/>
    <cellStyle name="Normal 2 2 4 8 9" xfId="9065" xr:uid="{00000000-0005-0000-0000-000055050000}"/>
    <cellStyle name="Normal 2 2 4 9" xfId="756" xr:uid="{00000000-0005-0000-0000-0000A0040000}"/>
    <cellStyle name="Normal 2 2 4 9 2" xfId="3174" xr:uid="{00000000-0005-0000-0000-000002040000}"/>
    <cellStyle name="Normal 2 2 4 9 2 2" xfId="6389" xr:uid="{00000000-0005-0000-0000-000002040000}"/>
    <cellStyle name="Normal 2 2 4 9 2 2 2" xfId="8524" xr:uid="{00000000-0005-0000-0000-00005E050000}"/>
    <cellStyle name="Normal 2 2 4 9 2 2 3" xfId="10921" xr:uid="{00000000-0005-0000-0000-00005E050000}"/>
    <cellStyle name="Normal 2 2 4 9 2 3" xfId="5123" xr:uid="{00000000-0005-0000-0000-000055020000}"/>
    <cellStyle name="Normal 2 2 4 9 2 4" xfId="7194" xr:uid="{00000000-0005-0000-0000-00005D050000}"/>
    <cellStyle name="Normal 2 2 4 9 2 5" xfId="9599" xr:uid="{00000000-0005-0000-0000-00005D050000}"/>
    <cellStyle name="Normal 2 2 4 9 3" xfId="2719" xr:uid="{00000000-0005-0000-0000-000003040000}"/>
    <cellStyle name="Normal 2 2 4 9 3 2" xfId="6194" xr:uid="{00000000-0005-0000-0000-000003040000}"/>
    <cellStyle name="Normal 2 2 4 9 3 3" xfId="7958" xr:uid="{00000000-0005-0000-0000-00005F050000}"/>
    <cellStyle name="Normal 2 2 4 9 3 4" xfId="10355" xr:uid="{00000000-0005-0000-0000-00005F050000}"/>
    <cellStyle name="Normal 2 2 4 9 4" xfId="2320" xr:uid="{00000000-0005-0000-0000-000001040000}"/>
    <cellStyle name="Normal 2 2 4 9 4 2" xfId="11399" xr:uid="{00000000-0005-0000-0000-00001A050000}"/>
    <cellStyle name="Normal 2 2 4 9 5" xfId="3839" xr:uid="{00000000-0005-0000-0000-0000D8010000}"/>
    <cellStyle name="Normal 2 2 4 9 6" xfId="5850" xr:uid="{00000000-0005-0000-0000-000077020000}"/>
    <cellStyle name="Normal 2 2 4 9 7" xfId="4891" xr:uid="{00000000-0005-0000-0000-000054020000}"/>
    <cellStyle name="Normal 2 2 4 9 8" xfId="6637" xr:uid="{00000000-0005-0000-0000-00005C050000}"/>
    <cellStyle name="Normal 2 2 4 9 9" xfId="9058" xr:uid="{00000000-0005-0000-0000-00005C050000}"/>
    <cellStyle name="Normal 2 2 5" xfId="757" xr:uid="{00000000-0005-0000-0000-0000A1040000}"/>
    <cellStyle name="Normal 2 2 5 10" xfId="5360" xr:uid="{00000000-0005-0000-0000-000078020000}"/>
    <cellStyle name="Normal 2 2 5 11" xfId="4816" xr:uid="{00000000-0005-0000-0000-000056020000}"/>
    <cellStyle name="Normal 2 2 5 12" xfId="6562" xr:uid="{00000000-0005-0000-0000-000060050000}"/>
    <cellStyle name="Normal 2 2 5 13" xfId="8983" xr:uid="{00000000-0005-0000-0000-000060050000}"/>
    <cellStyle name="Normal 2 2 5 2" xfId="758" xr:uid="{00000000-0005-0000-0000-0000A2040000}"/>
    <cellStyle name="Normal 2 2 5 2 10" xfId="4900" xr:uid="{00000000-0005-0000-0000-000057020000}"/>
    <cellStyle name="Normal 2 2 5 2 11" xfId="6646" xr:uid="{00000000-0005-0000-0000-000061050000}"/>
    <cellStyle name="Normal 2 2 5 2 12" xfId="9067" xr:uid="{00000000-0005-0000-0000-000061050000}"/>
    <cellStyle name="Normal 2 2 5 2 2" xfId="759" xr:uid="{00000000-0005-0000-0000-0000A3040000}"/>
    <cellStyle name="Normal 2 2 5 2 2 10" xfId="6807" xr:uid="{00000000-0005-0000-0000-000062050000}"/>
    <cellStyle name="Normal 2 2 5 2 2 11" xfId="9228" xr:uid="{00000000-0005-0000-0000-000062050000}"/>
    <cellStyle name="Normal 2 2 5 2 2 2" xfId="2730" xr:uid="{00000000-0005-0000-0000-000007040000}"/>
    <cellStyle name="Normal 2 2 5 2 2 2 2" xfId="3176" xr:uid="{00000000-0005-0000-0000-000008040000}"/>
    <cellStyle name="Normal 2 2 5 2 2 2 2 2" xfId="8526" xr:uid="{00000000-0005-0000-0000-000064050000}"/>
    <cellStyle name="Normal 2 2 5 2 2 2 2 3" xfId="10923" xr:uid="{00000000-0005-0000-0000-000064050000}"/>
    <cellStyle name="Normal 2 2 5 2 2 2 3" xfId="4295" xr:uid="{00000000-0005-0000-0000-000007040000}"/>
    <cellStyle name="Normal 2 2 5 2 2 2 3 2" xfId="7974" xr:uid="{00000000-0005-0000-0000-000065050000}"/>
    <cellStyle name="Normal 2 2 5 2 2 2 3 3" xfId="10371" xr:uid="{00000000-0005-0000-0000-000065050000}"/>
    <cellStyle name="Normal 2 2 5 2 2 2 4" xfId="5865" xr:uid="{00000000-0005-0000-0000-00007B020000}"/>
    <cellStyle name="Normal 2 2 5 2 2 2 5" xfId="7197" xr:uid="{00000000-0005-0000-0000-000063050000}"/>
    <cellStyle name="Normal 2 2 5 2 2 2 6" xfId="9602" xr:uid="{00000000-0005-0000-0000-000063050000}"/>
    <cellStyle name="Normal 2 2 5 2 2 3" xfId="3177" xr:uid="{00000000-0005-0000-0000-000009040000}"/>
    <cellStyle name="Normal 2 2 5 2 2 3 2" xfId="4464" xr:uid="{00000000-0005-0000-0000-000009040000}"/>
    <cellStyle name="Normal 2 2 5 2 2 3 3" xfId="5750" xr:uid="{00000000-0005-0000-0000-00007C020000}"/>
    <cellStyle name="Normal 2 2 5 2 2 3 4" xfId="8527" xr:uid="{00000000-0005-0000-0000-000066050000}"/>
    <cellStyle name="Normal 2 2 5 2 2 3 5" xfId="10924" xr:uid="{00000000-0005-0000-0000-000066050000}"/>
    <cellStyle name="Normal 2 2 5 2 2 4" xfId="3175" xr:uid="{00000000-0005-0000-0000-00000A040000}"/>
    <cellStyle name="Normal 2 2 5 2 2 4 2" xfId="8525" xr:uid="{00000000-0005-0000-0000-000067050000}"/>
    <cellStyle name="Normal 2 2 5 2 2 4 3" xfId="10922" xr:uid="{00000000-0005-0000-0000-000067050000}"/>
    <cellStyle name="Normal 2 2 5 2 2 5" xfId="2644" xr:uid="{00000000-0005-0000-0000-00000B040000}"/>
    <cellStyle name="Normal 2 2 5 2 2 5 2" xfId="7843" xr:uid="{00000000-0005-0000-0000-000068050000}"/>
    <cellStyle name="Normal 2 2 5 2 2 5 3" xfId="10240" xr:uid="{00000000-0005-0000-0000-000068050000}"/>
    <cellStyle name="Normal 2 2 5 2 2 6" xfId="2329" xr:uid="{00000000-0005-0000-0000-000006040000}"/>
    <cellStyle name="Normal 2 2 5 2 2 7" xfId="3844" xr:uid="{00000000-0005-0000-0000-0000DB010000}"/>
    <cellStyle name="Normal 2 2 5 2 2 8" xfId="5521" xr:uid="{00000000-0005-0000-0000-00007A020000}"/>
    <cellStyle name="Normal 2 2 5 2 2 9" xfId="5125" xr:uid="{00000000-0005-0000-0000-000058020000}"/>
    <cellStyle name="Normal 2 2 5 2 3" xfId="760" xr:uid="{00000000-0005-0000-0000-0000A4040000}"/>
    <cellStyle name="Normal 2 2 5 2 3 2" xfId="3178" xr:uid="{00000000-0005-0000-0000-00000D040000}"/>
    <cellStyle name="Normal 2 2 5 2 3 2 2" xfId="8528" xr:uid="{00000000-0005-0000-0000-00006A050000}"/>
    <cellStyle name="Normal 2 2 5 2 3 2 3" xfId="10925" xr:uid="{00000000-0005-0000-0000-00006A050000}"/>
    <cellStyle name="Normal 2 2 5 2 3 3" xfId="2729" xr:uid="{00000000-0005-0000-0000-00000E040000}"/>
    <cellStyle name="Normal 2 2 5 2 3 3 2" xfId="7973" xr:uid="{00000000-0005-0000-0000-00006B050000}"/>
    <cellStyle name="Normal 2 2 5 2 3 3 3" xfId="10370" xr:uid="{00000000-0005-0000-0000-00006B050000}"/>
    <cellStyle name="Normal 2 2 5 2 3 4" xfId="4163" xr:uid="{00000000-0005-0000-0000-00000C040000}"/>
    <cellStyle name="Normal 2 2 5 2 3 5" xfId="5864" xr:uid="{00000000-0005-0000-0000-00007D020000}"/>
    <cellStyle name="Normal 2 2 5 2 3 6" xfId="7198" xr:uid="{00000000-0005-0000-0000-000069050000}"/>
    <cellStyle name="Normal 2 2 5 2 3 7" xfId="9603" xr:uid="{00000000-0005-0000-0000-000069050000}"/>
    <cellStyle name="Normal 2 2 5 2 4" xfId="3179" xr:uid="{00000000-0005-0000-0000-00000F040000}"/>
    <cellStyle name="Normal 2 2 5 2 4 2" xfId="4465" xr:uid="{00000000-0005-0000-0000-00000F040000}"/>
    <cellStyle name="Normal 2 2 5 2 4 2 2" xfId="8529" xr:uid="{00000000-0005-0000-0000-00006D050000}"/>
    <cellStyle name="Normal 2 2 5 2 4 2 3" xfId="10926" xr:uid="{00000000-0005-0000-0000-00006D050000}"/>
    <cellStyle name="Normal 2 2 5 2 4 3" xfId="5665" xr:uid="{00000000-0005-0000-0000-00007E020000}"/>
    <cellStyle name="Normal 2 2 5 2 4 4" xfId="7196" xr:uid="{00000000-0005-0000-0000-00006C050000}"/>
    <cellStyle name="Normal 2 2 5 2 4 5" xfId="9601" xr:uid="{00000000-0005-0000-0000-00006C050000}"/>
    <cellStyle name="Normal 2 2 5 2 5" xfId="2904" xr:uid="{00000000-0005-0000-0000-000010040000}"/>
    <cellStyle name="Normal 2 2 5 2 5 2" xfId="8229" xr:uid="{00000000-0005-0000-0000-00006E050000}"/>
    <cellStyle name="Normal 2 2 5 2 5 3" xfId="10626" xr:uid="{00000000-0005-0000-0000-00006E050000}"/>
    <cellStyle name="Normal 2 2 5 2 6" xfId="2542" xr:uid="{00000000-0005-0000-0000-000011040000}"/>
    <cellStyle name="Normal 2 2 5 2 6 2" xfId="7740" xr:uid="{00000000-0005-0000-0000-00006F050000}"/>
    <cellStyle name="Normal 2 2 5 2 6 3" xfId="10137" xr:uid="{00000000-0005-0000-0000-00006F050000}"/>
    <cellStyle name="Normal 2 2 5 2 7" xfId="2236" xr:uid="{00000000-0005-0000-0000-000005040000}"/>
    <cellStyle name="Normal 2 2 5 2 8" xfId="3936" xr:uid="{00000000-0005-0000-0000-0000DA010000}"/>
    <cellStyle name="Normal 2 2 5 2 9" xfId="5420" xr:uid="{00000000-0005-0000-0000-000079020000}"/>
    <cellStyle name="Normal 2 2 5 3" xfId="761" xr:uid="{00000000-0005-0000-0000-0000A5040000}"/>
    <cellStyle name="Normal 2 2 5 3 10" xfId="6645" xr:uid="{00000000-0005-0000-0000-000070050000}"/>
    <cellStyle name="Normal 2 2 5 3 11" xfId="9066" xr:uid="{00000000-0005-0000-0000-000070050000}"/>
    <cellStyle name="Normal 2 2 5 3 2" xfId="2731" xr:uid="{00000000-0005-0000-0000-000013040000}"/>
    <cellStyle name="Normal 2 2 5 3 2 2" xfId="3181" xr:uid="{00000000-0005-0000-0000-000014040000}"/>
    <cellStyle name="Normal 2 2 5 3 2 2 2" xfId="8531" xr:uid="{00000000-0005-0000-0000-000072050000}"/>
    <cellStyle name="Normal 2 2 5 3 2 2 3" xfId="10928" xr:uid="{00000000-0005-0000-0000-000072050000}"/>
    <cellStyle name="Normal 2 2 5 3 2 3" xfId="4296" xr:uid="{00000000-0005-0000-0000-000013040000}"/>
    <cellStyle name="Normal 2 2 5 3 2 3 2" xfId="7975" xr:uid="{00000000-0005-0000-0000-000073050000}"/>
    <cellStyle name="Normal 2 2 5 3 2 3 3" xfId="10372" xr:uid="{00000000-0005-0000-0000-000073050000}"/>
    <cellStyle name="Normal 2 2 5 3 2 4" xfId="5866" xr:uid="{00000000-0005-0000-0000-000080020000}"/>
    <cellStyle name="Normal 2 2 5 3 2 5" xfId="5126" xr:uid="{00000000-0005-0000-0000-00005A020000}"/>
    <cellStyle name="Normal 2 2 5 3 2 6" xfId="7199" xr:uid="{00000000-0005-0000-0000-000071050000}"/>
    <cellStyle name="Normal 2 2 5 3 2 7" xfId="9604" xr:uid="{00000000-0005-0000-0000-000071050000}"/>
    <cellStyle name="Normal 2 2 5 3 3" xfId="3182" xr:uid="{00000000-0005-0000-0000-000015040000}"/>
    <cellStyle name="Normal 2 2 5 3 3 2" xfId="4466" xr:uid="{00000000-0005-0000-0000-000015040000}"/>
    <cellStyle name="Normal 2 2 5 3 3 2 2" xfId="11475" xr:uid="{00000000-0005-0000-0000-00002F050000}"/>
    <cellStyle name="Normal 2 2 5 3 3 3" xfId="5692" xr:uid="{00000000-0005-0000-0000-000081020000}"/>
    <cellStyle name="Normal 2 2 5 3 3 4" xfId="8532" xr:uid="{00000000-0005-0000-0000-000074050000}"/>
    <cellStyle name="Normal 2 2 5 3 3 5" xfId="10929" xr:uid="{00000000-0005-0000-0000-000074050000}"/>
    <cellStyle name="Normal 2 2 5 3 4" xfId="3180" xr:uid="{00000000-0005-0000-0000-000016040000}"/>
    <cellStyle name="Normal 2 2 5 3 4 2" xfId="8530" xr:uid="{00000000-0005-0000-0000-000075050000}"/>
    <cellStyle name="Normal 2 2 5 3 4 3" xfId="10927" xr:uid="{00000000-0005-0000-0000-000075050000}"/>
    <cellStyle name="Normal 2 2 5 3 5" xfId="2585" xr:uid="{00000000-0005-0000-0000-000017040000}"/>
    <cellStyle name="Normal 2 2 5 3 5 2" xfId="7783" xr:uid="{00000000-0005-0000-0000-000076050000}"/>
    <cellStyle name="Normal 2 2 5 3 5 3" xfId="10180" xr:uid="{00000000-0005-0000-0000-000076050000}"/>
    <cellStyle name="Normal 2 2 5 3 6" xfId="2328" xr:uid="{00000000-0005-0000-0000-000012040000}"/>
    <cellStyle name="Normal 2 2 5 3 7" xfId="3843" xr:uid="{00000000-0005-0000-0000-0000DC010000}"/>
    <cellStyle name="Normal 2 2 5 3 8" xfId="5461" xr:uid="{00000000-0005-0000-0000-00007F020000}"/>
    <cellStyle name="Normal 2 2 5 3 9" xfId="4899" xr:uid="{00000000-0005-0000-0000-000059020000}"/>
    <cellStyle name="Normal 2 2 5 4" xfId="762" xr:uid="{00000000-0005-0000-0000-0000A6040000}"/>
    <cellStyle name="Normal 2 2 5 4 2" xfId="3183" xr:uid="{00000000-0005-0000-0000-000019040000}"/>
    <cellStyle name="Normal 2 2 5 4 2 2" xfId="6390" xr:uid="{00000000-0005-0000-0000-000019040000}"/>
    <cellStyle name="Normal 2 2 5 4 2 2 2" xfId="8533" xr:uid="{00000000-0005-0000-0000-000079050000}"/>
    <cellStyle name="Normal 2 2 5 4 2 2 3" xfId="10930" xr:uid="{00000000-0005-0000-0000-000079050000}"/>
    <cellStyle name="Normal 2 2 5 4 2 3" xfId="7200" xr:uid="{00000000-0005-0000-0000-000078050000}"/>
    <cellStyle name="Normal 2 2 5 4 2 4" xfId="9605" xr:uid="{00000000-0005-0000-0000-000078050000}"/>
    <cellStyle name="Normal 2 2 5 4 3" xfId="2728" xr:uid="{00000000-0005-0000-0000-00001A040000}"/>
    <cellStyle name="Normal 2 2 5 4 3 2" xfId="6199" xr:uid="{00000000-0005-0000-0000-00001A040000}"/>
    <cellStyle name="Normal 2 2 5 4 3 3" xfId="7972" xr:uid="{00000000-0005-0000-0000-00007A050000}"/>
    <cellStyle name="Normal 2 2 5 4 3 4" xfId="10369" xr:uid="{00000000-0005-0000-0000-00007A050000}"/>
    <cellStyle name="Normal 2 2 5 4 4" xfId="4162" xr:uid="{00000000-0005-0000-0000-000018040000}"/>
    <cellStyle name="Normal 2 2 5 4 5" xfId="5863" xr:uid="{00000000-0005-0000-0000-000082020000}"/>
    <cellStyle name="Normal 2 2 5 4 6" xfId="5124" xr:uid="{00000000-0005-0000-0000-00005B020000}"/>
    <cellStyle name="Normal 2 2 5 4 7" xfId="6806" xr:uid="{00000000-0005-0000-0000-000077050000}"/>
    <cellStyle name="Normal 2 2 5 4 8" xfId="9227" xr:uid="{00000000-0005-0000-0000-000077050000}"/>
    <cellStyle name="Normal 2 2 5 5" xfId="763" xr:uid="{00000000-0005-0000-0000-0000A7040000}"/>
    <cellStyle name="Normal 2 2 5 5 2" xfId="4467" xr:uid="{00000000-0005-0000-0000-00001B040000}"/>
    <cellStyle name="Normal 2 2 5 5 2 2" xfId="8534" xr:uid="{00000000-0005-0000-0000-00007C050000}"/>
    <cellStyle name="Normal 2 2 5 5 2 3" xfId="10931" xr:uid="{00000000-0005-0000-0000-00007C050000}"/>
    <cellStyle name="Normal 2 2 5 5 3" xfId="5606" xr:uid="{00000000-0005-0000-0000-000083020000}"/>
    <cellStyle name="Normal 2 2 5 5 4" xfId="7201" xr:uid="{00000000-0005-0000-0000-00007B050000}"/>
    <cellStyle name="Normal 2 2 5 5 5" xfId="9606" xr:uid="{00000000-0005-0000-0000-00007B050000}"/>
    <cellStyle name="Normal 2 2 5 6" xfId="2903" xr:uid="{00000000-0005-0000-0000-00001C040000}"/>
    <cellStyle name="Normal 2 2 5 6 2" xfId="6302" xr:uid="{00000000-0005-0000-0000-00001C040000}"/>
    <cellStyle name="Normal 2 2 5 6 2 2" xfId="8228" xr:uid="{00000000-0005-0000-0000-00007E050000}"/>
    <cellStyle name="Normal 2 2 5 6 2 3" xfId="10625" xr:uid="{00000000-0005-0000-0000-00007E050000}"/>
    <cellStyle name="Normal 2 2 5 6 3" xfId="7195" xr:uid="{00000000-0005-0000-0000-00007D050000}"/>
    <cellStyle name="Normal 2 2 5 6 4" xfId="9600" xr:uid="{00000000-0005-0000-0000-00007D050000}"/>
    <cellStyle name="Normal 2 2 5 7" xfId="2482" xr:uid="{00000000-0005-0000-0000-00001D040000}"/>
    <cellStyle name="Normal 2 2 5 7 2" xfId="7680" xr:uid="{00000000-0005-0000-0000-00007F050000}"/>
    <cellStyle name="Normal 2 2 5 7 3" xfId="10077" xr:uid="{00000000-0005-0000-0000-00007F050000}"/>
    <cellStyle name="Normal 2 2 5 8" xfId="2176" xr:uid="{00000000-0005-0000-0000-000004040000}"/>
    <cellStyle name="Normal 2 2 5 9" xfId="3935" xr:uid="{00000000-0005-0000-0000-0000D9010000}"/>
    <cellStyle name="Normal 2 2 6" xfId="764" xr:uid="{00000000-0005-0000-0000-0000A8040000}"/>
    <cellStyle name="Normal 2 2 6 10" xfId="5366" xr:uid="{00000000-0005-0000-0000-000084020000}"/>
    <cellStyle name="Normal 2 2 6 11" xfId="4822" xr:uid="{00000000-0005-0000-0000-00005C020000}"/>
    <cellStyle name="Normal 2 2 6 12" xfId="6568" xr:uid="{00000000-0005-0000-0000-000080050000}"/>
    <cellStyle name="Normal 2 2 6 13" xfId="8989" xr:uid="{00000000-0005-0000-0000-000080050000}"/>
    <cellStyle name="Normal 2 2 6 2" xfId="765" xr:uid="{00000000-0005-0000-0000-0000A9040000}"/>
    <cellStyle name="Normal 2 2 6 2 10" xfId="4901" xr:uid="{00000000-0005-0000-0000-00005D020000}"/>
    <cellStyle name="Normal 2 2 6 2 11" xfId="6647" xr:uid="{00000000-0005-0000-0000-000081050000}"/>
    <cellStyle name="Normal 2 2 6 2 12" xfId="9068" xr:uid="{00000000-0005-0000-0000-000081050000}"/>
    <cellStyle name="Normal 2 2 6 2 2" xfId="766" xr:uid="{00000000-0005-0000-0000-0000AA040000}"/>
    <cellStyle name="Normal 2 2 6 2 2 2" xfId="2734" xr:uid="{00000000-0005-0000-0000-000021040000}"/>
    <cellStyle name="Normal 2 2 6 2 2 2 2" xfId="3186" xr:uid="{00000000-0005-0000-0000-000022040000}"/>
    <cellStyle name="Normal 2 2 6 2 2 2 2 2" xfId="8537" xr:uid="{00000000-0005-0000-0000-000084050000}"/>
    <cellStyle name="Normal 2 2 6 2 2 2 2 3" xfId="10934" xr:uid="{00000000-0005-0000-0000-000084050000}"/>
    <cellStyle name="Normal 2 2 6 2 2 2 3" xfId="4298" xr:uid="{00000000-0005-0000-0000-000021040000}"/>
    <cellStyle name="Normal 2 2 6 2 2 2 3 2" xfId="11401" xr:uid="{00000000-0005-0000-0000-00003E050000}"/>
    <cellStyle name="Normal 2 2 6 2 2 2 4" xfId="7978" xr:uid="{00000000-0005-0000-0000-000083050000}"/>
    <cellStyle name="Normal 2 2 6 2 2 2 5" xfId="10375" xr:uid="{00000000-0005-0000-0000-000083050000}"/>
    <cellStyle name="Normal 2 2 6 2 2 3" xfId="3187" xr:uid="{00000000-0005-0000-0000-000023040000}"/>
    <cellStyle name="Normal 2 2 6 2 2 3 2" xfId="4468" xr:uid="{00000000-0005-0000-0000-000023040000}"/>
    <cellStyle name="Normal 2 2 6 2 2 3 3" xfId="8538" xr:uid="{00000000-0005-0000-0000-000085050000}"/>
    <cellStyle name="Normal 2 2 6 2 2 3 4" xfId="10935" xr:uid="{00000000-0005-0000-0000-000085050000}"/>
    <cellStyle name="Normal 2 2 6 2 2 4" xfId="3185" xr:uid="{00000000-0005-0000-0000-000024040000}"/>
    <cellStyle name="Normal 2 2 6 2 2 4 2" xfId="8536" xr:uid="{00000000-0005-0000-0000-000086050000}"/>
    <cellStyle name="Normal 2 2 6 2 2 4 3" xfId="10933" xr:uid="{00000000-0005-0000-0000-000086050000}"/>
    <cellStyle name="Normal 2 2 6 2 2 5" xfId="4240" xr:uid="{00000000-0005-0000-0000-000020040000}"/>
    <cellStyle name="Normal 2 2 6 2 2 5 2" xfId="7849" xr:uid="{00000000-0005-0000-0000-000087050000}"/>
    <cellStyle name="Normal 2 2 6 2 2 5 3" xfId="10246" xr:uid="{00000000-0005-0000-0000-000087050000}"/>
    <cellStyle name="Normal 2 2 6 2 2 6" xfId="5527" xr:uid="{00000000-0005-0000-0000-000086020000}"/>
    <cellStyle name="Normal 2 2 6 2 2 7" xfId="5128" xr:uid="{00000000-0005-0000-0000-00005E020000}"/>
    <cellStyle name="Normal 2 2 6 2 2 8" xfId="7204" xr:uid="{00000000-0005-0000-0000-000082050000}"/>
    <cellStyle name="Normal 2 2 6 2 2 9" xfId="9609" xr:uid="{00000000-0005-0000-0000-000082050000}"/>
    <cellStyle name="Normal 2 2 6 2 3" xfId="2733" xr:uid="{00000000-0005-0000-0000-000025040000}"/>
    <cellStyle name="Normal 2 2 6 2 3 2" xfId="3188" xr:uid="{00000000-0005-0000-0000-000026040000}"/>
    <cellStyle name="Normal 2 2 6 2 3 2 2" xfId="8539" xr:uid="{00000000-0005-0000-0000-000089050000}"/>
    <cellStyle name="Normal 2 2 6 2 3 2 3" xfId="10936" xr:uid="{00000000-0005-0000-0000-000089050000}"/>
    <cellStyle name="Normal 2 2 6 2 3 3" xfId="4297" xr:uid="{00000000-0005-0000-0000-000025040000}"/>
    <cellStyle name="Normal 2 2 6 2 3 3 2" xfId="7977" xr:uid="{00000000-0005-0000-0000-00008A050000}"/>
    <cellStyle name="Normal 2 2 6 2 3 3 3" xfId="10374" xr:uid="{00000000-0005-0000-0000-00008A050000}"/>
    <cellStyle name="Normal 2 2 6 2 3 4" xfId="5868" xr:uid="{00000000-0005-0000-0000-000089020000}"/>
    <cellStyle name="Normal 2 2 6 2 3 5" xfId="7203" xr:uid="{00000000-0005-0000-0000-000088050000}"/>
    <cellStyle name="Normal 2 2 6 2 3 6" xfId="9608" xr:uid="{00000000-0005-0000-0000-000088050000}"/>
    <cellStyle name="Normal 2 2 6 2 4" xfId="3189" xr:uid="{00000000-0005-0000-0000-000027040000}"/>
    <cellStyle name="Normal 2 2 6 2 4 2" xfId="4469" xr:uid="{00000000-0005-0000-0000-000027040000}"/>
    <cellStyle name="Normal 2 2 6 2 4 3" xfId="8540" xr:uid="{00000000-0005-0000-0000-00008B050000}"/>
    <cellStyle name="Normal 2 2 6 2 4 4" xfId="10937" xr:uid="{00000000-0005-0000-0000-00008B050000}"/>
    <cellStyle name="Normal 2 2 6 2 5" xfId="3184" xr:uid="{00000000-0005-0000-0000-000028040000}"/>
    <cellStyle name="Normal 2 2 6 2 5 2" xfId="8535" xr:uid="{00000000-0005-0000-0000-00008C050000}"/>
    <cellStyle name="Normal 2 2 6 2 5 3" xfId="10932" xr:uid="{00000000-0005-0000-0000-00008C050000}"/>
    <cellStyle name="Normal 2 2 6 2 6" xfId="2548" xr:uid="{00000000-0005-0000-0000-000029040000}"/>
    <cellStyle name="Normal 2 2 6 2 6 2" xfId="7746" xr:uid="{00000000-0005-0000-0000-00008D050000}"/>
    <cellStyle name="Normal 2 2 6 2 6 3" xfId="10143" xr:uid="{00000000-0005-0000-0000-00008D050000}"/>
    <cellStyle name="Normal 2 2 6 2 7" xfId="2242" xr:uid="{00000000-0005-0000-0000-00001F040000}"/>
    <cellStyle name="Normal 2 2 6 2 8" xfId="3795" xr:uid="{00000000-0005-0000-0000-0000DE010000}"/>
    <cellStyle name="Normal 2 2 6 2 9" xfId="5426" xr:uid="{00000000-0005-0000-0000-000085020000}"/>
    <cellStyle name="Normal 2 2 6 3" xfId="767" xr:uid="{00000000-0005-0000-0000-0000AB040000}"/>
    <cellStyle name="Normal 2 2 6 3 10" xfId="6808" xr:uid="{00000000-0005-0000-0000-00008E050000}"/>
    <cellStyle name="Normal 2 2 6 3 11" xfId="9229" xr:uid="{00000000-0005-0000-0000-00008E050000}"/>
    <cellStyle name="Normal 2 2 6 3 2" xfId="2735" xr:uid="{00000000-0005-0000-0000-00002B040000}"/>
    <cellStyle name="Normal 2 2 6 3 2 2" xfId="3191" xr:uid="{00000000-0005-0000-0000-00002C040000}"/>
    <cellStyle name="Normal 2 2 6 3 2 2 2" xfId="8542" xr:uid="{00000000-0005-0000-0000-000090050000}"/>
    <cellStyle name="Normal 2 2 6 3 2 2 3" xfId="10939" xr:uid="{00000000-0005-0000-0000-000090050000}"/>
    <cellStyle name="Normal 2 2 6 3 2 3" xfId="4299" xr:uid="{00000000-0005-0000-0000-00002B040000}"/>
    <cellStyle name="Normal 2 2 6 3 2 3 2" xfId="7979" xr:uid="{00000000-0005-0000-0000-000091050000}"/>
    <cellStyle name="Normal 2 2 6 3 2 3 3" xfId="10376" xr:uid="{00000000-0005-0000-0000-000091050000}"/>
    <cellStyle name="Normal 2 2 6 3 2 4" xfId="5869" xr:uid="{00000000-0005-0000-0000-00008C020000}"/>
    <cellStyle name="Normal 2 2 6 3 2 5" xfId="7205" xr:uid="{00000000-0005-0000-0000-00008F050000}"/>
    <cellStyle name="Normal 2 2 6 3 2 6" xfId="9610" xr:uid="{00000000-0005-0000-0000-00008F050000}"/>
    <cellStyle name="Normal 2 2 6 3 3" xfId="3192" xr:uid="{00000000-0005-0000-0000-00002D040000}"/>
    <cellStyle name="Normal 2 2 6 3 3 2" xfId="4470" xr:uid="{00000000-0005-0000-0000-00002D040000}"/>
    <cellStyle name="Normal 2 2 6 3 3 3" xfId="5698" xr:uid="{00000000-0005-0000-0000-00008D020000}"/>
    <cellStyle name="Normal 2 2 6 3 3 4" xfId="8543" xr:uid="{00000000-0005-0000-0000-000092050000}"/>
    <cellStyle name="Normal 2 2 6 3 3 5" xfId="10940" xr:uid="{00000000-0005-0000-0000-000092050000}"/>
    <cellStyle name="Normal 2 2 6 3 4" xfId="3190" xr:uid="{00000000-0005-0000-0000-00002E040000}"/>
    <cellStyle name="Normal 2 2 6 3 4 2" xfId="8541" xr:uid="{00000000-0005-0000-0000-000093050000}"/>
    <cellStyle name="Normal 2 2 6 3 4 3" xfId="10938" xr:uid="{00000000-0005-0000-0000-000093050000}"/>
    <cellStyle name="Normal 2 2 6 3 5" xfId="2591" xr:uid="{00000000-0005-0000-0000-00002F040000}"/>
    <cellStyle name="Normal 2 2 6 3 5 2" xfId="7789" xr:uid="{00000000-0005-0000-0000-000094050000}"/>
    <cellStyle name="Normal 2 2 6 3 5 3" xfId="10186" xr:uid="{00000000-0005-0000-0000-000094050000}"/>
    <cellStyle name="Normal 2 2 6 3 6" xfId="2330" xr:uid="{00000000-0005-0000-0000-00002A040000}"/>
    <cellStyle name="Normal 2 2 6 3 7" xfId="3845" xr:uid="{00000000-0005-0000-0000-0000DF010000}"/>
    <cellStyle name="Normal 2 2 6 3 8" xfId="5467" xr:uid="{00000000-0005-0000-0000-00008B020000}"/>
    <cellStyle name="Normal 2 2 6 3 9" xfId="5127" xr:uid="{00000000-0005-0000-0000-00005F020000}"/>
    <cellStyle name="Normal 2 2 6 4" xfId="768" xr:uid="{00000000-0005-0000-0000-0000AC040000}"/>
    <cellStyle name="Normal 2 2 6 4 2" xfId="3193" xr:uid="{00000000-0005-0000-0000-000031040000}"/>
    <cellStyle name="Normal 2 2 6 4 2 2" xfId="8544" xr:uid="{00000000-0005-0000-0000-000096050000}"/>
    <cellStyle name="Normal 2 2 6 4 2 3" xfId="10941" xr:uid="{00000000-0005-0000-0000-000096050000}"/>
    <cellStyle name="Normal 2 2 6 4 3" xfId="2732" xr:uid="{00000000-0005-0000-0000-000032040000}"/>
    <cellStyle name="Normal 2 2 6 4 3 2" xfId="7976" xr:uid="{00000000-0005-0000-0000-000097050000}"/>
    <cellStyle name="Normal 2 2 6 4 3 3" xfId="10373" xr:uid="{00000000-0005-0000-0000-000097050000}"/>
    <cellStyle name="Normal 2 2 6 4 4" xfId="4164" xr:uid="{00000000-0005-0000-0000-000030040000}"/>
    <cellStyle name="Normal 2 2 6 4 5" xfId="5867" xr:uid="{00000000-0005-0000-0000-00008E020000}"/>
    <cellStyle name="Normal 2 2 6 4 6" xfId="7206" xr:uid="{00000000-0005-0000-0000-000095050000}"/>
    <cellStyle name="Normal 2 2 6 4 7" xfId="9611" xr:uid="{00000000-0005-0000-0000-000095050000}"/>
    <cellStyle name="Normal 2 2 6 5" xfId="3194" xr:uid="{00000000-0005-0000-0000-000033040000}"/>
    <cellStyle name="Normal 2 2 6 5 2" xfId="4471" xr:uid="{00000000-0005-0000-0000-000033040000}"/>
    <cellStyle name="Normal 2 2 6 5 2 2" xfId="8545" xr:uid="{00000000-0005-0000-0000-000099050000}"/>
    <cellStyle name="Normal 2 2 6 5 2 3" xfId="10942" xr:uid="{00000000-0005-0000-0000-000099050000}"/>
    <cellStyle name="Normal 2 2 6 5 3" xfId="5612" xr:uid="{00000000-0005-0000-0000-00008F020000}"/>
    <cellStyle name="Normal 2 2 6 5 4" xfId="7202" xr:uid="{00000000-0005-0000-0000-000098050000}"/>
    <cellStyle name="Normal 2 2 6 5 5" xfId="9607" xr:uid="{00000000-0005-0000-0000-000098050000}"/>
    <cellStyle name="Normal 2 2 6 6" xfId="2905" xr:uid="{00000000-0005-0000-0000-000034040000}"/>
    <cellStyle name="Normal 2 2 6 6 2" xfId="8230" xr:uid="{00000000-0005-0000-0000-00009A050000}"/>
    <cellStyle name="Normal 2 2 6 6 3" xfId="10627" xr:uid="{00000000-0005-0000-0000-00009A050000}"/>
    <cellStyle name="Normal 2 2 6 7" xfId="2488" xr:uid="{00000000-0005-0000-0000-000035040000}"/>
    <cellStyle name="Normal 2 2 6 7 2" xfId="7686" xr:uid="{00000000-0005-0000-0000-00009B050000}"/>
    <cellStyle name="Normal 2 2 6 7 3" xfId="10083" xr:uid="{00000000-0005-0000-0000-00009B050000}"/>
    <cellStyle name="Normal 2 2 6 8" xfId="2182" xr:uid="{00000000-0005-0000-0000-00001E040000}"/>
    <cellStyle name="Normal 2 2 6 9" xfId="3937" xr:uid="{00000000-0005-0000-0000-0000DD010000}"/>
    <cellStyle name="Normal 2 2 7" xfId="769" xr:uid="{00000000-0005-0000-0000-0000AD040000}"/>
    <cellStyle name="Normal 2 2 7 10" xfId="5340" xr:uid="{00000000-0005-0000-0000-000090020000}"/>
    <cellStyle name="Normal 2 2 7 11" xfId="4796" xr:uid="{00000000-0005-0000-0000-000060020000}"/>
    <cellStyle name="Normal 2 2 7 12" xfId="6542" xr:uid="{00000000-0005-0000-0000-00009C050000}"/>
    <cellStyle name="Normal 2 2 7 13" xfId="8963" xr:uid="{00000000-0005-0000-0000-00009C050000}"/>
    <cellStyle name="Normal 2 2 7 2" xfId="770" xr:uid="{00000000-0005-0000-0000-0000AE040000}"/>
    <cellStyle name="Normal 2 2 7 2 10" xfId="6648" xr:uid="{00000000-0005-0000-0000-00009D050000}"/>
    <cellStyle name="Normal 2 2 7 2 11" xfId="9069" xr:uid="{00000000-0005-0000-0000-00009D050000}"/>
    <cellStyle name="Normal 2 2 7 2 2" xfId="771" xr:uid="{00000000-0005-0000-0000-0000AF040000}"/>
    <cellStyle name="Normal 2 2 7 2 2 2" xfId="3196" xr:uid="{00000000-0005-0000-0000-000039040000}"/>
    <cellStyle name="Normal 2 2 7 2 2 2 2" xfId="8547" xr:uid="{00000000-0005-0000-0000-00009F050000}"/>
    <cellStyle name="Normal 2 2 7 2 2 2 3" xfId="10944" xr:uid="{00000000-0005-0000-0000-00009F050000}"/>
    <cellStyle name="Normal 2 2 7 2 2 3" xfId="4301" xr:uid="{00000000-0005-0000-0000-000038040000}"/>
    <cellStyle name="Normal 2 2 7 2 2 3 2" xfId="7981" xr:uid="{00000000-0005-0000-0000-0000A0050000}"/>
    <cellStyle name="Normal 2 2 7 2 2 3 3" xfId="10378" xr:uid="{00000000-0005-0000-0000-0000A0050000}"/>
    <cellStyle name="Normal 2 2 7 2 2 4" xfId="5871" xr:uid="{00000000-0005-0000-0000-000092020000}"/>
    <cellStyle name="Normal 2 2 7 2 2 5" xfId="5130" xr:uid="{00000000-0005-0000-0000-000062020000}"/>
    <cellStyle name="Normal 2 2 7 2 2 6" xfId="7209" xr:uid="{00000000-0005-0000-0000-00009E050000}"/>
    <cellStyle name="Normal 2 2 7 2 2 7" xfId="9614" xr:uid="{00000000-0005-0000-0000-00009E050000}"/>
    <cellStyle name="Normal 2 2 7 2 3" xfId="3197" xr:uid="{00000000-0005-0000-0000-00003A040000}"/>
    <cellStyle name="Normal 2 2 7 2 3 2" xfId="4472" xr:uid="{00000000-0005-0000-0000-00003A040000}"/>
    <cellStyle name="Normal 2 2 7 2 3 2 2" xfId="8548" xr:uid="{00000000-0005-0000-0000-0000A2050000}"/>
    <cellStyle name="Normal 2 2 7 2 3 2 3" xfId="10945" xr:uid="{00000000-0005-0000-0000-0000A2050000}"/>
    <cellStyle name="Normal 2 2 7 2 3 3" xfId="5646" xr:uid="{00000000-0005-0000-0000-000093020000}"/>
    <cellStyle name="Normal 2 2 7 2 3 4" xfId="7208" xr:uid="{00000000-0005-0000-0000-0000A1050000}"/>
    <cellStyle name="Normal 2 2 7 2 3 5" xfId="9613" xr:uid="{00000000-0005-0000-0000-0000A1050000}"/>
    <cellStyle name="Normal 2 2 7 2 4" xfId="3195" xr:uid="{00000000-0005-0000-0000-00003B040000}"/>
    <cellStyle name="Normal 2 2 7 2 4 2" xfId="8546" xr:uid="{00000000-0005-0000-0000-0000A3050000}"/>
    <cellStyle name="Normal 2 2 7 2 4 3" xfId="10943" xr:uid="{00000000-0005-0000-0000-0000A3050000}"/>
    <cellStyle name="Normal 2 2 7 2 5" xfId="2522" xr:uid="{00000000-0005-0000-0000-00003C040000}"/>
    <cellStyle name="Normal 2 2 7 2 5 2" xfId="7720" xr:uid="{00000000-0005-0000-0000-0000A4050000}"/>
    <cellStyle name="Normal 2 2 7 2 5 3" xfId="10117" xr:uid="{00000000-0005-0000-0000-0000A4050000}"/>
    <cellStyle name="Normal 2 2 7 2 6" xfId="2331" xr:uid="{00000000-0005-0000-0000-000037040000}"/>
    <cellStyle name="Normal 2 2 7 2 7" xfId="3846" xr:uid="{00000000-0005-0000-0000-0000E1010000}"/>
    <cellStyle name="Normal 2 2 7 2 8" xfId="5400" xr:uid="{00000000-0005-0000-0000-000091020000}"/>
    <cellStyle name="Normal 2 2 7 2 9" xfId="4902" xr:uid="{00000000-0005-0000-0000-000061020000}"/>
    <cellStyle name="Normal 2 2 7 3" xfId="772" xr:uid="{00000000-0005-0000-0000-0000B0040000}"/>
    <cellStyle name="Normal 2 2 7 3 10" xfId="9230" xr:uid="{00000000-0005-0000-0000-0000A5050000}"/>
    <cellStyle name="Normal 2 2 7 3 2" xfId="2736" xr:uid="{00000000-0005-0000-0000-00003E040000}"/>
    <cellStyle name="Normal 2 2 7 3 2 2" xfId="3199" xr:uid="{00000000-0005-0000-0000-00003F040000}"/>
    <cellStyle name="Normal 2 2 7 3 2 2 2" xfId="8550" xr:uid="{00000000-0005-0000-0000-0000A7050000}"/>
    <cellStyle name="Normal 2 2 7 3 2 2 3" xfId="10947" xr:uid="{00000000-0005-0000-0000-0000A7050000}"/>
    <cellStyle name="Normal 2 2 7 3 2 3" xfId="4302" xr:uid="{00000000-0005-0000-0000-00003E040000}"/>
    <cellStyle name="Normal 2 2 7 3 2 3 2" xfId="7982" xr:uid="{00000000-0005-0000-0000-0000A8050000}"/>
    <cellStyle name="Normal 2 2 7 3 2 3 3" xfId="10379" xr:uid="{00000000-0005-0000-0000-0000A8050000}"/>
    <cellStyle name="Normal 2 2 7 3 2 4" xfId="5872" xr:uid="{00000000-0005-0000-0000-000095020000}"/>
    <cellStyle name="Normal 2 2 7 3 2 5" xfId="7210" xr:uid="{00000000-0005-0000-0000-0000A6050000}"/>
    <cellStyle name="Normal 2 2 7 3 2 6" xfId="9615" xr:uid="{00000000-0005-0000-0000-0000A6050000}"/>
    <cellStyle name="Normal 2 2 7 3 3" xfId="3200" xr:uid="{00000000-0005-0000-0000-000040040000}"/>
    <cellStyle name="Normal 2 2 7 3 3 2" xfId="4473" xr:uid="{00000000-0005-0000-0000-000040040000}"/>
    <cellStyle name="Normal 2 2 7 3 3 3" xfId="5731" xr:uid="{00000000-0005-0000-0000-000096020000}"/>
    <cellStyle name="Normal 2 2 7 3 3 4" xfId="8551" xr:uid="{00000000-0005-0000-0000-0000A9050000}"/>
    <cellStyle name="Normal 2 2 7 3 3 5" xfId="10948" xr:uid="{00000000-0005-0000-0000-0000A9050000}"/>
    <cellStyle name="Normal 2 2 7 3 4" xfId="3198" xr:uid="{00000000-0005-0000-0000-000041040000}"/>
    <cellStyle name="Normal 2 2 7 3 4 2" xfId="8549" xr:uid="{00000000-0005-0000-0000-0000AA050000}"/>
    <cellStyle name="Normal 2 2 7 3 4 3" xfId="10946" xr:uid="{00000000-0005-0000-0000-0000AA050000}"/>
    <cellStyle name="Normal 2 2 7 3 5" xfId="2625" xr:uid="{00000000-0005-0000-0000-000042040000}"/>
    <cellStyle name="Normal 2 2 7 3 5 2" xfId="7823" xr:uid="{00000000-0005-0000-0000-0000AB050000}"/>
    <cellStyle name="Normal 2 2 7 3 5 3" xfId="10220" xr:uid="{00000000-0005-0000-0000-0000AB050000}"/>
    <cellStyle name="Normal 2 2 7 3 6" xfId="4165" xr:uid="{00000000-0005-0000-0000-00003D040000}"/>
    <cellStyle name="Normal 2 2 7 3 7" xfId="5501" xr:uid="{00000000-0005-0000-0000-000094020000}"/>
    <cellStyle name="Normal 2 2 7 3 8" xfId="5129" xr:uid="{00000000-0005-0000-0000-000063020000}"/>
    <cellStyle name="Normal 2 2 7 3 9" xfId="6809" xr:uid="{00000000-0005-0000-0000-0000A5050000}"/>
    <cellStyle name="Normal 2 2 7 4" xfId="773" xr:uid="{00000000-0005-0000-0000-0000B1040000}"/>
    <cellStyle name="Normal 2 2 7 4 2" xfId="3201" xr:uid="{00000000-0005-0000-0000-000044040000}"/>
    <cellStyle name="Normal 2 2 7 4 2 2" xfId="8552" xr:uid="{00000000-0005-0000-0000-0000AD050000}"/>
    <cellStyle name="Normal 2 2 7 4 2 3" xfId="10949" xr:uid="{00000000-0005-0000-0000-0000AD050000}"/>
    <cellStyle name="Normal 2 2 7 4 3" xfId="4300" xr:uid="{00000000-0005-0000-0000-000043040000}"/>
    <cellStyle name="Normal 2 2 7 4 3 2" xfId="7980" xr:uid="{00000000-0005-0000-0000-0000AE050000}"/>
    <cellStyle name="Normal 2 2 7 4 3 3" xfId="10377" xr:uid="{00000000-0005-0000-0000-0000AE050000}"/>
    <cellStyle name="Normal 2 2 7 4 4" xfId="5870" xr:uid="{00000000-0005-0000-0000-000097020000}"/>
    <cellStyle name="Normal 2 2 7 4 5" xfId="7211" xr:uid="{00000000-0005-0000-0000-0000AC050000}"/>
    <cellStyle name="Normal 2 2 7 4 6" xfId="9616" xr:uid="{00000000-0005-0000-0000-0000AC050000}"/>
    <cellStyle name="Normal 2 2 7 5" xfId="3202" xr:uid="{00000000-0005-0000-0000-000045040000}"/>
    <cellStyle name="Normal 2 2 7 5 2" xfId="4474" xr:uid="{00000000-0005-0000-0000-000045040000}"/>
    <cellStyle name="Normal 2 2 7 5 2 2" xfId="8553" xr:uid="{00000000-0005-0000-0000-0000B0050000}"/>
    <cellStyle name="Normal 2 2 7 5 2 3" xfId="10950" xr:uid="{00000000-0005-0000-0000-0000B0050000}"/>
    <cellStyle name="Normal 2 2 7 5 3" xfId="5586" xr:uid="{00000000-0005-0000-0000-000098020000}"/>
    <cellStyle name="Normal 2 2 7 5 4" xfId="7207" xr:uid="{00000000-0005-0000-0000-0000AF050000}"/>
    <cellStyle name="Normal 2 2 7 5 5" xfId="9612" xr:uid="{00000000-0005-0000-0000-0000AF050000}"/>
    <cellStyle name="Normal 2 2 7 6" xfId="2906" xr:uid="{00000000-0005-0000-0000-000046040000}"/>
    <cellStyle name="Normal 2 2 7 6 2" xfId="8231" xr:uid="{00000000-0005-0000-0000-0000B1050000}"/>
    <cellStyle name="Normal 2 2 7 6 3" xfId="10628" xr:uid="{00000000-0005-0000-0000-0000B1050000}"/>
    <cellStyle name="Normal 2 2 7 7" xfId="2462" xr:uid="{00000000-0005-0000-0000-000047040000}"/>
    <cellStyle name="Normal 2 2 7 7 2" xfId="7660" xr:uid="{00000000-0005-0000-0000-0000B2050000}"/>
    <cellStyle name="Normal 2 2 7 7 3" xfId="10057" xr:uid="{00000000-0005-0000-0000-0000B2050000}"/>
    <cellStyle name="Normal 2 2 7 8" xfId="2216" xr:uid="{00000000-0005-0000-0000-000036040000}"/>
    <cellStyle name="Normal 2 2 7 9" xfId="3938" xr:uid="{00000000-0005-0000-0000-0000E0010000}"/>
    <cellStyle name="Normal 2 2 8" xfId="774" xr:uid="{00000000-0005-0000-0000-0000B2040000}"/>
    <cellStyle name="Normal 2 2 8 10" xfId="4779" xr:uid="{00000000-0005-0000-0000-000064020000}"/>
    <cellStyle name="Normal 2 2 8 11" xfId="6649" xr:uid="{00000000-0005-0000-0000-0000B3050000}"/>
    <cellStyle name="Normal 2 2 8 12" xfId="9070" xr:uid="{00000000-0005-0000-0000-0000B3050000}"/>
    <cellStyle name="Normal 2 2 8 2" xfId="775" xr:uid="{00000000-0005-0000-0000-0000B3040000}"/>
    <cellStyle name="Normal 2 2 8 2 10" xfId="6810" xr:uid="{00000000-0005-0000-0000-0000B4050000}"/>
    <cellStyle name="Normal 2 2 8 2 11" xfId="9231" xr:uid="{00000000-0005-0000-0000-0000B4050000}"/>
    <cellStyle name="Normal 2 2 8 2 2" xfId="776" xr:uid="{00000000-0005-0000-0000-0000B4040000}"/>
    <cellStyle name="Normal 2 2 8 2 2 2" xfId="3204" xr:uid="{00000000-0005-0000-0000-00004B040000}"/>
    <cellStyle name="Normal 2 2 8 2 2 2 2" xfId="8555" xr:uid="{00000000-0005-0000-0000-0000B6050000}"/>
    <cellStyle name="Normal 2 2 8 2 2 2 3" xfId="10952" xr:uid="{00000000-0005-0000-0000-0000B6050000}"/>
    <cellStyle name="Normal 2 2 8 2 2 3" xfId="4303" xr:uid="{00000000-0005-0000-0000-00004A040000}"/>
    <cellStyle name="Normal 2 2 8 2 2 3 2" xfId="7984" xr:uid="{00000000-0005-0000-0000-0000B7050000}"/>
    <cellStyle name="Normal 2 2 8 2 2 3 3" xfId="10381" xr:uid="{00000000-0005-0000-0000-0000B7050000}"/>
    <cellStyle name="Normal 2 2 8 2 2 4" xfId="5874" xr:uid="{00000000-0005-0000-0000-00009B020000}"/>
    <cellStyle name="Normal 2 2 8 2 2 5" xfId="5132" xr:uid="{00000000-0005-0000-0000-000066020000}"/>
    <cellStyle name="Normal 2 2 8 2 2 6" xfId="7214" xr:uid="{00000000-0005-0000-0000-0000B5050000}"/>
    <cellStyle name="Normal 2 2 8 2 2 7" xfId="9619" xr:uid="{00000000-0005-0000-0000-0000B5050000}"/>
    <cellStyle name="Normal 2 2 8 2 3" xfId="3205" xr:uid="{00000000-0005-0000-0000-00004C040000}"/>
    <cellStyle name="Normal 2 2 8 2 3 2" xfId="4475" xr:uid="{00000000-0005-0000-0000-00004C040000}"/>
    <cellStyle name="Normal 2 2 8 2 3 2 2" xfId="8556" xr:uid="{00000000-0005-0000-0000-0000B9050000}"/>
    <cellStyle name="Normal 2 2 8 2 3 2 3" xfId="10953" xr:uid="{00000000-0005-0000-0000-0000B9050000}"/>
    <cellStyle name="Normal 2 2 8 2 3 3" xfId="5714" xr:uid="{00000000-0005-0000-0000-00009C020000}"/>
    <cellStyle name="Normal 2 2 8 2 3 4" xfId="7213" xr:uid="{00000000-0005-0000-0000-0000B8050000}"/>
    <cellStyle name="Normal 2 2 8 2 3 5" xfId="9618" xr:uid="{00000000-0005-0000-0000-0000B8050000}"/>
    <cellStyle name="Normal 2 2 8 2 4" xfId="3203" xr:uid="{00000000-0005-0000-0000-00004D040000}"/>
    <cellStyle name="Normal 2 2 8 2 4 2" xfId="8554" xr:uid="{00000000-0005-0000-0000-0000BA050000}"/>
    <cellStyle name="Normal 2 2 8 2 4 3" xfId="10951" xr:uid="{00000000-0005-0000-0000-0000BA050000}"/>
    <cellStyle name="Normal 2 2 8 2 5" xfId="2608" xr:uid="{00000000-0005-0000-0000-00004E040000}"/>
    <cellStyle name="Normal 2 2 8 2 5 2" xfId="7806" xr:uid="{00000000-0005-0000-0000-0000BB050000}"/>
    <cellStyle name="Normal 2 2 8 2 5 3" xfId="10203" xr:uid="{00000000-0005-0000-0000-0000BB050000}"/>
    <cellStyle name="Normal 2 2 8 2 6" xfId="2332" xr:uid="{00000000-0005-0000-0000-000049040000}"/>
    <cellStyle name="Normal 2 2 8 2 7" xfId="3847" xr:uid="{00000000-0005-0000-0000-0000E3010000}"/>
    <cellStyle name="Normal 2 2 8 2 8" xfId="5484" xr:uid="{00000000-0005-0000-0000-00009A020000}"/>
    <cellStyle name="Normal 2 2 8 2 9" xfId="4903" xr:uid="{00000000-0005-0000-0000-000065020000}"/>
    <cellStyle name="Normal 2 2 8 3" xfId="777" xr:uid="{00000000-0005-0000-0000-0000B5040000}"/>
    <cellStyle name="Normal 2 2 8 3 2" xfId="3206" xr:uid="{00000000-0005-0000-0000-000050040000}"/>
    <cellStyle name="Normal 2 2 8 3 2 2" xfId="8557" xr:uid="{00000000-0005-0000-0000-0000BD050000}"/>
    <cellStyle name="Normal 2 2 8 3 2 3" xfId="10954" xr:uid="{00000000-0005-0000-0000-0000BD050000}"/>
    <cellStyle name="Normal 2 2 8 3 3" xfId="2737" xr:uid="{00000000-0005-0000-0000-000051040000}"/>
    <cellStyle name="Normal 2 2 8 3 3 2" xfId="7983" xr:uid="{00000000-0005-0000-0000-0000BE050000}"/>
    <cellStyle name="Normal 2 2 8 3 3 3" xfId="10380" xr:uid="{00000000-0005-0000-0000-0000BE050000}"/>
    <cellStyle name="Normal 2 2 8 3 4" xfId="4166" xr:uid="{00000000-0005-0000-0000-00004F040000}"/>
    <cellStyle name="Normal 2 2 8 3 5" xfId="5873" xr:uid="{00000000-0005-0000-0000-00009D020000}"/>
    <cellStyle name="Normal 2 2 8 3 6" xfId="5131" xr:uid="{00000000-0005-0000-0000-000067020000}"/>
    <cellStyle name="Normal 2 2 8 3 7" xfId="7215" xr:uid="{00000000-0005-0000-0000-0000BC050000}"/>
    <cellStyle name="Normal 2 2 8 3 8" xfId="9620" xr:uid="{00000000-0005-0000-0000-0000BC050000}"/>
    <cellStyle name="Normal 2 2 8 4" xfId="778" xr:uid="{00000000-0005-0000-0000-0000B6040000}"/>
    <cellStyle name="Normal 2 2 8 4 2" xfId="4476" xr:uid="{00000000-0005-0000-0000-000052040000}"/>
    <cellStyle name="Normal 2 2 8 4 2 2" xfId="8558" xr:uid="{00000000-0005-0000-0000-0000C0050000}"/>
    <cellStyle name="Normal 2 2 8 4 2 3" xfId="10955" xr:uid="{00000000-0005-0000-0000-0000C0050000}"/>
    <cellStyle name="Normal 2 2 8 4 3" xfId="5569" xr:uid="{00000000-0005-0000-0000-00009E020000}"/>
    <cellStyle name="Normal 2 2 8 4 4" xfId="7216" xr:uid="{00000000-0005-0000-0000-0000BF050000}"/>
    <cellStyle name="Normal 2 2 8 4 5" xfId="9621" xr:uid="{00000000-0005-0000-0000-0000BF050000}"/>
    <cellStyle name="Normal 2 2 8 5" xfId="2907" xr:uid="{00000000-0005-0000-0000-000053040000}"/>
    <cellStyle name="Normal 2 2 8 5 2" xfId="8232" xr:uid="{00000000-0005-0000-0000-0000C2050000}"/>
    <cellStyle name="Normal 2 2 8 5 2 2" xfId="10629" xr:uid="{00000000-0005-0000-0000-0000C2050000}"/>
    <cellStyle name="Normal 2 2 8 5 3" xfId="7212" xr:uid="{00000000-0005-0000-0000-0000C1050000}"/>
    <cellStyle name="Normal 2 2 8 5 4" xfId="9617" xr:uid="{00000000-0005-0000-0000-0000C1050000}"/>
    <cellStyle name="Normal 2 2 8 6" xfId="2445" xr:uid="{00000000-0005-0000-0000-000054040000}"/>
    <cellStyle name="Normal 2 2 8 6 2" xfId="7643" xr:uid="{00000000-0005-0000-0000-0000C3050000}"/>
    <cellStyle name="Normal 2 2 8 6 3" xfId="10040" xr:uid="{00000000-0005-0000-0000-0000C3050000}"/>
    <cellStyle name="Normal 2 2 8 7" xfId="2199" xr:uid="{00000000-0005-0000-0000-000048040000}"/>
    <cellStyle name="Normal 2 2 8 8" xfId="3939" xr:uid="{00000000-0005-0000-0000-0000E2010000}"/>
    <cellStyle name="Normal 2 2 8 9" xfId="5323" xr:uid="{00000000-0005-0000-0000-000099020000}"/>
    <cellStyle name="Normal 2 2 9" xfId="779" xr:uid="{00000000-0005-0000-0000-0000B7040000}"/>
    <cellStyle name="Normal 2 2 9 10" xfId="4904" xr:uid="{00000000-0005-0000-0000-000068020000}"/>
    <cellStyle name="Normal 2 2 9 11" xfId="6650" xr:uid="{00000000-0005-0000-0000-0000C4050000}"/>
    <cellStyle name="Normal 2 2 9 12" xfId="9071" xr:uid="{00000000-0005-0000-0000-0000C4050000}"/>
    <cellStyle name="Normal 2 2 9 2" xfId="780" xr:uid="{00000000-0005-0000-0000-0000B8040000}"/>
    <cellStyle name="Normal 2 2 9 2 10" xfId="6811" xr:uid="{00000000-0005-0000-0000-0000C5050000}"/>
    <cellStyle name="Normal 2 2 9 2 11" xfId="9232" xr:uid="{00000000-0005-0000-0000-0000C5050000}"/>
    <cellStyle name="Normal 2 2 9 2 2" xfId="781" xr:uid="{00000000-0005-0000-0000-0000B9040000}"/>
    <cellStyle name="Normal 2 2 9 2 2 2" xfId="3208" xr:uid="{00000000-0005-0000-0000-000058040000}"/>
    <cellStyle name="Normal 2 2 9 2 2 2 2" xfId="8560" xr:uid="{00000000-0005-0000-0000-0000C7050000}"/>
    <cellStyle name="Normal 2 2 9 2 2 2 3" xfId="10957" xr:uid="{00000000-0005-0000-0000-0000C7050000}"/>
    <cellStyle name="Normal 2 2 9 2 2 3" xfId="4304" xr:uid="{00000000-0005-0000-0000-000057040000}"/>
    <cellStyle name="Normal 2 2 9 2 2 3 2" xfId="7986" xr:uid="{00000000-0005-0000-0000-0000C8050000}"/>
    <cellStyle name="Normal 2 2 9 2 2 3 3" xfId="10383" xr:uid="{00000000-0005-0000-0000-0000C8050000}"/>
    <cellStyle name="Normal 2 2 9 2 2 4" xfId="5876" xr:uid="{00000000-0005-0000-0000-0000A1020000}"/>
    <cellStyle name="Normal 2 2 9 2 2 5" xfId="7219" xr:uid="{00000000-0005-0000-0000-0000C6050000}"/>
    <cellStyle name="Normal 2 2 9 2 2 6" xfId="9624" xr:uid="{00000000-0005-0000-0000-0000C6050000}"/>
    <cellStyle name="Normal 2 2 9 2 3" xfId="3209" xr:uid="{00000000-0005-0000-0000-000059040000}"/>
    <cellStyle name="Normal 2 2 9 2 3 2" xfId="4477" xr:uid="{00000000-0005-0000-0000-000059040000}"/>
    <cellStyle name="Normal 2 2 9 2 3 2 2" xfId="8561" xr:uid="{00000000-0005-0000-0000-0000CA050000}"/>
    <cellStyle name="Normal 2 2 9 2 3 2 3" xfId="10958" xr:uid="{00000000-0005-0000-0000-0000CA050000}"/>
    <cellStyle name="Normal 2 2 9 2 3 3" xfId="5761" xr:uid="{00000000-0005-0000-0000-0000A2020000}"/>
    <cellStyle name="Normal 2 2 9 2 3 4" xfId="7218" xr:uid="{00000000-0005-0000-0000-0000C9050000}"/>
    <cellStyle name="Normal 2 2 9 2 3 5" xfId="9623" xr:uid="{00000000-0005-0000-0000-0000C9050000}"/>
    <cellStyle name="Normal 2 2 9 2 4" xfId="3207" xr:uid="{00000000-0005-0000-0000-00005A040000}"/>
    <cellStyle name="Normal 2 2 9 2 4 2" xfId="8559" xr:uid="{00000000-0005-0000-0000-0000CB050000}"/>
    <cellStyle name="Normal 2 2 9 2 4 3" xfId="10956" xr:uid="{00000000-0005-0000-0000-0000CB050000}"/>
    <cellStyle name="Normal 2 2 9 2 5" xfId="2656" xr:uid="{00000000-0005-0000-0000-00005B040000}"/>
    <cellStyle name="Normal 2 2 9 2 5 2" xfId="7868" xr:uid="{00000000-0005-0000-0000-0000CC050000}"/>
    <cellStyle name="Normal 2 2 9 2 5 3" xfId="10265" xr:uid="{00000000-0005-0000-0000-0000CC050000}"/>
    <cellStyle name="Normal 2 2 9 2 6" xfId="2333" xr:uid="{00000000-0005-0000-0000-000056040000}"/>
    <cellStyle name="Normal 2 2 9 2 7" xfId="3848" xr:uid="{00000000-0005-0000-0000-0000E5010000}"/>
    <cellStyle name="Normal 2 2 9 2 8" xfId="5546" xr:uid="{00000000-0005-0000-0000-0000A0020000}"/>
    <cellStyle name="Normal 2 2 9 2 9" xfId="5133" xr:uid="{00000000-0005-0000-0000-000069020000}"/>
    <cellStyle name="Normal 2 2 9 3" xfId="782" xr:uid="{00000000-0005-0000-0000-0000BA040000}"/>
    <cellStyle name="Normal 2 2 9 3 2" xfId="3210" xr:uid="{00000000-0005-0000-0000-00005D040000}"/>
    <cellStyle name="Normal 2 2 9 3 2 2" xfId="8562" xr:uid="{00000000-0005-0000-0000-0000CE050000}"/>
    <cellStyle name="Normal 2 2 9 3 2 3" xfId="10959" xr:uid="{00000000-0005-0000-0000-0000CE050000}"/>
    <cellStyle name="Normal 2 2 9 3 3" xfId="2738" xr:uid="{00000000-0005-0000-0000-00005E040000}"/>
    <cellStyle name="Normal 2 2 9 3 3 2" xfId="7985" xr:uid="{00000000-0005-0000-0000-0000CF050000}"/>
    <cellStyle name="Normal 2 2 9 3 3 3" xfId="10382" xr:uid="{00000000-0005-0000-0000-0000CF050000}"/>
    <cellStyle name="Normal 2 2 9 3 4" xfId="4167" xr:uid="{00000000-0005-0000-0000-00005C040000}"/>
    <cellStyle name="Normal 2 2 9 3 5" xfId="5875" xr:uid="{00000000-0005-0000-0000-0000A3020000}"/>
    <cellStyle name="Normal 2 2 9 3 6" xfId="7220" xr:uid="{00000000-0005-0000-0000-0000CD050000}"/>
    <cellStyle name="Normal 2 2 9 3 7" xfId="9625" xr:uid="{00000000-0005-0000-0000-0000CD050000}"/>
    <cellStyle name="Normal 2 2 9 4" xfId="783" xr:uid="{00000000-0005-0000-0000-0000BB040000}"/>
    <cellStyle name="Normal 2 2 9 4 2" xfId="4478" xr:uid="{00000000-0005-0000-0000-00005F040000}"/>
    <cellStyle name="Normal 2 2 9 4 2 2" xfId="8563" xr:uid="{00000000-0005-0000-0000-0000D1050000}"/>
    <cellStyle name="Normal 2 2 9 4 2 3" xfId="10960" xr:uid="{00000000-0005-0000-0000-0000D1050000}"/>
    <cellStyle name="Normal 2 2 9 4 3" xfId="5629" xr:uid="{00000000-0005-0000-0000-0000A4020000}"/>
    <cellStyle name="Normal 2 2 9 4 4" xfId="7221" xr:uid="{00000000-0005-0000-0000-0000D0050000}"/>
    <cellStyle name="Normal 2 2 9 4 5" xfId="9626" xr:uid="{00000000-0005-0000-0000-0000D0050000}"/>
    <cellStyle name="Normal 2 2 9 5" xfId="2908" xr:uid="{00000000-0005-0000-0000-000060040000}"/>
    <cellStyle name="Normal 2 2 9 5 2" xfId="8233" xr:uid="{00000000-0005-0000-0000-0000D3050000}"/>
    <cellStyle name="Normal 2 2 9 5 2 2" xfId="10630" xr:uid="{00000000-0005-0000-0000-0000D3050000}"/>
    <cellStyle name="Normal 2 2 9 5 3" xfId="7217" xr:uid="{00000000-0005-0000-0000-0000D2050000}"/>
    <cellStyle name="Normal 2 2 9 5 4" xfId="9622" xr:uid="{00000000-0005-0000-0000-0000D2050000}"/>
    <cellStyle name="Normal 2 2 9 6" xfId="2505" xr:uid="{00000000-0005-0000-0000-000061040000}"/>
    <cellStyle name="Normal 2 2 9 6 2" xfId="7703" xr:uid="{00000000-0005-0000-0000-0000D4050000}"/>
    <cellStyle name="Normal 2 2 9 6 3" xfId="10100" xr:uid="{00000000-0005-0000-0000-0000D4050000}"/>
    <cellStyle name="Normal 2 2 9 7" xfId="2261" xr:uid="{00000000-0005-0000-0000-000055040000}"/>
    <cellStyle name="Normal 2 2 9 8" xfId="3940" xr:uid="{00000000-0005-0000-0000-0000E4010000}"/>
    <cellStyle name="Normal 2 2 9 9" xfId="5383" xr:uid="{00000000-0005-0000-0000-00009F020000}"/>
    <cellStyle name="Normal 2 20" xfId="4753" xr:uid="{00000000-0005-0000-0000-000023020000}"/>
    <cellStyle name="Normal 2 21" xfId="6524" xr:uid="{00000000-0005-0000-0000-00008F040000}"/>
    <cellStyle name="Normal 2 22" xfId="8945" xr:uid="{00000000-0005-0000-0000-00008F040000}"/>
    <cellStyle name="Normal 2 3" xfId="784" xr:uid="{00000000-0005-0000-0000-0000BC040000}"/>
    <cellStyle name="Normal 2 4" xfId="785" xr:uid="{00000000-0005-0000-0000-0000BD040000}"/>
    <cellStyle name="Normal 2 5" xfId="786" xr:uid="{00000000-0005-0000-0000-0000BE040000}"/>
    <cellStyle name="Normal 2 5 10" xfId="787" xr:uid="{00000000-0005-0000-0000-0000BF040000}"/>
    <cellStyle name="Normal 2 5 10 2" xfId="3211" xr:uid="{00000000-0005-0000-0000-000066040000}"/>
    <cellStyle name="Normal 2 5 10 2 2" xfId="6391" xr:uid="{00000000-0005-0000-0000-000066040000}"/>
    <cellStyle name="Normal 2 5 10 2 3" xfId="7223" xr:uid="{00000000-0005-0000-0000-0000D9050000}"/>
    <cellStyle name="Normal 2 5 10 2 4" xfId="9628" xr:uid="{00000000-0005-0000-0000-0000D9050000}"/>
    <cellStyle name="Normal 2 5 10 3" xfId="4119" xr:uid="{00000000-0005-0000-0000-000065040000}"/>
    <cellStyle name="Normal 2 5 10 3 2" xfId="6094" xr:uid="{00000000-0005-0000-0000-000065040000}"/>
    <cellStyle name="Normal 2 5 10 3 3" xfId="8564" xr:uid="{00000000-0005-0000-0000-0000DA050000}"/>
    <cellStyle name="Normal 2 5 10 3 4" xfId="10961" xr:uid="{00000000-0005-0000-0000-0000DA050000}"/>
    <cellStyle name="Normal 2 5 10 4" xfId="5559" xr:uid="{00000000-0005-0000-0000-0000A8020000}"/>
    <cellStyle name="Normal 2 5 10 5" xfId="5134" xr:uid="{00000000-0005-0000-0000-00006D020000}"/>
    <cellStyle name="Normal 2 5 10 6" xfId="6812" xr:uid="{00000000-0005-0000-0000-0000D8050000}"/>
    <cellStyle name="Normal 2 5 10 7" xfId="9233" xr:uid="{00000000-0005-0000-0000-0000D8050000}"/>
    <cellStyle name="Normal 2 5 11" xfId="788" xr:uid="{00000000-0005-0000-0000-0000C0040000}"/>
    <cellStyle name="Normal 2 5 11 2" xfId="5293" xr:uid="{00000000-0005-0000-0000-00008F050000}"/>
    <cellStyle name="Normal 2 5 11 2 2" xfId="8170" xr:uid="{00000000-0005-0000-0000-0000DC050000}"/>
    <cellStyle name="Normal 2 5 11 2 3" xfId="10567" xr:uid="{00000000-0005-0000-0000-0000DC050000}"/>
    <cellStyle name="Normal 2 5 11 3" xfId="6263" xr:uid="{00000000-0005-0000-0000-000067040000}"/>
    <cellStyle name="Normal 2 5 11 4" xfId="7224" xr:uid="{00000000-0005-0000-0000-0000DB050000}"/>
    <cellStyle name="Normal 2 5 11 5" xfId="9629" xr:uid="{00000000-0005-0000-0000-0000DB050000}"/>
    <cellStyle name="Normal 2 5 12" xfId="2436" xr:uid="{00000000-0005-0000-0000-000068040000}"/>
    <cellStyle name="Normal 2 5 12 2" xfId="6148" xr:uid="{00000000-0005-0000-0000-000068040000}"/>
    <cellStyle name="Normal 2 5 12 3" xfId="7222" xr:uid="{00000000-0005-0000-0000-0000DD050000}"/>
    <cellStyle name="Normal 2 5 12 4" xfId="9627" xr:uid="{00000000-0005-0000-0000-0000DD050000}"/>
    <cellStyle name="Normal 2 5 13" xfId="2163" xr:uid="{00000000-0005-0000-0000-000064040000}"/>
    <cellStyle name="Normal 2 5 13 2" xfId="7633" xr:uid="{00000000-0005-0000-0000-0000DE050000}"/>
    <cellStyle name="Normal 2 5 13 3" xfId="10030" xr:uid="{00000000-0005-0000-0000-0000DE050000}"/>
    <cellStyle name="Normal 2 5 14" xfId="3943" xr:uid="{00000000-0005-0000-0000-0000E8010000}"/>
    <cellStyle name="Normal 2 5 15" xfId="5313" xr:uid="{00000000-0005-0000-0000-0000A7020000}"/>
    <cellStyle name="Normal 2 5 16" xfId="4768" xr:uid="{00000000-0005-0000-0000-00006C020000}"/>
    <cellStyle name="Normal 2 5 17" xfId="6532" xr:uid="{00000000-0005-0000-0000-0000D7050000}"/>
    <cellStyle name="Normal 2 5 18" xfId="8953" xr:uid="{00000000-0005-0000-0000-0000D7050000}"/>
    <cellStyle name="Normal 2 5 2" xfId="789" xr:uid="{00000000-0005-0000-0000-0000C1040000}"/>
    <cellStyle name="Normal 2 5 2 10" xfId="5373" xr:uid="{00000000-0005-0000-0000-0000A9020000}"/>
    <cellStyle name="Normal 2 5 2 11" xfId="4829" xr:uid="{00000000-0005-0000-0000-00006E020000}"/>
    <cellStyle name="Normal 2 5 2 12" xfId="6575" xr:uid="{00000000-0005-0000-0000-0000DF050000}"/>
    <cellStyle name="Normal 2 5 2 13" xfId="8996" xr:uid="{00000000-0005-0000-0000-0000DF050000}"/>
    <cellStyle name="Normal 2 5 2 2" xfId="790" xr:uid="{00000000-0005-0000-0000-0000C2040000}"/>
    <cellStyle name="Normal 2 5 2 2 10" xfId="4906" xr:uid="{00000000-0005-0000-0000-00006F020000}"/>
    <cellStyle name="Normal 2 5 2 2 11" xfId="6652" xr:uid="{00000000-0005-0000-0000-0000E0050000}"/>
    <cellStyle name="Normal 2 5 2 2 12" xfId="9073" xr:uid="{00000000-0005-0000-0000-0000E0050000}"/>
    <cellStyle name="Normal 2 5 2 2 2" xfId="791" xr:uid="{00000000-0005-0000-0000-0000C3040000}"/>
    <cellStyle name="Normal 2 5 2 2 2 2" xfId="2742" xr:uid="{00000000-0005-0000-0000-00006C040000}"/>
    <cellStyle name="Normal 2 5 2 2 2 2 2" xfId="3214" xr:uid="{00000000-0005-0000-0000-00006D040000}"/>
    <cellStyle name="Normal 2 5 2 2 2 2 2 2" xfId="8567" xr:uid="{00000000-0005-0000-0000-0000E3050000}"/>
    <cellStyle name="Normal 2 5 2 2 2 2 2 3" xfId="10964" xr:uid="{00000000-0005-0000-0000-0000E3050000}"/>
    <cellStyle name="Normal 2 5 2 2 2 2 3" xfId="4306" xr:uid="{00000000-0005-0000-0000-00006C040000}"/>
    <cellStyle name="Normal 2 5 2 2 2 2 3 2" xfId="11403" xr:uid="{00000000-0005-0000-0000-000096050000}"/>
    <cellStyle name="Normal 2 5 2 2 2 2 4" xfId="7990" xr:uid="{00000000-0005-0000-0000-0000E2050000}"/>
    <cellStyle name="Normal 2 5 2 2 2 2 5" xfId="10387" xr:uid="{00000000-0005-0000-0000-0000E2050000}"/>
    <cellStyle name="Normal 2 5 2 2 2 3" xfId="3215" xr:uid="{00000000-0005-0000-0000-00006E040000}"/>
    <cellStyle name="Normal 2 5 2 2 2 3 2" xfId="4479" xr:uid="{00000000-0005-0000-0000-00006E040000}"/>
    <cellStyle name="Normal 2 5 2 2 2 3 3" xfId="8568" xr:uid="{00000000-0005-0000-0000-0000E4050000}"/>
    <cellStyle name="Normal 2 5 2 2 2 3 4" xfId="10965" xr:uid="{00000000-0005-0000-0000-0000E4050000}"/>
    <cellStyle name="Normal 2 5 2 2 2 4" xfId="3213" xr:uid="{00000000-0005-0000-0000-00006F040000}"/>
    <cellStyle name="Normal 2 5 2 2 2 4 2" xfId="8566" xr:uid="{00000000-0005-0000-0000-0000E5050000}"/>
    <cellStyle name="Normal 2 5 2 2 2 4 3" xfId="10963" xr:uid="{00000000-0005-0000-0000-0000E5050000}"/>
    <cellStyle name="Normal 2 5 2 2 2 5" xfId="4245" xr:uid="{00000000-0005-0000-0000-00006B040000}"/>
    <cellStyle name="Normal 2 5 2 2 2 5 2" xfId="7856" xr:uid="{00000000-0005-0000-0000-0000E6050000}"/>
    <cellStyle name="Normal 2 5 2 2 2 5 3" xfId="10253" xr:uid="{00000000-0005-0000-0000-0000E6050000}"/>
    <cellStyle name="Normal 2 5 2 2 2 6" xfId="5534" xr:uid="{00000000-0005-0000-0000-0000AB020000}"/>
    <cellStyle name="Normal 2 5 2 2 2 7" xfId="5136" xr:uid="{00000000-0005-0000-0000-000070020000}"/>
    <cellStyle name="Normal 2 5 2 2 2 8" xfId="7227" xr:uid="{00000000-0005-0000-0000-0000E1050000}"/>
    <cellStyle name="Normal 2 5 2 2 2 9" xfId="9632" xr:uid="{00000000-0005-0000-0000-0000E1050000}"/>
    <cellStyle name="Normal 2 5 2 2 3" xfId="2741" xr:uid="{00000000-0005-0000-0000-000070040000}"/>
    <cellStyle name="Normal 2 5 2 2 3 2" xfId="3216" xr:uid="{00000000-0005-0000-0000-000071040000}"/>
    <cellStyle name="Normal 2 5 2 2 3 2 2" xfId="8569" xr:uid="{00000000-0005-0000-0000-0000E8050000}"/>
    <cellStyle name="Normal 2 5 2 2 3 2 3" xfId="10966" xr:uid="{00000000-0005-0000-0000-0000E8050000}"/>
    <cellStyle name="Normal 2 5 2 2 3 3" xfId="4305" xr:uid="{00000000-0005-0000-0000-000070040000}"/>
    <cellStyle name="Normal 2 5 2 2 3 3 2" xfId="7989" xr:uid="{00000000-0005-0000-0000-0000E9050000}"/>
    <cellStyle name="Normal 2 5 2 2 3 3 3" xfId="10386" xr:uid="{00000000-0005-0000-0000-0000E9050000}"/>
    <cellStyle name="Normal 2 5 2 2 3 4" xfId="5879" xr:uid="{00000000-0005-0000-0000-0000AE020000}"/>
    <cellStyle name="Normal 2 5 2 2 3 5" xfId="7226" xr:uid="{00000000-0005-0000-0000-0000E7050000}"/>
    <cellStyle name="Normal 2 5 2 2 3 6" xfId="9631" xr:uid="{00000000-0005-0000-0000-0000E7050000}"/>
    <cellStyle name="Normal 2 5 2 2 4" xfId="3217" xr:uid="{00000000-0005-0000-0000-000072040000}"/>
    <cellStyle name="Normal 2 5 2 2 4 2" xfId="4480" xr:uid="{00000000-0005-0000-0000-000072040000}"/>
    <cellStyle name="Normal 2 5 2 2 4 3" xfId="8570" xr:uid="{00000000-0005-0000-0000-0000EA050000}"/>
    <cellStyle name="Normal 2 5 2 2 4 4" xfId="10967" xr:uid="{00000000-0005-0000-0000-0000EA050000}"/>
    <cellStyle name="Normal 2 5 2 2 5" xfId="3212" xr:uid="{00000000-0005-0000-0000-000073040000}"/>
    <cellStyle name="Normal 2 5 2 2 5 2" xfId="8565" xr:uid="{00000000-0005-0000-0000-0000EB050000}"/>
    <cellStyle name="Normal 2 5 2 2 5 3" xfId="10962" xr:uid="{00000000-0005-0000-0000-0000EB050000}"/>
    <cellStyle name="Normal 2 5 2 2 6" xfId="2555" xr:uid="{00000000-0005-0000-0000-000074040000}"/>
    <cellStyle name="Normal 2 5 2 2 6 2" xfId="7753" xr:uid="{00000000-0005-0000-0000-0000EC050000}"/>
    <cellStyle name="Normal 2 5 2 2 6 3" xfId="10150" xr:uid="{00000000-0005-0000-0000-0000EC050000}"/>
    <cellStyle name="Normal 2 5 2 2 7" xfId="2249" xr:uid="{00000000-0005-0000-0000-00006A040000}"/>
    <cellStyle name="Normal 2 5 2 2 8" xfId="3800" xr:uid="{00000000-0005-0000-0000-0000EA010000}"/>
    <cellStyle name="Normal 2 5 2 2 9" xfId="5433" xr:uid="{00000000-0005-0000-0000-0000AA020000}"/>
    <cellStyle name="Normal 2 5 2 3" xfId="792" xr:uid="{00000000-0005-0000-0000-0000C4040000}"/>
    <cellStyle name="Normal 2 5 2 3 10" xfId="6813" xr:uid="{00000000-0005-0000-0000-0000ED050000}"/>
    <cellStyle name="Normal 2 5 2 3 11" xfId="9234" xr:uid="{00000000-0005-0000-0000-0000ED050000}"/>
    <cellStyle name="Normal 2 5 2 3 2" xfId="2743" xr:uid="{00000000-0005-0000-0000-000076040000}"/>
    <cellStyle name="Normal 2 5 2 3 2 2" xfId="3219" xr:uid="{00000000-0005-0000-0000-000077040000}"/>
    <cellStyle name="Normal 2 5 2 3 2 2 2" xfId="8572" xr:uid="{00000000-0005-0000-0000-0000EF050000}"/>
    <cellStyle name="Normal 2 5 2 3 2 2 3" xfId="10969" xr:uid="{00000000-0005-0000-0000-0000EF050000}"/>
    <cellStyle name="Normal 2 5 2 3 2 3" xfId="4307" xr:uid="{00000000-0005-0000-0000-000076040000}"/>
    <cellStyle name="Normal 2 5 2 3 2 3 2" xfId="7991" xr:uid="{00000000-0005-0000-0000-0000F0050000}"/>
    <cellStyle name="Normal 2 5 2 3 2 3 3" xfId="10388" xr:uid="{00000000-0005-0000-0000-0000F0050000}"/>
    <cellStyle name="Normal 2 5 2 3 2 4" xfId="5880" xr:uid="{00000000-0005-0000-0000-0000B1020000}"/>
    <cellStyle name="Normal 2 5 2 3 2 5" xfId="7228" xr:uid="{00000000-0005-0000-0000-0000EE050000}"/>
    <cellStyle name="Normal 2 5 2 3 2 6" xfId="9633" xr:uid="{00000000-0005-0000-0000-0000EE050000}"/>
    <cellStyle name="Normal 2 5 2 3 3" xfId="3220" xr:uid="{00000000-0005-0000-0000-000078040000}"/>
    <cellStyle name="Normal 2 5 2 3 3 2" xfId="4481" xr:uid="{00000000-0005-0000-0000-000078040000}"/>
    <cellStyle name="Normal 2 5 2 3 3 3" xfId="5705" xr:uid="{00000000-0005-0000-0000-0000B2020000}"/>
    <cellStyle name="Normal 2 5 2 3 3 4" xfId="8573" xr:uid="{00000000-0005-0000-0000-0000F1050000}"/>
    <cellStyle name="Normal 2 5 2 3 3 5" xfId="10970" xr:uid="{00000000-0005-0000-0000-0000F1050000}"/>
    <cellStyle name="Normal 2 5 2 3 4" xfId="3218" xr:uid="{00000000-0005-0000-0000-000079040000}"/>
    <cellStyle name="Normal 2 5 2 3 4 2" xfId="8571" xr:uid="{00000000-0005-0000-0000-0000F2050000}"/>
    <cellStyle name="Normal 2 5 2 3 4 3" xfId="10968" xr:uid="{00000000-0005-0000-0000-0000F2050000}"/>
    <cellStyle name="Normal 2 5 2 3 5" xfId="2598" xr:uid="{00000000-0005-0000-0000-00007A040000}"/>
    <cellStyle name="Normal 2 5 2 3 5 2" xfId="7796" xr:uid="{00000000-0005-0000-0000-0000F3050000}"/>
    <cellStyle name="Normal 2 5 2 3 5 3" xfId="10193" xr:uid="{00000000-0005-0000-0000-0000F3050000}"/>
    <cellStyle name="Normal 2 5 2 3 6" xfId="2334" xr:uid="{00000000-0005-0000-0000-000075040000}"/>
    <cellStyle name="Normal 2 5 2 3 7" xfId="3849" xr:uid="{00000000-0005-0000-0000-0000EB010000}"/>
    <cellStyle name="Normal 2 5 2 3 8" xfId="5474" xr:uid="{00000000-0005-0000-0000-0000B0020000}"/>
    <cellStyle name="Normal 2 5 2 3 9" xfId="5135" xr:uid="{00000000-0005-0000-0000-000071020000}"/>
    <cellStyle name="Normal 2 5 2 4" xfId="793" xr:uid="{00000000-0005-0000-0000-0000C5040000}"/>
    <cellStyle name="Normal 2 5 2 4 2" xfId="3221" xr:uid="{00000000-0005-0000-0000-00007C040000}"/>
    <cellStyle name="Normal 2 5 2 4 2 2" xfId="8574" xr:uid="{00000000-0005-0000-0000-0000F5050000}"/>
    <cellStyle name="Normal 2 5 2 4 2 3" xfId="10971" xr:uid="{00000000-0005-0000-0000-0000F5050000}"/>
    <cellStyle name="Normal 2 5 2 4 3" xfId="2740" xr:uid="{00000000-0005-0000-0000-00007D040000}"/>
    <cellStyle name="Normal 2 5 2 4 3 2" xfId="7988" xr:uid="{00000000-0005-0000-0000-0000F6050000}"/>
    <cellStyle name="Normal 2 5 2 4 3 3" xfId="10385" xr:uid="{00000000-0005-0000-0000-0000F6050000}"/>
    <cellStyle name="Normal 2 5 2 4 4" xfId="4168" xr:uid="{00000000-0005-0000-0000-00007B040000}"/>
    <cellStyle name="Normal 2 5 2 4 5" xfId="5878" xr:uid="{00000000-0005-0000-0000-0000B3020000}"/>
    <cellStyle name="Normal 2 5 2 4 6" xfId="7229" xr:uid="{00000000-0005-0000-0000-0000F4050000}"/>
    <cellStyle name="Normal 2 5 2 4 7" xfId="9634" xr:uid="{00000000-0005-0000-0000-0000F4050000}"/>
    <cellStyle name="Normal 2 5 2 5" xfId="3222" xr:uid="{00000000-0005-0000-0000-00007E040000}"/>
    <cellStyle name="Normal 2 5 2 5 2" xfId="4482" xr:uid="{00000000-0005-0000-0000-00007E040000}"/>
    <cellStyle name="Normal 2 5 2 5 2 2" xfId="8575" xr:uid="{00000000-0005-0000-0000-0000F8050000}"/>
    <cellStyle name="Normal 2 5 2 5 2 3" xfId="10972" xr:uid="{00000000-0005-0000-0000-0000F8050000}"/>
    <cellStyle name="Normal 2 5 2 5 3" xfId="5619" xr:uid="{00000000-0005-0000-0000-0000B4020000}"/>
    <cellStyle name="Normal 2 5 2 5 4" xfId="7225" xr:uid="{00000000-0005-0000-0000-0000F7050000}"/>
    <cellStyle name="Normal 2 5 2 5 5" xfId="9630" xr:uid="{00000000-0005-0000-0000-0000F7050000}"/>
    <cellStyle name="Normal 2 5 2 6" xfId="2909" xr:uid="{00000000-0005-0000-0000-00007F040000}"/>
    <cellStyle name="Normal 2 5 2 6 2" xfId="8234" xr:uid="{00000000-0005-0000-0000-0000F9050000}"/>
    <cellStyle name="Normal 2 5 2 6 3" xfId="10631" xr:uid="{00000000-0005-0000-0000-0000F9050000}"/>
    <cellStyle name="Normal 2 5 2 7" xfId="2495" xr:uid="{00000000-0005-0000-0000-000080040000}"/>
    <cellStyle name="Normal 2 5 2 7 2" xfId="7693" xr:uid="{00000000-0005-0000-0000-0000FA050000}"/>
    <cellStyle name="Normal 2 5 2 7 3" xfId="10090" xr:uid="{00000000-0005-0000-0000-0000FA050000}"/>
    <cellStyle name="Normal 2 5 2 8" xfId="2189" xr:uid="{00000000-0005-0000-0000-000069040000}"/>
    <cellStyle name="Normal 2 5 2 9" xfId="3944" xr:uid="{00000000-0005-0000-0000-0000E9010000}"/>
    <cellStyle name="Normal 2 5 3" xfId="794" xr:uid="{00000000-0005-0000-0000-0000C6040000}"/>
    <cellStyle name="Normal 2 5 3 10" xfId="5347" xr:uid="{00000000-0005-0000-0000-0000B5020000}"/>
    <cellStyle name="Normal 2 5 3 11" xfId="4803" xr:uid="{00000000-0005-0000-0000-000072020000}"/>
    <cellStyle name="Normal 2 5 3 12" xfId="6549" xr:uid="{00000000-0005-0000-0000-0000FB050000}"/>
    <cellStyle name="Normal 2 5 3 13" xfId="8970" xr:uid="{00000000-0005-0000-0000-0000FB050000}"/>
    <cellStyle name="Normal 2 5 3 2" xfId="795" xr:uid="{00000000-0005-0000-0000-0000C7040000}"/>
    <cellStyle name="Normal 2 5 3 2 10" xfId="6653" xr:uid="{00000000-0005-0000-0000-0000FC050000}"/>
    <cellStyle name="Normal 2 5 3 2 11" xfId="9074" xr:uid="{00000000-0005-0000-0000-0000FC050000}"/>
    <cellStyle name="Normal 2 5 3 2 2" xfId="796" xr:uid="{00000000-0005-0000-0000-0000C8040000}"/>
    <cellStyle name="Normal 2 5 3 2 2 2" xfId="3224" xr:uid="{00000000-0005-0000-0000-000084040000}"/>
    <cellStyle name="Normal 2 5 3 2 2 2 2" xfId="8577" xr:uid="{00000000-0005-0000-0000-0000FE050000}"/>
    <cellStyle name="Normal 2 5 3 2 2 2 3" xfId="10974" xr:uid="{00000000-0005-0000-0000-0000FE050000}"/>
    <cellStyle name="Normal 2 5 3 2 2 3" xfId="4309" xr:uid="{00000000-0005-0000-0000-000083040000}"/>
    <cellStyle name="Normal 2 5 3 2 2 3 2" xfId="7993" xr:uid="{00000000-0005-0000-0000-0000FF050000}"/>
    <cellStyle name="Normal 2 5 3 2 2 3 3" xfId="10390" xr:uid="{00000000-0005-0000-0000-0000FF050000}"/>
    <cellStyle name="Normal 2 5 3 2 2 4" xfId="5882" xr:uid="{00000000-0005-0000-0000-0000B7020000}"/>
    <cellStyle name="Normal 2 5 3 2 2 5" xfId="5138" xr:uid="{00000000-0005-0000-0000-000074020000}"/>
    <cellStyle name="Normal 2 5 3 2 2 6" xfId="7232" xr:uid="{00000000-0005-0000-0000-0000FD050000}"/>
    <cellStyle name="Normal 2 5 3 2 2 7" xfId="9637" xr:uid="{00000000-0005-0000-0000-0000FD050000}"/>
    <cellStyle name="Normal 2 5 3 2 3" xfId="3225" xr:uid="{00000000-0005-0000-0000-000085040000}"/>
    <cellStyle name="Normal 2 5 3 2 3 2" xfId="4483" xr:uid="{00000000-0005-0000-0000-000085040000}"/>
    <cellStyle name="Normal 2 5 3 2 3 2 2" xfId="8578" xr:uid="{00000000-0005-0000-0000-000001060000}"/>
    <cellStyle name="Normal 2 5 3 2 3 2 3" xfId="10975" xr:uid="{00000000-0005-0000-0000-000001060000}"/>
    <cellStyle name="Normal 2 5 3 2 3 3" xfId="5653" xr:uid="{00000000-0005-0000-0000-0000B8020000}"/>
    <cellStyle name="Normal 2 5 3 2 3 4" xfId="7231" xr:uid="{00000000-0005-0000-0000-000000060000}"/>
    <cellStyle name="Normal 2 5 3 2 3 5" xfId="9636" xr:uid="{00000000-0005-0000-0000-000000060000}"/>
    <cellStyle name="Normal 2 5 3 2 4" xfId="3223" xr:uid="{00000000-0005-0000-0000-000086040000}"/>
    <cellStyle name="Normal 2 5 3 2 4 2" xfId="8576" xr:uid="{00000000-0005-0000-0000-000002060000}"/>
    <cellStyle name="Normal 2 5 3 2 4 3" xfId="10973" xr:uid="{00000000-0005-0000-0000-000002060000}"/>
    <cellStyle name="Normal 2 5 3 2 5" xfId="2529" xr:uid="{00000000-0005-0000-0000-000087040000}"/>
    <cellStyle name="Normal 2 5 3 2 5 2" xfId="7727" xr:uid="{00000000-0005-0000-0000-000003060000}"/>
    <cellStyle name="Normal 2 5 3 2 5 3" xfId="10124" xr:uid="{00000000-0005-0000-0000-000003060000}"/>
    <cellStyle name="Normal 2 5 3 2 6" xfId="2335" xr:uid="{00000000-0005-0000-0000-000082040000}"/>
    <cellStyle name="Normal 2 5 3 2 7" xfId="3850" xr:uid="{00000000-0005-0000-0000-0000ED010000}"/>
    <cellStyle name="Normal 2 5 3 2 8" xfId="5407" xr:uid="{00000000-0005-0000-0000-0000B6020000}"/>
    <cellStyle name="Normal 2 5 3 2 9" xfId="4907" xr:uid="{00000000-0005-0000-0000-000073020000}"/>
    <cellStyle name="Normal 2 5 3 3" xfId="797" xr:uid="{00000000-0005-0000-0000-0000C9040000}"/>
    <cellStyle name="Normal 2 5 3 3 10" xfId="9235" xr:uid="{00000000-0005-0000-0000-000004060000}"/>
    <cellStyle name="Normal 2 5 3 3 2" xfId="2744" xr:uid="{00000000-0005-0000-0000-000089040000}"/>
    <cellStyle name="Normal 2 5 3 3 2 2" xfId="3227" xr:uid="{00000000-0005-0000-0000-00008A040000}"/>
    <cellStyle name="Normal 2 5 3 3 2 2 2" xfId="8580" xr:uid="{00000000-0005-0000-0000-000006060000}"/>
    <cellStyle name="Normal 2 5 3 3 2 2 3" xfId="10977" xr:uid="{00000000-0005-0000-0000-000006060000}"/>
    <cellStyle name="Normal 2 5 3 3 2 3" xfId="4310" xr:uid="{00000000-0005-0000-0000-000089040000}"/>
    <cellStyle name="Normal 2 5 3 3 2 3 2" xfId="7994" xr:uid="{00000000-0005-0000-0000-000007060000}"/>
    <cellStyle name="Normal 2 5 3 3 2 3 3" xfId="10391" xr:uid="{00000000-0005-0000-0000-000007060000}"/>
    <cellStyle name="Normal 2 5 3 3 2 4" xfId="5883" xr:uid="{00000000-0005-0000-0000-0000BA020000}"/>
    <cellStyle name="Normal 2 5 3 3 2 5" xfId="7233" xr:uid="{00000000-0005-0000-0000-000005060000}"/>
    <cellStyle name="Normal 2 5 3 3 2 6" xfId="9638" xr:uid="{00000000-0005-0000-0000-000005060000}"/>
    <cellStyle name="Normal 2 5 3 3 3" xfId="3228" xr:uid="{00000000-0005-0000-0000-00008B040000}"/>
    <cellStyle name="Normal 2 5 3 3 3 2" xfId="4484" xr:uid="{00000000-0005-0000-0000-00008B040000}"/>
    <cellStyle name="Normal 2 5 3 3 3 3" xfId="5738" xr:uid="{00000000-0005-0000-0000-0000BB020000}"/>
    <cellStyle name="Normal 2 5 3 3 3 4" xfId="8581" xr:uid="{00000000-0005-0000-0000-000008060000}"/>
    <cellStyle name="Normal 2 5 3 3 3 5" xfId="10978" xr:uid="{00000000-0005-0000-0000-000008060000}"/>
    <cellStyle name="Normal 2 5 3 3 4" xfId="3226" xr:uid="{00000000-0005-0000-0000-00008C040000}"/>
    <cellStyle name="Normal 2 5 3 3 4 2" xfId="8579" xr:uid="{00000000-0005-0000-0000-000009060000}"/>
    <cellStyle name="Normal 2 5 3 3 4 3" xfId="10976" xr:uid="{00000000-0005-0000-0000-000009060000}"/>
    <cellStyle name="Normal 2 5 3 3 5" xfId="2632" xr:uid="{00000000-0005-0000-0000-00008D040000}"/>
    <cellStyle name="Normal 2 5 3 3 5 2" xfId="7830" xr:uid="{00000000-0005-0000-0000-00000A060000}"/>
    <cellStyle name="Normal 2 5 3 3 5 3" xfId="10227" xr:uid="{00000000-0005-0000-0000-00000A060000}"/>
    <cellStyle name="Normal 2 5 3 3 6" xfId="4169" xr:uid="{00000000-0005-0000-0000-000088040000}"/>
    <cellStyle name="Normal 2 5 3 3 7" xfId="5508" xr:uid="{00000000-0005-0000-0000-0000B9020000}"/>
    <cellStyle name="Normal 2 5 3 3 8" xfId="5137" xr:uid="{00000000-0005-0000-0000-000075020000}"/>
    <cellStyle name="Normal 2 5 3 3 9" xfId="6814" xr:uid="{00000000-0005-0000-0000-000004060000}"/>
    <cellStyle name="Normal 2 5 3 4" xfId="798" xr:uid="{00000000-0005-0000-0000-0000CA040000}"/>
    <cellStyle name="Normal 2 5 3 4 2" xfId="3229" xr:uid="{00000000-0005-0000-0000-00008F040000}"/>
    <cellStyle name="Normal 2 5 3 4 2 2" xfId="8582" xr:uid="{00000000-0005-0000-0000-00000C060000}"/>
    <cellStyle name="Normal 2 5 3 4 2 3" xfId="10979" xr:uid="{00000000-0005-0000-0000-00000C060000}"/>
    <cellStyle name="Normal 2 5 3 4 3" xfId="4308" xr:uid="{00000000-0005-0000-0000-00008E040000}"/>
    <cellStyle name="Normal 2 5 3 4 3 2" xfId="7992" xr:uid="{00000000-0005-0000-0000-00000D060000}"/>
    <cellStyle name="Normal 2 5 3 4 3 3" xfId="10389" xr:uid="{00000000-0005-0000-0000-00000D060000}"/>
    <cellStyle name="Normal 2 5 3 4 4" xfId="5881" xr:uid="{00000000-0005-0000-0000-0000BC020000}"/>
    <cellStyle name="Normal 2 5 3 4 5" xfId="7234" xr:uid="{00000000-0005-0000-0000-00000B060000}"/>
    <cellStyle name="Normal 2 5 3 4 6" xfId="9639" xr:uid="{00000000-0005-0000-0000-00000B060000}"/>
    <cellStyle name="Normal 2 5 3 5" xfId="3230" xr:uid="{00000000-0005-0000-0000-000090040000}"/>
    <cellStyle name="Normal 2 5 3 5 2" xfId="4485" xr:uid="{00000000-0005-0000-0000-000090040000}"/>
    <cellStyle name="Normal 2 5 3 5 2 2" xfId="8583" xr:uid="{00000000-0005-0000-0000-00000F060000}"/>
    <cellStyle name="Normal 2 5 3 5 2 3" xfId="10980" xr:uid="{00000000-0005-0000-0000-00000F060000}"/>
    <cellStyle name="Normal 2 5 3 5 3" xfId="5593" xr:uid="{00000000-0005-0000-0000-0000BD020000}"/>
    <cellStyle name="Normal 2 5 3 5 4" xfId="7230" xr:uid="{00000000-0005-0000-0000-00000E060000}"/>
    <cellStyle name="Normal 2 5 3 5 5" xfId="9635" xr:uid="{00000000-0005-0000-0000-00000E060000}"/>
    <cellStyle name="Normal 2 5 3 6" xfId="2910" xr:uid="{00000000-0005-0000-0000-000091040000}"/>
    <cellStyle name="Normal 2 5 3 6 2" xfId="8235" xr:uid="{00000000-0005-0000-0000-000010060000}"/>
    <cellStyle name="Normal 2 5 3 6 3" xfId="10632" xr:uid="{00000000-0005-0000-0000-000010060000}"/>
    <cellStyle name="Normal 2 5 3 7" xfId="2469" xr:uid="{00000000-0005-0000-0000-000092040000}"/>
    <cellStyle name="Normal 2 5 3 7 2" xfId="7667" xr:uid="{00000000-0005-0000-0000-000011060000}"/>
    <cellStyle name="Normal 2 5 3 7 3" xfId="10064" xr:uid="{00000000-0005-0000-0000-000011060000}"/>
    <cellStyle name="Normal 2 5 3 8" xfId="2223" xr:uid="{00000000-0005-0000-0000-000081040000}"/>
    <cellStyle name="Normal 2 5 3 9" xfId="3945" xr:uid="{00000000-0005-0000-0000-0000EC010000}"/>
    <cellStyle name="Normal 2 5 4" xfId="799" xr:uid="{00000000-0005-0000-0000-0000CB040000}"/>
    <cellStyle name="Normal 2 5 4 10" xfId="4786" xr:uid="{00000000-0005-0000-0000-000076020000}"/>
    <cellStyle name="Normal 2 5 4 11" xfId="6654" xr:uid="{00000000-0005-0000-0000-000012060000}"/>
    <cellStyle name="Normal 2 5 4 12" xfId="9075" xr:uid="{00000000-0005-0000-0000-000012060000}"/>
    <cellStyle name="Normal 2 5 4 2" xfId="800" xr:uid="{00000000-0005-0000-0000-0000CC040000}"/>
    <cellStyle name="Normal 2 5 4 2 10" xfId="6815" xr:uid="{00000000-0005-0000-0000-000013060000}"/>
    <cellStyle name="Normal 2 5 4 2 11" xfId="9236" xr:uid="{00000000-0005-0000-0000-000013060000}"/>
    <cellStyle name="Normal 2 5 4 2 2" xfId="801" xr:uid="{00000000-0005-0000-0000-0000CD040000}"/>
    <cellStyle name="Normal 2 5 4 2 2 2" xfId="3232" xr:uid="{00000000-0005-0000-0000-000096040000}"/>
    <cellStyle name="Normal 2 5 4 2 2 2 2" xfId="8585" xr:uid="{00000000-0005-0000-0000-000015060000}"/>
    <cellStyle name="Normal 2 5 4 2 2 2 3" xfId="10982" xr:uid="{00000000-0005-0000-0000-000015060000}"/>
    <cellStyle name="Normal 2 5 4 2 2 3" xfId="4311" xr:uid="{00000000-0005-0000-0000-000095040000}"/>
    <cellStyle name="Normal 2 5 4 2 2 3 2" xfId="7996" xr:uid="{00000000-0005-0000-0000-000016060000}"/>
    <cellStyle name="Normal 2 5 4 2 2 3 3" xfId="10393" xr:uid="{00000000-0005-0000-0000-000016060000}"/>
    <cellStyle name="Normal 2 5 4 2 2 4" xfId="5885" xr:uid="{00000000-0005-0000-0000-0000C0020000}"/>
    <cellStyle name="Normal 2 5 4 2 2 5" xfId="5140" xr:uid="{00000000-0005-0000-0000-000078020000}"/>
    <cellStyle name="Normal 2 5 4 2 2 6" xfId="7237" xr:uid="{00000000-0005-0000-0000-000014060000}"/>
    <cellStyle name="Normal 2 5 4 2 2 7" xfId="9642" xr:uid="{00000000-0005-0000-0000-000014060000}"/>
    <cellStyle name="Normal 2 5 4 2 3" xfId="3233" xr:uid="{00000000-0005-0000-0000-000097040000}"/>
    <cellStyle name="Normal 2 5 4 2 3 2" xfId="4486" xr:uid="{00000000-0005-0000-0000-000097040000}"/>
    <cellStyle name="Normal 2 5 4 2 3 2 2" xfId="8586" xr:uid="{00000000-0005-0000-0000-000018060000}"/>
    <cellStyle name="Normal 2 5 4 2 3 2 3" xfId="10983" xr:uid="{00000000-0005-0000-0000-000018060000}"/>
    <cellStyle name="Normal 2 5 4 2 3 3" xfId="5721" xr:uid="{00000000-0005-0000-0000-0000C1020000}"/>
    <cellStyle name="Normal 2 5 4 2 3 4" xfId="7236" xr:uid="{00000000-0005-0000-0000-000017060000}"/>
    <cellStyle name="Normal 2 5 4 2 3 5" xfId="9641" xr:uid="{00000000-0005-0000-0000-000017060000}"/>
    <cellStyle name="Normal 2 5 4 2 4" xfId="3231" xr:uid="{00000000-0005-0000-0000-000098040000}"/>
    <cellStyle name="Normal 2 5 4 2 4 2" xfId="8584" xr:uid="{00000000-0005-0000-0000-000019060000}"/>
    <cellStyle name="Normal 2 5 4 2 4 3" xfId="10981" xr:uid="{00000000-0005-0000-0000-000019060000}"/>
    <cellStyle name="Normal 2 5 4 2 5" xfId="2615" xr:uid="{00000000-0005-0000-0000-000099040000}"/>
    <cellStyle name="Normal 2 5 4 2 5 2" xfId="7813" xr:uid="{00000000-0005-0000-0000-00001A060000}"/>
    <cellStyle name="Normal 2 5 4 2 5 3" xfId="10210" xr:uid="{00000000-0005-0000-0000-00001A060000}"/>
    <cellStyle name="Normal 2 5 4 2 6" xfId="2336" xr:uid="{00000000-0005-0000-0000-000094040000}"/>
    <cellStyle name="Normal 2 5 4 2 7" xfId="3851" xr:uid="{00000000-0005-0000-0000-0000EF010000}"/>
    <cellStyle name="Normal 2 5 4 2 8" xfId="5491" xr:uid="{00000000-0005-0000-0000-0000BF020000}"/>
    <cellStyle name="Normal 2 5 4 2 9" xfId="4908" xr:uid="{00000000-0005-0000-0000-000077020000}"/>
    <cellStyle name="Normal 2 5 4 3" xfId="802" xr:uid="{00000000-0005-0000-0000-0000CE040000}"/>
    <cellStyle name="Normal 2 5 4 3 2" xfId="3234" xr:uid="{00000000-0005-0000-0000-00009B040000}"/>
    <cellStyle name="Normal 2 5 4 3 2 2" xfId="8587" xr:uid="{00000000-0005-0000-0000-00001C060000}"/>
    <cellStyle name="Normal 2 5 4 3 2 3" xfId="10984" xr:uid="{00000000-0005-0000-0000-00001C060000}"/>
    <cellStyle name="Normal 2 5 4 3 3" xfId="2745" xr:uid="{00000000-0005-0000-0000-00009C040000}"/>
    <cellStyle name="Normal 2 5 4 3 3 2" xfId="7995" xr:uid="{00000000-0005-0000-0000-00001D060000}"/>
    <cellStyle name="Normal 2 5 4 3 3 3" xfId="10392" xr:uid="{00000000-0005-0000-0000-00001D060000}"/>
    <cellStyle name="Normal 2 5 4 3 4" xfId="4170" xr:uid="{00000000-0005-0000-0000-00009A040000}"/>
    <cellStyle name="Normal 2 5 4 3 5" xfId="5884" xr:uid="{00000000-0005-0000-0000-0000C2020000}"/>
    <cellStyle name="Normal 2 5 4 3 6" xfId="5139" xr:uid="{00000000-0005-0000-0000-000079020000}"/>
    <cellStyle name="Normal 2 5 4 3 7" xfId="7238" xr:uid="{00000000-0005-0000-0000-00001B060000}"/>
    <cellStyle name="Normal 2 5 4 3 8" xfId="9643" xr:uid="{00000000-0005-0000-0000-00001B060000}"/>
    <cellStyle name="Normal 2 5 4 4" xfId="803" xr:uid="{00000000-0005-0000-0000-0000CF040000}"/>
    <cellStyle name="Normal 2 5 4 4 2" xfId="4487" xr:uid="{00000000-0005-0000-0000-00009D040000}"/>
    <cellStyle name="Normal 2 5 4 4 2 2" xfId="8588" xr:uid="{00000000-0005-0000-0000-00001F060000}"/>
    <cellStyle name="Normal 2 5 4 4 2 3" xfId="10985" xr:uid="{00000000-0005-0000-0000-00001F060000}"/>
    <cellStyle name="Normal 2 5 4 4 3" xfId="5576" xr:uid="{00000000-0005-0000-0000-0000C3020000}"/>
    <cellStyle name="Normal 2 5 4 4 4" xfId="7239" xr:uid="{00000000-0005-0000-0000-00001E060000}"/>
    <cellStyle name="Normal 2 5 4 4 5" xfId="9644" xr:uid="{00000000-0005-0000-0000-00001E060000}"/>
    <cellStyle name="Normal 2 5 4 5" xfId="2911" xr:uid="{00000000-0005-0000-0000-00009E040000}"/>
    <cellStyle name="Normal 2 5 4 5 2" xfId="8236" xr:uid="{00000000-0005-0000-0000-000021060000}"/>
    <cellStyle name="Normal 2 5 4 5 2 2" xfId="10633" xr:uid="{00000000-0005-0000-0000-000021060000}"/>
    <cellStyle name="Normal 2 5 4 5 3" xfId="7235" xr:uid="{00000000-0005-0000-0000-000020060000}"/>
    <cellStyle name="Normal 2 5 4 5 4" xfId="9640" xr:uid="{00000000-0005-0000-0000-000020060000}"/>
    <cellStyle name="Normal 2 5 4 6" xfId="2452" xr:uid="{00000000-0005-0000-0000-00009F040000}"/>
    <cellStyle name="Normal 2 5 4 6 2" xfId="7650" xr:uid="{00000000-0005-0000-0000-000022060000}"/>
    <cellStyle name="Normal 2 5 4 6 3" xfId="10047" xr:uid="{00000000-0005-0000-0000-000022060000}"/>
    <cellStyle name="Normal 2 5 4 7" xfId="2206" xr:uid="{00000000-0005-0000-0000-000093040000}"/>
    <cellStyle name="Normal 2 5 4 8" xfId="3946" xr:uid="{00000000-0005-0000-0000-0000EE010000}"/>
    <cellStyle name="Normal 2 5 4 9" xfId="5330" xr:uid="{00000000-0005-0000-0000-0000BE020000}"/>
    <cellStyle name="Normal 2 5 5" xfId="804" xr:uid="{00000000-0005-0000-0000-0000D0040000}"/>
    <cellStyle name="Normal 2 5 5 10" xfId="6655" xr:uid="{00000000-0005-0000-0000-000023060000}"/>
    <cellStyle name="Normal 2 5 5 11" xfId="9076" xr:uid="{00000000-0005-0000-0000-000023060000}"/>
    <cellStyle name="Normal 2 5 5 2" xfId="805" xr:uid="{00000000-0005-0000-0000-0000D1040000}"/>
    <cellStyle name="Normal 2 5 5 2 2" xfId="806" xr:uid="{00000000-0005-0000-0000-0000D2040000}"/>
    <cellStyle name="Normal 2 5 5 2 2 2" xfId="6392" xr:uid="{00000000-0005-0000-0000-0000A2040000}"/>
    <cellStyle name="Normal 2 5 5 2 2 2 2" xfId="8589" xr:uid="{00000000-0005-0000-0000-000026060000}"/>
    <cellStyle name="Normal 2 5 5 2 2 2 3" xfId="10986" xr:uid="{00000000-0005-0000-0000-000026060000}"/>
    <cellStyle name="Normal 2 5 5 2 2 3" xfId="7242" xr:uid="{00000000-0005-0000-0000-000025060000}"/>
    <cellStyle name="Normal 2 5 5 2 2 4" xfId="9647" xr:uid="{00000000-0005-0000-0000-000025060000}"/>
    <cellStyle name="Normal 2 5 5 2 3" xfId="2746" xr:uid="{00000000-0005-0000-0000-0000A3040000}"/>
    <cellStyle name="Normal 2 5 5 2 3 2" xfId="6201" xr:uid="{00000000-0005-0000-0000-0000A3040000}"/>
    <cellStyle name="Normal 2 5 5 2 3 3" xfId="7241" xr:uid="{00000000-0005-0000-0000-000027060000}"/>
    <cellStyle name="Normal 2 5 5 2 3 4" xfId="9646" xr:uid="{00000000-0005-0000-0000-000027060000}"/>
    <cellStyle name="Normal 2 5 5 2 4" xfId="4171" xr:uid="{00000000-0005-0000-0000-0000A1040000}"/>
    <cellStyle name="Normal 2 5 5 2 4 2" xfId="7997" xr:uid="{00000000-0005-0000-0000-000028060000}"/>
    <cellStyle name="Normal 2 5 5 2 4 3" xfId="10394" xr:uid="{00000000-0005-0000-0000-000028060000}"/>
    <cellStyle name="Normal 2 5 5 2 5" xfId="5886" xr:uid="{00000000-0005-0000-0000-0000C5020000}"/>
    <cellStyle name="Normal 2 5 5 2 6" xfId="5141" xr:uid="{00000000-0005-0000-0000-00007B020000}"/>
    <cellStyle name="Normal 2 5 5 2 7" xfId="6816" xr:uid="{00000000-0005-0000-0000-000024060000}"/>
    <cellStyle name="Normal 2 5 5 2 8" xfId="9237" xr:uid="{00000000-0005-0000-0000-000024060000}"/>
    <cellStyle name="Normal 2 5 5 3" xfId="807" xr:uid="{00000000-0005-0000-0000-0000D3040000}"/>
    <cellStyle name="Normal 2 5 5 3 2" xfId="4488" xr:uid="{00000000-0005-0000-0000-0000A4040000}"/>
    <cellStyle name="Normal 2 5 5 3 2 2" xfId="8590" xr:uid="{00000000-0005-0000-0000-00002A060000}"/>
    <cellStyle name="Normal 2 5 5 3 2 3" xfId="10987" xr:uid="{00000000-0005-0000-0000-00002A060000}"/>
    <cellStyle name="Normal 2 5 5 3 3" xfId="5636" xr:uid="{00000000-0005-0000-0000-0000C6020000}"/>
    <cellStyle name="Normal 2 5 5 3 4" xfId="7243" xr:uid="{00000000-0005-0000-0000-000029060000}"/>
    <cellStyle name="Normal 2 5 5 3 5" xfId="9648" xr:uid="{00000000-0005-0000-0000-000029060000}"/>
    <cellStyle name="Normal 2 5 5 4" xfId="808" xr:uid="{00000000-0005-0000-0000-0000D4040000}"/>
    <cellStyle name="Normal 2 5 5 4 2" xfId="6303" xr:uid="{00000000-0005-0000-0000-0000A5040000}"/>
    <cellStyle name="Normal 2 5 5 4 2 2" xfId="8237" xr:uid="{00000000-0005-0000-0000-00002C060000}"/>
    <cellStyle name="Normal 2 5 5 4 2 3" xfId="10634" xr:uid="{00000000-0005-0000-0000-00002C060000}"/>
    <cellStyle name="Normal 2 5 5 4 3" xfId="7244" xr:uid="{00000000-0005-0000-0000-00002B060000}"/>
    <cellStyle name="Normal 2 5 5 4 4" xfId="9649" xr:uid="{00000000-0005-0000-0000-00002B060000}"/>
    <cellStyle name="Normal 2 5 5 5" xfId="2512" xr:uid="{00000000-0005-0000-0000-0000A6040000}"/>
    <cellStyle name="Normal 2 5 5 5 2" xfId="7240" xr:uid="{00000000-0005-0000-0000-00002D060000}"/>
    <cellStyle name="Normal 2 5 5 5 3" xfId="9645" xr:uid="{00000000-0005-0000-0000-00002D060000}"/>
    <cellStyle name="Normal 2 5 5 6" xfId="2337" xr:uid="{00000000-0005-0000-0000-0000A0040000}"/>
    <cellStyle name="Normal 2 5 5 6 2" xfId="7710" xr:uid="{00000000-0005-0000-0000-00002E060000}"/>
    <cellStyle name="Normal 2 5 5 6 3" xfId="10107" xr:uid="{00000000-0005-0000-0000-00002E060000}"/>
    <cellStyle name="Normal 2 5 5 7" xfId="3947" xr:uid="{00000000-0005-0000-0000-0000F0010000}"/>
    <cellStyle name="Normal 2 5 5 8" xfId="5390" xr:uid="{00000000-0005-0000-0000-0000C4020000}"/>
    <cellStyle name="Normal 2 5 5 9" xfId="4909" xr:uid="{00000000-0005-0000-0000-00007A020000}"/>
    <cellStyle name="Normal 2 5 6" xfId="809" xr:uid="{00000000-0005-0000-0000-0000D5040000}"/>
    <cellStyle name="Normal 2 5 6 10" xfId="6656" xr:uid="{00000000-0005-0000-0000-00002F060000}"/>
    <cellStyle name="Normal 2 5 6 11" xfId="9077" xr:uid="{00000000-0005-0000-0000-00002F060000}"/>
    <cellStyle name="Normal 2 5 6 2" xfId="810" xr:uid="{00000000-0005-0000-0000-0000D6040000}"/>
    <cellStyle name="Normal 2 5 6 2 2" xfId="811" xr:uid="{00000000-0005-0000-0000-0000D7040000}"/>
    <cellStyle name="Normal 2 5 6 2 2 2" xfId="6393" xr:uid="{00000000-0005-0000-0000-0000A9040000}"/>
    <cellStyle name="Normal 2 5 6 2 2 2 2" xfId="8591" xr:uid="{00000000-0005-0000-0000-000032060000}"/>
    <cellStyle name="Normal 2 5 6 2 2 2 3" xfId="10988" xr:uid="{00000000-0005-0000-0000-000032060000}"/>
    <cellStyle name="Normal 2 5 6 2 2 3" xfId="7247" xr:uid="{00000000-0005-0000-0000-000031060000}"/>
    <cellStyle name="Normal 2 5 6 2 2 4" xfId="9652" xr:uid="{00000000-0005-0000-0000-000031060000}"/>
    <cellStyle name="Normal 2 5 6 2 3" xfId="2747" xr:uid="{00000000-0005-0000-0000-0000AA040000}"/>
    <cellStyle name="Normal 2 5 6 2 3 2" xfId="6202" xr:uid="{00000000-0005-0000-0000-0000AA040000}"/>
    <cellStyle name="Normal 2 5 6 2 3 3" xfId="7246" xr:uid="{00000000-0005-0000-0000-000033060000}"/>
    <cellStyle name="Normal 2 5 6 2 3 4" xfId="9651" xr:uid="{00000000-0005-0000-0000-000033060000}"/>
    <cellStyle name="Normal 2 5 6 2 4" xfId="4172" xr:uid="{00000000-0005-0000-0000-0000A8040000}"/>
    <cellStyle name="Normal 2 5 6 2 4 2" xfId="7998" xr:uid="{00000000-0005-0000-0000-000034060000}"/>
    <cellStyle name="Normal 2 5 6 2 4 3" xfId="10395" xr:uid="{00000000-0005-0000-0000-000034060000}"/>
    <cellStyle name="Normal 2 5 6 2 5" xfId="5887" xr:uid="{00000000-0005-0000-0000-0000C8020000}"/>
    <cellStyle name="Normal 2 5 6 2 6" xfId="5142" xr:uid="{00000000-0005-0000-0000-00007D020000}"/>
    <cellStyle name="Normal 2 5 6 2 7" xfId="6817" xr:uid="{00000000-0005-0000-0000-000030060000}"/>
    <cellStyle name="Normal 2 5 6 2 8" xfId="9238" xr:uid="{00000000-0005-0000-0000-000030060000}"/>
    <cellStyle name="Normal 2 5 6 3" xfId="812" xr:uid="{00000000-0005-0000-0000-0000D8040000}"/>
    <cellStyle name="Normal 2 5 6 3 2" xfId="4489" xr:uid="{00000000-0005-0000-0000-0000AB040000}"/>
    <cellStyle name="Normal 2 5 6 3 2 2" xfId="8592" xr:uid="{00000000-0005-0000-0000-000036060000}"/>
    <cellStyle name="Normal 2 5 6 3 2 3" xfId="10989" xr:uid="{00000000-0005-0000-0000-000036060000}"/>
    <cellStyle name="Normal 2 5 6 3 3" xfId="5679" xr:uid="{00000000-0005-0000-0000-0000C9020000}"/>
    <cellStyle name="Normal 2 5 6 3 4" xfId="7248" xr:uid="{00000000-0005-0000-0000-000035060000}"/>
    <cellStyle name="Normal 2 5 6 3 5" xfId="9653" xr:uid="{00000000-0005-0000-0000-000035060000}"/>
    <cellStyle name="Normal 2 5 6 4" xfId="813" xr:uid="{00000000-0005-0000-0000-0000D9040000}"/>
    <cellStyle name="Normal 2 5 6 4 2" xfId="6304" xr:uid="{00000000-0005-0000-0000-0000AC040000}"/>
    <cellStyle name="Normal 2 5 6 4 2 2" xfId="8238" xr:uid="{00000000-0005-0000-0000-000038060000}"/>
    <cellStyle name="Normal 2 5 6 4 2 3" xfId="10635" xr:uid="{00000000-0005-0000-0000-000038060000}"/>
    <cellStyle name="Normal 2 5 6 4 3" xfId="7249" xr:uid="{00000000-0005-0000-0000-000037060000}"/>
    <cellStyle name="Normal 2 5 6 4 4" xfId="9654" xr:uid="{00000000-0005-0000-0000-000037060000}"/>
    <cellStyle name="Normal 2 5 6 5" xfId="2572" xr:uid="{00000000-0005-0000-0000-0000AD040000}"/>
    <cellStyle name="Normal 2 5 6 5 2" xfId="7245" xr:uid="{00000000-0005-0000-0000-000039060000}"/>
    <cellStyle name="Normal 2 5 6 5 3" xfId="9650" xr:uid="{00000000-0005-0000-0000-000039060000}"/>
    <cellStyle name="Normal 2 5 6 6" xfId="2338" xr:uid="{00000000-0005-0000-0000-0000A7040000}"/>
    <cellStyle name="Normal 2 5 6 6 2" xfId="7770" xr:uid="{00000000-0005-0000-0000-00003A060000}"/>
    <cellStyle name="Normal 2 5 6 6 3" xfId="10167" xr:uid="{00000000-0005-0000-0000-00003A060000}"/>
    <cellStyle name="Normal 2 5 6 7" xfId="3948" xr:uid="{00000000-0005-0000-0000-0000F1010000}"/>
    <cellStyle name="Normal 2 5 6 8" xfId="5448" xr:uid="{00000000-0005-0000-0000-0000C7020000}"/>
    <cellStyle name="Normal 2 5 6 9" xfId="4910" xr:uid="{00000000-0005-0000-0000-00007C020000}"/>
    <cellStyle name="Normal 2 5 7" xfId="814" xr:uid="{00000000-0005-0000-0000-0000DA040000}"/>
    <cellStyle name="Normal 2 5 7 2" xfId="815" xr:uid="{00000000-0005-0000-0000-0000DB040000}"/>
    <cellStyle name="Normal 2 5 7 2 2" xfId="2912" xr:uid="{00000000-0005-0000-0000-0000B0040000}"/>
    <cellStyle name="Normal 2 5 7 2 2 2" xfId="6305" xr:uid="{00000000-0005-0000-0000-0000B0040000}"/>
    <cellStyle name="Normal 2 5 7 2 2 3" xfId="7251" xr:uid="{00000000-0005-0000-0000-00003D060000}"/>
    <cellStyle name="Normal 2 5 7 2 2 4" xfId="9656" xr:uid="{00000000-0005-0000-0000-00003D060000}"/>
    <cellStyle name="Normal 2 5 7 2 3" xfId="4732" xr:uid="{00000000-0005-0000-0000-000080030000}"/>
    <cellStyle name="Normal 2 5 7 2 3 2" xfId="6112" xr:uid="{00000000-0005-0000-0000-0000AF040000}"/>
    <cellStyle name="Normal 2 5 7 2 3 3" xfId="8239" xr:uid="{00000000-0005-0000-0000-00003E060000}"/>
    <cellStyle name="Normal 2 5 7 2 3 4" xfId="10636" xr:uid="{00000000-0005-0000-0000-00003E060000}"/>
    <cellStyle name="Normal 2 5 7 2 4" xfId="5143" xr:uid="{00000000-0005-0000-0000-00007F020000}"/>
    <cellStyle name="Normal 2 5 7 2 5" xfId="6818" xr:uid="{00000000-0005-0000-0000-00003C060000}"/>
    <cellStyle name="Normal 2 5 7 2 6" xfId="9239" xr:uid="{00000000-0005-0000-0000-00003C060000}"/>
    <cellStyle name="Normal 2 5 7 3" xfId="816" xr:uid="{00000000-0005-0000-0000-0000DC040000}"/>
    <cellStyle name="Normal 2 5 7 3 2" xfId="6203" xr:uid="{00000000-0005-0000-0000-0000B1040000}"/>
    <cellStyle name="Normal 2 5 7 3 3" xfId="7252" xr:uid="{00000000-0005-0000-0000-00003F060000}"/>
    <cellStyle name="Normal 2 5 7 3 4" xfId="9657" xr:uid="{00000000-0005-0000-0000-00003F060000}"/>
    <cellStyle name="Normal 2 5 7 4" xfId="2339" xr:uid="{00000000-0005-0000-0000-0000AE040000}"/>
    <cellStyle name="Normal 2 5 7 4 2" xfId="6068" xr:uid="{00000000-0005-0000-0000-0000AE040000}"/>
    <cellStyle name="Normal 2 5 7 4 3" xfId="7250" xr:uid="{00000000-0005-0000-0000-000040060000}"/>
    <cellStyle name="Normal 2 5 7 4 4" xfId="9655" xr:uid="{00000000-0005-0000-0000-000040060000}"/>
    <cellStyle name="Normal 2 5 7 5" xfId="3949" xr:uid="{00000000-0005-0000-0000-0000F2010000}"/>
    <cellStyle name="Normal 2 5 7 5 2" xfId="7999" xr:uid="{00000000-0005-0000-0000-000041060000}"/>
    <cellStyle name="Normal 2 5 7 5 3" xfId="10396" xr:uid="{00000000-0005-0000-0000-000041060000}"/>
    <cellStyle name="Normal 2 5 7 6" xfId="5888" xr:uid="{00000000-0005-0000-0000-0000CA020000}"/>
    <cellStyle name="Normal 2 5 7 7" xfId="4911" xr:uid="{00000000-0005-0000-0000-00007E020000}"/>
    <cellStyle name="Normal 2 5 7 8" xfId="6657" xr:uid="{00000000-0005-0000-0000-00003B060000}"/>
    <cellStyle name="Normal 2 5 7 9" xfId="9078" xr:uid="{00000000-0005-0000-0000-00003B060000}"/>
    <cellStyle name="Normal 2 5 8" xfId="817" xr:uid="{00000000-0005-0000-0000-0000DD040000}"/>
    <cellStyle name="Normal 2 5 8 2" xfId="818" xr:uid="{00000000-0005-0000-0000-0000DE040000}"/>
    <cellStyle name="Normal 2 5 8 2 2" xfId="2913" xr:uid="{00000000-0005-0000-0000-0000B4040000}"/>
    <cellStyle name="Normal 2 5 8 2 2 2" xfId="6306" xr:uid="{00000000-0005-0000-0000-0000B4040000}"/>
    <cellStyle name="Normal 2 5 8 2 2 3" xfId="7254" xr:uid="{00000000-0005-0000-0000-000044060000}"/>
    <cellStyle name="Normal 2 5 8 2 2 4" xfId="9659" xr:uid="{00000000-0005-0000-0000-000044060000}"/>
    <cellStyle name="Normal 2 5 8 2 3" xfId="4733" xr:uid="{00000000-0005-0000-0000-000086030000}"/>
    <cellStyle name="Normal 2 5 8 2 3 2" xfId="6113" xr:uid="{00000000-0005-0000-0000-0000B3040000}"/>
    <cellStyle name="Normal 2 5 8 2 3 3" xfId="8240" xr:uid="{00000000-0005-0000-0000-000045060000}"/>
    <cellStyle name="Normal 2 5 8 2 3 4" xfId="10637" xr:uid="{00000000-0005-0000-0000-000045060000}"/>
    <cellStyle name="Normal 2 5 8 2 4" xfId="5144" xr:uid="{00000000-0005-0000-0000-000081020000}"/>
    <cellStyle name="Normal 2 5 8 2 5" xfId="6819" xr:uid="{00000000-0005-0000-0000-000043060000}"/>
    <cellStyle name="Normal 2 5 8 2 6" xfId="9240" xr:uid="{00000000-0005-0000-0000-000043060000}"/>
    <cellStyle name="Normal 2 5 8 3" xfId="819" xr:uid="{00000000-0005-0000-0000-0000DF040000}"/>
    <cellStyle name="Normal 2 5 8 3 2" xfId="6204" xr:uid="{00000000-0005-0000-0000-0000B5040000}"/>
    <cellStyle name="Normal 2 5 8 3 3" xfId="7255" xr:uid="{00000000-0005-0000-0000-000046060000}"/>
    <cellStyle name="Normal 2 5 8 3 4" xfId="9660" xr:uid="{00000000-0005-0000-0000-000046060000}"/>
    <cellStyle name="Normal 2 5 8 4" xfId="2340" xr:uid="{00000000-0005-0000-0000-0000B2040000}"/>
    <cellStyle name="Normal 2 5 8 4 2" xfId="6069" xr:uid="{00000000-0005-0000-0000-0000B2040000}"/>
    <cellStyle name="Normal 2 5 8 4 3" xfId="7253" xr:uid="{00000000-0005-0000-0000-000047060000}"/>
    <cellStyle name="Normal 2 5 8 4 4" xfId="9658" xr:uid="{00000000-0005-0000-0000-000047060000}"/>
    <cellStyle name="Normal 2 5 8 5" xfId="3950" xr:uid="{00000000-0005-0000-0000-0000F3010000}"/>
    <cellStyle name="Normal 2 5 8 5 2" xfId="8000" xr:uid="{00000000-0005-0000-0000-000048060000}"/>
    <cellStyle name="Normal 2 5 8 5 3" xfId="10397" xr:uid="{00000000-0005-0000-0000-000048060000}"/>
    <cellStyle name="Normal 2 5 8 6" xfId="5889" xr:uid="{00000000-0005-0000-0000-0000CB020000}"/>
    <cellStyle name="Normal 2 5 8 7" xfId="4912" xr:uid="{00000000-0005-0000-0000-000080020000}"/>
    <cellStyle name="Normal 2 5 8 8" xfId="6658" xr:uid="{00000000-0005-0000-0000-000042060000}"/>
    <cellStyle name="Normal 2 5 8 9" xfId="9079" xr:uid="{00000000-0005-0000-0000-000042060000}"/>
    <cellStyle name="Normal 2 5 9" xfId="820" xr:uid="{00000000-0005-0000-0000-0000E0040000}"/>
    <cellStyle name="Normal 2 5 9 2" xfId="3235" xr:uid="{00000000-0005-0000-0000-0000B7040000}"/>
    <cellStyle name="Normal 2 5 9 2 2" xfId="6394" xr:uid="{00000000-0005-0000-0000-0000B7040000}"/>
    <cellStyle name="Normal 2 5 9 2 2 2" xfId="8593" xr:uid="{00000000-0005-0000-0000-00004B060000}"/>
    <cellStyle name="Normal 2 5 9 2 2 3" xfId="10990" xr:uid="{00000000-0005-0000-0000-00004B060000}"/>
    <cellStyle name="Normal 2 5 9 2 3" xfId="5145" xr:uid="{00000000-0005-0000-0000-000083020000}"/>
    <cellStyle name="Normal 2 5 9 2 4" xfId="7256" xr:uid="{00000000-0005-0000-0000-00004A060000}"/>
    <cellStyle name="Normal 2 5 9 2 5" xfId="9661" xr:uid="{00000000-0005-0000-0000-00004A060000}"/>
    <cellStyle name="Normal 2 5 9 3" xfId="2739" xr:uid="{00000000-0005-0000-0000-0000B8040000}"/>
    <cellStyle name="Normal 2 5 9 3 2" xfId="6200" xr:uid="{00000000-0005-0000-0000-0000B8040000}"/>
    <cellStyle name="Normal 2 5 9 3 3" xfId="7987" xr:uid="{00000000-0005-0000-0000-00004C060000}"/>
    <cellStyle name="Normal 2 5 9 3 4" xfId="10384" xr:uid="{00000000-0005-0000-0000-00004C060000}"/>
    <cellStyle name="Normal 2 5 9 4" xfId="2272" xr:uid="{00000000-0005-0000-0000-0000B6040000}"/>
    <cellStyle name="Normal 2 5 9 4 2" xfId="11402" xr:uid="{00000000-0005-0000-0000-0000F1050000}"/>
    <cellStyle name="Normal 2 5 9 5" xfId="3810" xr:uid="{00000000-0005-0000-0000-0000F4010000}"/>
    <cellStyle name="Normal 2 5 9 6" xfId="5877" xr:uid="{00000000-0005-0000-0000-0000CC020000}"/>
    <cellStyle name="Normal 2 5 9 7" xfId="4905" xr:uid="{00000000-0005-0000-0000-000082020000}"/>
    <cellStyle name="Normal 2 5 9 8" xfId="6651" xr:uid="{00000000-0005-0000-0000-000049060000}"/>
    <cellStyle name="Normal 2 5 9 9" xfId="9072" xr:uid="{00000000-0005-0000-0000-000049060000}"/>
    <cellStyle name="Normal 2 6" xfId="821" xr:uid="{00000000-0005-0000-0000-0000E1040000}"/>
    <cellStyle name="Normal 2 6 10" xfId="5350" xr:uid="{00000000-0005-0000-0000-0000CD020000}"/>
    <cellStyle name="Normal 2 6 11" xfId="4806" xr:uid="{00000000-0005-0000-0000-000084020000}"/>
    <cellStyle name="Normal 2 6 12" xfId="6552" xr:uid="{00000000-0005-0000-0000-00004D060000}"/>
    <cellStyle name="Normal 2 6 13" xfId="8973" xr:uid="{00000000-0005-0000-0000-00004D060000}"/>
    <cellStyle name="Normal 2 6 2" xfId="822" xr:uid="{00000000-0005-0000-0000-0000E2040000}"/>
    <cellStyle name="Normal 2 6 2 10" xfId="4913" xr:uid="{00000000-0005-0000-0000-000085020000}"/>
    <cellStyle name="Normal 2 6 2 11" xfId="6659" xr:uid="{00000000-0005-0000-0000-00004E060000}"/>
    <cellStyle name="Normal 2 6 2 12" xfId="9080" xr:uid="{00000000-0005-0000-0000-00004E060000}"/>
    <cellStyle name="Normal 2 6 2 2" xfId="823" xr:uid="{00000000-0005-0000-0000-0000E3040000}"/>
    <cellStyle name="Normal 2 6 2 2 2" xfId="2750" xr:uid="{00000000-0005-0000-0000-0000BC040000}"/>
    <cellStyle name="Normal 2 6 2 2 2 2" xfId="3238" xr:uid="{00000000-0005-0000-0000-0000BD040000}"/>
    <cellStyle name="Normal 2 6 2 2 2 2 2" xfId="8596" xr:uid="{00000000-0005-0000-0000-000051060000}"/>
    <cellStyle name="Normal 2 6 2 2 2 2 3" xfId="10993" xr:uid="{00000000-0005-0000-0000-000051060000}"/>
    <cellStyle name="Normal 2 6 2 2 2 3" xfId="4313" xr:uid="{00000000-0005-0000-0000-0000BC040000}"/>
    <cellStyle name="Normal 2 6 2 2 2 3 2" xfId="11404" xr:uid="{00000000-0005-0000-0000-0000F7050000}"/>
    <cellStyle name="Normal 2 6 2 2 2 4" xfId="8003" xr:uid="{00000000-0005-0000-0000-000050060000}"/>
    <cellStyle name="Normal 2 6 2 2 2 5" xfId="10400" xr:uid="{00000000-0005-0000-0000-000050060000}"/>
    <cellStyle name="Normal 2 6 2 2 3" xfId="3239" xr:uid="{00000000-0005-0000-0000-0000BE040000}"/>
    <cellStyle name="Normal 2 6 2 2 3 2" xfId="4490" xr:uid="{00000000-0005-0000-0000-0000BE040000}"/>
    <cellStyle name="Normal 2 6 2 2 3 3" xfId="8597" xr:uid="{00000000-0005-0000-0000-000052060000}"/>
    <cellStyle name="Normal 2 6 2 2 3 4" xfId="10994" xr:uid="{00000000-0005-0000-0000-000052060000}"/>
    <cellStyle name="Normal 2 6 2 2 4" xfId="3237" xr:uid="{00000000-0005-0000-0000-0000BF040000}"/>
    <cellStyle name="Normal 2 6 2 2 4 2" xfId="8595" xr:uid="{00000000-0005-0000-0000-000053060000}"/>
    <cellStyle name="Normal 2 6 2 2 4 3" xfId="10992" xr:uid="{00000000-0005-0000-0000-000053060000}"/>
    <cellStyle name="Normal 2 6 2 2 5" xfId="4237" xr:uid="{00000000-0005-0000-0000-0000BB040000}"/>
    <cellStyle name="Normal 2 6 2 2 5 2" xfId="7833" xr:uid="{00000000-0005-0000-0000-000054060000}"/>
    <cellStyle name="Normal 2 6 2 2 5 3" xfId="10230" xr:uid="{00000000-0005-0000-0000-000054060000}"/>
    <cellStyle name="Normal 2 6 2 2 6" xfId="5511" xr:uid="{00000000-0005-0000-0000-0000CF020000}"/>
    <cellStyle name="Normal 2 6 2 2 7" xfId="5147" xr:uid="{00000000-0005-0000-0000-000086020000}"/>
    <cellStyle name="Normal 2 6 2 2 8" xfId="7259" xr:uid="{00000000-0005-0000-0000-00004F060000}"/>
    <cellStyle name="Normal 2 6 2 2 9" xfId="9664" xr:uid="{00000000-0005-0000-0000-00004F060000}"/>
    <cellStyle name="Normal 2 6 2 3" xfId="2749" xr:uid="{00000000-0005-0000-0000-0000C0040000}"/>
    <cellStyle name="Normal 2 6 2 3 2" xfId="3240" xr:uid="{00000000-0005-0000-0000-0000C1040000}"/>
    <cellStyle name="Normal 2 6 2 3 2 2" xfId="8598" xr:uid="{00000000-0005-0000-0000-000056060000}"/>
    <cellStyle name="Normal 2 6 2 3 2 3" xfId="10995" xr:uid="{00000000-0005-0000-0000-000056060000}"/>
    <cellStyle name="Normal 2 6 2 3 3" xfId="4312" xr:uid="{00000000-0005-0000-0000-0000C0040000}"/>
    <cellStyle name="Normal 2 6 2 3 3 2" xfId="8002" xr:uid="{00000000-0005-0000-0000-000057060000}"/>
    <cellStyle name="Normal 2 6 2 3 3 3" xfId="10399" xr:uid="{00000000-0005-0000-0000-000057060000}"/>
    <cellStyle name="Normal 2 6 2 3 4" xfId="5891" xr:uid="{00000000-0005-0000-0000-0000D2020000}"/>
    <cellStyle name="Normal 2 6 2 3 5" xfId="7258" xr:uid="{00000000-0005-0000-0000-000055060000}"/>
    <cellStyle name="Normal 2 6 2 3 6" xfId="9663" xr:uid="{00000000-0005-0000-0000-000055060000}"/>
    <cellStyle name="Normal 2 6 2 4" xfId="3241" xr:uid="{00000000-0005-0000-0000-0000C2040000}"/>
    <cellStyle name="Normal 2 6 2 4 2" xfId="4491" xr:uid="{00000000-0005-0000-0000-0000C2040000}"/>
    <cellStyle name="Normal 2 6 2 4 3" xfId="8599" xr:uid="{00000000-0005-0000-0000-000058060000}"/>
    <cellStyle name="Normal 2 6 2 4 4" xfId="10996" xr:uid="{00000000-0005-0000-0000-000058060000}"/>
    <cellStyle name="Normal 2 6 2 5" xfId="3236" xr:uid="{00000000-0005-0000-0000-0000C3040000}"/>
    <cellStyle name="Normal 2 6 2 5 2" xfId="8594" xr:uid="{00000000-0005-0000-0000-000059060000}"/>
    <cellStyle name="Normal 2 6 2 5 3" xfId="10991" xr:uid="{00000000-0005-0000-0000-000059060000}"/>
    <cellStyle name="Normal 2 6 2 6" xfId="2532" xr:uid="{00000000-0005-0000-0000-0000C4040000}"/>
    <cellStyle name="Normal 2 6 2 6 2" xfId="7730" xr:uid="{00000000-0005-0000-0000-00005A060000}"/>
    <cellStyle name="Normal 2 6 2 6 3" xfId="10127" xr:uid="{00000000-0005-0000-0000-00005A060000}"/>
    <cellStyle name="Normal 2 6 2 7" xfId="2226" xr:uid="{00000000-0005-0000-0000-0000BA040000}"/>
    <cellStyle name="Normal 2 6 2 8" xfId="3792" xr:uid="{00000000-0005-0000-0000-0000F6010000}"/>
    <cellStyle name="Normal 2 6 2 9" xfId="5410" xr:uid="{00000000-0005-0000-0000-0000CE020000}"/>
    <cellStyle name="Normal 2 6 3" xfId="824" xr:uid="{00000000-0005-0000-0000-0000E4040000}"/>
    <cellStyle name="Normal 2 6 3 10" xfId="6820" xr:uid="{00000000-0005-0000-0000-00005B060000}"/>
    <cellStyle name="Normal 2 6 3 11" xfId="9241" xr:uid="{00000000-0005-0000-0000-00005B060000}"/>
    <cellStyle name="Normal 2 6 3 2" xfId="2751" xr:uid="{00000000-0005-0000-0000-0000C6040000}"/>
    <cellStyle name="Normal 2 6 3 2 2" xfId="3243" xr:uid="{00000000-0005-0000-0000-0000C7040000}"/>
    <cellStyle name="Normal 2 6 3 2 2 2" xfId="8601" xr:uid="{00000000-0005-0000-0000-00005D060000}"/>
    <cellStyle name="Normal 2 6 3 2 2 3" xfId="10998" xr:uid="{00000000-0005-0000-0000-00005D060000}"/>
    <cellStyle name="Normal 2 6 3 2 3" xfId="4314" xr:uid="{00000000-0005-0000-0000-0000C6040000}"/>
    <cellStyle name="Normal 2 6 3 2 3 2" xfId="8004" xr:uid="{00000000-0005-0000-0000-00005E060000}"/>
    <cellStyle name="Normal 2 6 3 2 3 3" xfId="10401" xr:uid="{00000000-0005-0000-0000-00005E060000}"/>
    <cellStyle name="Normal 2 6 3 2 4" xfId="5892" xr:uid="{00000000-0005-0000-0000-0000D5020000}"/>
    <cellStyle name="Normal 2 6 3 2 5" xfId="7260" xr:uid="{00000000-0005-0000-0000-00005C060000}"/>
    <cellStyle name="Normal 2 6 3 2 6" xfId="9665" xr:uid="{00000000-0005-0000-0000-00005C060000}"/>
    <cellStyle name="Normal 2 6 3 3" xfId="3244" xr:uid="{00000000-0005-0000-0000-0000C8040000}"/>
    <cellStyle name="Normal 2 6 3 3 2" xfId="4492" xr:uid="{00000000-0005-0000-0000-0000C8040000}"/>
    <cellStyle name="Normal 2 6 3 3 3" xfId="5682" xr:uid="{00000000-0005-0000-0000-0000D6020000}"/>
    <cellStyle name="Normal 2 6 3 3 4" xfId="8602" xr:uid="{00000000-0005-0000-0000-00005F060000}"/>
    <cellStyle name="Normal 2 6 3 3 5" xfId="10999" xr:uid="{00000000-0005-0000-0000-00005F060000}"/>
    <cellStyle name="Normal 2 6 3 4" xfId="3242" xr:uid="{00000000-0005-0000-0000-0000C9040000}"/>
    <cellStyle name="Normal 2 6 3 4 2" xfId="8600" xr:uid="{00000000-0005-0000-0000-000060060000}"/>
    <cellStyle name="Normal 2 6 3 4 3" xfId="10997" xr:uid="{00000000-0005-0000-0000-000060060000}"/>
    <cellStyle name="Normal 2 6 3 5" xfId="2575" xr:uid="{00000000-0005-0000-0000-0000CA040000}"/>
    <cellStyle name="Normal 2 6 3 5 2" xfId="7773" xr:uid="{00000000-0005-0000-0000-000061060000}"/>
    <cellStyle name="Normal 2 6 3 5 3" xfId="10170" xr:uid="{00000000-0005-0000-0000-000061060000}"/>
    <cellStyle name="Normal 2 6 3 6" xfId="2341" xr:uid="{00000000-0005-0000-0000-0000C5040000}"/>
    <cellStyle name="Normal 2 6 3 7" xfId="3852" xr:uid="{00000000-0005-0000-0000-0000F7010000}"/>
    <cellStyle name="Normal 2 6 3 8" xfId="5451" xr:uid="{00000000-0005-0000-0000-0000D4020000}"/>
    <cellStyle name="Normal 2 6 3 9" xfId="5146" xr:uid="{00000000-0005-0000-0000-000087020000}"/>
    <cellStyle name="Normal 2 6 4" xfId="825" xr:uid="{00000000-0005-0000-0000-0000E5040000}"/>
    <cellStyle name="Normal 2 6 4 2" xfId="3245" xr:uid="{00000000-0005-0000-0000-0000CC040000}"/>
    <cellStyle name="Normal 2 6 4 2 2" xfId="8603" xr:uid="{00000000-0005-0000-0000-000063060000}"/>
    <cellStyle name="Normal 2 6 4 2 3" xfId="11000" xr:uid="{00000000-0005-0000-0000-000063060000}"/>
    <cellStyle name="Normal 2 6 4 3" xfId="2748" xr:uid="{00000000-0005-0000-0000-0000CD040000}"/>
    <cellStyle name="Normal 2 6 4 3 2" xfId="8001" xr:uid="{00000000-0005-0000-0000-000064060000}"/>
    <cellStyle name="Normal 2 6 4 3 3" xfId="10398" xr:uid="{00000000-0005-0000-0000-000064060000}"/>
    <cellStyle name="Normal 2 6 4 4" xfId="4173" xr:uid="{00000000-0005-0000-0000-0000CB040000}"/>
    <cellStyle name="Normal 2 6 4 5" xfId="5890" xr:uid="{00000000-0005-0000-0000-0000D7020000}"/>
    <cellStyle name="Normal 2 6 4 6" xfId="7261" xr:uid="{00000000-0005-0000-0000-000062060000}"/>
    <cellStyle name="Normal 2 6 4 7" xfId="9666" xr:uid="{00000000-0005-0000-0000-000062060000}"/>
    <cellStyle name="Normal 2 6 5" xfId="3246" xr:uid="{00000000-0005-0000-0000-0000CE040000}"/>
    <cellStyle name="Normal 2 6 5 2" xfId="4493" xr:uid="{00000000-0005-0000-0000-0000CE040000}"/>
    <cellStyle name="Normal 2 6 5 2 2" xfId="8604" xr:uid="{00000000-0005-0000-0000-000066060000}"/>
    <cellStyle name="Normal 2 6 5 2 3" xfId="11001" xr:uid="{00000000-0005-0000-0000-000066060000}"/>
    <cellStyle name="Normal 2 6 5 3" xfId="5596" xr:uid="{00000000-0005-0000-0000-0000D8020000}"/>
    <cellStyle name="Normal 2 6 5 4" xfId="7257" xr:uid="{00000000-0005-0000-0000-000065060000}"/>
    <cellStyle name="Normal 2 6 5 5" xfId="9662" xr:uid="{00000000-0005-0000-0000-000065060000}"/>
    <cellStyle name="Normal 2 6 6" xfId="2914" xr:uid="{00000000-0005-0000-0000-0000CF040000}"/>
    <cellStyle name="Normal 2 6 6 2" xfId="8241" xr:uid="{00000000-0005-0000-0000-000067060000}"/>
    <cellStyle name="Normal 2 6 6 3" xfId="10638" xr:uid="{00000000-0005-0000-0000-000067060000}"/>
    <cellStyle name="Normal 2 6 7" xfId="2472" xr:uid="{00000000-0005-0000-0000-0000D0040000}"/>
    <cellStyle name="Normal 2 6 7 2" xfId="7670" xr:uid="{00000000-0005-0000-0000-000068060000}"/>
    <cellStyle name="Normal 2 6 7 3" xfId="10067" xr:uid="{00000000-0005-0000-0000-000068060000}"/>
    <cellStyle name="Normal 2 6 8" xfId="2166" xr:uid="{00000000-0005-0000-0000-0000B9040000}"/>
    <cellStyle name="Normal 2 6 9" xfId="3951" xr:uid="{00000000-0005-0000-0000-0000F5010000}"/>
    <cellStyle name="Normal 2 7" xfId="826" xr:uid="{00000000-0005-0000-0000-0000E6040000}"/>
    <cellStyle name="Normal 2 7 10" xfId="5365" xr:uid="{00000000-0005-0000-0000-0000D9020000}"/>
    <cellStyle name="Normal 2 7 11" xfId="4821" xr:uid="{00000000-0005-0000-0000-000088020000}"/>
    <cellStyle name="Normal 2 7 12" xfId="6567" xr:uid="{00000000-0005-0000-0000-000069060000}"/>
    <cellStyle name="Normal 2 7 13" xfId="8988" xr:uid="{00000000-0005-0000-0000-000069060000}"/>
    <cellStyle name="Normal 2 7 2" xfId="827" xr:uid="{00000000-0005-0000-0000-0000E7040000}"/>
    <cellStyle name="Normal 2 7 2 10" xfId="4914" xr:uid="{00000000-0005-0000-0000-000089020000}"/>
    <cellStyle name="Normal 2 7 2 11" xfId="6660" xr:uid="{00000000-0005-0000-0000-00006A060000}"/>
    <cellStyle name="Normal 2 7 2 12" xfId="9081" xr:uid="{00000000-0005-0000-0000-00006A060000}"/>
    <cellStyle name="Normal 2 7 2 2" xfId="828" xr:uid="{00000000-0005-0000-0000-0000E8040000}"/>
    <cellStyle name="Normal 2 7 2 2 2" xfId="2754" xr:uid="{00000000-0005-0000-0000-0000D4040000}"/>
    <cellStyle name="Normal 2 7 2 2 2 2" xfId="3249" xr:uid="{00000000-0005-0000-0000-0000D5040000}"/>
    <cellStyle name="Normal 2 7 2 2 2 2 2" xfId="8607" xr:uid="{00000000-0005-0000-0000-00006D060000}"/>
    <cellStyle name="Normal 2 7 2 2 2 2 3" xfId="11004" xr:uid="{00000000-0005-0000-0000-00006D060000}"/>
    <cellStyle name="Normal 2 7 2 2 2 3" xfId="4316" xr:uid="{00000000-0005-0000-0000-0000D4040000}"/>
    <cellStyle name="Normal 2 7 2 2 2 3 2" xfId="11405" xr:uid="{00000000-0005-0000-0000-000013060000}"/>
    <cellStyle name="Normal 2 7 2 2 2 4" xfId="8007" xr:uid="{00000000-0005-0000-0000-00006C060000}"/>
    <cellStyle name="Normal 2 7 2 2 2 5" xfId="10404" xr:uid="{00000000-0005-0000-0000-00006C060000}"/>
    <cellStyle name="Normal 2 7 2 2 3" xfId="3250" xr:uid="{00000000-0005-0000-0000-0000D6040000}"/>
    <cellStyle name="Normal 2 7 2 2 3 2" xfId="4494" xr:uid="{00000000-0005-0000-0000-0000D6040000}"/>
    <cellStyle name="Normal 2 7 2 2 3 3" xfId="8608" xr:uid="{00000000-0005-0000-0000-00006E060000}"/>
    <cellStyle name="Normal 2 7 2 2 3 4" xfId="11005" xr:uid="{00000000-0005-0000-0000-00006E060000}"/>
    <cellStyle name="Normal 2 7 2 2 4" xfId="3248" xr:uid="{00000000-0005-0000-0000-0000D7040000}"/>
    <cellStyle name="Normal 2 7 2 2 4 2" xfId="8606" xr:uid="{00000000-0005-0000-0000-00006F060000}"/>
    <cellStyle name="Normal 2 7 2 2 4 3" xfId="11003" xr:uid="{00000000-0005-0000-0000-00006F060000}"/>
    <cellStyle name="Normal 2 7 2 2 5" xfId="4239" xr:uid="{00000000-0005-0000-0000-0000D3040000}"/>
    <cellStyle name="Normal 2 7 2 2 5 2" xfId="7848" xr:uid="{00000000-0005-0000-0000-000070060000}"/>
    <cellStyle name="Normal 2 7 2 2 5 3" xfId="10245" xr:uid="{00000000-0005-0000-0000-000070060000}"/>
    <cellStyle name="Normal 2 7 2 2 6" xfId="5526" xr:uid="{00000000-0005-0000-0000-0000DB020000}"/>
    <cellStyle name="Normal 2 7 2 2 7" xfId="5149" xr:uid="{00000000-0005-0000-0000-00008A020000}"/>
    <cellStyle name="Normal 2 7 2 2 8" xfId="7264" xr:uid="{00000000-0005-0000-0000-00006B060000}"/>
    <cellStyle name="Normal 2 7 2 2 9" xfId="9669" xr:uid="{00000000-0005-0000-0000-00006B060000}"/>
    <cellStyle name="Normal 2 7 2 3" xfId="2753" xr:uid="{00000000-0005-0000-0000-0000D8040000}"/>
    <cellStyle name="Normal 2 7 2 3 2" xfId="3251" xr:uid="{00000000-0005-0000-0000-0000D9040000}"/>
    <cellStyle name="Normal 2 7 2 3 2 2" xfId="8609" xr:uid="{00000000-0005-0000-0000-000072060000}"/>
    <cellStyle name="Normal 2 7 2 3 2 3" xfId="11006" xr:uid="{00000000-0005-0000-0000-000072060000}"/>
    <cellStyle name="Normal 2 7 2 3 3" xfId="4315" xr:uid="{00000000-0005-0000-0000-0000D8040000}"/>
    <cellStyle name="Normal 2 7 2 3 3 2" xfId="8006" xr:uid="{00000000-0005-0000-0000-000073060000}"/>
    <cellStyle name="Normal 2 7 2 3 3 3" xfId="10403" xr:uid="{00000000-0005-0000-0000-000073060000}"/>
    <cellStyle name="Normal 2 7 2 3 4" xfId="5894" xr:uid="{00000000-0005-0000-0000-0000DE020000}"/>
    <cellStyle name="Normal 2 7 2 3 5" xfId="7263" xr:uid="{00000000-0005-0000-0000-000071060000}"/>
    <cellStyle name="Normal 2 7 2 3 6" xfId="9668" xr:uid="{00000000-0005-0000-0000-000071060000}"/>
    <cellStyle name="Normal 2 7 2 4" xfId="3252" xr:uid="{00000000-0005-0000-0000-0000DA040000}"/>
    <cellStyle name="Normal 2 7 2 4 2" xfId="4495" xr:uid="{00000000-0005-0000-0000-0000DA040000}"/>
    <cellStyle name="Normal 2 7 2 4 3" xfId="8610" xr:uid="{00000000-0005-0000-0000-000074060000}"/>
    <cellStyle name="Normal 2 7 2 4 4" xfId="11007" xr:uid="{00000000-0005-0000-0000-000074060000}"/>
    <cellStyle name="Normal 2 7 2 5" xfId="3247" xr:uid="{00000000-0005-0000-0000-0000DB040000}"/>
    <cellStyle name="Normal 2 7 2 5 2" xfId="8605" xr:uid="{00000000-0005-0000-0000-000075060000}"/>
    <cellStyle name="Normal 2 7 2 5 3" xfId="11002" xr:uid="{00000000-0005-0000-0000-000075060000}"/>
    <cellStyle name="Normal 2 7 2 6" xfId="2547" xr:uid="{00000000-0005-0000-0000-0000DC040000}"/>
    <cellStyle name="Normal 2 7 2 6 2" xfId="7745" xr:uid="{00000000-0005-0000-0000-000076060000}"/>
    <cellStyle name="Normal 2 7 2 6 3" xfId="10142" xr:uid="{00000000-0005-0000-0000-000076060000}"/>
    <cellStyle name="Normal 2 7 2 7" xfId="2241" xr:uid="{00000000-0005-0000-0000-0000D2040000}"/>
    <cellStyle name="Normal 2 7 2 8" xfId="3794" xr:uid="{00000000-0005-0000-0000-0000F9010000}"/>
    <cellStyle name="Normal 2 7 2 9" xfId="5425" xr:uid="{00000000-0005-0000-0000-0000DA020000}"/>
    <cellStyle name="Normal 2 7 3" xfId="829" xr:uid="{00000000-0005-0000-0000-0000E9040000}"/>
    <cellStyle name="Normal 2 7 3 10" xfId="6821" xr:uid="{00000000-0005-0000-0000-000077060000}"/>
    <cellStyle name="Normal 2 7 3 11" xfId="9242" xr:uid="{00000000-0005-0000-0000-000077060000}"/>
    <cellStyle name="Normal 2 7 3 2" xfId="2755" xr:uid="{00000000-0005-0000-0000-0000DE040000}"/>
    <cellStyle name="Normal 2 7 3 2 2" xfId="3254" xr:uid="{00000000-0005-0000-0000-0000DF040000}"/>
    <cellStyle name="Normal 2 7 3 2 2 2" xfId="8612" xr:uid="{00000000-0005-0000-0000-000079060000}"/>
    <cellStyle name="Normal 2 7 3 2 2 3" xfId="11009" xr:uid="{00000000-0005-0000-0000-000079060000}"/>
    <cellStyle name="Normal 2 7 3 2 3" xfId="4317" xr:uid="{00000000-0005-0000-0000-0000DE040000}"/>
    <cellStyle name="Normal 2 7 3 2 3 2" xfId="8008" xr:uid="{00000000-0005-0000-0000-00007A060000}"/>
    <cellStyle name="Normal 2 7 3 2 3 3" xfId="10405" xr:uid="{00000000-0005-0000-0000-00007A060000}"/>
    <cellStyle name="Normal 2 7 3 2 4" xfId="5895" xr:uid="{00000000-0005-0000-0000-0000E1020000}"/>
    <cellStyle name="Normal 2 7 3 2 5" xfId="7265" xr:uid="{00000000-0005-0000-0000-000078060000}"/>
    <cellStyle name="Normal 2 7 3 2 6" xfId="9670" xr:uid="{00000000-0005-0000-0000-000078060000}"/>
    <cellStyle name="Normal 2 7 3 3" xfId="3255" xr:uid="{00000000-0005-0000-0000-0000E0040000}"/>
    <cellStyle name="Normal 2 7 3 3 2" xfId="4496" xr:uid="{00000000-0005-0000-0000-0000E0040000}"/>
    <cellStyle name="Normal 2 7 3 3 3" xfId="5697" xr:uid="{00000000-0005-0000-0000-0000E2020000}"/>
    <cellStyle name="Normal 2 7 3 3 4" xfId="8613" xr:uid="{00000000-0005-0000-0000-00007B060000}"/>
    <cellStyle name="Normal 2 7 3 3 5" xfId="11010" xr:uid="{00000000-0005-0000-0000-00007B060000}"/>
    <cellStyle name="Normal 2 7 3 4" xfId="3253" xr:uid="{00000000-0005-0000-0000-0000E1040000}"/>
    <cellStyle name="Normal 2 7 3 4 2" xfId="8611" xr:uid="{00000000-0005-0000-0000-00007C060000}"/>
    <cellStyle name="Normal 2 7 3 4 3" xfId="11008" xr:uid="{00000000-0005-0000-0000-00007C060000}"/>
    <cellStyle name="Normal 2 7 3 5" xfId="2590" xr:uid="{00000000-0005-0000-0000-0000E2040000}"/>
    <cellStyle name="Normal 2 7 3 5 2" xfId="7788" xr:uid="{00000000-0005-0000-0000-00007D060000}"/>
    <cellStyle name="Normal 2 7 3 5 3" xfId="10185" xr:uid="{00000000-0005-0000-0000-00007D060000}"/>
    <cellStyle name="Normal 2 7 3 6" xfId="2342" xr:uid="{00000000-0005-0000-0000-0000DD040000}"/>
    <cellStyle name="Normal 2 7 3 7" xfId="3853" xr:uid="{00000000-0005-0000-0000-0000FA010000}"/>
    <cellStyle name="Normal 2 7 3 8" xfId="5466" xr:uid="{00000000-0005-0000-0000-0000E0020000}"/>
    <cellStyle name="Normal 2 7 3 9" xfId="5148" xr:uid="{00000000-0005-0000-0000-00008B020000}"/>
    <cellStyle name="Normal 2 7 4" xfId="830" xr:uid="{00000000-0005-0000-0000-0000EA040000}"/>
    <cellStyle name="Normal 2 7 4 2" xfId="3256" xr:uid="{00000000-0005-0000-0000-0000E4040000}"/>
    <cellStyle name="Normal 2 7 4 2 2" xfId="8614" xr:uid="{00000000-0005-0000-0000-00007F060000}"/>
    <cellStyle name="Normal 2 7 4 2 3" xfId="11011" xr:uid="{00000000-0005-0000-0000-00007F060000}"/>
    <cellStyle name="Normal 2 7 4 3" xfId="2752" xr:uid="{00000000-0005-0000-0000-0000E5040000}"/>
    <cellStyle name="Normal 2 7 4 3 2" xfId="8005" xr:uid="{00000000-0005-0000-0000-000080060000}"/>
    <cellStyle name="Normal 2 7 4 3 3" xfId="10402" xr:uid="{00000000-0005-0000-0000-000080060000}"/>
    <cellStyle name="Normal 2 7 4 4" xfId="4174" xr:uid="{00000000-0005-0000-0000-0000E3040000}"/>
    <cellStyle name="Normal 2 7 4 5" xfId="5893" xr:uid="{00000000-0005-0000-0000-0000E3020000}"/>
    <cellStyle name="Normal 2 7 4 6" xfId="7266" xr:uid="{00000000-0005-0000-0000-00007E060000}"/>
    <cellStyle name="Normal 2 7 4 7" xfId="9671" xr:uid="{00000000-0005-0000-0000-00007E060000}"/>
    <cellStyle name="Normal 2 7 5" xfId="3257" xr:uid="{00000000-0005-0000-0000-0000E6040000}"/>
    <cellStyle name="Normal 2 7 5 2" xfId="4497" xr:uid="{00000000-0005-0000-0000-0000E6040000}"/>
    <cellStyle name="Normal 2 7 5 2 2" xfId="8615" xr:uid="{00000000-0005-0000-0000-000082060000}"/>
    <cellStyle name="Normal 2 7 5 2 3" xfId="11012" xr:uid="{00000000-0005-0000-0000-000082060000}"/>
    <cellStyle name="Normal 2 7 5 3" xfId="5611" xr:uid="{00000000-0005-0000-0000-0000E4020000}"/>
    <cellStyle name="Normal 2 7 5 4" xfId="7262" xr:uid="{00000000-0005-0000-0000-000081060000}"/>
    <cellStyle name="Normal 2 7 5 5" xfId="9667" xr:uid="{00000000-0005-0000-0000-000081060000}"/>
    <cellStyle name="Normal 2 7 6" xfId="2915" xr:uid="{00000000-0005-0000-0000-0000E7040000}"/>
    <cellStyle name="Normal 2 7 6 2" xfId="8242" xr:uid="{00000000-0005-0000-0000-000083060000}"/>
    <cellStyle name="Normal 2 7 6 3" xfId="10639" xr:uid="{00000000-0005-0000-0000-000083060000}"/>
    <cellStyle name="Normal 2 7 7" xfId="2487" xr:uid="{00000000-0005-0000-0000-0000E8040000}"/>
    <cellStyle name="Normal 2 7 7 2" xfId="7685" xr:uid="{00000000-0005-0000-0000-000084060000}"/>
    <cellStyle name="Normal 2 7 7 3" xfId="10082" xr:uid="{00000000-0005-0000-0000-000084060000}"/>
    <cellStyle name="Normal 2 7 8" xfId="2181" xr:uid="{00000000-0005-0000-0000-0000D1040000}"/>
    <cellStyle name="Normal 2 7 9" xfId="3952" xr:uid="{00000000-0005-0000-0000-0000F8010000}"/>
    <cellStyle name="Normal 2 8" xfId="831" xr:uid="{00000000-0005-0000-0000-0000EB040000}"/>
    <cellStyle name="Normal 2 8 10" xfId="5339" xr:uid="{00000000-0005-0000-0000-0000E5020000}"/>
    <cellStyle name="Normal 2 8 11" xfId="4795" xr:uid="{00000000-0005-0000-0000-00008C020000}"/>
    <cellStyle name="Normal 2 8 12" xfId="6541" xr:uid="{00000000-0005-0000-0000-000085060000}"/>
    <cellStyle name="Normal 2 8 13" xfId="8962" xr:uid="{00000000-0005-0000-0000-000085060000}"/>
    <cellStyle name="Normal 2 8 2" xfId="832" xr:uid="{00000000-0005-0000-0000-0000EC040000}"/>
    <cellStyle name="Normal 2 8 2 10" xfId="6661" xr:uid="{00000000-0005-0000-0000-000086060000}"/>
    <cellStyle name="Normal 2 8 2 11" xfId="9082" xr:uid="{00000000-0005-0000-0000-000086060000}"/>
    <cellStyle name="Normal 2 8 2 2" xfId="833" xr:uid="{00000000-0005-0000-0000-0000ED040000}"/>
    <cellStyle name="Normal 2 8 2 2 2" xfId="3259" xr:uid="{00000000-0005-0000-0000-0000EC040000}"/>
    <cellStyle name="Normal 2 8 2 2 2 2" xfId="8617" xr:uid="{00000000-0005-0000-0000-000088060000}"/>
    <cellStyle name="Normal 2 8 2 2 2 3" xfId="11014" xr:uid="{00000000-0005-0000-0000-000088060000}"/>
    <cellStyle name="Normal 2 8 2 2 3" xfId="4319" xr:uid="{00000000-0005-0000-0000-0000EB040000}"/>
    <cellStyle name="Normal 2 8 2 2 3 2" xfId="8010" xr:uid="{00000000-0005-0000-0000-000089060000}"/>
    <cellStyle name="Normal 2 8 2 2 3 3" xfId="10407" xr:uid="{00000000-0005-0000-0000-000089060000}"/>
    <cellStyle name="Normal 2 8 2 2 4" xfId="5897" xr:uid="{00000000-0005-0000-0000-0000E7020000}"/>
    <cellStyle name="Normal 2 8 2 2 5" xfId="5151" xr:uid="{00000000-0005-0000-0000-00008E020000}"/>
    <cellStyle name="Normal 2 8 2 2 6" xfId="7269" xr:uid="{00000000-0005-0000-0000-000087060000}"/>
    <cellStyle name="Normal 2 8 2 2 7" xfId="9674" xr:uid="{00000000-0005-0000-0000-000087060000}"/>
    <cellStyle name="Normal 2 8 2 3" xfId="3260" xr:uid="{00000000-0005-0000-0000-0000ED040000}"/>
    <cellStyle name="Normal 2 8 2 3 2" xfId="4498" xr:uid="{00000000-0005-0000-0000-0000ED040000}"/>
    <cellStyle name="Normal 2 8 2 3 2 2" xfId="8618" xr:uid="{00000000-0005-0000-0000-00008B060000}"/>
    <cellStyle name="Normal 2 8 2 3 2 3" xfId="11015" xr:uid="{00000000-0005-0000-0000-00008B060000}"/>
    <cellStyle name="Normal 2 8 2 3 3" xfId="5645" xr:uid="{00000000-0005-0000-0000-0000E8020000}"/>
    <cellStyle name="Normal 2 8 2 3 4" xfId="7268" xr:uid="{00000000-0005-0000-0000-00008A060000}"/>
    <cellStyle name="Normal 2 8 2 3 5" xfId="9673" xr:uid="{00000000-0005-0000-0000-00008A060000}"/>
    <cellStyle name="Normal 2 8 2 4" xfId="3258" xr:uid="{00000000-0005-0000-0000-0000EE040000}"/>
    <cellStyle name="Normal 2 8 2 4 2" xfId="8616" xr:uid="{00000000-0005-0000-0000-00008C060000}"/>
    <cellStyle name="Normal 2 8 2 4 3" xfId="11013" xr:uid="{00000000-0005-0000-0000-00008C060000}"/>
    <cellStyle name="Normal 2 8 2 5" xfId="2521" xr:uid="{00000000-0005-0000-0000-0000EF040000}"/>
    <cellStyle name="Normal 2 8 2 5 2" xfId="7719" xr:uid="{00000000-0005-0000-0000-00008D060000}"/>
    <cellStyle name="Normal 2 8 2 5 3" xfId="10116" xr:uid="{00000000-0005-0000-0000-00008D060000}"/>
    <cellStyle name="Normal 2 8 2 6" xfId="2343" xr:uid="{00000000-0005-0000-0000-0000EA040000}"/>
    <cellStyle name="Normal 2 8 2 7" xfId="3854" xr:uid="{00000000-0005-0000-0000-0000FC010000}"/>
    <cellStyle name="Normal 2 8 2 8" xfId="5399" xr:uid="{00000000-0005-0000-0000-0000E6020000}"/>
    <cellStyle name="Normal 2 8 2 9" xfId="4915" xr:uid="{00000000-0005-0000-0000-00008D020000}"/>
    <cellStyle name="Normal 2 8 3" xfId="834" xr:uid="{00000000-0005-0000-0000-0000EE040000}"/>
    <cellStyle name="Normal 2 8 3 10" xfId="9243" xr:uid="{00000000-0005-0000-0000-00008E060000}"/>
    <cellStyle name="Normal 2 8 3 2" xfId="2756" xr:uid="{00000000-0005-0000-0000-0000F1040000}"/>
    <cellStyle name="Normal 2 8 3 2 2" xfId="3262" xr:uid="{00000000-0005-0000-0000-0000F2040000}"/>
    <cellStyle name="Normal 2 8 3 2 2 2" xfId="8620" xr:uid="{00000000-0005-0000-0000-000090060000}"/>
    <cellStyle name="Normal 2 8 3 2 2 3" xfId="11017" xr:uid="{00000000-0005-0000-0000-000090060000}"/>
    <cellStyle name="Normal 2 8 3 2 3" xfId="4320" xr:uid="{00000000-0005-0000-0000-0000F1040000}"/>
    <cellStyle name="Normal 2 8 3 2 3 2" xfId="8011" xr:uid="{00000000-0005-0000-0000-000091060000}"/>
    <cellStyle name="Normal 2 8 3 2 3 3" xfId="10408" xr:uid="{00000000-0005-0000-0000-000091060000}"/>
    <cellStyle name="Normal 2 8 3 2 4" xfId="5898" xr:uid="{00000000-0005-0000-0000-0000EA020000}"/>
    <cellStyle name="Normal 2 8 3 2 5" xfId="7270" xr:uid="{00000000-0005-0000-0000-00008F060000}"/>
    <cellStyle name="Normal 2 8 3 2 6" xfId="9675" xr:uid="{00000000-0005-0000-0000-00008F060000}"/>
    <cellStyle name="Normal 2 8 3 3" xfId="3263" xr:uid="{00000000-0005-0000-0000-0000F3040000}"/>
    <cellStyle name="Normal 2 8 3 3 2" xfId="4499" xr:uid="{00000000-0005-0000-0000-0000F3040000}"/>
    <cellStyle name="Normal 2 8 3 3 3" xfId="5730" xr:uid="{00000000-0005-0000-0000-0000EB020000}"/>
    <cellStyle name="Normal 2 8 3 3 4" xfId="8621" xr:uid="{00000000-0005-0000-0000-000092060000}"/>
    <cellStyle name="Normal 2 8 3 3 5" xfId="11018" xr:uid="{00000000-0005-0000-0000-000092060000}"/>
    <cellStyle name="Normal 2 8 3 4" xfId="3261" xr:uid="{00000000-0005-0000-0000-0000F4040000}"/>
    <cellStyle name="Normal 2 8 3 4 2" xfId="8619" xr:uid="{00000000-0005-0000-0000-000093060000}"/>
    <cellStyle name="Normal 2 8 3 4 3" xfId="11016" xr:uid="{00000000-0005-0000-0000-000093060000}"/>
    <cellStyle name="Normal 2 8 3 5" xfId="2624" xr:uid="{00000000-0005-0000-0000-0000F5040000}"/>
    <cellStyle name="Normal 2 8 3 5 2" xfId="7822" xr:uid="{00000000-0005-0000-0000-000094060000}"/>
    <cellStyle name="Normal 2 8 3 5 3" xfId="10219" xr:uid="{00000000-0005-0000-0000-000094060000}"/>
    <cellStyle name="Normal 2 8 3 6" xfId="4175" xr:uid="{00000000-0005-0000-0000-0000F0040000}"/>
    <cellStyle name="Normal 2 8 3 7" xfId="5500" xr:uid="{00000000-0005-0000-0000-0000E9020000}"/>
    <cellStyle name="Normal 2 8 3 8" xfId="5150" xr:uid="{00000000-0005-0000-0000-00008F020000}"/>
    <cellStyle name="Normal 2 8 3 9" xfId="6822" xr:uid="{00000000-0005-0000-0000-00008E060000}"/>
    <cellStyle name="Normal 2 8 4" xfId="835" xr:uid="{00000000-0005-0000-0000-0000EF040000}"/>
    <cellStyle name="Normal 2 8 4 2" xfId="3264" xr:uid="{00000000-0005-0000-0000-0000F7040000}"/>
    <cellStyle name="Normal 2 8 4 2 2" xfId="8622" xr:uid="{00000000-0005-0000-0000-000096060000}"/>
    <cellStyle name="Normal 2 8 4 2 3" xfId="11019" xr:uid="{00000000-0005-0000-0000-000096060000}"/>
    <cellStyle name="Normal 2 8 4 3" xfId="4318" xr:uid="{00000000-0005-0000-0000-0000F6040000}"/>
    <cellStyle name="Normal 2 8 4 3 2" xfId="8009" xr:uid="{00000000-0005-0000-0000-000097060000}"/>
    <cellStyle name="Normal 2 8 4 3 3" xfId="10406" xr:uid="{00000000-0005-0000-0000-000097060000}"/>
    <cellStyle name="Normal 2 8 4 4" xfId="5896" xr:uid="{00000000-0005-0000-0000-0000EC020000}"/>
    <cellStyle name="Normal 2 8 4 5" xfId="7271" xr:uid="{00000000-0005-0000-0000-000095060000}"/>
    <cellStyle name="Normal 2 8 4 6" xfId="9676" xr:uid="{00000000-0005-0000-0000-000095060000}"/>
    <cellStyle name="Normal 2 8 5" xfId="3265" xr:uid="{00000000-0005-0000-0000-0000F8040000}"/>
    <cellStyle name="Normal 2 8 5 2" xfId="4500" xr:uid="{00000000-0005-0000-0000-0000F8040000}"/>
    <cellStyle name="Normal 2 8 5 2 2" xfId="8623" xr:uid="{00000000-0005-0000-0000-000099060000}"/>
    <cellStyle name="Normal 2 8 5 2 3" xfId="11020" xr:uid="{00000000-0005-0000-0000-000099060000}"/>
    <cellStyle name="Normal 2 8 5 3" xfId="5585" xr:uid="{00000000-0005-0000-0000-0000ED020000}"/>
    <cellStyle name="Normal 2 8 5 4" xfId="7267" xr:uid="{00000000-0005-0000-0000-000098060000}"/>
    <cellStyle name="Normal 2 8 5 5" xfId="9672" xr:uid="{00000000-0005-0000-0000-000098060000}"/>
    <cellStyle name="Normal 2 8 6" xfId="2916" xr:uid="{00000000-0005-0000-0000-0000F9040000}"/>
    <cellStyle name="Normal 2 8 6 2" xfId="8243" xr:uid="{00000000-0005-0000-0000-00009A060000}"/>
    <cellStyle name="Normal 2 8 6 3" xfId="10640" xr:uid="{00000000-0005-0000-0000-00009A060000}"/>
    <cellStyle name="Normal 2 8 7" xfId="2461" xr:uid="{00000000-0005-0000-0000-0000FA040000}"/>
    <cellStyle name="Normal 2 8 7 2" xfId="7659" xr:uid="{00000000-0005-0000-0000-00009B060000}"/>
    <cellStyle name="Normal 2 8 7 3" xfId="10056" xr:uid="{00000000-0005-0000-0000-00009B060000}"/>
    <cellStyle name="Normal 2 8 8" xfId="2215" xr:uid="{00000000-0005-0000-0000-0000E9040000}"/>
    <cellStyle name="Normal 2 8 9" xfId="3953" xr:uid="{00000000-0005-0000-0000-0000FB010000}"/>
    <cellStyle name="Normal 2 9" xfId="836" xr:uid="{00000000-0005-0000-0000-0000F0040000}"/>
    <cellStyle name="Normal 2 9 10" xfId="4778" xr:uid="{00000000-0005-0000-0000-000090020000}"/>
    <cellStyle name="Normal 2 9 11" xfId="6662" xr:uid="{00000000-0005-0000-0000-00009C060000}"/>
    <cellStyle name="Normal 2 9 12" xfId="9083" xr:uid="{00000000-0005-0000-0000-00009C060000}"/>
    <cellStyle name="Normal 2 9 2" xfId="837" xr:uid="{00000000-0005-0000-0000-0000F1040000}"/>
    <cellStyle name="Normal 2 9 2 10" xfId="6823" xr:uid="{00000000-0005-0000-0000-00009D060000}"/>
    <cellStyle name="Normal 2 9 2 11" xfId="9244" xr:uid="{00000000-0005-0000-0000-00009D060000}"/>
    <cellStyle name="Normal 2 9 2 2" xfId="838" xr:uid="{00000000-0005-0000-0000-0000F2040000}"/>
    <cellStyle name="Normal 2 9 2 2 2" xfId="3267" xr:uid="{00000000-0005-0000-0000-0000FE040000}"/>
    <cellStyle name="Normal 2 9 2 2 2 2" xfId="8625" xr:uid="{00000000-0005-0000-0000-00009F060000}"/>
    <cellStyle name="Normal 2 9 2 2 2 3" xfId="11022" xr:uid="{00000000-0005-0000-0000-00009F060000}"/>
    <cellStyle name="Normal 2 9 2 2 3" xfId="4321" xr:uid="{00000000-0005-0000-0000-0000FD040000}"/>
    <cellStyle name="Normal 2 9 2 2 3 2" xfId="8013" xr:uid="{00000000-0005-0000-0000-0000A0060000}"/>
    <cellStyle name="Normal 2 9 2 2 3 3" xfId="10410" xr:uid="{00000000-0005-0000-0000-0000A0060000}"/>
    <cellStyle name="Normal 2 9 2 2 4" xfId="5900" xr:uid="{00000000-0005-0000-0000-0000F0020000}"/>
    <cellStyle name="Normal 2 9 2 2 5" xfId="5153" xr:uid="{00000000-0005-0000-0000-000092020000}"/>
    <cellStyle name="Normal 2 9 2 2 6" xfId="7274" xr:uid="{00000000-0005-0000-0000-00009E060000}"/>
    <cellStyle name="Normal 2 9 2 2 7" xfId="9679" xr:uid="{00000000-0005-0000-0000-00009E060000}"/>
    <cellStyle name="Normal 2 9 2 3" xfId="3268" xr:uid="{00000000-0005-0000-0000-0000FF040000}"/>
    <cellStyle name="Normal 2 9 2 3 2" xfId="4501" xr:uid="{00000000-0005-0000-0000-0000FF040000}"/>
    <cellStyle name="Normal 2 9 2 3 2 2" xfId="8626" xr:uid="{00000000-0005-0000-0000-0000A2060000}"/>
    <cellStyle name="Normal 2 9 2 3 2 3" xfId="11023" xr:uid="{00000000-0005-0000-0000-0000A2060000}"/>
    <cellStyle name="Normal 2 9 2 3 3" xfId="5713" xr:uid="{00000000-0005-0000-0000-0000F1020000}"/>
    <cellStyle name="Normal 2 9 2 3 4" xfId="7273" xr:uid="{00000000-0005-0000-0000-0000A1060000}"/>
    <cellStyle name="Normal 2 9 2 3 5" xfId="9678" xr:uid="{00000000-0005-0000-0000-0000A1060000}"/>
    <cellStyle name="Normal 2 9 2 4" xfId="3266" xr:uid="{00000000-0005-0000-0000-000000050000}"/>
    <cellStyle name="Normal 2 9 2 4 2" xfId="8624" xr:uid="{00000000-0005-0000-0000-0000A3060000}"/>
    <cellStyle name="Normal 2 9 2 4 3" xfId="11021" xr:uid="{00000000-0005-0000-0000-0000A3060000}"/>
    <cellStyle name="Normal 2 9 2 5" xfId="2607" xr:uid="{00000000-0005-0000-0000-000001050000}"/>
    <cellStyle name="Normal 2 9 2 5 2" xfId="7805" xr:uid="{00000000-0005-0000-0000-0000A4060000}"/>
    <cellStyle name="Normal 2 9 2 5 3" xfId="10202" xr:uid="{00000000-0005-0000-0000-0000A4060000}"/>
    <cellStyle name="Normal 2 9 2 6" xfId="2344" xr:uid="{00000000-0005-0000-0000-0000FC040000}"/>
    <cellStyle name="Normal 2 9 2 7" xfId="3856" xr:uid="{00000000-0005-0000-0000-0000FE010000}"/>
    <cellStyle name="Normal 2 9 2 8" xfId="5483" xr:uid="{00000000-0005-0000-0000-0000EF020000}"/>
    <cellStyle name="Normal 2 9 2 9" xfId="4916" xr:uid="{00000000-0005-0000-0000-000091020000}"/>
    <cellStyle name="Normal 2 9 3" xfId="839" xr:uid="{00000000-0005-0000-0000-0000F3040000}"/>
    <cellStyle name="Normal 2 9 3 2" xfId="3269" xr:uid="{00000000-0005-0000-0000-000003050000}"/>
    <cellStyle name="Normal 2 9 3 2 2" xfId="8627" xr:uid="{00000000-0005-0000-0000-0000A6060000}"/>
    <cellStyle name="Normal 2 9 3 2 3" xfId="11024" xr:uid="{00000000-0005-0000-0000-0000A6060000}"/>
    <cellStyle name="Normal 2 9 3 3" xfId="2757" xr:uid="{00000000-0005-0000-0000-000004050000}"/>
    <cellStyle name="Normal 2 9 3 3 2" xfId="8012" xr:uid="{00000000-0005-0000-0000-0000A7060000}"/>
    <cellStyle name="Normal 2 9 3 3 3" xfId="10409" xr:uid="{00000000-0005-0000-0000-0000A7060000}"/>
    <cellStyle name="Normal 2 9 3 4" xfId="4176" xr:uid="{00000000-0005-0000-0000-000002050000}"/>
    <cellStyle name="Normal 2 9 3 5" xfId="5899" xr:uid="{00000000-0005-0000-0000-0000F2020000}"/>
    <cellStyle name="Normal 2 9 3 6" xfId="5152" xr:uid="{00000000-0005-0000-0000-000093020000}"/>
    <cellStyle name="Normal 2 9 3 7" xfId="7275" xr:uid="{00000000-0005-0000-0000-0000A5060000}"/>
    <cellStyle name="Normal 2 9 3 8" xfId="9680" xr:uid="{00000000-0005-0000-0000-0000A5060000}"/>
    <cellStyle name="Normal 2 9 4" xfId="840" xr:uid="{00000000-0005-0000-0000-0000F4040000}"/>
    <cellStyle name="Normal 2 9 4 2" xfId="4502" xr:uid="{00000000-0005-0000-0000-000005050000}"/>
    <cellStyle name="Normal 2 9 4 2 2" xfId="8628" xr:uid="{00000000-0005-0000-0000-0000A9060000}"/>
    <cellStyle name="Normal 2 9 4 2 3" xfId="11025" xr:uid="{00000000-0005-0000-0000-0000A9060000}"/>
    <cellStyle name="Normal 2 9 4 3" xfId="5568" xr:uid="{00000000-0005-0000-0000-0000F3020000}"/>
    <cellStyle name="Normal 2 9 4 4" xfId="7276" xr:uid="{00000000-0005-0000-0000-0000A8060000}"/>
    <cellStyle name="Normal 2 9 4 5" xfId="9681" xr:uid="{00000000-0005-0000-0000-0000A8060000}"/>
    <cellStyle name="Normal 2 9 5" xfId="2917" xr:uid="{00000000-0005-0000-0000-000006050000}"/>
    <cellStyle name="Normal 2 9 5 2" xfId="8244" xr:uid="{00000000-0005-0000-0000-0000AB060000}"/>
    <cellStyle name="Normal 2 9 5 2 2" xfId="10641" xr:uid="{00000000-0005-0000-0000-0000AB060000}"/>
    <cellStyle name="Normal 2 9 5 3" xfId="7272" xr:uid="{00000000-0005-0000-0000-0000AA060000}"/>
    <cellStyle name="Normal 2 9 5 4" xfId="9677" xr:uid="{00000000-0005-0000-0000-0000AA060000}"/>
    <cellStyle name="Normal 2 9 6" xfId="2444" xr:uid="{00000000-0005-0000-0000-000007050000}"/>
    <cellStyle name="Normal 2 9 6 2" xfId="7642" xr:uid="{00000000-0005-0000-0000-0000AC060000}"/>
    <cellStyle name="Normal 2 9 6 3" xfId="10039" xr:uid="{00000000-0005-0000-0000-0000AC060000}"/>
    <cellStyle name="Normal 2 9 7" xfId="2198" xr:uid="{00000000-0005-0000-0000-0000FB040000}"/>
    <cellStyle name="Normal 2 9 8" xfId="3954" xr:uid="{00000000-0005-0000-0000-0000FD010000}"/>
    <cellStyle name="Normal 2 9 9" xfId="5322" xr:uid="{00000000-0005-0000-0000-0000EE020000}"/>
    <cellStyle name="Normal 3" xfId="841" xr:uid="{00000000-0005-0000-0000-0000F5040000}"/>
    <cellStyle name="Normal 3 2" xfId="842" xr:uid="{00000000-0005-0000-0000-0000F6040000}"/>
    <cellStyle name="Normal 3 2 2" xfId="843" xr:uid="{00000000-0005-0000-0000-0000F7040000}"/>
    <cellStyle name="Normal 3 2 2 2" xfId="844" xr:uid="{00000000-0005-0000-0000-0000F8040000}"/>
    <cellStyle name="Normal 3 2 2 3" xfId="845" xr:uid="{00000000-0005-0000-0000-0000F9040000}"/>
    <cellStyle name="Normal 3 2 2 3 2" xfId="846" xr:uid="{00000000-0005-0000-0000-0000FA040000}"/>
    <cellStyle name="Normal 3 2 2 3 3" xfId="4698" xr:uid="{00000000-0005-0000-0000-00007D120000}"/>
    <cellStyle name="Normal 3 2 2 4" xfId="847" xr:uid="{00000000-0005-0000-0000-0000FB040000}"/>
    <cellStyle name="Normal 3 2 2 4 2" xfId="848" xr:uid="{00000000-0005-0000-0000-0000FC040000}"/>
    <cellStyle name="Normal 3 2 2 4 3" xfId="3711" xr:uid="{00000000-0005-0000-0000-000069040000}"/>
    <cellStyle name="Normal 3 2 3" xfId="849" xr:uid="{00000000-0005-0000-0000-0000FD040000}"/>
    <cellStyle name="Normal 3 2 3 2" xfId="850" xr:uid="{00000000-0005-0000-0000-0000FE040000}"/>
    <cellStyle name="Normal 3 2 3 3" xfId="851" xr:uid="{00000000-0005-0000-0000-0000FF040000}"/>
    <cellStyle name="Normal 3 2 3 3 2" xfId="852" xr:uid="{00000000-0005-0000-0000-000000050000}"/>
    <cellStyle name="Normal 3 2 3 3 2 2" xfId="853" xr:uid="{00000000-0005-0000-0000-000001050000}"/>
    <cellStyle name="Normal 3 2 3 3 2 3" xfId="854" xr:uid="{00000000-0005-0000-0000-000002050000}"/>
    <cellStyle name="Normal 3 2 3 3 2 3 2" xfId="855" xr:uid="{00000000-0005-0000-0000-000003050000}"/>
    <cellStyle name="Normal 3 2 3 3 2 3 2 2" xfId="856" xr:uid="{00000000-0005-0000-0000-000004050000}"/>
    <cellStyle name="Normal 3 2 3 3 2 3 2 2 2" xfId="11379" xr:uid="{00000000-0005-0000-0000-0000E62C0000}"/>
    <cellStyle name="Normal 3 2 3 3 2 3 2 2 2 2" xfId="11489" xr:uid="{00000000-0005-0000-0000-00009F020000}"/>
    <cellStyle name="Normal 3 2 3 3 2 3 2 3" xfId="857" xr:uid="{00000000-0005-0000-0000-000005050000}"/>
    <cellStyle name="Normal 3 2 3 3 2 3 2 3 2" xfId="1988" xr:uid="{00000000-0005-0000-0000-000006050000}"/>
    <cellStyle name="Normal 3 2 3 3 2 3 2 3 3" xfId="3712" xr:uid="{00000000-0005-0000-0000-000073040000}"/>
    <cellStyle name="Normal 3 2 3 3 2 3 2 4" xfId="4998" xr:uid="{00000000-0005-0000-0000-00009E020000}"/>
    <cellStyle name="Normal 3 2 3 3 2 3 2 4 2" xfId="11529" xr:uid="{00000000-0005-0000-0000-0000CB030000}"/>
    <cellStyle name="Normal 3 2 3 3 2 3 3" xfId="858" xr:uid="{00000000-0005-0000-0000-000007050000}"/>
    <cellStyle name="Normal 3 2 3 3 2 3 4" xfId="2919" xr:uid="{00000000-0005-0000-0000-000014050000}"/>
    <cellStyle name="Normal 3 2 3 3 2 3 5" xfId="2094" xr:uid="{00000000-0005-0000-0000-000008020000}"/>
    <cellStyle name="Normal 3 2 3 3 2 3 5 2" xfId="4649" xr:uid="{00000000-0005-0000-0000-000011050000}"/>
    <cellStyle name="Normal 3 2 3 3 2 3 6" xfId="3957" xr:uid="{00000000-0005-0000-0000-000008020000}"/>
    <cellStyle name="Normal 3 2 3 3 2 4" xfId="859" xr:uid="{00000000-0005-0000-0000-000008050000}"/>
    <cellStyle name="Normal 3 2 3 3 2 4 2" xfId="2918" xr:uid="{00000000-0005-0000-0000-000015050000}"/>
    <cellStyle name="Normal 3 2 3 3 2 4 3" xfId="4699" xr:uid="{00000000-0005-0000-0000-00007E120000}"/>
    <cellStyle name="Normal 3 2 3 3 2 5" xfId="2093" xr:uid="{00000000-0005-0000-0000-000006020000}"/>
    <cellStyle name="Normal 3 2 3 3 2 5 2" xfId="4666" xr:uid="{00000000-0005-0000-0000-00000F050000}"/>
    <cellStyle name="Normal 3 2 3 3 2 6" xfId="3956" xr:uid="{00000000-0005-0000-0000-000006020000}"/>
    <cellStyle name="Normal 3 2 3 3 3" xfId="860" xr:uid="{00000000-0005-0000-0000-000009050000}"/>
    <cellStyle name="Normal 3 2 3 3 4" xfId="861" xr:uid="{00000000-0005-0000-0000-00000A050000}"/>
    <cellStyle name="Normal 3 2 3 3 4 2" xfId="862" xr:uid="{00000000-0005-0000-0000-00000B050000}"/>
    <cellStyle name="Normal 3 2 3 3 4 2 2" xfId="863" xr:uid="{00000000-0005-0000-0000-00000C050000}"/>
    <cellStyle name="Normal 3 2 3 3 4 2 2 2" xfId="864" xr:uid="{00000000-0005-0000-0000-00000D050000}"/>
    <cellStyle name="Normal 3 2 3 3 4 2 2 2 2" xfId="1989" xr:uid="{00000000-0005-0000-0000-00000E050000}"/>
    <cellStyle name="Normal 3 2 3 3 4 2 2 2 2 2" xfId="11375" xr:uid="{00000000-0005-0000-0000-0000E72C0000}"/>
    <cellStyle name="Normal 3 2 3 3 4 2 2 2 3" xfId="3713" xr:uid="{00000000-0005-0000-0000-00007A040000}"/>
    <cellStyle name="Normal 3 2 3 3 4 2 2 2 3 2" xfId="11490" xr:uid="{00000000-0005-0000-0000-0000A5020000}"/>
    <cellStyle name="Normal 3 2 3 3 4 2 2 3" xfId="1990" xr:uid="{00000000-0005-0000-0000-00000F050000}"/>
    <cellStyle name="Normal 3 2 3 3 4 2 2 4" xfId="4999" xr:uid="{00000000-0005-0000-0000-0000A4020000}"/>
    <cellStyle name="Normal 3 2 3 3 4 2 2 4 2" xfId="11530" xr:uid="{00000000-0005-0000-0000-0000D3030000}"/>
    <cellStyle name="Normal 3 2 3 3 4 2 3" xfId="865" xr:uid="{00000000-0005-0000-0000-000010050000}"/>
    <cellStyle name="Normal 3 2 3 3 4 2 3 2" xfId="866" xr:uid="{00000000-0005-0000-0000-000011050000}"/>
    <cellStyle name="Normal 3 2 3 3 4 2 3 2 2" xfId="6044" xr:uid="{00000000-0005-0000-0000-00000F020000}"/>
    <cellStyle name="Normal 3 2 3 3 4 2 3 2 3" xfId="5280" xr:uid="{00000000-0005-0000-0000-0000A7020000}"/>
    <cellStyle name="Normal 3 2 3 3 4 2 3 3" xfId="867" xr:uid="{00000000-0005-0000-0000-000012050000}"/>
    <cellStyle name="Normal 3 2 3 3 4 2 3 3 2" xfId="11365" xr:uid="{00000000-0005-0000-0000-0000E82C0000}"/>
    <cellStyle name="Normal 3 2 3 3 4 2 3 3 2 2" xfId="11520" xr:uid="{00000000-0005-0000-0000-000012050000}"/>
    <cellStyle name="Normal 3 2 3 3 4 2 3 4" xfId="2096" xr:uid="{00000000-0005-0000-0000-00000E020000}"/>
    <cellStyle name="Normal 3 2 3 3 4 2 3 4 2" xfId="11487" xr:uid="{00000000-0005-0000-0000-0000D7030000}"/>
    <cellStyle name="Normal 3 2 3 3 4 2 3 5" xfId="5154" xr:uid="{00000000-0005-0000-0000-0000A6020000}"/>
    <cellStyle name="Normal 3 2 3 3 4 2 4" xfId="4700" xr:uid="{00000000-0005-0000-0000-00007F120000}"/>
    <cellStyle name="Normal 3 2 3 3 4 3" xfId="868" xr:uid="{00000000-0005-0000-0000-000013050000}"/>
    <cellStyle name="Normal 3 2 3 3 4 4" xfId="2920" xr:uid="{00000000-0005-0000-0000-00001D050000}"/>
    <cellStyle name="Normal 3 2 3 3 4 5" xfId="2095" xr:uid="{00000000-0005-0000-0000-00000B020000}"/>
    <cellStyle name="Normal 3 2 3 3 4 5 2" xfId="3808" xr:uid="{00000000-0005-0000-0000-000017050000}"/>
    <cellStyle name="Normal 3 2 3 3 4 6" xfId="3958" xr:uid="{00000000-0005-0000-0000-00000B020000}"/>
    <cellStyle name="Normal 3 2 3 3 5" xfId="869" xr:uid="{00000000-0005-0000-0000-000014050000}"/>
    <cellStyle name="Normal 3 2 3 3 5 2" xfId="870" xr:uid="{00000000-0005-0000-0000-000015050000}"/>
    <cellStyle name="Normal 3 2 3 3 5 3" xfId="3714" xr:uid="{00000000-0005-0000-0000-000081040000}"/>
    <cellStyle name="Normal 3 2 3 3 5 3 2" xfId="6499" xr:uid="{00000000-0005-0000-0000-00006D060000}"/>
    <cellStyle name="Normal 3 2 3 4" xfId="871" xr:uid="{00000000-0005-0000-0000-000016050000}"/>
    <cellStyle name="Normal 3 2 3 4 2" xfId="872" xr:uid="{00000000-0005-0000-0000-000017050000}"/>
    <cellStyle name="Normal 3 2 3 4 3" xfId="873" xr:uid="{00000000-0005-0000-0000-000018050000}"/>
    <cellStyle name="Normal 3 2 3 4 3 2" xfId="874" xr:uid="{00000000-0005-0000-0000-000019050000}"/>
    <cellStyle name="Normal 3 2 3 4 3 2 2" xfId="875" xr:uid="{00000000-0005-0000-0000-00001A050000}"/>
    <cellStyle name="Normal 3 2 3 4 3 2 2 2" xfId="11357" xr:uid="{00000000-0005-0000-0000-0000E92C0000}"/>
    <cellStyle name="Normal 3 2 3 4 3 2 2 2 2" xfId="11491" xr:uid="{00000000-0005-0000-0000-0000AE020000}"/>
    <cellStyle name="Normal 3 2 3 4 3 2 3" xfId="876" xr:uid="{00000000-0005-0000-0000-00001B050000}"/>
    <cellStyle name="Normal 3 2 3 4 3 2 3 2" xfId="1991" xr:uid="{00000000-0005-0000-0000-00001C050000}"/>
    <cellStyle name="Normal 3 2 3 4 3 2 3 3" xfId="3715" xr:uid="{00000000-0005-0000-0000-000088040000}"/>
    <cellStyle name="Normal 3 2 3 4 3 2 4" xfId="5000" xr:uid="{00000000-0005-0000-0000-0000AD020000}"/>
    <cellStyle name="Normal 3 2 3 4 3 2 4 2" xfId="11531" xr:uid="{00000000-0005-0000-0000-0000E1030000}"/>
    <cellStyle name="Normal 3 2 3 4 3 3" xfId="877" xr:uid="{00000000-0005-0000-0000-00001D050000}"/>
    <cellStyle name="Normal 3 2 3 4 3 4" xfId="2921" xr:uid="{00000000-0005-0000-0000-000023050000}"/>
    <cellStyle name="Normal 3 2 3 4 3 5" xfId="2098" xr:uid="{00000000-0005-0000-0000-000012020000}"/>
    <cellStyle name="Normal 3 2 3 4 3 5 2" xfId="4671" xr:uid="{00000000-0005-0000-0000-000020050000}"/>
    <cellStyle name="Normal 3 2 3 4 3 6" xfId="3960" xr:uid="{00000000-0005-0000-0000-000012020000}"/>
    <cellStyle name="Normal 3 2 3 4 4" xfId="878" xr:uid="{00000000-0005-0000-0000-00001E050000}"/>
    <cellStyle name="Normal 3 2 3 4 4 2" xfId="1992" xr:uid="{00000000-0005-0000-0000-00001F050000}"/>
    <cellStyle name="Normal 3 2 3 4 4 3" xfId="3716" xr:uid="{00000000-0005-0000-0000-00008B040000}"/>
    <cellStyle name="Normal 3 2 3 4 5" xfId="2097" xr:uid="{00000000-0005-0000-0000-000010020000}"/>
    <cellStyle name="Normal 3 2 3 4 5 2" xfId="3778" xr:uid="{00000000-0005-0000-0000-00001E050000}"/>
    <cellStyle name="Normal 3 2 3 4 6" xfId="3959" xr:uid="{00000000-0005-0000-0000-000010020000}"/>
    <cellStyle name="Normal 3 2 3 5" xfId="2066" xr:uid="{00000000-0005-0000-0000-000003020000}"/>
    <cellStyle name="Normal 3 2 4" xfId="879" xr:uid="{00000000-0005-0000-0000-000020050000}"/>
    <cellStyle name="Normal 3 2 4 2" xfId="880" xr:uid="{00000000-0005-0000-0000-000021050000}"/>
    <cellStyle name="Normal 3 2 4 3" xfId="881" xr:uid="{00000000-0005-0000-0000-000022050000}"/>
    <cellStyle name="Normal 3 2 4 3 2" xfId="882" xr:uid="{00000000-0005-0000-0000-000023050000}"/>
    <cellStyle name="Normal 3 2 4 3 2 2" xfId="883" xr:uid="{00000000-0005-0000-0000-000024050000}"/>
    <cellStyle name="Normal 3 2 4 3 2 2 2" xfId="11373" xr:uid="{00000000-0005-0000-0000-0000EA2C0000}"/>
    <cellStyle name="Normal 3 2 4 3 2 2 2 2" xfId="11492" xr:uid="{00000000-0005-0000-0000-0000B4020000}"/>
    <cellStyle name="Normal 3 2 4 3 2 3" xfId="884" xr:uid="{00000000-0005-0000-0000-000025050000}"/>
    <cellStyle name="Normal 3 2 4 3 2 3 2" xfId="1993" xr:uid="{00000000-0005-0000-0000-000026050000}"/>
    <cellStyle name="Normal 3 2 4 3 2 3 3" xfId="3717" xr:uid="{00000000-0005-0000-0000-000092040000}"/>
    <cellStyle name="Normal 3 2 4 3 2 4" xfId="5001" xr:uid="{00000000-0005-0000-0000-0000B3020000}"/>
    <cellStyle name="Normal 3 2 4 3 2 4 2" xfId="11532" xr:uid="{00000000-0005-0000-0000-0000E9030000}"/>
    <cellStyle name="Normal 3 2 4 3 3" xfId="885" xr:uid="{00000000-0005-0000-0000-000027050000}"/>
    <cellStyle name="Normal 3 2 4 3 4" xfId="2923" xr:uid="{00000000-0005-0000-0000-00002A050000}"/>
    <cellStyle name="Normal 3 2 4 3 5" xfId="2100" xr:uid="{00000000-0005-0000-0000-000016020000}"/>
    <cellStyle name="Normal 3 2 4 3 5 2" xfId="4686" xr:uid="{00000000-0005-0000-0000-000027050000}"/>
    <cellStyle name="Normal 3 2 4 3 6" xfId="3963" xr:uid="{00000000-0005-0000-0000-000016020000}"/>
    <cellStyle name="Normal 3 2 4 4" xfId="2922" xr:uid="{00000000-0005-0000-0000-00002B050000}"/>
    <cellStyle name="Normal 3 2 4 5" xfId="2099" xr:uid="{00000000-0005-0000-0000-000014020000}"/>
    <cellStyle name="Normal 3 2 4 5 2" xfId="4645" xr:uid="{00000000-0005-0000-0000-000025050000}"/>
    <cellStyle name="Normal 3 2 4 6" xfId="3962" xr:uid="{00000000-0005-0000-0000-000014020000}"/>
    <cellStyle name="Normal 3 3" xfId="886" xr:uid="{00000000-0005-0000-0000-000028050000}"/>
    <cellStyle name="Normal 4" xfId="887" xr:uid="{00000000-0005-0000-0000-000029050000}"/>
    <cellStyle name="Normal 4 10" xfId="888" xr:uid="{00000000-0005-0000-0000-00002A050000}"/>
    <cellStyle name="Normal 4 10 10" xfId="6664" xr:uid="{00000000-0005-0000-0000-0000E4060000}"/>
    <cellStyle name="Normal 4 10 11" xfId="9085" xr:uid="{00000000-0005-0000-0000-0000E4060000}"/>
    <cellStyle name="Normal 4 10 2" xfId="889" xr:uid="{00000000-0005-0000-0000-00002B050000}"/>
    <cellStyle name="Normal 4 10 2 2" xfId="890" xr:uid="{00000000-0005-0000-0000-00002C050000}"/>
    <cellStyle name="Normal 4 10 2 2 2" xfId="6395" xr:uid="{00000000-0005-0000-0000-000030050000}"/>
    <cellStyle name="Normal 4 10 2 2 2 2" xfId="8629" xr:uid="{00000000-0005-0000-0000-0000E7060000}"/>
    <cellStyle name="Normal 4 10 2 2 2 3" xfId="11026" xr:uid="{00000000-0005-0000-0000-0000E7060000}"/>
    <cellStyle name="Normal 4 10 2 2 3" xfId="7280" xr:uid="{00000000-0005-0000-0000-0000E6060000}"/>
    <cellStyle name="Normal 4 10 2 2 4" xfId="9685" xr:uid="{00000000-0005-0000-0000-0000E6060000}"/>
    <cellStyle name="Normal 4 10 2 3" xfId="2759" xr:uid="{00000000-0005-0000-0000-000031050000}"/>
    <cellStyle name="Normal 4 10 2 3 2" xfId="6206" xr:uid="{00000000-0005-0000-0000-000031050000}"/>
    <cellStyle name="Normal 4 10 2 3 3" xfId="7279" xr:uid="{00000000-0005-0000-0000-0000E8060000}"/>
    <cellStyle name="Normal 4 10 2 3 4" xfId="9684" xr:uid="{00000000-0005-0000-0000-0000E8060000}"/>
    <cellStyle name="Normal 4 10 2 4" xfId="4177" xr:uid="{00000000-0005-0000-0000-00002F050000}"/>
    <cellStyle name="Normal 4 10 2 4 2" xfId="8015" xr:uid="{00000000-0005-0000-0000-0000E9060000}"/>
    <cellStyle name="Normal 4 10 2 4 3" xfId="10412" xr:uid="{00000000-0005-0000-0000-0000E9060000}"/>
    <cellStyle name="Normal 4 10 2 5" xfId="5902" xr:uid="{00000000-0005-0000-0000-000011030000}"/>
    <cellStyle name="Normal 4 10 2 6" xfId="5156" xr:uid="{00000000-0005-0000-0000-0000B9020000}"/>
    <cellStyle name="Normal 4 10 2 7" xfId="6825" xr:uid="{00000000-0005-0000-0000-0000E5060000}"/>
    <cellStyle name="Normal 4 10 2 8" xfId="9246" xr:uid="{00000000-0005-0000-0000-0000E5060000}"/>
    <cellStyle name="Normal 4 10 3" xfId="891" xr:uid="{00000000-0005-0000-0000-00002D050000}"/>
    <cellStyle name="Normal 4 10 3 2" xfId="4503" xr:uid="{00000000-0005-0000-0000-000032050000}"/>
    <cellStyle name="Normal 4 10 3 2 2" xfId="8630" xr:uid="{00000000-0005-0000-0000-0000EB060000}"/>
    <cellStyle name="Normal 4 10 3 2 3" xfId="11027" xr:uid="{00000000-0005-0000-0000-0000EB060000}"/>
    <cellStyle name="Normal 4 10 3 3" xfId="5675" xr:uid="{00000000-0005-0000-0000-000012030000}"/>
    <cellStyle name="Normal 4 10 3 4" xfId="7281" xr:uid="{00000000-0005-0000-0000-0000EA060000}"/>
    <cellStyle name="Normal 4 10 3 5" xfId="9686" xr:uid="{00000000-0005-0000-0000-0000EA060000}"/>
    <cellStyle name="Normal 4 10 4" xfId="892" xr:uid="{00000000-0005-0000-0000-00002E050000}"/>
    <cellStyle name="Normal 4 10 4 2" xfId="6307" xr:uid="{00000000-0005-0000-0000-000033050000}"/>
    <cellStyle name="Normal 4 10 4 2 2" xfId="8245" xr:uid="{00000000-0005-0000-0000-0000ED060000}"/>
    <cellStyle name="Normal 4 10 4 2 3" xfId="10642" xr:uid="{00000000-0005-0000-0000-0000ED060000}"/>
    <cellStyle name="Normal 4 10 4 3" xfId="7282" xr:uid="{00000000-0005-0000-0000-0000EC060000}"/>
    <cellStyle name="Normal 4 10 4 4" xfId="9687" xr:uid="{00000000-0005-0000-0000-0000EC060000}"/>
    <cellStyle name="Normal 4 10 5" xfId="2566" xr:uid="{00000000-0005-0000-0000-000034050000}"/>
    <cellStyle name="Normal 4 10 5 2" xfId="7278" xr:uid="{00000000-0005-0000-0000-0000EE060000}"/>
    <cellStyle name="Normal 4 10 5 3" xfId="9683" xr:uid="{00000000-0005-0000-0000-0000EE060000}"/>
    <cellStyle name="Normal 4 10 6" xfId="2345" xr:uid="{00000000-0005-0000-0000-00002E050000}"/>
    <cellStyle name="Normal 4 10 6 2" xfId="7764" xr:uid="{00000000-0005-0000-0000-0000EF060000}"/>
    <cellStyle name="Normal 4 10 6 3" xfId="10161" xr:uid="{00000000-0005-0000-0000-0000EF060000}"/>
    <cellStyle name="Normal 4 10 7" xfId="3965" xr:uid="{00000000-0005-0000-0000-00001A020000}"/>
    <cellStyle name="Normal 4 10 8" xfId="5444" xr:uid="{00000000-0005-0000-0000-000010030000}"/>
    <cellStyle name="Normal 4 10 9" xfId="4918" xr:uid="{00000000-0005-0000-0000-0000B8020000}"/>
    <cellStyle name="Normal 4 11" xfId="893" xr:uid="{00000000-0005-0000-0000-00002F050000}"/>
    <cellStyle name="Normal 4 11 10" xfId="9086" xr:uid="{00000000-0005-0000-0000-0000F0060000}"/>
    <cellStyle name="Normal 4 11 2" xfId="894" xr:uid="{00000000-0005-0000-0000-000030050000}"/>
    <cellStyle name="Normal 4 11 2 2" xfId="3270" xr:uid="{00000000-0005-0000-0000-000037050000}"/>
    <cellStyle name="Normal 4 11 2 2 2" xfId="6396" xr:uid="{00000000-0005-0000-0000-000037050000}"/>
    <cellStyle name="Normal 4 11 2 2 3" xfId="7284" xr:uid="{00000000-0005-0000-0000-0000F2060000}"/>
    <cellStyle name="Normal 4 11 2 2 4" xfId="9689" xr:uid="{00000000-0005-0000-0000-0000F2060000}"/>
    <cellStyle name="Normal 4 11 2 3" xfId="4178" xr:uid="{00000000-0005-0000-0000-000036050000}"/>
    <cellStyle name="Normal 4 11 2 3 2" xfId="6114" xr:uid="{00000000-0005-0000-0000-000036050000}"/>
    <cellStyle name="Normal 4 11 2 3 3" xfId="8631" xr:uid="{00000000-0005-0000-0000-0000F3060000}"/>
    <cellStyle name="Normal 4 11 2 3 4" xfId="11028" xr:uid="{00000000-0005-0000-0000-0000F3060000}"/>
    <cellStyle name="Normal 4 11 2 4" xfId="5903" xr:uid="{00000000-0005-0000-0000-000014030000}"/>
    <cellStyle name="Normal 4 11 2 5" xfId="5157" xr:uid="{00000000-0005-0000-0000-0000BB020000}"/>
    <cellStyle name="Normal 4 11 2 6" xfId="6826" xr:uid="{00000000-0005-0000-0000-0000F1060000}"/>
    <cellStyle name="Normal 4 11 2 7" xfId="9247" xr:uid="{00000000-0005-0000-0000-0000F1060000}"/>
    <cellStyle name="Normal 4 11 3" xfId="895" xr:uid="{00000000-0005-0000-0000-000031050000}"/>
    <cellStyle name="Normal 4 11 3 2" xfId="6481" xr:uid="{00000000-0005-0000-0000-00008E060000}"/>
    <cellStyle name="Normal 4 11 3 2 2" xfId="8246" xr:uid="{00000000-0005-0000-0000-0000F5060000}"/>
    <cellStyle name="Normal 4 11 3 2 3" xfId="10643" xr:uid="{00000000-0005-0000-0000-0000F5060000}"/>
    <cellStyle name="Normal 4 11 3 3" xfId="6308" xr:uid="{00000000-0005-0000-0000-000038050000}"/>
    <cellStyle name="Normal 4 11 3 4" xfId="7285" xr:uid="{00000000-0005-0000-0000-0000F4060000}"/>
    <cellStyle name="Normal 4 11 3 5" xfId="9690" xr:uid="{00000000-0005-0000-0000-0000F4060000}"/>
    <cellStyle name="Normal 4 11 4" xfId="2760" xr:uid="{00000000-0005-0000-0000-000039050000}"/>
    <cellStyle name="Normal 4 11 4 2" xfId="6207" xr:uid="{00000000-0005-0000-0000-000039050000}"/>
    <cellStyle name="Normal 4 11 4 3" xfId="7283" xr:uid="{00000000-0005-0000-0000-0000F6060000}"/>
    <cellStyle name="Normal 4 11 4 4" xfId="9688" xr:uid="{00000000-0005-0000-0000-0000F6060000}"/>
    <cellStyle name="Normal 4 11 5" xfId="2346" xr:uid="{00000000-0005-0000-0000-000035050000}"/>
    <cellStyle name="Normal 4 11 5 2" xfId="8016" xr:uid="{00000000-0005-0000-0000-0000F7060000}"/>
    <cellStyle name="Normal 4 11 5 3" xfId="10413" xr:uid="{00000000-0005-0000-0000-0000F7060000}"/>
    <cellStyle name="Normal 4 11 6" xfId="3966" xr:uid="{00000000-0005-0000-0000-00001B020000}"/>
    <cellStyle name="Normal 4 11 7" xfId="5307" xr:uid="{00000000-0005-0000-0000-000013030000}"/>
    <cellStyle name="Normal 4 11 8" xfId="4919" xr:uid="{00000000-0005-0000-0000-0000BA020000}"/>
    <cellStyle name="Normal 4 11 9" xfId="6665" xr:uid="{00000000-0005-0000-0000-0000F0060000}"/>
    <cellStyle name="Normal 4 12" xfId="896" xr:uid="{00000000-0005-0000-0000-000032050000}"/>
    <cellStyle name="Normal 4 12 2" xfId="897" xr:uid="{00000000-0005-0000-0000-000033050000}"/>
    <cellStyle name="Normal 4 12 2 2" xfId="2924" xr:uid="{00000000-0005-0000-0000-00003C050000}"/>
    <cellStyle name="Normal 4 12 2 2 2" xfId="6309" xr:uid="{00000000-0005-0000-0000-00003C050000}"/>
    <cellStyle name="Normal 4 12 2 2 3" xfId="7287" xr:uid="{00000000-0005-0000-0000-0000FA060000}"/>
    <cellStyle name="Normal 4 12 2 2 4" xfId="9692" xr:uid="{00000000-0005-0000-0000-0000FA060000}"/>
    <cellStyle name="Normal 4 12 2 3" xfId="4734" xr:uid="{00000000-0005-0000-0000-0000D8030000}"/>
    <cellStyle name="Normal 4 12 2 3 2" xfId="6115" xr:uid="{00000000-0005-0000-0000-00003B050000}"/>
    <cellStyle name="Normal 4 12 2 3 3" xfId="8247" xr:uid="{00000000-0005-0000-0000-0000FB060000}"/>
    <cellStyle name="Normal 4 12 2 3 4" xfId="10644" xr:uid="{00000000-0005-0000-0000-0000FB060000}"/>
    <cellStyle name="Normal 4 12 2 4" xfId="5158" xr:uid="{00000000-0005-0000-0000-0000BD020000}"/>
    <cellStyle name="Normal 4 12 2 5" xfId="6827" xr:uid="{00000000-0005-0000-0000-0000F9060000}"/>
    <cellStyle name="Normal 4 12 2 6" xfId="9248" xr:uid="{00000000-0005-0000-0000-0000F9060000}"/>
    <cellStyle name="Normal 4 12 3" xfId="898" xr:uid="{00000000-0005-0000-0000-000034050000}"/>
    <cellStyle name="Normal 4 12 3 2" xfId="6208" xr:uid="{00000000-0005-0000-0000-00003D050000}"/>
    <cellStyle name="Normal 4 12 3 3" xfId="7288" xr:uid="{00000000-0005-0000-0000-0000FC060000}"/>
    <cellStyle name="Normal 4 12 3 4" xfId="9693" xr:uid="{00000000-0005-0000-0000-0000FC060000}"/>
    <cellStyle name="Normal 4 12 4" xfId="2347" xr:uid="{00000000-0005-0000-0000-00003A050000}"/>
    <cellStyle name="Normal 4 12 4 2" xfId="6070" xr:uid="{00000000-0005-0000-0000-00003A050000}"/>
    <cellStyle name="Normal 4 12 4 3" xfId="7286" xr:uid="{00000000-0005-0000-0000-0000FD060000}"/>
    <cellStyle name="Normal 4 12 4 4" xfId="9691" xr:uid="{00000000-0005-0000-0000-0000FD060000}"/>
    <cellStyle name="Normal 4 12 5" xfId="3967" xr:uid="{00000000-0005-0000-0000-00001C020000}"/>
    <cellStyle name="Normal 4 12 5 2" xfId="8017" xr:uid="{00000000-0005-0000-0000-0000FE060000}"/>
    <cellStyle name="Normal 4 12 5 3" xfId="10414" xr:uid="{00000000-0005-0000-0000-0000FE060000}"/>
    <cellStyle name="Normal 4 12 6" xfId="5904" xr:uid="{00000000-0005-0000-0000-000015030000}"/>
    <cellStyle name="Normal 4 12 7" xfId="4920" xr:uid="{00000000-0005-0000-0000-0000BC020000}"/>
    <cellStyle name="Normal 4 12 8" xfId="6666" xr:uid="{00000000-0005-0000-0000-0000F8060000}"/>
    <cellStyle name="Normal 4 12 9" xfId="9087" xr:uid="{00000000-0005-0000-0000-0000F8060000}"/>
    <cellStyle name="Normal 4 13" xfId="899" xr:uid="{00000000-0005-0000-0000-000035050000}"/>
    <cellStyle name="Normal 4 13 2" xfId="3271" xr:uid="{00000000-0005-0000-0000-00003F050000}"/>
    <cellStyle name="Normal 4 13 2 2" xfId="6397" xr:uid="{00000000-0005-0000-0000-00003F050000}"/>
    <cellStyle name="Normal 4 13 2 2 2" xfId="8632" xr:uid="{00000000-0005-0000-0000-000001070000}"/>
    <cellStyle name="Normal 4 13 2 2 3" xfId="11029" xr:uid="{00000000-0005-0000-0000-000001070000}"/>
    <cellStyle name="Normal 4 13 2 3" xfId="5159" xr:uid="{00000000-0005-0000-0000-0000BF020000}"/>
    <cellStyle name="Normal 4 13 2 4" xfId="7289" xr:uid="{00000000-0005-0000-0000-000000070000}"/>
    <cellStyle name="Normal 4 13 2 5" xfId="9694" xr:uid="{00000000-0005-0000-0000-000000070000}"/>
    <cellStyle name="Normal 4 13 3" xfId="2758" xr:uid="{00000000-0005-0000-0000-000040050000}"/>
    <cellStyle name="Normal 4 13 3 2" xfId="6205" xr:uid="{00000000-0005-0000-0000-000040050000}"/>
    <cellStyle name="Normal 4 13 3 3" xfId="8014" xr:uid="{00000000-0005-0000-0000-000002070000}"/>
    <cellStyle name="Normal 4 13 3 4" xfId="10411" xr:uid="{00000000-0005-0000-0000-000002070000}"/>
    <cellStyle name="Normal 4 13 4" xfId="2268" xr:uid="{00000000-0005-0000-0000-00003E050000}"/>
    <cellStyle name="Normal 4 13 4 2" xfId="11406" xr:uid="{00000000-0005-0000-0000-000099060000}"/>
    <cellStyle name="Normal 4 13 5" xfId="3964" xr:uid="{00000000-0005-0000-0000-00001D020000}"/>
    <cellStyle name="Normal 4 13 6" xfId="5901" xr:uid="{00000000-0005-0000-0000-000016030000}"/>
    <cellStyle name="Normal 4 13 7" xfId="4917" xr:uid="{00000000-0005-0000-0000-0000BE020000}"/>
    <cellStyle name="Normal 4 13 8" xfId="6663" xr:uid="{00000000-0005-0000-0000-0000FF060000}"/>
    <cellStyle name="Normal 4 13 9" xfId="9084" xr:uid="{00000000-0005-0000-0000-0000FF060000}"/>
    <cellStyle name="Normal 4 14" xfId="900" xr:uid="{00000000-0005-0000-0000-000036050000}"/>
    <cellStyle name="Normal 4 14 2" xfId="3272" xr:uid="{00000000-0005-0000-0000-000042050000}"/>
    <cellStyle name="Normal 4 14 2 2" xfId="6398" xr:uid="{00000000-0005-0000-0000-000042050000}"/>
    <cellStyle name="Normal 4 14 2 2 2" xfId="8633" xr:uid="{00000000-0005-0000-0000-000005070000}"/>
    <cellStyle name="Normal 4 14 2 2 3" xfId="11030" xr:uid="{00000000-0005-0000-0000-000005070000}"/>
    <cellStyle name="Normal 4 14 2 3" xfId="5160" xr:uid="{00000000-0005-0000-0000-0000C1020000}"/>
    <cellStyle name="Normal 4 14 2 4" xfId="7290" xr:uid="{00000000-0005-0000-0000-000004070000}"/>
    <cellStyle name="Normal 4 14 2 5" xfId="9695" xr:uid="{00000000-0005-0000-0000-000004070000}"/>
    <cellStyle name="Normal 4 14 3" xfId="2867" xr:uid="{00000000-0005-0000-0000-000043050000}"/>
    <cellStyle name="Normal 4 14 3 2" xfId="6256" xr:uid="{00000000-0005-0000-0000-000043050000}"/>
    <cellStyle name="Normal 4 14 3 3" xfId="8162" xr:uid="{00000000-0005-0000-0000-000006070000}"/>
    <cellStyle name="Normal 4 14 3 4" xfId="10559" xr:uid="{00000000-0005-0000-0000-000006070000}"/>
    <cellStyle name="Normal 4 14 4" xfId="4115" xr:uid="{00000000-0005-0000-0000-000041050000}"/>
    <cellStyle name="Normal 4 14 4 2" xfId="11424" xr:uid="{00000000-0005-0000-0000-00009E060000}"/>
    <cellStyle name="Normal 4 14 5" xfId="5553" xr:uid="{00000000-0005-0000-0000-000017030000}"/>
    <cellStyle name="Normal 4 14 6" xfId="5029" xr:uid="{00000000-0005-0000-0000-0000C0020000}"/>
    <cellStyle name="Normal 4 14 7" xfId="6824" xr:uid="{00000000-0005-0000-0000-000003070000}"/>
    <cellStyle name="Normal 4 14 8" xfId="9245" xr:uid="{00000000-0005-0000-0000-000003070000}"/>
    <cellStyle name="Normal 4 15" xfId="901" xr:uid="{00000000-0005-0000-0000-000037050000}"/>
    <cellStyle name="Normal 4 15 2" xfId="4692" xr:uid="{00000000-0005-0000-0000-0000E2030000}"/>
    <cellStyle name="Normal 4 15 2 2" xfId="6494" xr:uid="{00000000-0005-0000-0000-0000A0060000}"/>
    <cellStyle name="Normal 4 15 2 3" xfId="5161" xr:uid="{00000000-0005-0000-0000-0000C3020000}"/>
    <cellStyle name="Normal 4 15 2 4" xfId="8166" xr:uid="{00000000-0005-0000-0000-000008070000}"/>
    <cellStyle name="Normal 4 15 2 5" xfId="10563" xr:uid="{00000000-0005-0000-0000-000008070000}"/>
    <cellStyle name="Normal 4 15 3" xfId="6259" xr:uid="{00000000-0005-0000-0000-000044050000}"/>
    <cellStyle name="Normal 4 15 3 2" xfId="11425" xr:uid="{00000000-0005-0000-0000-0000A1060000}"/>
    <cellStyle name="Normal 4 15 3 3" xfId="11565" xr:uid="{00000000-0005-0000-0000-0000FE030000}"/>
    <cellStyle name="Normal 4 15 4" xfId="4762" xr:uid="{00000000-0005-0000-0000-0000C2020000}"/>
    <cellStyle name="Normal 4 15 5" xfId="7291" xr:uid="{00000000-0005-0000-0000-000007070000}"/>
    <cellStyle name="Normal 4 15 6" xfId="9696" xr:uid="{00000000-0005-0000-0000-000007070000}"/>
    <cellStyle name="Normal 4 16" xfId="902" xr:uid="{00000000-0005-0000-0000-000038050000}"/>
    <cellStyle name="Normal 4 16 2" xfId="6142" xr:uid="{00000000-0005-0000-0000-000045050000}"/>
    <cellStyle name="Normal 4 16 3" xfId="5155" xr:uid="{00000000-0005-0000-0000-0000C4020000}"/>
    <cellStyle name="Normal 4 16 4" xfId="7292" xr:uid="{00000000-0005-0000-0000-000009070000}"/>
    <cellStyle name="Normal 4 16 5" xfId="9697" xr:uid="{00000000-0005-0000-0000-000009070000}"/>
    <cellStyle name="Normal 4 17" xfId="903" xr:uid="{00000000-0005-0000-0000-000039050000}"/>
    <cellStyle name="Normal 4 17 2" xfId="6048" xr:uid="{00000000-0005-0000-0000-00002D050000}"/>
    <cellStyle name="Normal 4 17 3" xfId="7293" xr:uid="{00000000-0005-0000-0000-00000A070000}"/>
    <cellStyle name="Normal 4 17 4" xfId="9698" xr:uid="{00000000-0005-0000-0000-00000A070000}"/>
    <cellStyle name="Normal 4 18" xfId="3781" xr:uid="{00000000-0005-0000-0000-000019020000}"/>
    <cellStyle name="Normal 4 18 2" xfId="7277" xr:uid="{00000000-0005-0000-0000-00000B070000}"/>
    <cellStyle name="Normal 4 18 3" xfId="9682" xr:uid="{00000000-0005-0000-0000-00000B070000}"/>
    <cellStyle name="Normal 4 19" xfId="5300" xr:uid="{00000000-0005-0000-0000-00000F030000}"/>
    <cellStyle name="Normal 4 19 2" xfId="7627" xr:uid="{00000000-0005-0000-0000-00000C070000}"/>
    <cellStyle name="Normal 4 19 3" xfId="10024" xr:uid="{00000000-0005-0000-0000-00000C070000}"/>
    <cellStyle name="Normal 4 2" xfId="904" xr:uid="{00000000-0005-0000-0000-00003A050000}"/>
    <cellStyle name="Normal 4 2 10" xfId="905" xr:uid="{00000000-0005-0000-0000-00003B050000}"/>
    <cellStyle name="Normal 4 2 10 2" xfId="906" xr:uid="{00000000-0005-0000-0000-00003C050000}"/>
    <cellStyle name="Normal 4 2 10 2 2" xfId="2925" xr:uid="{00000000-0005-0000-0000-000049050000}"/>
    <cellStyle name="Normal 4 2 10 2 2 2" xfId="6310" xr:uid="{00000000-0005-0000-0000-000049050000}"/>
    <cellStyle name="Normal 4 2 10 2 2 3" xfId="7296" xr:uid="{00000000-0005-0000-0000-000010070000}"/>
    <cellStyle name="Normal 4 2 10 2 2 4" xfId="9701" xr:uid="{00000000-0005-0000-0000-000010070000}"/>
    <cellStyle name="Normal 4 2 10 2 3" xfId="4735" xr:uid="{00000000-0005-0000-0000-0000E9030000}"/>
    <cellStyle name="Normal 4 2 10 2 3 2" xfId="6116" xr:uid="{00000000-0005-0000-0000-000048050000}"/>
    <cellStyle name="Normal 4 2 10 2 3 3" xfId="8248" xr:uid="{00000000-0005-0000-0000-000011070000}"/>
    <cellStyle name="Normal 4 2 10 2 3 4" xfId="10645" xr:uid="{00000000-0005-0000-0000-000011070000}"/>
    <cellStyle name="Normal 4 2 10 2 4" xfId="5163" xr:uid="{00000000-0005-0000-0000-0000C7020000}"/>
    <cellStyle name="Normal 4 2 10 2 5" xfId="6829" xr:uid="{00000000-0005-0000-0000-00000F070000}"/>
    <cellStyle name="Normal 4 2 10 2 6" xfId="9250" xr:uid="{00000000-0005-0000-0000-00000F070000}"/>
    <cellStyle name="Normal 4 2 10 3" xfId="907" xr:uid="{00000000-0005-0000-0000-00003D050000}"/>
    <cellStyle name="Normal 4 2 10 3 2" xfId="6210" xr:uid="{00000000-0005-0000-0000-00004A050000}"/>
    <cellStyle name="Normal 4 2 10 3 3" xfId="7297" xr:uid="{00000000-0005-0000-0000-000012070000}"/>
    <cellStyle name="Normal 4 2 10 3 4" xfId="9702" xr:uid="{00000000-0005-0000-0000-000012070000}"/>
    <cellStyle name="Normal 4 2 10 4" xfId="2348" xr:uid="{00000000-0005-0000-0000-000047050000}"/>
    <cellStyle name="Normal 4 2 10 4 2" xfId="6071" xr:uid="{00000000-0005-0000-0000-000047050000}"/>
    <cellStyle name="Normal 4 2 10 4 3" xfId="7295" xr:uid="{00000000-0005-0000-0000-000013070000}"/>
    <cellStyle name="Normal 4 2 10 4 4" xfId="9700" xr:uid="{00000000-0005-0000-0000-000013070000}"/>
    <cellStyle name="Normal 4 2 10 5" xfId="3969" xr:uid="{00000000-0005-0000-0000-00001F020000}"/>
    <cellStyle name="Normal 4 2 10 5 2" xfId="8019" xr:uid="{00000000-0005-0000-0000-000014070000}"/>
    <cellStyle name="Normal 4 2 10 5 3" xfId="10416" xr:uid="{00000000-0005-0000-0000-000014070000}"/>
    <cellStyle name="Normal 4 2 10 6" xfId="5906" xr:uid="{00000000-0005-0000-0000-000019030000}"/>
    <cellStyle name="Normal 4 2 10 7" xfId="4922" xr:uid="{00000000-0005-0000-0000-0000C6020000}"/>
    <cellStyle name="Normal 4 2 10 8" xfId="6668" xr:uid="{00000000-0005-0000-0000-00000E070000}"/>
    <cellStyle name="Normal 4 2 10 9" xfId="9089" xr:uid="{00000000-0005-0000-0000-00000E070000}"/>
    <cellStyle name="Normal 4 2 11" xfId="908" xr:uid="{00000000-0005-0000-0000-00003E050000}"/>
    <cellStyle name="Normal 4 2 11 2" xfId="3273" xr:uid="{00000000-0005-0000-0000-00004C050000}"/>
    <cellStyle name="Normal 4 2 11 2 2" xfId="6399" xr:uid="{00000000-0005-0000-0000-00004C050000}"/>
    <cellStyle name="Normal 4 2 11 2 2 2" xfId="8634" xr:uid="{00000000-0005-0000-0000-000017070000}"/>
    <cellStyle name="Normal 4 2 11 2 2 3" xfId="11031" xr:uid="{00000000-0005-0000-0000-000017070000}"/>
    <cellStyle name="Normal 4 2 11 2 3" xfId="5164" xr:uid="{00000000-0005-0000-0000-0000C9020000}"/>
    <cellStyle name="Normal 4 2 11 2 4" xfId="7298" xr:uid="{00000000-0005-0000-0000-000016070000}"/>
    <cellStyle name="Normal 4 2 11 2 5" xfId="9703" xr:uid="{00000000-0005-0000-0000-000016070000}"/>
    <cellStyle name="Normal 4 2 11 3" xfId="2761" xr:uid="{00000000-0005-0000-0000-00004D050000}"/>
    <cellStyle name="Normal 4 2 11 3 2" xfId="6209" xr:uid="{00000000-0005-0000-0000-00004D050000}"/>
    <cellStyle name="Normal 4 2 11 3 3" xfId="8018" xr:uid="{00000000-0005-0000-0000-000018070000}"/>
    <cellStyle name="Normal 4 2 11 3 4" xfId="10415" xr:uid="{00000000-0005-0000-0000-000018070000}"/>
    <cellStyle name="Normal 4 2 11 4" xfId="2269" xr:uid="{00000000-0005-0000-0000-00004B050000}"/>
    <cellStyle name="Normal 4 2 11 4 2" xfId="11407" xr:uid="{00000000-0005-0000-0000-0000AF060000}"/>
    <cellStyle name="Normal 4 2 11 5" xfId="3968" xr:uid="{00000000-0005-0000-0000-000020020000}"/>
    <cellStyle name="Normal 4 2 11 6" xfId="5905" xr:uid="{00000000-0005-0000-0000-00001A030000}"/>
    <cellStyle name="Normal 4 2 11 7" xfId="4921" xr:uid="{00000000-0005-0000-0000-0000C8020000}"/>
    <cellStyle name="Normal 4 2 11 8" xfId="6667" xr:uid="{00000000-0005-0000-0000-000015070000}"/>
    <cellStyle name="Normal 4 2 11 9" xfId="9088" xr:uid="{00000000-0005-0000-0000-000015070000}"/>
    <cellStyle name="Normal 4 2 12" xfId="909" xr:uid="{00000000-0005-0000-0000-00003F050000}"/>
    <cellStyle name="Normal 4 2 12 2" xfId="3274" xr:uid="{00000000-0005-0000-0000-00004F050000}"/>
    <cellStyle name="Normal 4 2 12 2 2" xfId="6400" xr:uid="{00000000-0005-0000-0000-00004F050000}"/>
    <cellStyle name="Normal 4 2 12 2 3" xfId="5165" xr:uid="{00000000-0005-0000-0000-0000CB020000}"/>
    <cellStyle name="Normal 4 2 12 2 4" xfId="7299" xr:uid="{00000000-0005-0000-0000-00001A070000}"/>
    <cellStyle name="Normal 4 2 12 2 5" xfId="9704" xr:uid="{00000000-0005-0000-0000-00001A070000}"/>
    <cellStyle name="Normal 4 2 12 3" xfId="4116" xr:uid="{00000000-0005-0000-0000-00004E050000}"/>
    <cellStyle name="Normal 4 2 12 3 2" xfId="6092" xr:uid="{00000000-0005-0000-0000-00004E050000}"/>
    <cellStyle name="Normal 4 2 12 3 3" xfId="8635" xr:uid="{00000000-0005-0000-0000-00001B070000}"/>
    <cellStyle name="Normal 4 2 12 3 4" xfId="11032" xr:uid="{00000000-0005-0000-0000-00001B070000}"/>
    <cellStyle name="Normal 4 2 12 4" xfId="5554" xr:uid="{00000000-0005-0000-0000-00001B030000}"/>
    <cellStyle name="Normal 4 2 12 5" xfId="4763" xr:uid="{00000000-0005-0000-0000-0000CA020000}"/>
    <cellStyle name="Normal 4 2 12 6" xfId="6828" xr:uid="{00000000-0005-0000-0000-000019070000}"/>
    <cellStyle name="Normal 4 2 12 7" xfId="9249" xr:uid="{00000000-0005-0000-0000-000019070000}"/>
    <cellStyle name="Normal 4 2 13" xfId="910" xr:uid="{00000000-0005-0000-0000-000040050000}"/>
    <cellStyle name="Normal 4 2 13 2" xfId="4691" xr:uid="{00000000-0005-0000-0000-0000F3030000}"/>
    <cellStyle name="Normal 4 2 13 2 2" xfId="6260" xr:uid="{00000000-0005-0000-0000-000050050000}"/>
    <cellStyle name="Normal 4 2 13 2 3" xfId="8167" xr:uid="{00000000-0005-0000-0000-00001D070000}"/>
    <cellStyle name="Normal 4 2 13 2 4" xfId="10564" xr:uid="{00000000-0005-0000-0000-00001D070000}"/>
    <cellStyle name="Normal 4 2 13 3" xfId="5162" xr:uid="{00000000-0005-0000-0000-0000CC020000}"/>
    <cellStyle name="Normal 4 2 13 4" xfId="7300" xr:uid="{00000000-0005-0000-0000-00001C070000}"/>
    <cellStyle name="Normal 4 2 13 5" xfId="9705" xr:uid="{00000000-0005-0000-0000-00001C070000}"/>
    <cellStyle name="Normal 4 2 14" xfId="2431" xr:uid="{00000000-0005-0000-0000-000051050000}"/>
    <cellStyle name="Normal 4 2 14 2" xfId="6143" xr:uid="{00000000-0005-0000-0000-000051050000}"/>
    <cellStyle name="Normal 4 2 14 3" xfId="7294" xr:uid="{00000000-0005-0000-0000-00001E070000}"/>
    <cellStyle name="Normal 4 2 14 4" xfId="9699" xr:uid="{00000000-0005-0000-0000-00001E070000}"/>
    <cellStyle name="Normal 4 2 15" xfId="2158" xr:uid="{00000000-0005-0000-0000-000046050000}"/>
    <cellStyle name="Normal 4 2 15 2" xfId="6049" xr:uid="{00000000-0005-0000-0000-000046050000}"/>
    <cellStyle name="Normal 4 2 15 3" xfId="7628" xr:uid="{00000000-0005-0000-0000-00001F070000}"/>
    <cellStyle name="Normal 4 2 15 4" xfId="10025" xr:uid="{00000000-0005-0000-0000-00001F070000}"/>
    <cellStyle name="Normal 4 2 16" xfId="3782" xr:uid="{00000000-0005-0000-0000-00001E020000}"/>
    <cellStyle name="Normal 4 2 17" xfId="5301" xr:uid="{00000000-0005-0000-0000-000018030000}"/>
    <cellStyle name="Normal 4 2 18" xfId="4756" xr:uid="{00000000-0005-0000-0000-0000C5020000}"/>
    <cellStyle name="Normal 4 2 19" xfId="6527" xr:uid="{00000000-0005-0000-0000-00000D070000}"/>
    <cellStyle name="Normal 4 2 2" xfId="911" xr:uid="{00000000-0005-0000-0000-000041050000}"/>
    <cellStyle name="Normal 4 2 2 10" xfId="912" xr:uid="{00000000-0005-0000-0000-000042050000}"/>
    <cellStyle name="Normal 4 2 2 10 2" xfId="3275" xr:uid="{00000000-0005-0000-0000-000054050000}"/>
    <cellStyle name="Normal 4 2 2 10 2 2" xfId="6401" xr:uid="{00000000-0005-0000-0000-000054050000}"/>
    <cellStyle name="Normal 4 2 2 10 2 3" xfId="7302" xr:uid="{00000000-0005-0000-0000-000022070000}"/>
    <cellStyle name="Normal 4 2 2 10 2 4" xfId="9707" xr:uid="{00000000-0005-0000-0000-000022070000}"/>
    <cellStyle name="Normal 4 2 2 10 3" xfId="4179" xr:uid="{00000000-0005-0000-0000-000053050000}"/>
    <cellStyle name="Normal 4 2 2 10 3 2" xfId="6117" xr:uid="{00000000-0005-0000-0000-000053050000}"/>
    <cellStyle name="Normal 4 2 2 10 3 3" xfId="8636" xr:uid="{00000000-0005-0000-0000-000023070000}"/>
    <cellStyle name="Normal 4 2 2 10 3 4" xfId="11033" xr:uid="{00000000-0005-0000-0000-000023070000}"/>
    <cellStyle name="Normal 4 2 2 10 4" xfId="5562" xr:uid="{00000000-0005-0000-0000-00001D030000}"/>
    <cellStyle name="Normal 4 2 2 10 5" xfId="5166" xr:uid="{00000000-0005-0000-0000-0000CE020000}"/>
    <cellStyle name="Normal 4 2 2 10 6" xfId="6830" xr:uid="{00000000-0005-0000-0000-000021070000}"/>
    <cellStyle name="Normal 4 2 2 10 7" xfId="9251" xr:uid="{00000000-0005-0000-0000-000021070000}"/>
    <cellStyle name="Normal 4 2 2 11" xfId="913" xr:uid="{00000000-0005-0000-0000-000043050000}"/>
    <cellStyle name="Normal 4 2 2 11 2" xfId="6474" xr:uid="{00000000-0005-0000-0000-0000BB060000}"/>
    <cellStyle name="Normal 4 2 2 11 2 2" xfId="8249" xr:uid="{00000000-0005-0000-0000-000025070000}"/>
    <cellStyle name="Normal 4 2 2 11 2 3" xfId="10646" xr:uid="{00000000-0005-0000-0000-000025070000}"/>
    <cellStyle name="Normal 4 2 2 11 3" xfId="6311" xr:uid="{00000000-0005-0000-0000-000055050000}"/>
    <cellStyle name="Normal 4 2 2 11 4" xfId="7303" xr:uid="{00000000-0005-0000-0000-000024070000}"/>
    <cellStyle name="Normal 4 2 2 11 5" xfId="9708" xr:uid="{00000000-0005-0000-0000-000024070000}"/>
    <cellStyle name="Normal 4 2 2 12" xfId="2439" xr:uid="{00000000-0005-0000-0000-000056050000}"/>
    <cellStyle name="Normal 4 2 2 12 2" xfId="6151" xr:uid="{00000000-0005-0000-0000-000056050000}"/>
    <cellStyle name="Normal 4 2 2 12 3" xfId="7301" xr:uid="{00000000-0005-0000-0000-000026070000}"/>
    <cellStyle name="Normal 4 2 2 12 4" xfId="9706" xr:uid="{00000000-0005-0000-0000-000026070000}"/>
    <cellStyle name="Normal 4 2 2 13" xfId="2169" xr:uid="{00000000-0005-0000-0000-000052050000}"/>
    <cellStyle name="Normal 4 2 2 13 2" xfId="7636" xr:uid="{00000000-0005-0000-0000-000027070000}"/>
    <cellStyle name="Normal 4 2 2 13 3" xfId="10033" xr:uid="{00000000-0005-0000-0000-000027070000}"/>
    <cellStyle name="Normal 4 2 2 14" xfId="3970" xr:uid="{00000000-0005-0000-0000-000021020000}"/>
    <cellStyle name="Normal 4 2 2 15" xfId="5316" xr:uid="{00000000-0005-0000-0000-00001C030000}"/>
    <cellStyle name="Normal 4 2 2 16" xfId="4771" xr:uid="{00000000-0005-0000-0000-0000CD020000}"/>
    <cellStyle name="Normal 4 2 2 17" xfId="6535" xr:uid="{00000000-0005-0000-0000-000020070000}"/>
    <cellStyle name="Normal 4 2 2 18" xfId="8956" xr:uid="{00000000-0005-0000-0000-000020070000}"/>
    <cellStyle name="Normal 4 2 2 2" xfId="914" xr:uid="{00000000-0005-0000-0000-000044050000}"/>
    <cellStyle name="Normal 4 2 2 2 10" xfId="5376" xr:uid="{00000000-0005-0000-0000-00001E030000}"/>
    <cellStyle name="Normal 4 2 2 2 11" xfId="4832" xr:uid="{00000000-0005-0000-0000-0000CF020000}"/>
    <cellStyle name="Normal 4 2 2 2 12" xfId="6578" xr:uid="{00000000-0005-0000-0000-000028070000}"/>
    <cellStyle name="Normal 4 2 2 2 13" xfId="8999" xr:uid="{00000000-0005-0000-0000-000028070000}"/>
    <cellStyle name="Normal 4 2 2 2 2" xfId="915" xr:uid="{00000000-0005-0000-0000-000045050000}"/>
    <cellStyle name="Normal 4 2 2 2 2 10" xfId="4924" xr:uid="{00000000-0005-0000-0000-0000D0020000}"/>
    <cellStyle name="Normal 4 2 2 2 2 11" xfId="6670" xr:uid="{00000000-0005-0000-0000-000029070000}"/>
    <cellStyle name="Normal 4 2 2 2 2 12" xfId="9091" xr:uid="{00000000-0005-0000-0000-000029070000}"/>
    <cellStyle name="Normal 4 2 2 2 2 2" xfId="916" xr:uid="{00000000-0005-0000-0000-000046050000}"/>
    <cellStyle name="Normal 4 2 2 2 2 2 2" xfId="2765" xr:uid="{00000000-0005-0000-0000-00005A050000}"/>
    <cellStyle name="Normal 4 2 2 2 2 2 2 2" xfId="3278" xr:uid="{00000000-0005-0000-0000-00005B050000}"/>
    <cellStyle name="Normal 4 2 2 2 2 2 2 2 2" xfId="8639" xr:uid="{00000000-0005-0000-0000-00002C070000}"/>
    <cellStyle name="Normal 4 2 2 2 2 2 2 2 3" xfId="11036" xr:uid="{00000000-0005-0000-0000-00002C070000}"/>
    <cellStyle name="Normal 4 2 2 2 2 2 2 3" xfId="4323" xr:uid="{00000000-0005-0000-0000-00005A050000}"/>
    <cellStyle name="Normal 4 2 2 2 2 2 2 3 2" xfId="11409" xr:uid="{00000000-0005-0000-0000-0000C2060000}"/>
    <cellStyle name="Normal 4 2 2 2 2 2 2 4" xfId="8023" xr:uid="{00000000-0005-0000-0000-00002B070000}"/>
    <cellStyle name="Normal 4 2 2 2 2 2 2 5" xfId="10420" xr:uid="{00000000-0005-0000-0000-00002B070000}"/>
    <cellStyle name="Normal 4 2 2 2 2 2 3" xfId="3279" xr:uid="{00000000-0005-0000-0000-00005C050000}"/>
    <cellStyle name="Normal 4 2 2 2 2 2 3 2" xfId="4504" xr:uid="{00000000-0005-0000-0000-00005C050000}"/>
    <cellStyle name="Normal 4 2 2 2 2 2 3 3" xfId="8640" xr:uid="{00000000-0005-0000-0000-00002D070000}"/>
    <cellStyle name="Normal 4 2 2 2 2 2 3 4" xfId="11037" xr:uid="{00000000-0005-0000-0000-00002D070000}"/>
    <cellStyle name="Normal 4 2 2 2 2 2 4" xfId="3277" xr:uid="{00000000-0005-0000-0000-00005D050000}"/>
    <cellStyle name="Normal 4 2 2 2 2 2 4 2" xfId="8638" xr:uid="{00000000-0005-0000-0000-00002E070000}"/>
    <cellStyle name="Normal 4 2 2 2 2 2 4 3" xfId="11035" xr:uid="{00000000-0005-0000-0000-00002E070000}"/>
    <cellStyle name="Normal 4 2 2 2 2 2 5" xfId="4248" xr:uid="{00000000-0005-0000-0000-000059050000}"/>
    <cellStyle name="Normal 4 2 2 2 2 2 5 2" xfId="7859" xr:uid="{00000000-0005-0000-0000-00002F070000}"/>
    <cellStyle name="Normal 4 2 2 2 2 2 5 3" xfId="10256" xr:uid="{00000000-0005-0000-0000-00002F070000}"/>
    <cellStyle name="Normal 4 2 2 2 2 2 6" xfId="5537" xr:uid="{00000000-0005-0000-0000-000020030000}"/>
    <cellStyle name="Normal 4 2 2 2 2 2 7" xfId="5168" xr:uid="{00000000-0005-0000-0000-0000D1020000}"/>
    <cellStyle name="Normal 4 2 2 2 2 2 8" xfId="7306" xr:uid="{00000000-0005-0000-0000-00002A070000}"/>
    <cellStyle name="Normal 4 2 2 2 2 2 9" xfId="9711" xr:uid="{00000000-0005-0000-0000-00002A070000}"/>
    <cellStyle name="Normal 4 2 2 2 2 3" xfId="2764" xr:uid="{00000000-0005-0000-0000-00005E050000}"/>
    <cellStyle name="Normal 4 2 2 2 2 3 2" xfId="3280" xr:uid="{00000000-0005-0000-0000-00005F050000}"/>
    <cellStyle name="Normal 4 2 2 2 2 3 2 2" xfId="8641" xr:uid="{00000000-0005-0000-0000-000031070000}"/>
    <cellStyle name="Normal 4 2 2 2 2 3 2 3" xfId="11038" xr:uid="{00000000-0005-0000-0000-000031070000}"/>
    <cellStyle name="Normal 4 2 2 2 2 3 3" xfId="4322" xr:uid="{00000000-0005-0000-0000-00005E050000}"/>
    <cellStyle name="Normal 4 2 2 2 2 3 3 2" xfId="8022" xr:uid="{00000000-0005-0000-0000-000032070000}"/>
    <cellStyle name="Normal 4 2 2 2 2 3 3 3" xfId="10419" xr:uid="{00000000-0005-0000-0000-000032070000}"/>
    <cellStyle name="Normal 4 2 2 2 2 3 4" xfId="5909" xr:uid="{00000000-0005-0000-0000-000023030000}"/>
    <cellStyle name="Normal 4 2 2 2 2 3 5" xfId="7305" xr:uid="{00000000-0005-0000-0000-000030070000}"/>
    <cellStyle name="Normal 4 2 2 2 2 3 6" xfId="9710" xr:uid="{00000000-0005-0000-0000-000030070000}"/>
    <cellStyle name="Normal 4 2 2 2 2 4" xfId="3281" xr:uid="{00000000-0005-0000-0000-000060050000}"/>
    <cellStyle name="Normal 4 2 2 2 2 4 2" xfId="4505" xr:uid="{00000000-0005-0000-0000-000060050000}"/>
    <cellStyle name="Normal 4 2 2 2 2 4 3" xfId="8642" xr:uid="{00000000-0005-0000-0000-000033070000}"/>
    <cellStyle name="Normal 4 2 2 2 2 4 4" xfId="11039" xr:uid="{00000000-0005-0000-0000-000033070000}"/>
    <cellStyle name="Normal 4 2 2 2 2 5" xfId="3276" xr:uid="{00000000-0005-0000-0000-000061050000}"/>
    <cellStyle name="Normal 4 2 2 2 2 5 2" xfId="8637" xr:uid="{00000000-0005-0000-0000-000034070000}"/>
    <cellStyle name="Normal 4 2 2 2 2 5 3" xfId="11034" xr:uid="{00000000-0005-0000-0000-000034070000}"/>
    <cellStyle name="Normal 4 2 2 2 2 6" xfId="2558" xr:uid="{00000000-0005-0000-0000-000062050000}"/>
    <cellStyle name="Normal 4 2 2 2 2 6 2" xfId="7756" xr:uid="{00000000-0005-0000-0000-000035070000}"/>
    <cellStyle name="Normal 4 2 2 2 2 6 3" xfId="10153" xr:uid="{00000000-0005-0000-0000-000035070000}"/>
    <cellStyle name="Normal 4 2 2 2 2 7" xfId="2252" xr:uid="{00000000-0005-0000-0000-000058050000}"/>
    <cellStyle name="Normal 4 2 2 2 2 8" xfId="3803" xr:uid="{00000000-0005-0000-0000-000023020000}"/>
    <cellStyle name="Normal 4 2 2 2 2 9" xfId="5436" xr:uid="{00000000-0005-0000-0000-00001F030000}"/>
    <cellStyle name="Normal 4 2 2 2 3" xfId="917" xr:uid="{00000000-0005-0000-0000-000047050000}"/>
    <cellStyle name="Normal 4 2 2 2 3 10" xfId="6831" xr:uid="{00000000-0005-0000-0000-000036070000}"/>
    <cellStyle name="Normal 4 2 2 2 3 11" xfId="9252" xr:uid="{00000000-0005-0000-0000-000036070000}"/>
    <cellStyle name="Normal 4 2 2 2 3 2" xfId="2766" xr:uid="{00000000-0005-0000-0000-000064050000}"/>
    <cellStyle name="Normal 4 2 2 2 3 2 2" xfId="3283" xr:uid="{00000000-0005-0000-0000-000065050000}"/>
    <cellStyle name="Normal 4 2 2 2 3 2 2 2" xfId="8644" xr:uid="{00000000-0005-0000-0000-000038070000}"/>
    <cellStyle name="Normal 4 2 2 2 3 2 2 3" xfId="11041" xr:uid="{00000000-0005-0000-0000-000038070000}"/>
    <cellStyle name="Normal 4 2 2 2 3 2 3" xfId="4324" xr:uid="{00000000-0005-0000-0000-000064050000}"/>
    <cellStyle name="Normal 4 2 2 2 3 2 3 2" xfId="8024" xr:uid="{00000000-0005-0000-0000-000039070000}"/>
    <cellStyle name="Normal 4 2 2 2 3 2 3 3" xfId="10421" xr:uid="{00000000-0005-0000-0000-000039070000}"/>
    <cellStyle name="Normal 4 2 2 2 3 2 4" xfId="5910" xr:uid="{00000000-0005-0000-0000-000026030000}"/>
    <cellStyle name="Normal 4 2 2 2 3 2 5" xfId="7307" xr:uid="{00000000-0005-0000-0000-000037070000}"/>
    <cellStyle name="Normal 4 2 2 2 3 2 6" xfId="9712" xr:uid="{00000000-0005-0000-0000-000037070000}"/>
    <cellStyle name="Normal 4 2 2 2 3 3" xfId="3284" xr:uid="{00000000-0005-0000-0000-000066050000}"/>
    <cellStyle name="Normal 4 2 2 2 3 3 2" xfId="4506" xr:uid="{00000000-0005-0000-0000-000066050000}"/>
    <cellStyle name="Normal 4 2 2 2 3 3 3" xfId="5708" xr:uid="{00000000-0005-0000-0000-000027030000}"/>
    <cellStyle name="Normal 4 2 2 2 3 3 4" xfId="8645" xr:uid="{00000000-0005-0000-0000-00003A070000}"/>
    <cellStyle name="Normal 4 2 2 2 3 3 5" xfId="11042" xr:uid="{00000000-0005-0000-0000-00003A070000}"/>
    <cellStyle name="Normal 4 2 2 2 3 4" xfId="3282" xr:uid="{00000000-0005-0000-0000-000067050000}"/>
    <cellStyle name="Normal 4 2 2 2 3 4 2" xfId="8643" xr:uid="{00000000-0005-0000-0000-00003B070000}"/>
    <cellStyle name="Normal 4 2 2 2 3 4 3" xfId="11040" xr:uid="{00000000-0005-0000-0000-00003B070000}"/>
    <cellStyle name="Normal 4 2 2 2 3 5" xfId="2601" xr:uid="{00000000-0005-0000-0000-000068050000}"/>
    <cellStyle name="Normal 4 2 2 2 3 5 2" xfId="7799" xr:uid="{00000000-0005-0000-0000-00003C070000}"/>
    <cellStyle name="Normal 4 2 2 2 3 5 3" xfId="10196" xr:uid="{00000000-0005-0000-0000-00003C070000}"/>
    <cellStyle name="Normal 4 2 2 2 3 6" xfId="2350" xr:uid="{00000000-0005-0000-0000-000063050000}"/>
    <cellStyle name="Normal 4 2 2 2 3 7" xfId="3880" xr:uid="{00000000-0005-0000-0000-000024020000}"/>
    <cellStyle name="Normal 4 2 2 2 3 8" xfId="5477" xr:uid="{00000000-0005-0000-0000-000025030000}"/>
    <cellStyle name="Normal 4 2 2 2 3 9" xfId="5167" xr:uid="{00000000-0005-0000-0000-0000D2020000}"/>
    <cellStyle name="Normal 4 2 2 2 4" xfId="918" xr:uid="{00000000-0005-0000-0000-000048050000}"/>
    <cellStyle name="Normal 4 2 2 2 4 2" xfId="3285" xr:uid="{00000000-0005-0000-0000-00006A050000}"/>
    <cellStyle name="Normal 4 2 2 2 4 2 2" xfId="8646" xr:uid="{00000000-0005-0000-0000-00003E070000}"/>
    <cellStyle name="Normal 4 2 2 2 4 2 3" xfId="11043" xr:uid="{00000000-0005-0000-0000-00003E070000}"/>
    <cellStyle name="Normal 4 2 2 2 4 3" xfId="2763" xr:uid="{00000000-0005-0000-0000-00006B050000}"/>
    <cellStyle name="Normal 4 2 2 2 4 3 2" xfId="8021" xr:uid="{00000000-0005-0000-0000-00003F070000}"/>
    <cellStyle name="Normal 4 2 2 2 4 3 3" xfId="10418" xr:uid="{00000000-0005-0000-0000-00003F070000}"/>
    <cellStyle name="Normal 4 2 2 2 4 4" xfId="4180" xr:uid="{00000000-0005-0000-0000-000069050000}"/>
    <cellStyle name="Normal 4 2 2 2 4 5" xfId="5908" xr:uid="{00000000-0005-0000-0000-000028030000}"/>
    <cellStyle name="Normal 4 2 2 2 4 6" xfId="7308" xr:uid="{00000000-0005-0000-0000-00003D070000}"/>
    <cellStyle name="Normal 4 2 2 2 4 7" xfId="9713" xr:uid="{00000000-0005-0000-0000-00003D070000}"/>
    <cellStyle name="Normal 4 2 2 2 5" xfId="3286" xr:uid="{00000000-0005-0000-0000-00006C050000}"/>
    <cellStyle name="Normal 4 2 2 2 5 2" xfId="4507" xr:uid="{00000000-0005-0000-0000-00006C050000}"/>
    <cellStyle name="Normal 4 2 2 2 5 2 2" xfId="8647" xr:uid="{00000000-0005-0000-0000-000041070000}"/>
    <cellStyle name="Normal 4 2 2 2 5 2 3" xfId="11044" xr:uid="{00000000-0005-0000-0000-000041070000}"/>
    <cellStyle name="Normal 4 2 2 2 5 3" xfId="5622" xr:uid="{00000000-0005-0000-0000-000029030000}"/>
    <cellStyle name="Normal 4 2 2 2 5 4" xfId="7304" xr:uid="{00000000-0005-0000-0000-000040070000}"/>
    <cellStyle name="Normal 4 2 2 2 5 5" xfId="9709" xr:uid="{00000000-0005-0000-0000-000040070000}"/>
    <cellStyle name="Normal 4 2 2 2 6" xfId="2926" xr:uid="{00000000-0005-0000-0000-00006D050000}"/>
    <cellStyle name="Normal 4 2 2 2 6 2" xfId="8250" xr:uid="{00000000-0005-0000-0000-000042070000}"/>
    <cellStyle name="Normal 4 2 2 2 6 3" xfId="10647" xr:uid="{00000000-0005-0000-0000-000042070000}"/>
    <cellStyle name="Normal 4 2 2 2 7" xfId="2498" xr:uid="{00000000-0005-0000-0000-00006E050000}"/>
    <cellStyle name="Normal 4 2 2 2 7 2" xfId="7696" xr:uid="{00000000-0005-0000-0000-000043070000}"/>
    <cellStyle name="Normal 4 2 2 2 7 3" xfId="10093" xr:uid="{00000000-0005-0000-0000-000043070000}"/>
    <cellStyle name="Normal 4 2 2 2 8" xfId="2192" xr:uid="{00000000-0005-0000-0000-000057050000}"/>
    <cellStyle name="Normal 4 2 2 2 9" xfId="3971" xr:uid="{00000000-0005-0000-0000-000022020000}"/>
    <cellStyle name="Normal 4 2 2 3" xfId="919" xr:uid="{00000000-0005-0000-0000-000049050000}"/>
    <cellStyle name="Normal 4 2 2 3 10" xfId="5353" xr:uid="{00000000-0005-0000-0000-00002A030000}"/>
    <cellStyle name="Normal 4 2 2 3 11" xfId="4809" xr:uid="{00000000-0005-0000-0000-0000D3020000}"/>
    <cellStyle name="Normal 4 2 2 3 12" xfId="6555" xr:uid="{00000000-0005-0000-0000-000044070000}"/>
    <cellStyle name="Normal 4 2 2 3 13" xfId="8976" xr:uid="{00000000-0005-0000-0000-000044070000}"/>
    <cellStyle name="Normal 4 2 2 3 2" xfId="920" xr:uid="{00000000-0005-0000-0000-00004A050000}"/>
    <cellStyle name="Normal 4 2 2 3 2 10" xfId="6671" xr:uid="{00000000-0005-0000-0000-000045070000}"/>
    <cellStyle name="Normal 4 2 2 3 2 11" xfId="9092" xr:uid="{00000000-0005-0000-0000-000045070000}"/>
    <cellStyle name="Normal 4 2 2 3 2 2" xfId="921" xr:uid="{00000000-0005-0000-0000-00004B050000}"/>
    <cellStyle name="Normal 4 2 2 3 2 2 2" xfId="3288" xr:uid="{00000000-0005-0000-0000-000072050000}"/>
    <cellStyle name="Normal 4 2 2 3 2 2 2 2" xfId="8649" xr:uid="{00000000-0005-0000-0000-000047070000}"/>
    <cellStyle name="Normal 4 2 2 3 2 2 2 3" xfId="11046" xr:uid="{00000000-0005-0000-0000-000047070000}"/>
    <cellStyle name="Normal 4 2 2 3 2 2 3" xfId="4326" xr:uid="{00000000-0005-0000-0000-000071050000}"/>
    <cellStyle name="Normal 4 2 2 3 2 2 3 2" xfId="8026" xr:uid="{00000000-0005-0000-0000-000048070000}"/>
    <cellStyle name="Normal 4 2 2 3 2 2 3 3" xfId="10423" xr:uid="{00000000-0005-0000-0000-000048070000}"/>
    <cellStyle name="Normal 4 2 2 3 2 2 4" xfId="5912" xr:uid="{00000000-0005-0000-0000-00002C030000}"/>
    <cellStyle name="Normal 4 2 2 3 2 2 5" xfId="5170" xr:uid="{00000000-0005-0000-0000-0000D5020000}"/>
    <cellStyle name="Normal 4 2 2 3 2 2 6" xfId="7311" xr:uid="{00000000-0005-0000-0000-000046070000}"/>
    <cellStyle name="Normal 4 2 2 3 2 2 7" xfId="9716" xr:uid="{00000000-0005-0000-0000-000046070000}"/>
    <cellStyle name="Normal 4 2 2 3 2 3" xfId="3289" xr:uid="{00000000-0005-0000-0000-000073050000}"/>
    <cellStyle name="Normal 4 2 2 3 2 3 2" xfId="4508" xr:uid="{00000000-0005-0000-0000-000073050000}"/>
    <cellStyle name="Normal 4 2 2 3 2 3 2 2" xfId="8650" xr:uid="{00000000-0005-0000-0000-00004A070000}"/>
    <cellStyle name="Normal 4 2 2 3 2 3 2 3" xfId="11047" xr:uid="{00000000-0005-0000-0000-00004A070000}"/>
    <cellStyle name="Normal 4 2 2 3 2 3 3" xfId="5658" xr:uid="{00000000-0005-0000-0000-00002D030000}"/>
    <cellStyle name="Normal 4 2 2 3 2 3 4" xfId="7310" xr:uid="{00000000-0005-0000-0000-000049070000}"/>
    <cellStyle name="Normal 4 2 2 3 2 3 5" xfId="9715" xr:uid="{00000000-0005-0000-0000-000049070000}"/>
    <cellStyle name="Normal 4 2 2 3 2 4" xfId="3287" xr:uid="{00000000-0005-0000-0000-000074050000}"/>
    <cellStyle name="Normal 4 2 2 3 2 4 2" xfId="8648" xr:uid="{00000000-0005-0000-0000-00004B070000}"/>
    <cellStyle name="Normal 4 2 2 3 2 4 3" xfId="11045" xr:uid="{00000000-0005-0000-0000-00004B070000}"/>
    <cellStyle name="Normal 4 2 2 3 2 5" xfId="2535" xr:uid="{00000000-0005-0000-0000-000075050000}"/>
    <cellStyle name="Normal 4 2 2 3 2 5 2" xfId="7733" xr:uid="{00000000-0005-0000-0000-00004C070000}"/>
    <cellStyle name="Normal 4 2 2 3 2 5 3" xfId="10130" xr:uid="{00000000-0005-0000-0000-00004C070000}"/>
    <cellStyle name="Normal 4 2 2 3 2 6" xfId="2351" xr:uid="{00000000-0005-0000-0000-000070050000}"/>
    <cellStyle name="Normal 4 2 2 3 2 7" xfId="3892" xr:uid="{00000000-0005-0000-0000-000026020000}"/>
    <cellStyle name="Normal 4 2 2 3 2 8" xfId="5413" xr:uid="{00000000-0005-0000-0000-00002B030000}"/>
    <cellStyle name="Normal 4 2 2 3 2 9" xfId="4925" xr:uid="{00000000-0005-0000-0000-0000D4020000}"/>
    <cellStyle name="Normal 4 2 2 3 3" xfId="922" xr:uid="{00000000-0005-0000-0000-00004C050000}"/>
    <cellStyle name="Normal 4 2 2 3 3 10" xfId="9253" xr:uid="{00000000-0005-0000-0000-00004D070000}"/>
    <cellStyle name="Normal 4 2 2 3 3 2" xfId="2767" xr:uid="{00000000-0005-0000-0000-000077050000}"/>
    <cellStyle name="Normal 4 2 2 3 3 2 2" xfId="3291" xr:uid="{00000000-0005-0000-0000-000078050000}"/>
    <cellStyle name="Normal 4 2 2 3 3 2 2 2" xfId="8652" xr:uid="{00000000-0005-0000-0000-00004F070000}"/>
    <cellStyle name="Normal 4 2 2 3 3 2 2 3" xfId="11049" xr:uid="{00000000-0005-0000-0000-00004F070000}"/>
    <cellStyle name="Normal 4 2 2 3 3 2 3" xfId="4327" xr:uid="{00000000-0005-0000-0000-000077050000}"/>
    <cellStyle name="Normal 4 2 2 3 3 2 3 2" xfId="8027" xr:uid="{00000000-0005-0000-0000-000050070000}"/>
    <cellStyle name="Normal 4 2 2 3 3 2 3 3" xfId="10424" xr:uid="{00000000-0005-0000-0000-000050070000}"/>
    <cellStyle name="Normal 4 2 2 3 3 2 4" xfId="5913" xr:uid="{00000000-0005-0000-0000-00002F030000}"/>
    <cellStyle name="Normal 4 2 2 3 3 2 5" xfId="7312" xr:uid="{00000000-0005-0000-0000-00004E070000}"/>
    <cellStyle name="Normal 4 2 2 3 3 2 6" xfId="9717" xr:uid="{00000000-0005-0000-0000-00004E070000}"/>
    <cellStyle name="Normal 4 2 2 3 3 3" xfId="3292" xr:uid="{00000000-0005-0000-0000-000079050000}"/>
    <cellStyle name="Normal 4 2 2 3 3 3 2" xfId="4509" xr:uid="{00000000-0005-0000-0000-000079050000}"/>
    <cellStyle name="Normal 4 2 2 3 3 3 3" xfId="5743" xr:uid="{00000000-0005-0000-0000-000030030000}"/>
    <cellStyle name="Normal 4 2 2 3 3 3 4" xfId="8653" xr:uid="{00000000-0005-0000-0000-000051070000}"/>
    <cellStyle name="Normal 4 2 2 3 3 3 5" xfId="11050" xr:uid="{00000000-0005-0000-0000-000051070000}"/>
    <cellStyle name="Normal 4 2 2 3 3 4" xfId="3290" xr:uid="{00000000-0005-0000-0000-00007A050000}"/>
    <cellStyle name="Normal 4 2 2 3 3 4 2" xfId="8651" xr:uid="{00000000-0005-0000-0000-000052070000}"/>
    <cellStyle name="Normal 4 2 2 3 3 4 3" xfId="11048" xr:uid="{00000000-0005-0000-0000-000052070000}"/>
    <cellStyle name="Normal 4 2 2 3 3 5" xfId="2637" xr:uid="{00000000-0005-0000-0000-00007B050000}"/>
    <cellStyle name="Normal 4 2 2 3 3 5 2" xfId="7836" xr:uid="{00000000-0005-0000-0000-000053070000}"/>
    <cellStyle name="Normal 4 2 2 3 3 5 3" xfId="10233" xr:uid="{00000000-0005-0000-0000-000053070000}"/>
    <cellStyle name="Normal 4 2 2 3 3 6" xfId="4181" xr:uid="{00000000-0005-0000-0000-000076050000}"/>
    <cellStyle name="Normal 4 2 2 3 3 7" xfId="5514" xr:uid="{00000000-0005-0000-0000-00002E030000}"/>
    <cellStyle name="Normal 4 2 2 3 3 8" xfId="5169" xr:uid="{00000000-0005-0000-0000-0000D6020000}"/>
    <cellStyle name="Normal 4 2 2 3 3 9" xfId="6832" xr:uid="{00000000-0005-0000-0000-00004D070000}"/>
    <cellStyle name="Normal 4 2 2 3 4" xfId="923" xr:uid="{00000000-0005-0000-0000-00004D050000}"/>
    <cellStyle name="Normal 4 2 2 3 4 2" xfId="3293" xr:uid="{00000000-0005-0000-0000-00007D050000}"/>
    <cellStyle name="Normal 4 2 2 3 4 2 2" xfId="8654" xr:uid="{00000000-0005-0000-0000-000055070000}"/>
    <cellStyle name="Normal 4 2 2 3 4 2 3" xfId="11051" xr:uid="{00000000-0005-0000-0000-000055070000}"/>
    <cellStyle name="Normal 4 2 2 3 4 3" xfId="4325" xr:uid="{00000000-0005-0000-0000-00007C050000}"/>
    <cellStyle name="Normal 4 2 2 3 4 3 2" xfId="8025" xr:uid="{00000000-0005-0000-0000-000056070000}"/>
    <cellStyle name="Normal 4 2 2 3 4 3 3" xfId="10422" xr:uid="{00000000-0005-0000-0000-000056070000}"/>
    <cellStyle name="Normal 4 2 2 3 4 4" xfId="5911" xr:uid="{00000000-0005-0000-0000-000031030000}"/>
    <cellStyle name="Normal 4 2 2 3 4 5" xfId="7313" xr:uid="{00000000-0005-0000-0000-000054070000}"/>
    <cellStyle name="Normal 4 2 2 3 4 6" xfId="9718" xr:uid="{00000000-0005-0000-0000-000054070000}"/>
    <cellStyle name="Normal 4 2 2 3 5" xfId="3294" xr:uid="{00000000-0005-0000-0000-00007E050000}"/>
    <cellStyle name="Normal 4 2 2 3 5 2" xfId="4510" xr:uid="{00000000-0005-0000-0000-00007E050000}"/>
    <cellStyle name="Normal 4 2 2 3 5 2 2" xfId="8655" xr:uid="{00000000-0005-0000-0000-000058070000}"/>
    <cellStyle name="Normal 4 2 2 3 5 2 3" xfId="11052" xr:uid="{00000000-0005-0000-0000-000058070000}"/>
    <cellStyle name="Normal 4 2 2 3 5 3" xfId="5599" xr:uid="{00000000-0005-0000-0000-000032030000}"/>
    <cellStyle name="Normal 4 2 2 3 5 4" xfId="7309" xr:uid="{00000000-0005-0000-0000-000057070000}"/>
    <cellStyle name="Normal 4 2 2 3 5 5" xfId="9714" xr:uid="{00000000-0005-0000-0000-000057070000}"/>
    <cellStyle name="Normal 4 2 2 3 6" xfId="2927" xr:uid="{00000000-0005-0000-0000-00007F050000}"/>
    <cellStyle name="Normal 4 2 2 3 6 2" xfId="8251" xr:uid="{00000000-0005-0000-0000-000059070000}"/>
    <cellStyle name="Normal 4 2 2 3 6 3" xfId="10648" xr:uid="{00000000-0005-0000-0000-000059070000}"/>
    <cellStyle name="Normal 4 2 2 3 7" xfId="2475" xr:uid="{00000000-0005-0000-0000-000080050000}"/>
    <cellStyle name="Normal 4 2 2 3 7 2" xfId="7673" xr:uid="{00000000-0005-0000-0000-00005A070000}"/>
    <cellStyle name="Normal 4 2 2 3 7 3" xfId="10070" xr:uid="{00000000-0005-0000-0000-00005A070000}"/>
    <cellStyle name="Normal 4 2 2 3 8" xfId="2229" xr:uid="{00000000-0005-0000-0000-00006F050000}"/>
    <cellStyle name="Normal 4 2 2 3 9" xfId="3972" xr:uid="{00000000-0005-0000-0000-000025020000}"/>
    <cellStyle name="Normal 4 2 2 4" xfId="924" xr:uid="{00000000-0005-0000-0000-00004E050000}"/>
    <cellStyle name="Normal 4 2 2 4 10" xfId="4789" xr:uid="{00000000-0005-0000-0000-0000D7020000}"/>
    <cellStyle name="Normal 4 2 2 4 11" xfId="6672" xr:uid="{00000000-0005-0000-0000-00005B070000}"/>
    <cellStyle name="Normal 4 2 2 4 12" xfId="9093" xr:uid="{00000000-0005-0000-0000-00005B070000}"/>
    <cellStyle name="Normal 4 2 2 4 2" xfId="925" xr:uid="{00000000-0005-0000-0000-00004F050000}"/>
    <cellStyle name="Normal 4 2 2 4 2 10" xfId="6833" xr:uid="{00000000-0005-0000-0000-00005C070000}"/>
    <cellStyle name="Normal 4 2 2 4 2 11" xfId="9254" xr:uid="{00000000-0005-0000-0000-00005C070000}"/>
    <cellStyle name="Normal 4 2 2 4 2 2" xfId="926" xr:uid="{00000000-0005-0000-0000-000050050000}"/>
    <cellStyle name="Normal 4 2 2 4 2 2 2" xfId="3296" xr:uid="{00000000-0005-0000-0000-000084050000}"/>
    <cellStyle name="Normal 4 2 2 4 2 2 2 2" xfId="8657" xr:uid="{00000000-0005-0000-0000-00005E070000}"/>
    <cellStyle name="Normal 4 2 2 4 2 2 2 3" xfId="11054" xr:uid="{00000000-0005-0000-0000-00005E070000}"/>
    <cellStyle name="Normal 4 2 2 4 2 2 3" xfId="4328" xr:uid="{00000000-0005-0000-0000-000083050000}"/>
    <cellStyle name="Normal 4 2 2 4 2 2 3 2" xfId="8029" xr:uid="{00000000-0005-0000-0000-00005F070000}"/>
    <cellStyle name="Normal 4 2 2 4 2 2 3 3" xfId="10426" xr:uid="{00000000-0005-0000-0000-00005F070000}"/>
    <cellStyle name="Normal 4 2 2 4 2 2 4" xfId="5915" xr:uid="{00000000-0005-0000-0000-000035030000}"/>
    <cellStyle name="Normal 4 2 2 4 2 2 5" xfId="5172" xr:uid="{00000000-0005-0000-0000-0000D9020000}"/>
    <cellStyle name="Normal 4 2 2 4 2 2 6" xfId="7316" xr:uid="{00000000-0005-0000-0000-00005D070000}"/>
    <cellStyle name="Normal 4 2 2 4 2 2 7" xfId="9721" xr:uid="{00000000-0005-0000-0000-00005D070000}"/>
    <cellStyle name="Normal 4 2 2 4 2 3" xfId="3297" xr:uid="{00000000-0005-0000-0000-000085050000}"/>
    <cellStyle name="Normal 4 2 2 4 2 3 2" xfId="4511" xr:uid="{00000000-0005-0000-0000-000085050000}"/>
    <cellStyle name="Normal 4 2 2 4 2 3 2 2" xfId="8658" xr:uid="{00000000-0005-0000-0000-000061070000}"/>
    <cellStyle name="Normal 4 2 2 4 2 3 2 3" xfId="11055" xr:uid="{00000000-0005-0000-0000-000061070000}"/>
    <cellStyle name="Normal 4 2 2 4 2 3 3" xfId="5724" xr:uid="{00000000-0005-0000-0000-000036030000}"/>
    <cellStyle name="Normal 4 2 2 4 2 3 4" xfId="7315" xr:uid="{00000000-0005-0000-0000-000060070000}"/>
    <cellStyle name="Normal 4 2 2 4 2 3 5" xfId="9720" xr:uid="{00000000-0005-0000-0000-000060070000}"/>
    <cellStyle name="Normal 4 2 2 4 2 4" xfId="3295" xr:uid="{00000000-0005-0000-0000-000086050000}"/>
    <cellStyle name="Normal 4 2 2 4 2 4 2" xfId="8656" xr:uid="{00000000-0005-0000-0000-000062070000}"/>
    <cellStyle name="Normal 4 2 2 4 2 4 3" xfId="11053" xr:uid="{00000000-0005-0000-0000-000062070000}"/>
    <cellStyle name="Normal 4 2 2 4 2 5" xfId="2618" xr:uid="{00000000-0005-0000-0000-000087050000}"/>
    <cellStyle name="Normal 4 2 2 4 2 5 2" xfId="7816" xr:uid="{00000000-0005-0000-0000-000063070000}"/>
    <cellStyle name="Normal 4 2 2 4 2 5 3" xfId="10213" xr:uid="{00000000-0005-0000-0000-000063070000}"/>
    <cellStyle name="Normal 4 2 2 4 2 6" xfId="2352" xr:uid="{00000000-0005-0000-0000-000082050000}"/>
    <cellStyle name="Normal 4 2 2 4 2 7" xfId="3893" xr:uid="{00000000-0005-0000-0000-000028020000}"/>
    <cellStyle name="Normal 4 2 2 4 2 8" xfId="5494" xr:uid="{00000000-0005-0000-0000-000034030000}"/>
    <cellStyle name="Normal 4 2 2 4 2 9" xfId="4926" xr:uid="{00000000-0005-0000-0000-0000D8020000}"/>
    <cellStyle name="Normal 4 2 2 4 3" xfId="927" xr:uid="{00000000-0005-0000-0000-000051050000}"/>
    <cellStyle name="Normal 4 2 2 4 3 2" xfId="3298" xr:uid="{00000000-0005-0000-0000-000089050000}"/>
    <cellStyle name="Normal 4 2 2 4 3 2 2" xfId="8659" xr:uid="{00000000-0005-0000-0000-000065070000}"/>
    <cellStyle name="Normal 4 2 2 4 3 2 3" xfId="11056" xr:uid="{00000000-0005-0000-0000-000065070000}"/>
    <cellStyle name="Normal 4 2 2 4 3 3" xfId="2768" xr:uid="{00000000-0005-0000-0000-00008A050000}"/>
    <cellStyle name="Normal 4 2 2 4 3 3 2" xfId="8028" xr:uid="{00000000-0005-0000-0000-000066070000}"/>
    <cellStyle name="Normal 4 2 2 4 3 3 3" xfId="10425" xr:uid="{00000000-0005-0000-0000-000066070000}"/>
    <cellStyle name="Normal 4 2 2 4 3 4" xfId="4182" xr:uid="{00000000-0005-0000-0000-000088050000}"/>
    <cellStyle name="Normal 4 2 2 4 3 5" xfId="5914" xr:uid="{00000000-0005-0000-0000-000037030000}"/>
    <cellStyle name="Normal 4 2 2 4 3 6" xfId="5171" xr:uid="{00000000-0005-0000-0000-0000DA020000}"/>
    <cellStyle name="Normal 4 2 2 4 3 7" xfId="7317" xr:uid="{00000000-0005-0000-0000-000064070000}"/>
    <cellStyle name="Normal 4 2 2 4 3 8" xfId="9722" xr:uid="{00000000-0005-0000-0000-000064070000}"/>
    <cellStyle name="Normal 4 2 2 4 4" xfId="928" xr:uid="{00000000-0005-0000-0000-000052050000}"/>
    <cellStyle name="Normal 4 2 2 4 4 2" xfId="4512" xr:uid="{00000000-0005-0000-0000-00008B050000}"/>
    <cellStyle name="Normal 4 2 2 4 4 2 2" xfId="8660" xr:uid="{00000000-0005-0000-0000-000068070000}"/>
    <cellStyle name="Normal 4 2 2 4 4 2 3" xfId="11057" xr:uid="{00000000-0005-0000-0000-000068070000}"/>
    <cellStyle name="Normal 4 2 2 4 4 3" xfId="5579" xr:uid="{00000000-0005-0000-0000-000038030000}"/>
    <cellStyle name="Normal 4 2 2 4 4 4" xfId="7318" xr:uid="{00000000-0005-0000-0000-000067070000}"/>
    <cellStyle name="Normal 4 2 2 4 4 5" xfId="9723" xr:uid="{00000000-0005-0000-0000-000067070000}"/>
    <cellStyle name="Normal 4 2 2 4 5" xfId="2928" xr:uid="{00000000-0005-0000-0000-00008C050000}"/>
    <cellStyle name="Normal 4 2 2 4 5 2" xfId="8252" xr:uid="{00000000-0005-0000-0000-00006A070000}"/>
    <cellStyle name="Normal 4 2 2 4 5 2 2" xfId="10649" xr:uid="{00000000-0005-0000-0000-00006A070000}"/>
    <cellStyle name="Normal 4 2 2 4 5 3" xfId="7314" xr:uid="{00000000-0005-0000-0000-000069070000}"/>
    <cellStyle name="Normal 4 2 2 4 5 4" xfId="9719" xr:uid="{00000000-0005-0000-0000-000069070000}"/>
    <cellStyle name="Normal 4 2 2 4 6" xfId="2455" xr:uid="{00000000-0005-0000-0000-00008D050000}"/>
    <cellStyle name="Normal 4 2 2 4 6 2" xfId="7653" xr:uid="{00000000-0005-0000-0000-00006B070000}"/>
    <cellStyle name="Normal 4 2 2 4 6 3" xfId="10050" xr:uid="{00000000-0005-0000-0000-00006B070000}"/>
    <cellStyle name="Normal 4 2 2 4 7" xfId="2209" xr:uid="{00000000-0005-0000-0000-000081050000}"/>
    <cellStyle name="Normal 4 2 2 4 8" xfId="3973" xr:uid="{00000000-0005-0000-0000-000027020000}"/>
    <cellStyle name="Normal 4 2 2 4 9" xfId="5333" xr:uid="{00000000-0005-0000-0000-000033030000}"/>
    <cellStyle name="Normal 4 2 2 5" xfId="929" xr:uid="{00000000-0005-0000-0000-000053050000}"/>
    <cellStyle name="Normal 4 2 2 5 10" xfId="6673" xr:uid="{00000000-0005-0000-0000-00006C070000}"/>
    <cellStyle name="Normal 4 2 2 5 11" xfId="9094" xr:uid="{00000000-0005-0000-0000-00006C070000}"/>
    <cellStyle name="Normal 4 2 2 5 2" xfId="930" xr:uid="{00000000-0005-0000-0000-000054050000}"/>
    <cellStyle name="Normal 4 2 2 5 2 2" xfId="931" xr:uid="{00000000-0005-0000-0000-000055050000}"/>
    <cellStyle name="Normal 4 2 2 5 2 2 2" xfId="6402" xr:uid="{00000000-0005-0000-0000-000090050000}"/>
    <cellStyle name="Normal 4 2 2 5 2 2 2 2" xfId="8661" xr:uid="{00000000-0005-0000-0000-00006F070000}"/>
    <cellStyle name="Normal 4 2 2 5 2 2 2 3" xfId="11058" xr:uid="{00000000-0005-0000-0000-00006F070000}"/>
    <cellStyle name="Normal 4 2 2 5 2 2 3" xfId="7321" xr:uid="{00000000-0005-0000-0000-00006E070000}"/>
    <cellStyle name="Normal 4 2 2 5 2 2 4" xfId="9726" xr:uid="{00000000-0005-0000-0000-00006E070000}"/>
    <cellStyle name="Normal 4 2 2 5 2 3" xfId="2769" xr:uid="{00000000-0005-0000-0000-000091050000}"/>
    <cellStyle name="Normal 4 2 2 5 2 3 2" xfId="6212" xr:uid="{00000000-0005-0000-0000-000091050000}"/>
    <cellStyle name="Normal 4 2 2 5 2 3 3" xfId="7320" xr:uid="{00000000-0005-0000-0000-000070070000}"/>
    <cellStyle name="Normal 4 2 2 5 2 3 4" xfId="9725" xr:uid="{00000000-0005-0000-0000-000070070000}"/>
    <cellStyle name="Normal 4 2 2 5 2 4" xfId="4183" xr:uid="{00000000-0005-0000-0000-00008F050000}"/>
    <cellStyle name="Normal 4 2 2 5 2 4 2" xfId="8030" xr:uid="{00000000-0005-0000-0000-000071070000}"/>
    <cellStyle name="Normal 4 2 2 5 2 4 3" xfId="10427" xr:uid="{00000000-0005-0000-0000-000071070000}"/>
    <cellStyle name="Normal 4 2 2 5 2 5" xfId="5916" xr:uid="{00000000-0005-0000-0000-00003A030000}"/>
    <cellStyle name="Normal 4 2 2 5 2 6" xfId="5173" xr:uid="{00000000-0005-0000-0000-0000DC020000}"/>
    <cellStyle name="Normal 4 2 2 5 2 7" xfId="6834" xr:uid="{00000000-0005-0000-0000-00006D070000}"/>
    <cellStyle name="Normal 4 2 2 5 2 8" xfId="9255" xr:uid="{00000000-0005-0000-0000-00006D070000}"/>
    <cellStyle name="Normal 4 2 2 5 3" xfId="932" xr:uid="{00000000-0005-0000-0000-000056050000}"/>
    <cellStyle name="Normal 4 2 2 5 3 2" xfId="4513" xr:uid="{00000000-0005-0000-0000-000092050000}"/>
    <cellStyle name="Normal 4 2 2 5 3 2 2" xfId="8662" xr:uid="{00000000-0005-0000-0000-000073070000}"/>
    <cellStyle name="Normal 4 2 2 5 3 2 3" xfId="11059" xr:uid="{00000000-0005-0000-0000-000073070000}"/>
    <cellStyle name="Normal 4 2 2 5 3 3" xfId="5639" xr:uid="{00000000-0005-0000-0000-00003B030000}"/>
    <cellStyle name="Normal 4 2 2 5 3 4" xfId="7322" xr:uid="{00000000-0005-0000-0000-000072070000}"/>
    <cellStyle name="Normal 4 2 2 5 3 5" xfId="9727" xr:uid="{00000000-0005-0000-0000-000072070000}"/>
    <cellStyle name="Normal 4 2 2 5 4" xfId="933" xr:uid="{00000000-0005-0000-0000-000057050000}"/>
    <cellStyle name="Normal 4 2 2 5 4 2" xfId="6312" xr:uid="{00000000-0005-0000-0000-000093050000}"/>
    <cellStyle name="Normal 4 2 2 5 4 2 2" xfId="8253" xr:uid="{00000000-0005-0000-0000-000075070000}"/>
    <cellStyle name="Normal 4 2 2 5 4 2 3" xfId="10650" xr:uid="{00000000-0005-0000-0000-000075070000}"/>
    <cellStyle name="Normal 4 2 2 5 4 3" xfId="7323" xr:uid="{00000000-0005-0000-0000-000074070000}"/>
    <cellStyle name="Normal 4 2 2 5 4 4" xfId="9728" xr:uid="{00000000-0005-0000-0000-000074070000}"/>
    <cellStyle name="Normal 4 2 2 5 5" xfId="2515" xr:uid="{00000000-0005-0000-0000-000094050000}"/>
    <cellStyle name="Normal 4 2 2 5 5 2" xfId="7319" xr:uid="{00000000-0005-0000-0000-000076070000}"/>
    <cellStyle name="Normal 4 2 2 5 5 3" xfId="9724" xr:uid="{00000000-0005-0000-0000-000076070000}"/>
    <cellStyle name="Normal 4 2 2 5 6" xfId="2353" xr:uid="{00000000-0005-0000-0000-00008E050000}"/>
    <cellStyle name="Normal 4 2 2 5 6 2" xfId="7713" xr:uid="{00000000-0005-0000-0000-000077070000}"/>
    <cellStyle name="Normal 4 2 2 5 6 3" xfId="10110" xr:uid="{00000000-0005-0000-0000-000077070000}"/>
    <cellStyle name="Normal 4 2 2 5 7" xfId="3974" xr:uid="{00000000-0005-0000-0000-000029020000}"/>
    <cellStyle name="Normal 4 2 2 5 8" xfId="5393" xr:uid="{00000000-0005-0000-0000-000039030000}"/>
    <cellStyle name="Normal 4 2 2 5 9" xfId="4927" xr:uid="{00000000-0005-0000-0000-0000DB020000}"/>
    <cellStyle name="Normal 4 2 2 6" xfId="934" xr:uid="{00000000-0005-0000-0000-000058050000}"/>
    <cellStyle name="Normal 4 2 2 6 10" xfId="6674" xr:uid="{00000000-0005-0000-0000-000078070000}"/>
    <cellStyle name="Normal 4 2 2 6 11" xfId="9095" xr:uid="{00000000-0005-0000-0000-000078070000}"/>
    <cellStyle name="Normal 4 2 2 6 2" xfId="935" xr:uid="{00000000-0005-0000-0000-000059050000}"/>
    <cellStyle name="Normal 4 2 2 6 2 2" xfId="936" xr:uid="{00000000-0005-0000-0000-00005A050000}"/>
    <cellStyle name="Normal 4 2 2 6 2 2 2" xfId="6403" xr:uid="{00000000-0005-0000-0000-000097050000}"/>
    <cellStyle name="Normal 4 2 2 6 2 2 2 2" xfId="8663" xr:uid="{00000000-0005-0000-0000-00007B070000}"/>
    <cellStyle name="Normal 4 2 2 6 2 2 2 3" xfId="11060" xr:uid="{00000000-0005-0000-0000-00007B070000}"/>
    <cellStyle name="Normal 4 2 2 6 2 2 3" xfId="7326" xr:uid="{00000000-0005-0000-0000-00007A070000}"/>
    <cellStyle name="Normal 4 2 2 6 2 2 4" xfId="9731" xr:uid="{00000000-0005-0000-0000-00007A070000}"/>
    <cellStyle name="Normal 4 2 2 6 2 3" xfId="2770" xr:uid="{00000000-0005-0000-0000-000098050000}"/>
    <cellStyle name="Normal 4 2 2 6 2 3 2" xfId="6213" xr:uid="{00000000-0005-0000-0000-000098050000}"/>
    <cellStyle name="Normal 4 2 2 6 2 3 3" xfId="7325" xr:uid="{00000000-0005-0000-0000-00007C070000}"/>
    <cellStyle name="Normal 4 2 2 6 2 3 4" xfId="9730" xr:uid="{00000000-0005-0000-0000-00007C070000}"/>
    <cellStyle name="Normal 4 2 2 6 2 4" xfId="4184" xr:uid="{00000000-0005-0000-0000-000096050000}"/>
    <cellStyle name="Normal 4 2 2 6 2 4 2" xfId="8031" xr:uid="{00000000-0005-0000-0000-00007D070000}"/>
    <cellStyle name="Normal 4 2 2 6 2 4 3" xfId="10428" xr:uid="{00000000-0005-0000-0000-00007D070000}"/>
    <cellStyle name="Normal 4 2 2 6 2 5" xfId="5917" xr:uid="{00000000-0005-0000-0000-00003D030000}"/>
    <cellStyle name="Normal 4 2 2 6 2 6" xfId="5174" xr:uid="{00000000-0005-0000-0000-0000DE020000}"/>
    <cellStyle name="Normal 4 2 2 6 2 7" xfId="6835" xr:uid="{00000000-0005-0000-0000-000079070000}"/>
    <cellStyle name="Normal 4 2 2 6 2 8" xfId="9256" xr:uid="{00000000-0005-0000-0000-000079070000}"/>
    <cellStyle name="Normal 4 2 2 6 3" xfId="937" xr:uid="{00000000-0005-0000-0000-00005B050000}"/>
    <cellStyle name="Normal 4 2 2 6 3 2" xfId="4514" xr:uid="{00000000-0005-0000-0000-000099050000}"/>
    <cellStyle name="Normal 4 2 2 6 3 2 2" xfId="8664" xr:uid="{00000000-0005-0000-0000-00007F070000}"/>
    <cellStyle name="Normal 4 2 2 6 3 2 3" xfId="11061" xr:uid="{00000000-0005-0000-0000-00007F070000}"/>
    <cellStyle name="Normal 4 2 2 6 3 3" xfId="5685" xr:uid="{00000000-0005-0000-0000-00003E030000}"/>
    <cellStyle name="Normal 4 2 2 6 3 4" xfId="7327" xr:uid="{00000000-0005-0000-0000-00007E070000}"/>
    <cellStyle name="Normal 4 2 2 6 3 5" xfId="9732" xr:uid="{00000000-0005-0000-0000-00007E070000}"/>
    <cellStyle name="Normal 4 2 2 6 4" xfId="938" xr:uid="{00000000-0005-0000-0000-00005C050000}"/>
    <cellStyle name="Normal 4 2 2 6 4 2" xfId="6313" xr:uid="{00000000-0005-0000-0000-00009A050000}"/>
    <cellStyle name="Normal 4 2 2 6 4 2 2" xfId="8254" xr:uid="{00000000-0005-0000-0000-000081070000}"/>
    <cellStyle name="Normal 4 2 2 6 4 2 3" xfId="10651" xr:uid="{00000000-0005-0000-0000-000081070000}"/>
    <cellStyle name="Normal 4 2 2 6 4 3" xfId="7328" xr:uid="{00000000-0005-0000-0000-000080070000}"/>
    <cellStyle name="Normal 4 2 2 6 4 4" xfId="9733" xr:uid="{00000000-0005-0000-0000-000080070000}"/>
    <cellStyle name="Normal 4 2 2 6 5" xfId="2578" xr:uid="{00000000-0005-0000-0000-00009B050000}"/>
    <cellStyle name="Normal 4 2 2 6 5 2" xfId="7324" xr:uid="{00000000-0005-0000-0000-000082070000}"/>
    <cellStyle name="Normal 4 2 2 6 5 3" xfId="9729" xr:uid="{00000000-0005-0000-0000-000082070000}"/>
    <cellStyle name="Normal 4 2 2 6 6" xfId="2354" xr:uid="{00000000-0005-0000-0000-000095050000}"/>
    <cellStyle name="Normal 4 2 2 6 6 2" xfId="7776" xr:uid="{00000000-0005-0000-0000-000083070000}"/>
    <cellStyle name="Normal 4 2 2 6 6 3" xfId="10173" xr:uid="{00000000-0005-0000-0000-000083070000}"/>
    <cellStyle name="Normal 4 2 2 6 7" xfId="3975" xr:uid="{00000000-0005-0000-0000-00002A020000}"/>
    <cellStyle name="Normal 4 2 2 6 8" xfId="5454" xr:uid="{00000000-0005-0000-0000-00003C030000}"/>
    <cellStyle name="Normal 4 2 2 6 9" xfId="4928" xr:uid="{00000000-0005-0000-0000-0000DD020000}"/>
    <cellStyle name="Normal 4 2 2 7" xfId="939" xr:uid="{00000000-0005-0000-0000-00005D050000}"/>
    <cellStyle name="Normal 4 2 2 7 2" xfId="940" xr:uid="{00000000-0005-0000-0000-00005E050000}"/>
    <cellStyle name="Normal 4 2 2 7 2 2" xfId="2929" xr:uid="{00000000-0005-0000-0000-00009E050000}"/>
    <cellStyle name="Normal 4 2 2 7 2 2 2" xfId="6314" xr:uid="{00000000-0005-0000-0000-00009E050000}"/>
    <cellStyle name="Normal 4 2 2 7 2 2 3" xfId="7330" xr:uid="{00000000-0005-0000-0000-000086070000}"/>
    <cellStyle name="Normal 4 2 2 7 2 2 4" xfId="9735" xr:uid="{00000000-0005-0000-0000-000086070000}"/>
    <cellStyle name="Normal 4 2 2 7 2 3" xfId="4736" xr:uid="{00000000-0005-0000-0000-000023040000}"/>
    <cellStyle name="Normal 4 2 2 7 2 3 2" xfId="6118" xr:uid="{00000000-0005-0000-0000-00009D050000}"/>
    <cellStyle name="Normal 4 2 2 7 2 3 3" xfId="8255" xr:uid="{00000000-0005-0000-0000-000087070000}"/>
    <cellStyle name="Normal 4 2 2 7 2 3 4" xfId="10652" xr:uid="{00000000-0005-0000-0000-000087070000}"/>
    <cellStyle name="Normal 4 2 2 7 2 4" xfId="5175" xr:uid="{00000000-0005-0000-0000-0000E0020000}"/>
    <cellStyle name="Normal 4 2 2 7 2 5" xfId="6836" xr:uid="{00000000-0005-0000-0000-000085070000}"/>
    <cellStyle name="Normal 4 2 2 7 2 6" xfId="9257" xr:uid="{00000000-0005-0000-0000-000085070000}"/>
    <cellStyle name="Normal 4 2 2 7 3" xfId="941" xr:uid="{00000000-0005-0000-0000-00005F050000}"/>
    <cellStyle name="Normal 4 2 2 7 3 2" xfId="6214" xr:uid="{00000000-0005-0000-0000-00009F050000}"/>
    <cellStyle name="Normal 4 2 2 7 3 3" xfId="7331" xr:uid="{00000000-0005-0000-0000-000088070000}"/>
    <cellStyle name="Normal 4 2 2 7 3 4" xfId="9736" xr:uid="{00000000-0005-0000-0000-000088070000}"/>
    <cellStyle name="Normal 4 2 2 7 4" xfId="2355" xr:uid="{00000000-0005-0000-0000-00009C050000}"/>
    <cellStyle name="Normal 4 2 2 7 4 2" xfId="6072" xr:uid="{00000000-0005-0000-0000-00009C050000}"/>
    <cellStyle name="Normal 4 2 2 7 4 3" xfId="7329" xr:uid="{00000000-0005-0000-0000-000089070000}"/>
    <cellStyle name="Normal 4 2 2 7 4 4" xfId="9734" xr:uid="{00000000-0005-0000-0000-000089070000}"/>
    <cellStyle name="Normal 4 2 2 7 5" xfId="3976" xr:uid="{00000000-0005-0000-0000-00002B020000}"/>
    <cellStyle name="Normal 4 2 2 7 5 2" xfId="8032" xr:uid="{00000000-0005-0000-0000-00008A070000}"/>
    <cellStyle name="Normal 4 2 2 7 5 3" xfId="10429" xr:uid="{00000000-0005-0000-0000-00008A070000}"/>
    <cellStyle name="Normal 4 2 2 7 6" xfId="5918" xr:uid="{00000000-0005-0000-0000-00003F030000}"/>
    <cellStyle name="Normal 4 2 2 7 7" xfId="4929" xr:uid="{00000000-0005-0000-0000-0000DF020000}"/>
    <cellStyle name="Normal 4 2 2 7 8" xfId="6675" xr:uid="{00000000-0005-0000-0000-000084070000}"/>
    <cellStyle name="Normal 4 2 2 7 9" xfId="9096" xr:uid="{00000000-0005-0000-0000-000084070000}"/>
    <cellStyle name="Normal 4 2 2 8" xfId="942" xr:uid="{00000000-0005-0000-0000-000060050000}"/>
    <cellStyle name="Normal 4 2 2 8 2" xfId="943" xr:uid="{00000000-0005-0000-0000-000061050000}"/>
    <cellStyle name="Normal 4 2 2 8 2 2" xfId="2930" xr:uid="{00000000-0005-0000-0000-0000A2050000}"/>
    <cellStyle name="Normal 4 2 2 8 2 2 2" xfId="6315" xr:uid="{00000000-0005-0000-0000-0000A2050000}"/>
    <cellStyle name="Normal 4 2 2 8 2 2 3" xfId="7333" xr:uid="{00000000-0005-0000-0000-00008D070000}"/>
    <cellStyle name="Normal 4 2 2 8 2 2 4" xfId="9738" xr:uid="{00000000-0005-0000-0000-00008D070000}"/>
    <cellStyle name="Normal 4 2 2 8 2 3" xfId="4737" xr:uid="{00000000-0005-0000-0000-000029040000}"/>
    <cellStyle name="Normal 4 2 2 8 2 3 2" xfId="6119" xr:uid="{00000000-0005-0000-0000-0000A1050000}"/>
    <cellStyle name="Normal 4 2 2 8 2 3 3" xfId="8256" xr:uid="{00000000-0005-0000-0000-00008E070000}"/>
    <cellStyle name="Normal 4 2 2 8 2 3 4" xfId="10653" xr:uid="{00000000-0005-0000-0000-00008E070000}"/>
    <cellStyle name="Normal 4 2 2 8 2 4" xfId="5176" xr:uid="{00000000-0005-0000-0000-0000E2020000}"/>
    <cellStyle name="Normal 4 2 2 8 2 5" xfId="6837" xr:uid="{00000000-0005-0000-0000-00008C070000}"/>
    <cellStyle name="Normal 4 2 2 8 2 6" xfId="9258" xr:uid="{00000000-0005-0000-0000-00008C070000}"/>
    <cellStyle name="Normal 4 2 2 8 3" xfId="944" xr:uid="{00000000-0005-0000-0000-000062050000}"/>
    <cellStyle name="Normal 4 2 2 8 3 2" xfId="6215" xr:uid="{00000000-0005-0000-0000-0000A3050000}"/>
    <cellStyle name="Normal 4 2 2 8 3 3" xfId="7334" xr:uid="{00000000-0005-0000-0000-00008F070000}"/>
    <cellStyle name="Normal 4 2 2 8 3 4" xfId="9739" xr:uid="{00000000-0005-0000-0000-00008F070000}"/>
    <cellStyle name="Normal 4 2 2 8 4" xfId="2356" xr:uid="{00000000-0005-0000-0000-0000A0050000}"/>
    <cellStyle name="Normal 4 2 2 8 4 2" xfId="6073" xr:uid="{00000000-0005-0000-0000-0000A0050000}"/>
    <cellStyle name="Normal 4 2 2 8 4 3" xfId="7332" xr:uid="{00000000-0005-0000-0000-000090070000}"/>
    <cellStyle name="Normal 4 2 2 8 4 4" xfId="9737" xr:uid="{00000000-0005-0000-0000-000090070000}"/>
    <cellStyle name="Normal 4 2 2 8 5" xfId="3977" xr:uid="{00000000-0005-0000-0000-00002C020000}"/>
    <cellStyle name="Normal 4 2 2 8 5 2" xfId="8033" xr:uid="{00000000-0005-0000-0000-000091070000}"/>
    <cellStyle name="Normal 4 2 2 8 5 3" xfId="10430" xr:uid="{00000000-0005-0000-0000-000091070000}"/>
    <cellStyle name="Normal 4 2 2 8 6" xfId="5919" xr:uid="{00000000-0005-0000-0000-000040030000}"/>
    <cellStyle name="Normal 4 2 2 8 7" xfId="4930" xr:uid="{00000000-0005-0000-0000-0000E1020000}"/>
    <cellStyle name="Normal 4 2 2 8 8" xfId="6676" xr:uid="{00000000-0005-0000-0000-00008B070000}"/>
    <cellStyle name="Normal 4 2 2 8 9" xfId="9097" xr:uid="{00000000-0005-0000-0000-00008B070000}"/>
    <cellStyle name="Normal 4 2 2 9" xfId="945" xr:uid="{00000000-0005-0000-0000-000063050000}"/>
    <cellStyle name="Normal 4 2 2 9 2" xfId="3299" xr:uid="{00000000-0005-0000-0000-0000A5050000}"/>
    <cellStyle name="Normal 4 2 2 9 2 2" xfId="6404" xr:uid="{00000000-0005-0000-0000-0000A5050000}"/>
    <cellStyle name="Normal 4 2 2 9 2 2 2" xfId="8665" xr:uid="{00000000-0005-0000-0000-000094070000}"/>
    <cellStyle name="Normal 4 2 2 9 2 2 3" xfId="11062" xr:uid="{00000000-0005-0000-0000-000094070000}"/>
    <cellStyle name="Normal 4 2 2 9 2 3" xfId="5177" xr:uid="{00000000-0005-0000-0000-0000E4020000}"/>
    <cellStyle name="Normal 4 2 2 9 2 4" xfId="7335" xr:uid="{00000000-0005-0000-0000-000093070000}"/>
    <cellStyle name="Normal 4 2 2 9 2 5" xfId="9740" xr:uid="{00000000-0005-0000-0000-000093070000}"/>
    <cellStyle name="Normal 4 2 2 9 3" xfId="2762" xr:uid="{00000000-0005-0000-0000-0000A6050000}"/>
    <cellStyle name="Normal 4 2 2 9 3 2" xfId="6211" xr:uid="{00000000-0005-0000-0000-0000A6050000}"/>
    <cellStyle name="Normal 4 2 2 9 3 3" xfId="8020" xr:uid="{00000000-0005-0000-0000-000095070000}"/>
    <cellStyle name="Normal 4 2 2 9 3 4" xfId="10417" xr:uid="{00000000-0005-0000-0000-000095070000}"/>
    <cellStyle name="Normal 4 2 2 9 4" xfId="2349" xr:uid="{00000000-0005-0000-0000-0000A4050000}"/>
    <cellStyle name="Normal 4 2 2 9 4 2" xfId="11408" xr:uid="{00000000-0005-0000-0000-00001D070000}"/>
    <cellStyle name="Normal 4 2 2 9 5" xfId="3858" xr:uid="{00000000-0005-0000-0000-00002D020000}"/>
    <cellStyle name="Normal 4 2 2 9 6" xfId="5907" xr:uid="{00000000-0005-0000-0000-000041030000}"/>
    <cellStyle name="Normal 4 2 2 9 7" xfId="4923" xr:uid="{00000000-0005-0000-0000-0000E3020000}"/>
    <cellStyle name="Normal 4 2 2 9 8" xfId="6669" xr:uid="{00000000-0005-0000-0000-000092070000}"/>
    <cellStyle name="Normal 4 2 2 9 9" xfId="9090" xr:uid="{00000000-0005-0000-0000-000092070000}"/>
    <cellStyle name="Normal 4 2 20" xfId="8948" xr:uid="{00000000-0005-0000-0000-00000D070000}"/>
    <cellStyle name="Normal 4 2 3" xfId="946" xr:uid="{00000000-0005-0000-0000-000064050000}"/>
    <cellStyle name="Normal 4 2 3 10" xfId="5362" xr:uid="{00000000-0005-0000-0000-000042030000}"/>
    <cellStyle name="Normal 4 2 3 11" xfId="4818" xr:uid="{00000000-0005-0000-0000-0000E5020000}"/>
    <cellStyle name="Normal 4 2 3 12" xfId="6564" xr:uid="{00000000-0005-0000-0000-000096070000}"/>
    <cellStyle name="Normal 4 2 3 13" xfId="8985" xr:uid="{00000000-0005-0000-0000-000096070000}"/>
    <cellStyle name="Normal 4 2 3 2" xfId="947" xr:uid="{00000000-0005-0000-0000-000065050000}"/>
    <cellStyle name="Normal 4 2 3 2 10" xfId="4932" xr:uid="{00000000-0005-0000-0000-0000E6020000}"/>
    <cellStyle name="Normal 4 2 3 2 11" xfId="6678" xr:uid="{00000000-0005-0000-0000-000097070000}"/>
    <cellStyle name="Normal 4 2 3 2 12" xfId="9099" xr:uid="{00000000-0005-0000-0000-000097070000}"/>
    <cellStyle name="Normal 4 2 3 2 2" xfId="948" xr:uid="{00000000-0005-0000-0000-000066050000}"/>
    <cellStyle name="Normal 4 2 3 2 2 10" xfId="6839" xr:uid="{00000000-0005-0000-0000-000098070000}"/>
    <cellStyle name="Normal 4 2 3 2 2 11" xfId="9260" xr:uid="{00000000-0005-0000-0000-000098070000}"/>
    <cellStyle name="Normal 4 2 3 2 2 2" xfId="2773" xr:uid="{00000000-0005-0000-0000-0000AA050000}"/>
    <cellStyle name="Normal 4 2 3 2 2 2 2" xfId="3301" xr:uid="{00000000-0005-0000-0000-0000AB050000}"/>
    <cellStyle name="Normal 4 2 3 2 2 2 2 2" xfId="8667" xr:uid="{00000000-0005-0000-0000-00009A070000}"/>
    <cellStyle name="Normal 4 2 3 2 2 2 2 3" xfId="11064" xr:uid="{00000000-0005-0000-0000-00009A070000}"/>
    <cellStyle name="Normal 4 2 3 2 2 2 3" xfId="4329" xr:uid="{00000000-0005-0000-0000-0000AA050000}"/>
    <cellStyle name="Normal 4 2 3 2 2 2 3 2" xfId="8036" xr:uid="{00000000-0005-0000-0000-00009B070000}"/>
    <cellStyle name="Normal 4 2 3 2 2 2 3 3" xfId="10433" xr:uid="{00000000-0005-0000-0000-00009B070000}"/>
    <cellStyle name="Normal 4 2 3 2 2 2 4" xfId="5922" xr:uid="{00000000-0005-0000-0000-000045030000}"/>
    <cellStyle name="Normal 4 2 3 2 2 2 5" xfId="7338" xr:uid="{00000000-0005-0000-0000-000099070000}"/>
    <cellStyle name="Normal 4 2 3 2 2 2 6" xfId="9743" xr:uid="{00000000-0005-0000-0000-000099070000}"/>
    <cellStyle name="Normal 4 2 3 2 2 3" xfId="3302" xr:uid="{00000000-0005-0000-0000-0000AC050000}"/>
    <cellStyle name="Normal 4 2 3 2 2 3 2" xfId="4515" xr:uid="{00000000-0005-0000-0000-0000AC050000}"/>
    <cellStyle name="Normal 4 2 3 2 2 3 3" xfId="5752" xr:uid="{00000000-0005-0000-0000-000046030000}"/>
    <cellStyle name="Normal 4 2 3 2 2 3 4" xfId="8668" xr:uid="{00000000-0005-0000-0000-00009C070000}"/>
    <cellStyle name="Normal 4 2 3 2 2 3 5" xfId="11065" xr:uid="{00000000-0005-0000-0000-00009C070000}"/>
    <cellStyle name="Normal 4 2 3 2 2 4" xfId="3300" xr:uid="{00000000-0005-0000-0000-0000AD050000}"/>
    <cellStyle name="Normal 4 2 3 2 2 4 2" xfId="8666" xr:uid="{00000000-0005-0000-0000-00009D070000}"/>
    <cellStyle name="Normal 4 2 3 2 2 4 3" xfId="11063" xr:uid="{00000000-0005-0000-0000-00009D070000}"/>
    <cellStyle name="Normal 4 2 3 2 2 5" xfId="2646" xr:uid="{00000000-0005-0000-0000-0000AE050000}"/>
    <cellStyle name="Normal 4 2 3 2 2 5 2" xfId="7845" xr:uid="{00000000-0005-0000-0000-00009E070000}"/>
    <cellStyle name="Normal 4 2 3 2 2 5 3" xfId="10242" xr:uid="{00000000-0005-0000-0000-00009E070000}"/>
    <cellStyle name="Normal 4 2 3 2 2 6" xfId="2358" xr:uid="{00000000-0005-0000-0000-0000A9050000}"/>
    <cellStyle name="Normal 4 2 3 2 2 7" xfId="3895" xr:uid="{00000000-0005-0000-0000-000030020000}"/>
    <cellStyle name="Normal 4 2 3 2 2 8" xfId="5523" xr:uid="{00000000-0005-0000-0000-000044030000}"/>
    <cellStyle name="Normal 4 2 3 2 2 9" xfId="5179" xr:uid="{00000000-0005-0000-0000-0000E7020000}"/>
    <cellStyle name="Normal 4 2 3 2 3" xfId="949" xr:uid="{00000000-0005-0000-0000-000067050000}"/>
    <cellStyle name="Normal 4 2 3 2 3 2" xfId="3303" xr:uid="{00000000-0005-0000-0000-0000B0050000}"/>
    <cellStyle name="Normal 4 2 3 2 3 2 2" xfId="8669" xr:uid="{00000000-0005-0000-0000-0000A0070000}"/>
    <cellStyle name="Normal 4 2 3 2 3 2 3" xfId="11066" xr:uid="{00000000-0005-0000-0000-0000A0070000}"/>
    <cellStyle name="Normal 4 2 3 2 3 3" xfId="2772" xr:uid="{00000000-0005-0000-0000-0000B1050000}"/>
    <cellStyle name="Normal 4 2 3 2 3 3 2" xfId="8035" xr:uid="{00000000-0005-0000-0000-0000A1070000}"/>
    <cellStyle name="Normal 4 2 3 2 3 3 3" xfId="10432" xr:uid="{00000000-0005-0000-0000-0000A1070000}"/>
    <cellStyle name="Normal 4 2 3 2 3 4" xfId="4186" xr:uid="{00000000-0005-0000-0000-0000AF050000}"/>
    <cellStyle name="Normal 4 2 3 2 3 5" xfId="5921" xr:uid="{00000000-0005-0000-0000-000047030000}"/>
    <cellStyle name="Normal 4 2 3 2 3 6" xfId="7339" xr:uid="{00000000-0005-0000-0000-00009F070000}"/>
    <cellStyle name="Normal 4 2 3 2 3 7" xfId="9744" xr:uid="{00000000-0005-0000-0000-00009F070000}"/>
    <cellStyle name="Normal 4 2 3 2 4" xfId="3304" xr:uid="{00000000-0005-0000-0000-0000B2050000}"/>
    <cellStyle name="Normal 4 2 3 2 4 2" xfId="4516" xr:uid="{00000000-0005-0000-0000-0000B2050000}"/>
    <cellStyle name="Normal 4 2 3 2 4 2 2" xfId="8670" xr:uid="{00000000-0005-0000-0000-0000A3070000}"/>
    <cellStyle name="Normal 4 2 3 2 4 2 3" xfId="11067" xr:uid="{00000000-0005-0000-0000-0000A3070000}"/>
    <cellStyle name="Normal 4 2 3 2 4 3" xfId="5667" xr:uid="{00000000-0005-0000-0000-000048030000}"/>
    <cellStyle name="Normal 4 2 3 2 4 4" xfId="7337" xr:uid="{00000000-0005-0000-0000-0000A2070000}"/>
    <cellStyle name="Normal 4 2 3 2 4 5" xfId="9742" xr:uid="{00000000-0005-0000-0000-0000A2070000}"/>
    <cellStyle name="Normal 4 2 3 2 5" xfId="2932" xr:uid="{00000000-0005-0000-0000-0000B3050000}"/>
    <cellStyle name="Normal 4 2 3 2 5 2" xfId="8258" xr:uid="{00000000-0005-0000-0000-0000A4070000}"/>
    <cellStyle name="Normal 4 2 3 2 5 3" xfId="10655" xr:uid="{00000000-0005-0000-0000-0000A4070000}"/>
    <cellStyle name="Normal 4 2 3 2 6" xfId="2544" xr:uid="{00000000-0005-0000-0000-0000B4050000}"/>
    <cellStyle name="Normal 4 2 3 2 6 2" xfId="7742" xr:uid="{00000000-0005-0000-0000-0000A5070000}"/>
    <cellStyle name="Normal 4 2 3 2 6 3" xfId="10139" xr:uid="{00000000-0005-0000-0000-0000A5070000}"/>
    <cellStyle name="Normal 4 2 3 2 7" xfId="2238" xr:uid="{00000000-0005-0000-0000-0000A8050000}"/>
    <cellStyle name="Normal 4 2 3 2 8" xfId="3979" xr:uid="{00000000-0005-0000-0000-00002F020000}"/>
    <cellStyle name="Normal 4 2 3 2 9" xfId="5422" xr:uid="{00000000-0005-0000-0000-000043030000}"/>
    <cellStyle name="Normal 4 2 3 3" xfId="950" xr:uid="{00000000-0005-0000-0000-000068050000}"/>
    <cellStyle name="Normal 4 2 3 3 10" xfId="6677" xr:uid="{00000000-0005-0000-0000-0000A6070000}"/>
    <cellStyle name="Normal 4 2 3 3 11" xfId="9098" xr:uid="{00000000-0005-0000-0000-0000A6070000}"/>
    <cellStyle name="Normal 4 2 3 3 2" xfId="2774" xr:uid="{00000000-0005-0000-0000-0000B6050000}"/>
    <cellStyle name="Normal 4 2 3 3 2 2" xfId="3306" xr:uid="{00000000-0005-0000-0000-0000B7050000}"/>
    <cellStyle name="Normal 4 2 3 3 2 2 2" xfId="8672" xr:uid="{00000000-0005-0000-0000-0000A8070000}"/>
    <cellStyle name="Normal 4 2 3 3 2 2 3" xfId="11069" xr:uid="{00000000-0005-0000-0000-0000A8070000}"/>
    <cellStyle name="Normal 4 2 3 3 2 3" xfId="4330" xr:uid="{00000000-0005-0000-0000-0000B6050000}"/>
    <cellStyle name="Normal 4 2 3 3 2 3 2" xfId="8037" xr:uid="{00000000-0005-0000-0000-0000A9070000}"/>
    <cellStyle name="Normal 4 2 3 3 2 3 3" xfId="10434" xr:uid="{00000000-0005-0000-0000-0000A9070000}"/>
    <cellStyle name="Normal 4 2 3 3 2 4" xfId="5923" xr:uid="{00000000-0005-0000-0000-00004A030000}"/>
    <cellStyle name="Normal 4 2 3 3 2 5" xfId="5180" xr:uid="{00000000-0005-0000-0000-0000E9020000}"/>
    <cellStyle name="Normal 4 2 3 3 2 6" xfId="7340" xr:uid="{00000000-0005-0000-0000-0000A7070000}"/>
    <cellStyle name="Normal 4 2 3 3 2 7" xfId="9745" xr:uid="{00000000-0005-0000-0000-0000A7070000}"/>
    <cellStyle name="Normal 4 2 3 3 3" xfId="3307" xr:uid="{00000000-0005-0000-0000-0000B8050000}"/>
    <cellStyle name="Normal 4 2 3 3 3 2" xfId="4517" xr:uid="{00000000-0005-0000-0000-0000B8050000}"/>
    <cellStyle name="Normal 4 2 3 3 3 2 2" xfId="11476" xr:uid="{00000000-0005-0000-0000-000032070000}"/>
    <cellStyle name="Normal 4 2 3 3 3 3" xfId="5694" xr:uid="{00000000-0005-0000-0000-00004B030000}"/>
    <cellStyle name="Normal 4 2 3 3 3 4" xfId="8673" xr:uid="{00000000-0005-0000-0000-0000AA070000}"/>
    <cellStyle name="Normal 4 2 3 3 3 5" xfId="11070" xr:uid="{00000000-0005-0000-0000-0000AA070000}"/>
    <cellStyle name="Normal 4 2 3 3 4" xfId="3305" xr:uid="{00000000-0005-0000-0000-0000B9050000}"/>
    <cellStyle name="Normal 4 2 3 3 4 2" xfId="8671" xr:uid="{00000000-0005-0000-0000-0000AB070000}"/>
    <cellStyle name="Normal 4 2 3 3 4 3" xfId="11068" xr:uid="{00000000-0005-0000-0000-0000AB070000}"/>
    <cellStyle name="Normal 4 2 3 3 5" xfId="2587" xr:uid="{00000000-0005-0000-0000-0000BA050000}"/>
    <cellStyle name="Normal 4 2 3 3 5 2" xfId="7785" xr:uid="{00000000-0005-0000-0000-0000AC070000}"/>
    <cellStyle name="Normal 4 2 3 3 5 3" xfId="10182" xr:uid="{00000000-0005-0000-0000-0000AC070000}"/>
    <cellStyle name="Normal 4 2 3 3 6" xfId="2357" xr:uid="{00000000-0005-0000-0000-0000B5050000}"/>
    <cellStyle name="Normal 4 2 3 3 7" xfId="3894" xr:uid="{00000000-0005-0000-0000-000031020000}"/>
    <cellStyle name="Normal 4 2 3 3 8" xfId="5463" xr:uid="{00000000-0005-0000-0000-000049030000}"/>
    <cellStyle name="Normal 4 2 3 3 9" xfId="4931" xr:uid="{00000000-0005-0000-0000-0000E8020000}"/>
    <cellStyle name="Normal 4 2 3 4" xfId="951" xr:uid="{00000000-0005-0000-0000-000069050000}"/>
    <cellStyle name="Normal 4 2 3 4 2" xfId="3308" xr:uid="{00000000-0005-0000-0000-0000BC050000}"/>
    <cellStyle name="Normal 4 2 3 4 2 2" xfId="6405" xr:uid="{00000000-0005-0000-0000-0000BC050000}"/>
    <cellStyle name="Normal 4 2 3 4 2 2 2" xfId="8674" xr:uid="{00000000-0005-0000-0000-0000AF070000}"/>
    <cellStyle name="Normal 4 2 3 4 2 2 3" xfId="11071" xr:uid="{00000000-0005-0000-0000-0000AF070000}"/>
    <cellStyle name="Normal 4 2 3 4 2 3" xfId="7341" xr:uid="{00000000-0005-0000-0000-0000AE070000}"/>
    <cellStyle name="Normal 4 2 3 4 2 4" xfId="9746" xr:uid="{00000000-0005-0000-0000-0000AE070000}"/>
    <cellStyle name="Normal 4 2 3 4 3" xfId="2771" xr:uid="{00000000-0005-0000-0000-0000BD050000}"/>
    <cellStyle name="Normal 4 2 3 4 3 2" xfId="6216" xr:uid="{00000000-0005-0000-0000-0000BD050000}"/>
    <cellStyle name="Normal 4 2 3 4 3 3" xfId="8034" xr:uid="{00000000-0005-0000-0000-0000B0070000}"/>
    <cellStyle name="Normal 4 2 3 4 3 4" xfId="10431" xr:uid="{00000000-0005-0000-0000-0000B0070000}"/>
    <cellStyle name="Normal 4 2 3 4 4" xfId="4185" xr:uid="{00000000-0005-0000-0000-0000BB050000}"/>
    <cellStyle name="Normal 4 2 3 4 5" xfId="5920" xr:uid="{00000000-0005-0000-0000-00004C030000}"/>
    <cellStyle name="Normal 4 2 3 4 6" xfId="5178" xr:uid="{00000000-0005-0000-0000-0000EA020000}"/>
    <cellStyle name="Normal 4 2 3 4 7" xfId="6838" xr:uid="{00000000-0005-0000-0000-0000AD070000}"/>
    <cellStyle name="Normal 4 2 3 4 8" xfId="9259" xr:uid="{00000000-0005-0000-0000-0000AD070000}"/>
    <cellStyle name="Normal 4 2 3 5" xfId="952" xr:uid="{00000000-0005-0000-0000-00006A050000}"/>
    <cellStyle name="Normal 4 2 3 5 2" xfId="4518" xr:uid="{00000000-0005-0000-0000-0000BE050000}"/>
    <cellStyle name="Normal 4 2 3 5 2 2" xfId="8675" xr:uid="{00000000-0005-0000-0000-0000B2070000}"/>
    <cellStyle name="Normal 4 2 3 5 2 3" xfId="11072" xr:uid="{00000000-0005-0000-0000-0000B2070000}"/>
    <cellStyle name="Normal 4 2 3 5 3" xfId="5608" xr:uid="{00000000-0005-0000-0000-00004D030000}"/>
    <cellStyle name="Normal 4 2 3 5 4" xfId="7342" xr:uid="{00000000-0005-0000-0000-0000B1070000}"/>
    <cellStyle name="Normal 4 2 3 5 5" xfId="9747" xr:uid="{00000000-0005-0000-0000-0000B1070000}"/>
    <cellStyle name="Normal 4 2 3 6" xfId="2931" xr:uid="{00000000-0005-0000-0000-0000BF050000}"/>
    <cellStyle name="Normal 4 2 3 6 2" xfId="6316" xr:uid="{00000000-0005-0000-0000-0000BF050000}"/>
    <cellStyle name="Normal 4 2 3 6 2 2" xfId="8257" xr:uid="{00000000-0005-0000-0000-0000B4070000}"/>
    <cellStyle name="Normal 4 2 3 6 2 3" xfId="10654" xr:uid="{00000000-0005-0000-0000-0000B4070000}"/>
    <cellStyle name="Normal 4 2 3 6 3" xfId="7336" xr:uid="{00000000-0005-0000-0000-0000B3070000}"/>
    <cellStyle name="Normal 4 2 3 6 4" xfId="9741" xr:uid="{00000000-0005-0000-0000-0000B3070000}"/>
    <cellStyle name="Normal 4 2 3 7" xfId="2484" xr:uid="{00000000-0005-0000-0000-0000C0050000}"/>
    <cellStyle name="Normal 4 2 3 7 2" xfId="7682" xr:uid="{00000000-0005-0000-0000-0000B5070000}"/>
    <cellStyle name="Normal 4 2 3 7 3" xfId="10079" xr:uid="{00000000-0005-0000-0000-0000B5070000}"/>
    <cellStyle name="Normal 4 2 3 8" xfId="2178" xr:uid="{00000000-0005-0000-0000-0000A7050000}"/>
    <cellStyle name="Normal 4 2 3 9" xfId="3978" xr:uid="{00000000-0005-0000-0000-00002E020000}"/>
    <cellStyle name="Normal 4 2 4" xfId="953" xr:uid="{00000000-0005-0000-0000-00006B050000}"/>
    <cellStyle name="Normal 4 2 4 10" xfId="5368" xr:uid="{00000000-0005-0000-0000-00004E030000}"/>
    <cellStyle name="Normal 4 2 4 11" xfId="4824" xr:uid="{00000000-0005-0000-0000-0000EB020000}"/>
    <cellStyle name="Normal 4 2 4 12" xfId="6570" xr:uid="{00000000-0005-0000-0000-0000B6070000}"/>
    <cellStyle name="Normal 4 2 4 13" xfId="8991" xr:uid="{00000000-0005-0000-0000-0000B6070000}"/>
    <cellStyle name="Normal 4 2 4 2" xfId="954" xr:uid="{00000000-0005-0000-0000-00006C050000}"/>
    <cellStyle name="Normal 4 2 4 2 10" xfId="4933" xr:uid="{00000000-0005-0000-0000-0000EC020000}"/>
    <cellStyle name="Normal 4 2 4 2 11" xfId="6679" xr:uid="{00000000-0005-0000-0000-0000B7070000}"/>
    <cellStyle name="Normal 4 2 4 2 12" xfId="9100" xr:uid="{00000000-0005-0000-0000-0000B7070000}"/>
    <cellStyle name="Normal 4 2 4 2 2" xfId="955" xr:uid="{00000000-0005-0000-0000-00006D050000}"/>
    <cellStyle name="Normal 4 2 4 2 2 2" xfId="2777" xr:uid="{00000000-0005-0000-0000-0000C4050000}"/>
    <cellStyle name="Normal 4 2 4 2 2 2 2" xfId="3311" xr:uid="{00000000-0005-0000-0000-0000C5050000}"/>
    <cellStyle name="Normal 4 2 4 2 2 2 2 2" xfId="8678" xr:uid="{00000000-0005-0000-0000-0000BA070000}"/>
    <cellStyle name="Normal 4 2 4 2 2 2 2 3" xfId="11075" xr:uid="{00000000-0005-0000-0000-0000BA070000}"/>
    <cellStyle name="Normal 4 2 4 2 2 2 3" xfId="4332" xr:uid="{00000000-0005-0000-0000-0000C4050000}"/>
    <cellStyle name="Normal 4 2 4 2 2 2 3 2" xfId="11410" xr:uid="{00000000-0005-0000-0000-000041070000}"/>
    <cellStyle name="Normal 4 2 4 2 2 2 4" xfId="8040" xr:uid="{00000000-0005-0000-0000-0000B9070000}"/>
    <cellStyle name="Normal 4 2 4 2 2 2 5" xfId="10437" xr:uid="{00000000-0005-0000-0000-0000B9070000}"/>
    <cellStyle name="Normal 4 2 4 2 2 3" xfId="3312" xr:uid="{00000000-0005-0000-0000-0000C6050000}"/>
    <cellStyle name="Normal 4 2 4 2 2 3 2" xfId="4519" xr:uid="{00000000-0005-0000-0000-0000C6050000}"/>
    <cellStyle name="Normal 4 2 4 2 2 3 3" xfId="8679" xr:uid="{00000000-0005-0000-0000-0000BB070000}"/>
    <cellStyle name="Normal 4 2 4 2 2 3 4" xfId="11076" xr:uid="{00000000-0005-0000-0000-0000BB070000}"/>
    <cellStyle name="Normal 4 2 4 2 2 4" xfId="3310" xr:uid="{00000000-0005-0000-0000-0000C7050000}"/>
    <cellStyle name="Normal 4 2 4 2 2 4 2" xfId="8677" xr:uid="{00000000-0005-0000-0000-0000BC070000}"/>
    <cellStyle name="Normal 4 2 4 2 2 4 3" xfId="11074" xr:uid="{00000000-0005-0000-0000-0000BC070000}"/>
    <cellStyle name="Normal 4 2 4 2 2 5" xfId="4242" xr:uid="{00000000-0005-0000-0000-0000C3050000}"/>
    <cellStyle name="Normal 4 2 4 2 2 5 2" xfId="7851" xr:uid="{00000000-0005-0000-0000-0000BD070000}"/>
    <cellStyle name="Normal 4 2 4 2 2 5 3" xfId="10248" xr:uid="{00000000-0005-0000-0000-0000BD070000}"/>
    <cellStyle name="Normal 4 2 4 2 2 6" xfId="5529" xr:uid="{00000000-0005-0000-0000-000050030000}"/>
    <cellStyle name="Normal 4 2 4 2 2 7" xfId="5182" xr:uid="{00000000-0005-0000-0000-0000ED020000}"/>
    <cellStyle name="Normal 4 2 4 2 2 8" xfId="7345" xr:uid="{00000000-0005-0000-0000-0000B8070000}"/>
    <cellStyle name="Normal 4 2 4 2 2 9" xfId="9750" xr:uid="{00000000-0005-0000-0000-0000B8070000}"/>
    <cellStyle name="Normal 4 2 4 2 3" xfId="2776" xr:uid="{00000000-0005-0000-0000-0000C8050000}"/>
    <cellStyle name="Normal 4 2 4 2 3 2" xfId="3313" xr:uid="{00000000-0005-0000-0000-0000C9050000}"/>
    <cellStyle name="Normal 4 2 4 2 3 2 2" xfId="8680" xr:uid="{00000000-0005-0000-0000-0000BF070000}"/>
    <cellStyle name="Normal 4 2 4 2 3 2 3" xfId="11077" xr:uid="{00000000-0005-0000-0000-0000BF070000}"/>
    <cellStyle name="Normal 4 2 4 2 3 3" xfId="4331" xr:uid="{00000000-0005-0000-0000-0000C8050000}"/>
    <cellStyle name="Normal 4 2 4 2 3 3 2" xfId="8039" xr:uid="{00000000-0005-0000-0000-0000C0070000}"/>
    <cellStyle name="Normal 4 2 4 2 3 3 3" xfId="10436" xr:uid="{00000000-0005-0000-0000-0000C0070000}"/>
    <cellStyle name="Normal 4 2 4 2 3 4" xfId="5925" xr:uid="{00000000-0005-0000-0000-000053030000}"/>
    <cellStyle name="Normal 4 2 4 2 3 5" xfId="7344" xr:uid="{00000000-0005-0000-0000-0000BE070000}"/>
    <cellStyle name="Normal 4 2 4 2 3 6" xfId="9749" xr:uid="{00000000-0005-0000-0000-0000BE070000}"/>
    <cellStyle name="Normal 4 2 4 2 4" xfId="3314" xr:uid="{00000000-0005-0000-0000-0000CA050000}"/>
    <cellStyle name="Normal 4 2 4 2 4 2" xfId="4520" xr:uid="{00000000-0005-0000-0000-0000CA050000}"/>
    <cellStyle name="Normal 4 2 4 2 4 3" xfId="8681" xr:uid="{00000000-0005-0000-0000-0000C1070000}"/>
    <cellStyle name="Normal 4 2 4 2 4 4" xfId="11078" xr:uid="{00000000-0005-0000-0000-0000C1070000}"/>
    <cellStyle name="Normal 4 2 4 2 5" xfId="3309" xr:uid="{00000000-0005-0000-0000-0000CB050000}"/>
    <cellStyle name="Normal 4 2 4 2 5 2" xfId="8676" xr:uid="{00000000-0005-0000-0000-0000C2070000}"/>
    <cellStyle name="Normal 4 2 4 2 5 3" xfId="11073" xr:uid="{00000000-0005-0000-0000-0000C2070000}"/>
    <cellStyle name="Normal 4 2 4 2 6" xfId="2550" xr:uid="{00000000-0005-0000-0000-0000CC050000}"/>
    <cellStyle name="Normal 4 2 4 2 6 2" xfId="7748" xr:uid="{00000000-0005-0000-0000-0000C3070000}"/>
    <cellStyle name="Normal 4 2 4 2 6 3" xfId="10145" xr:uid="{00000000-0005-0000-0000-0000C3070000}"/>
    <cellStyle name="Normal 4 2 4 2 7" xfId="2244" xr:uid="{00000000-0005-0000-0000-0000C2050000}"/>
    <cellStyle name="Normal 4 2 4 2 8" xfId="3797" xr:uid="{00000000-0005-0000-0000-000033020000}"/>
    <cellStyle name="Normal 4 2 4 2 9" xfId="5428" xr:uid="{00000000-0005-0000-0000-00004F030000}"/>
    <cellStyle name="Normal 4 2 4 3" xfId="956" xr:uid="{00000000-0005-0000-0000-00006E050000}"/>
    <cellStyle name="Normal 4 2 4 3 10" xfId="6840" xr:uid="{00000000-0005-0000-0000-0000C4070000}"/>
    <cellStyle name="Normal 4 2 4 3 11" xfId="9261" xr:uid="{00000000-0005-0000-0000-0000C4070000}"/>
    <cellStyle name="Normal 4 2 4 3 2" xfId="2778" xr:uid="{00000000-0005-0000-0000-0000CE050000}"/>
    <cellStyle name="Normal 4 2 4 3 2 2" xfId="3316" xr:uid="{00000000-0005-0000-0000-0000CF050000}"/>
    <cellStyle name="Normal 4 2 4 3 2 2 2" xfId="8683" xr:uid="{00000000-0005-0000-0000-0000C6070000}"/>
    <cellStyle name="Normal 4 2 4 3 2 2 3" xfId="11080" xr:uid="{00000000-0005-0000-0000-0000C6070000}"/>
    <cellStyle name="Normal 4 2 4 3 2 3" xfId="4333" xr:uid="{00000000-0005-0000-0000-0000CE050000}"/>
    <cellStyle name="Normal 4 2 4 3 2 3 2" xfId="8041" xr:uid="{00000000-0005-0000-0000-0000C7070000}"/>
    <cellStyle name="Normal 4 2 4 3 2 3 3" xfId="10438" xr:uid="{00000000-0005-0000-0000-0000C7070000}"/>
    <cellStyle name="Normal 4 2 4 3 2 4" xfId="5926" xr:uid="{00000000-0005-0000-0000-000056030000}"/>
    <cellStyle name="Normal 4 2 4 3 2 5" xfId="7346" xr:uid="{00000000-0005-0000-0000-0000C5070000}"/>
    <cellStyle name="Normal 4 2 4 3 2 6" xfId="9751" xr:uid="{00000000-0005-0000-0000-0000C5070000}"/>
    <cellStyle name="Normal 4 2 4 3 3" xfId="3317" xr:uid="{00000000-0005-0000-0000-0000D0050000}"/>
    <cellStyle name="Normal 4 2 4 3 3 2" xfId="4521" xr:uid="{00000000-0005-0000-0000-0000D0050000}"/>
    <cellStyle name="Normal 4 2 4 3 3 3" xfId="5700" xr:uid="{00000000-0005-0000-0000-000057030000}"/>
    <cellStyle name="Normal 4 2 4 3 3 4" xfId="8684" xr:uid="{00000000-0005-0000-0000-0000C8070000}"/>
    <cellStyle name="Normal 4 2 4 3 3 5" xfId="11081" xr:uid="{00000000-0005-0000-0000-0000C8070000}"/>
    <cellStyle name="Normal 4 2 4 3 4" xfId="3315" xr:uid="{00000000-0005-0000-0000-0000D1050000}"/>
    <cellStyle name="Normal 4 2 4 3 4 2" xfId="8682" xr:uid="{00000000-0005-0000-0000-0000C9070000}"/>
    <cellStyle name="Normal 4 2 4 3 4 3" xfId="11079" xr:uid="{00000000-0005-0000-0000-0000C9070000}"/>
    <cellStyle name="Normal 4 2 4 3 5" xfId="2593" xr:uid="{00000000-0005-0000-0000-0000D2050000}"/>
    <cellStyle name="Normal 4 2 4 3 5 2" xfId="7791" xr:uid="{00000000-0005-0000-0000-0000CA070000}"/>
    <cellStyle name="Normal 4 2 4 3 5 3" xfId="10188" xr:uid="{00000000-0005-0000-0000-0000CA070000}"/>
    <cellStyle name="Normal 4 2 4 3 6" xfId="2359" xr:uid="{00000000-0005-0000-0000-0000CD050000}"/>
    <cellStyle name="Normal 4 2 4 3 7" xfId="3896" xr:uid="{00000000-0005-0000-0000-000034020000}"/>
    <cellStyle name="Normal 4 2 4 3 8" xfId="5469" xr:uid="{00000000-0005-0000-0000-000055030000}"/>
    <cellStyle name="Normal 4 2 4 3 9" xfId="5181" xr:uid="{00000000-0005-0000-0000-0000EE020000}"/>
    <cellStyle name="Normal 4 2 4 4" xfId="957" xr:uid="{00000000-0005-0000-0000-00006F050000}"/>
    <cellStyle name="Normal 4 2 4 4 2" xfId="3318" xr:uid="{00000000-0005-0000-0000-0000D4050000}"/>
    <cellStyle name="Normal 4 2 4 4 2 2" xfId="8685" xr:uid="{00000000-0005-0000-0000-0000CC070000}"/>
    <cellStyle name="Normal 4 2 4 4 2 3" xfId="11082" xr:uid="{00000000-0005-0000-0000-0000CC070000}"/>
    <cellStyle name="Normal 4 2 4 4 3" xfId="2775" xr:uid="{00000000-0005-0000-0000-0000D5050000}"/>
    <cellStyle name="Normal 4 2 4 4 3 2" xfId="8038" xr:uid="{00000000-0005-0000-0000-0000CD070000}"/>
    <cellStyle name="Normal 4 2 4 4 3 3" xfId="10435" xr:uid="{00000000-0005-0000-0000-0000CD070000}"/>
    <cellStyle name="Normal 4 2 4 4 4" xfId="4187" xr:uid="{00000000-0005-0000-0000-0000D3050000}"/>
    <cellStyle name="Normal 4 2 4 4 5" xfId="5924" xr:uid="{00000000-0005-0000-0000-000058030000}"/>
    <cellStyle name="Normal 4 2 4 4 6" xfId="7347" xr:uid="{00000000-0005-0000-0000-0000CB070000}"/>
    <cellStyle name="Normal 4 2 4 4 7" xfId="9752" xr:uid="{00000000-0005-0000-0000-0000CB070000}"/>
    <cellStyle name="Normal 4 2 4 5" xfId="3319" xr:uid="{00000000-0005-0000-0000-0000D6050000}"/>
    <cellStyle name="Normal 4 2 4 5 2" xfId="4522" xr:uid="{00000000-0005-0000-0000-0000D6050000}"/>
    <cellStyle name="Normal 4 2 4 5 2 2" xfId="8686" xr:uid="{00000000-0005-0000-0000-0000CF070000}"/>
    <cellStyle name="Normal 4 2 4 5 2 3" xfId="11083" xr:uid="{00000000-0005-0000-0000-0000CF070000}"/>
    <cellStyle name="Normal 4 2 4 5 3" xfId="5614" xr:uid="{00000000-0005-0000-0000-000059030000}"/>
    <cellStyle name="Normal 4 2 4 5 4" xfId="7343" xr:uid="{00000000-0005-0000-0000-0000CE070000}"/>
    <cellStyle name="Normal 4 2 4 5 5" xfId="9748" xr:uid="{00000000-0005-0000-0000-0000CE070000}"/>
    <cellStyle name="Normal 4 2 4 6" xfId="2933" xr:uid="{00000000-0005-0000-0000-0000D7050000}"/>
    <cellStyle name="Normal 4 2 4 6 2" xfId="8259" xr:uid="{00000000-0005-0000-0000-0000D0070000}"/>
    <cellStyle name="Normal 4 2 4 6 3" xfId="10656" xr:uid="{00000000-0005-0000-0000-0000D0070000}"/>
    <cellStyle name="Normal 4 2 4 7" xfId="2490" xr:uid="{00000000-0005-0000-0000-0000D8050000}"/>
    <cellStyle name="Normal 4 2 4 7 2" xfId="7688" xr:uid="{00000000-0005-0000-0000-0000D1070000}"/>
    <cellStyle name="Normal 4 2 4 7 3" xfId="10085" xr:uid="{00000000-0005-0000-0000-0000D1070000}"/>
    <cellStyle name="Normal 4 2 4 8" xfId="2184" xr:uid="{00000000-0005-0000-0000-0000C1050000}"/>
    <cellStyle name="Normal 4 2 4 9" xfId="3980" xr:uid="{00000000-0005-0000-0000-000032020000}"/>
    <cellStyle name="Normal 4 2 5" xfId="958" xr:uid="{00000000-0005-0000-0000-000070050000}"/>
    <cellStyle name="Normal 4 2 5 10" xfId="5342" xr:uid="{00000000-0005-0000-0000-00005A030000}"/>
    <cellStyle name="Normal 4 2 5 11" xfId="4798" xr:uid="{00000000-0005-0000-0000-0000EF020000}"/>
    <cellStyle name="Normal 4 2 5 12" xfId="6544" xr:uid="{00000000-0005-0000-0000-0000D2070000}"/>
    <cellStyle name="Normal 4 2 5 13" xfId="8965" xr:uid="{00000000-0005-0000-0000-0000D2070000}"/>
    <cellStyle name="Normal 4 2 5 2" xfId="959" xr:uid="{00000000-0005-0000-0000-000071050000}"/>
    <cellStyle name="Normal 4 2 5 2 10" xfId="6680" xr:uid="{00000000-0005-0000-0000-0000D3070000}"/>
    <cellStyle name="Normal 4 2 5 2 11" xfId="9101" xr:uid="{00000000-0005-0000-0000-0000D3070000}"/>
    <cellStyle name="Normal 4 2 5 2 2" xfId="960" xr:uid="{00000000-0005-0000-0000-000072050000}"/>
    <cellStyle name="Normal 4 2 5 2 2 2" xfId="3321" xr:uid="{00000000-0005-0000-0000-0000DC050000}"/>
    <cellStyle name="Normal 4 2 5 2 2 2 2" xfId="8688" xr:uid="{00000000-0005-0000-0000-0000D5070000}"/>
    <cellStyle name="Normal 4 2 5 2 2 2 3" xfId="11085" xr:uid="{00000000-0005-0000-0000-0000D5070000}"/>
    <cellStyle name="Normal 4 2 5 2 2 3" xfId="4335" xr:uid="{00000000-0005-0000-0000-0000DB050000}"/>
    <cellStyle name="Normal 4 2 5 2 2 3 2" xfId="8043" xr:uid="{00000000-0005-0000-0000-0000D6070000}"/>
    <cellStyle name="Normal 4 2 5 2 2 3 3" xfId="10440" xr:uid="{00000000-0005-0000-0000-0000D6070000}"/>
    <cellStyle name="Normal 4 2 5 2 2 4" xfId="5928" xr:uid="{00000000-0005-0000-0000-00005C030000}"/>
    <cellStyle name="Normal 4 2 5 2 2 5" xfId="5184" xr:uid="{00000000-0005-0000-0000-0000F1020000}"/>
    <cellStyle name="Normal 4 2 5 2 2 6" xfId="7350" xr:uid="{00000000-0005-0000-0000-0000D4070000}"/>
    <cellStyle name="Normal 4 2 5 2 2 7" xfId="9755" xr:uid="{00000000-0005-0000-0000-0000D4070000}"/>
    <cellStyle name="Normal 4 2 5 2 3" xfId="3322" xr:uid="{00000000-0005-0000-0000-0000DD050000}"/>
    <cellStyle name="Normal 4 2 5 2 3 2" xfId="4523" xr:uid="{00000000-0005-0000-0000-0000DD050000}"/>
    <cellStyle name="Normal 4 2 5 2 3 2 2" xfId="8689" xr:uid="{00000000-0005-0000-0000-0000D8070000}"/>
    <cellStyle name="Normal 4 2 5 2 3 2 3" xfId="11086" xr:uid="{00000000-0005-0000-0000-0000D8070000}"/>
    <cellStyle name="Normal 4 2 5 2 3 3" xfId="5648" xr:uid="{00000000-0005-0000-0000-00005D030000}"/>
    <cellStyle name="Normal 4 2 5 2 3 4" xfId="7349" xr:uid="{00000000-0005-0000-0000-0000D7070000}"/>
    <cellStyle name="Normal 4 2 5 2 3 5" xfId="9754" xr:uid="{00000000-0005-0000-0000-0000D7070000}"/>
    <cellStyle name="Normal 4 2 5 2 4" xfId="3320" xr:uid="{00000000-0005-0000-0000-0000DE050000}"/>
    <cellStyle name="Normal 4 2 5 2 4 2" xfId="8687" xr:uid="{00000000-0005-0000-0000-0000D9070000}"/>
    <cellStyle name="Normal 4 2 5 2 4 3" xfId="11084" xr:uid="{00000000-0005-0000-0000-0000D9070000}"/>
    <cellStyle name="Normal 4 2 5 2 5" xfId="2524" xr:uid="{00000000-0005-0000-0000-0000DF050000}"/>
    <cellStyle name="Normal 4 2 5 2 5 2" xfId="7722" xr:uid="{00000000-0005-0000-0000-0000DA070000}"/>
    <cellStyle name="Normal 4 2 5 2 5 3" xfId="10119" xr:uid="{00000000-0005-0000-0000-0000DA070000}"/>
    <cellStyle name="Normal 4 2 5 2 6" xfId="2360" xr:uid="{00000000-0005-0000-0000-0000DA050000}"/>
    <cellStyle name="Normal 4 2 5 2 7" xfId="3897" xr:uid="{00000000-0005-0000-0000-000036020000}"/>
    <cellStyle name="Normal 4 2 5 2 8" xfId="5402" xr:uid="{00000000-0005-0000-0000-00005B030000}"/>
    <cellStyle name="Normal 4 2 5 2 9" xfId="4934" xr:uid="{00000000-0005-0000-0000-0000F0020000}"/>
    <cellStyle name="Normal 4 2 5 3" xfId="961" xr:uid="{00000000-0005-0000-0000-000073050000}"/>
    <cellStyle name="Normal 4 2 5 3 10" xfId="9262" xr:uid="{00000000-0005-0000-0000-0000DB070000}"/>
    <cellStyle name="Normal 4 2 5 3 2" xfId="2779" xr:uid="{00000000-0005-0000-0000-0000E1050000}"/>
    <cellStyle name="Normal 4 2 5 3 2 2" xfId="3324" xr:uid="{00000000-0005-0000-0000-0000E2050000}"/>
    <cellStyle name="Normal 4 2 5 3 2 2 2" xfId="8691" xr:uid="{00000000-0005-0000-0000-0000DD070000}"/>
    <cellStyle name="Normal 4 2 5 3 2 2 3" xfId="11088" xr:uid="{00000000-0005-0000-0000-0000DD070000}"/>
    <cellStyle name="Normal 4 2 5 3 2 3" xfId="4336" xr:uid="{00000000-0005-0000-0000-0000E1050000}"/>
    <cellStyle name="Normal 4 2 5 3 2 3 2" xfId="8044" xr:uid="{00000000-0005-0000-0000-0000DE070000}"/>
    <cellStyle name="Normal 4 2 5 3 2 3 3" xfId="10441" xr:uid="{00000000-0005-0000-0000-0000DE070000}"/>
    <cellStyle name="Normal 4 2 5 3 2 4" xfId="5929" xr:uid="{00000000-0005-0000-0000-00005F030000}"/>
    <cellStyle name="Normal 4 2 5 3 2 5" xfId="7351" xr:uid="{00000000-0005-0000-0000-0000DC070000}"/>
    <cellStyle name="Normal 4 2 5 3 2 6" xfId="9756" xr:uid="{00000000-0005-0000-0000-0000DC070000}"/>
    <cellStyle name="Normal 4 2 5 3 3" xfId="3325" xr:uid="{00000000-0005-0000-0000-0000E3050000}"/>
    <cellStyle name="Normal 4 2 5 3 3 2" xfId="4524" xr:uid="{00000000-0005-0000-0000-0000E3050000}"/>
    <cellStyle name="Normal 4 2 5 3 3 3" xfId="5733" xr:uid="{00000000-0005-0000-0000-000060030000}"/>
    <cellStyle name="Normal 4 2 5 3 3 4" xfId="8692" xr:uid="{00000000-0005-0000-0000-0000DF070000}"/>
    <cellStyle name="Normal 4 2 5 3 3 5" xfId="11089" xr:uid="{00000000-0005-0000-0000-0000DF070000}"/>
    <cellStyle name="Normal 4 2 5 3 4" xfId="3323" xr:uid="{00000000-0005-0000-0000-0000E4050000}"/>
    <cellStyle name="Normal 4 2 5 3 4 2" xfId="8690" xr:uid="{00000000-0005-0000-0000-0000E0070000}"/>
    <cellStyle name="Normal 4 2 5 3 4 3" xfId="11087" xr:uid="{00000000-0005-0000-0000-0000E0070000}"/>
    <cellStyle name="Normal 4 2 5 3 5" xfId="2627" xr:uid="{00000000-0005-0000-0000-0000E5050000}"/>
    <cellStyle name="Normal 4 2 5 3 5 2" xfId="7825" xr:uid="{00000000-0005-0000-0000-0000E1070000}"/>
    <cellStyle name="Normal 4 2 5 3 5 3" xfId="10222" xr:uid="{00000000-0005-0000-0000-0000E1070000}"/>
    <cellStyle name="Normal 4 2 5 3 6" xfId="4188" xr:uid="{00000000-0005-0000-0000-0000E0050000}"/>
    <cellStyle name="Normal 4 2 5 3 7" xfId="5503" xr:uid="{00000000-0005-0000-0000-00005E030000}"/>
    <cellStyle name="Normal 4 2 5 3 8" xfId="5183" xr:uid="{00000000-0005-0000-0000-0000F2020000}"/>
    <cellStyle name="Normal 4 2 5 3 9" xfId="6841" xr:uid="{00000000-0005-0000-0000-0000DB070000}"/>
    <cellStyle name="Normal 4 2 5 4" xfId="962" xr:uid="{00000000-0005-0000-0000-000074050000}"/>
    <cellStyle name="Normal 4 2 5 4 2" xfId="3326" xr:uid="{00000000-0005-0000-0000-0000E7050000}"/>
    <cellStyle name="Normal 4 2 5 4 2 2" xfId="8693" xr:uid="{00000000-0005-0000-0000-0000E3070000}"/>
    <cellStyle name="Normal 4 2 5 4 2 3" xfId="11090" xr:uid="{00000000-0005-0000-0000-0000E3070000}"/>
    <cellStyle name="Normal 4 2 5 4 3" xfId="4334" xr:uid="{00000000-0005-0000-0000-0000E6050000}"/>
    <cellStyle name="Normal 4 2 5 4 3 2" xfId="8042" xr:uid="{00000000-0005-0000-0000-0000E4070000}"/>
    <cellStyle name="Normal 4 2 5 4 3 3" xfId="10439" xr:uid="{00000000-0005-0000-0000-0000E4070000}"/>
    <cellStyle name="Normal 4 2 5 4 4" xfId="5927" xr:uid="{00000000-0005-0000-0000-000061030000}"/>
    <cellStyle name="Normal 4 2 5 4 5" xfId="7352" xr:uid="{00000000-0005-0000-0000-0000E2070000}"/>
    <cellStyle name="Normal 4 2 5 4 6" xfId="9757" xr:uid="{00000000-0005-0000-0000-0000E2070000}"/>
    <cellStyle name="Normal 4 2 5 5" xfId="3327" xr:uid="{00000000-0005-0000-0000-0000E8050000}"/>
    <cellStyle name="Normal 4 2 5 5 2" xfId="4525" xr:uid="{00000000-0005-0000-0000-0000E8050000}"/>
    <cellStyle name="Normal 4 2 5 5 2 2" xfId="8694" xr:uid="{00000000-0005-0000-0000-0000E6070000}"/>
    <cellStyle name="Normal 4 2 5 5 2 3" xfId="11091" xr:uid="{00000000-0005-0000-0000-0000E6070000}"/>
    <cellStyle name="Normal 4 2 5 5 3" xfId="5588" xr:uid="{00000000-0005-0000-0000-000062030000}"/>
    <cellStyle name="Normal 4 2 5 5 4" xfId="7348" xr:uid="{00000000-0005-0000-0000-0000E5070000}"/>
    <cellStyle name="Normal 4 2 5 5 5" xfId="9753" xr:uid="{00000000-0005-0000-0000-0000E5070000}"/>
    <cellStyle name="Normal 4 2 5 6" xfId="2934" xr:uid="{00000000-0005-0000-0000-0000E9050000}"/>
    <cellStyle name="Normal 4 2 5 6 2" xfId="8260" xr:uid="{00000000-0005-0000-0000-0000E7070000}"/>
    <cellStyle name="Normal 4 2 5 6 3" xfId="10657" xr:uid="{00000000-0005-0000-0000-0000E7070000}"/>
    <cellStyle name="Normal 4 2 5 7" xfId="2464" xr:uid="{00000000-0005-0000-0000-0000EA050000}"/>
    <cellStyle name="Normal 4 2 5 7 2" xfId="7662" xr:uid="{00000000-0005-0000-0000-0000E8070000}"/>
    <cellStyle name="Normal 4 2 5 7 3" xfId="10059" xr:uid="{00000000-0005-0000-0000-0000E8070000}"/>
    <cellStyle name="Normal 4 2 5 8" xfId="2218" xr:uid="{00000000-0005-0000-0000-0000D9050000}"/>
    <cellStyle name="Normal 4 2 5 9" xfId="3981" xr:uid="{00000000-0005-0000-0000-000035020000}"/>
    <cellStyle name="Normal 4 2 6" xfId="963" xr:uid="{00000000-0005-0000-0000-000075050000}"/>
    <cellStyle name="Normal 4 2 6 10" xfId="4781" xr:uid="{00000000-0005-0000-0000-0000F3020000}"/>
    <cellStyle name="Normal 4 2 6 11" xfId="6681" xr:uid="{00000000-0005-0000-0000-0000E9070000}"/>
    <cellStyle name="Normal 4 2 6 12" xfId="9102" xr:uid="{00000000-0005-0000-0000-0000E9070000}"/>
    <cellStyle name="Normal 4 2 6 2" xfId="964" xr:uid="{00000000-0005-0000-0000-000076050000}"/>
    <cellStyle name="Normal 4 2 6 2 10" xfId="6842" xr:uid="{00000000-0005-0000-0000-0000EA070000}"/>
    <cellStyle name="Normal 4 2 6 2 11" xfId="9263" xr:uid="{00000000-0005-0000-0000-0000EA070000}"/>
    <cellStyle name="Normal 4 2 6 2 2" xfId="965" xr:uid="{00000000-0005-0000-0000-000077050000}"/>
    <cellStyle name="Normal 4 2 6 2 2 2" xfId="3329" xr:uid="{00000000-0005-0000-0000-0000EE050000}"/>
    <cellStyle name="Normal 4 2 6 2 2 2 2" xfId="8696" xr:uid="{00000000-0005-0000-0000-0000EC070000}"/>
    <cellStyle name="Normal 4 2 6 2 2 2 3" xfId="11093" xr:uid="{00000000-0005-0000-0000-0000EC070000}"/>
    <cellStyle name="Normal 4 2 6 2 2 3" xfId="4337" xr:uid="{00000000-0005-0000-0000-0000ED050000}"/>
    <cellStyle name="Normal 4 2 6 2 2 3 2" xfId="8046" xr:uid="{00000000-0005-0000-0000-0000ED070000}"/>
    <cellStyle name="Normal 4 2 6 2 2 3 3" xfId="10443" xr:uid="{00000000-0005-0000-0000-0000ED070000}"/>
    <cellStyle name="Normal 4 2 6 2 2 4" xfId="5931" xr:uid="{00000000-0005-0000-0000-000065030000}"/>
    <cellStyle name="Normal 4 2 6 2 2 5" xfId="5186" xr:uid="{00000000-0005-0000-0000-0000F5020000}"/>
    <cellStyle name="Normal 4 2 6 2 2 6" xfId="7355" xr:uid="{00000000-0005-0000-0000-0000EB070000}"/>
    <cellStyle name="Normal 4 2 6 2 2 7" xfId="9760" xr:uid="{00000000-0005-0000-0000-0000EB070000}"/>
    <cellStyle name="Normal 4 2 6 2 3" xfId="3330" xr:uid="{00000000-0005-0000-0000-0000EF050000}"/>
    <cellStyle name="Normal 4 2 6 2 3 2" xfId="4526" xr:uid="{00000000-0005-0000-0000-0000EF050000}"/>
    <cellStyle name="Normal 4 2 6 2 3 2 2" xfId="8697" xr:uid="{00000000-0005-0000-0000-0000EF070000}"/>
    <cellStyle name="Normal 4 2 6 2 3 2 3" xfId="11094" xr:uid="{00000000-0005-0000-0000-0000EF070000}"/>
    <cellStyle name="Normal 4 2 6 2 3 3" xfId="5716" xr:uid="{00000000-0005-0000-0000-000066030000}"/>
    <cellStyle name="Normal 4 2 6 2 3 4" xfId="7354" xr:uid="{00000000-0005-0000-0000-0000EE070000}"/>
    <cellStyle name="Normal 4 2 6 2 3 5" xfId="9759" xr:uid="{00000000-0005-0000-0000-0000EE070000}"/>
    <cellStyle name="Normal 4 2 6 2 4" xfId="3328" xr:uid="{00000000-0005-0000-0000-0000F0050000}"/>
    <cellStyle name="Normal 4 2 6 2 4 2" xfId="8695" xr:uid="{00000000-0005-0000-0000-0000F0070000}"/>
    <cellStyle name="Normal 4 2 6 2 4 3" xfId="11092" xr:uid="{00000000-0005-0000-0000-0000F0070000}"/>
    <cellStyle name="Normal 4 2 6 2 5" xfId="2610" xr:uid="{00000000-0005-0000-0000-0000F1050000}"/>
    <cellStyle name="Normal 4 2 6 2 5 2" xfId="7808" xr:uid="{00000000-0005-0000-0000-0000F1070000}"/>
    <cellStyle name="Normal 4 2 6 2 5 3" xfId="10205" xr:uid="{00000000-0005-0000-0000-0000F1070000}"/>
    <cellStyle name="Normal 4 2 6 2 6" xfId="2361" xr:uid="{00000000-0005-0000-0000-0000EC050000}"/>
    <cellStyle name="Normal 4 2 6 2 7" xfId="3898" xr:uid="{00000000-0005-0000-0000-000038020000}"/>
    <cellStyle name="Normal 4 2 6 2 8" xfId="5486" xr:uid="{00000000-0005-0000-0000-000064030000}"/>
    <cellStyle name="Normal 4 2 6 2 9" xfId="4935" xr:uid="{00000000-0005-0000-0000-0000F4020000}"/>
    <cellStyle name="Normal 4 2 6 3" xfId="966" xr:uid="{00000000-0005-0000-0000-000078050000}"/>
    <cellStyle name="Normal 4 2 6 3 2" xfId="3331" xr:uid="{00000000-0005-0000-0000-0000F3050000}"/>
    <cellStyle name="Normal 4 2 6 3 2 2" xfId="8698" xr:uid="{00000000-0005-0000-0000-0000F3070000}"/>
    <cellStyle name="Normal 4 2 6 3 2 3" xfId="11095" xr:uid="{00000000-0005-0000-0000-0000F3070000}"/>
    <cellStyle name="Normal 4 2 6 3 3" xfId="2780" xr:uid="{00000000-0005-0000-0000-0000F4050000}"/>
    <cellStyle name="Normal 4 2 6 3 3 2" xfId="8045" xr:uid="{00000000-0005-0000-0000-0000F4070000}"/>
    <cellStyle name="Normal 4 2 6 3 3 3" xfId="10442" xr:uid="{00000000-0005-0000-0000-0000F4070000}"/>
    <cellStyle name="Normal 4 2 6 3 4" xfId="4189" xr:uid="{00000000-0005-0000-0000-0000F2050000}"/>
    <cellStyle name="Normal 4 2 6 3 5" xfId="5930" xr:uid="{00000000-0005-0000-0000-000067030000}"/>
    <cellStyle name="Normal 4 2 6 3 6" xfId="5185" xr:uid="{00000000-0005-0000-0000-0000F6020000}"/>
    <cellStyle name="Normal 4 2 6 3 7" xfId="7356" xr:uid="{00000000-0005-0000-0000-0000F2070000}"/>
    <cellStyle name="Normal 4 2 6 3 8" xfId="9761" xr:uid="{00000000-0005-0000-0000-0000F2070000}"/>
    <cellStyle name="Normal 4 2 6 4" xfId="967" xr:uid="{00000000-0005-0000-0000-000079050000}"/>
    <cellStyle name="Normal 4 2 6 4 2" xfId="4527" xr:uid="{00000000-0005-0000-0000-0000F5050000}"/>
    <cellStyle name="Normal 4 2 6 4 2 2" xfId="8699" xr:uid="{00000000-0005-0000-0000-0000F6070000}"/>
    <cellStyle name="Normal 4 2 6 4 2 3" xfId="11096" xr:uid="{00000000-0005-0000-0000-0000F6070000}"/>
    <cellStyle name="Normal 4 2 6 4 3" xfId="5571" xr:uid="{00000000-0005-0000-0000-000068030000}"/>
    <cellStyle name="Normal 4 2 6 4 4" xfId="7357" xr:uid="{00000000-0005-0000-0000-0000F5070000}"/>
    <cellStyle name="Normal 4 2 6 4 5" xfId="9762" xr:uid="{00000000-0005-0000-0000-0000F5070000}"/>
    <cellStyle name="Normal 4 2 6 5" xfId="2935" xr:uid="{00000000-0005-0000-0000-0000F6050000}"/>
    <cellStyle name="Normal 4 2 6 5 2" xfId="8261" xr:uid="{00000000-0005-0000-0000-0000F8070000}"/>
    <cellStyle name="Normal 4 2 6 5 2 2" xfId="10658" xr:uid="{00000000-0005-0000-0000-0000F8070000}"/>
    <cellStyle name="Normal 4 2 6 5 3" xfId="7353" xr:uid="{00000000-0005-0000-0000-0000F7070000}"/>
    <cellStyle name="Normal 4 2 6 5 4" xfId="9758" xr:uid="{00000000-0005-0000-0000-0000F7070000}"/>
    <cellStyle name="Normal 4 2 6 6" xfId="2447" xr:uid="{00000000-0005-0000-0000-0000F7050000}"/>
    <cellStyle name="Normal 4 2 6 6 2" xfId="7645" xr:uid="{00000000-0005-0000-0000-0000F9070000}"/>
    <cellStyle name="Normal 4 2 6 6 3" xfId="10042" xr:uid="{00000000-0005-0000-0000-0000F9070000}"/>
    <cellStyle name="Normal 4 2 6 7" xfId="2201" xr:uid="{00000000-0005-0000-0000-0000EB050000}"/>
    <cellStyle name="Normal 4 2 6 8" xfId="3982" xr:uid="{00000000-0005-0000-0000-000037020000}"/>
    <cellStyle name="Normal 4 2 6 9" xfId="5325" xr:uid="{00000000-0005-0000-0000-000063030000}"/>
    <cellStyle name="Normal 4 2 7" xfId="968" xr:uid="{00000000-0005-0000-0000-00007A050000}"/>
    <cellStyle name="Normal 4 2 7 10" xfId="4936" xr:uid="{00000000-0005-0000-0000-0000F7020000}"/>
    <cellStyle name="Normal 4 2 7 11" xfId="6682" xr:uid="{00000000-0005-0000-0000-0000FA070000}"/>
    <cellStyle name="Normal 4 2 7 12" xfId="9103" xr:uid="{00000000-0005-0000-0000-0000FA070000}"/>
    <cellStyle name="Normal 4 2 7 2" xfId="969" xr:uid="{00000000-0005-0000-0000-00007B050000}"/>
    <cellStyle name="Normal 4 2 7 2 10" xfId="6843" xr:uid="{00000000-0005-0000-0000-0000FB070000}"/>
    <cellStyle name="Normal 4 2 7 2 11" xfId="9264" xr:uid="{00000000-0005-0000-0000-0000FB070000}"/>
    <cellStyle name="Normal 4 2 7 2 2" xfId="970" xr:uid="{00000000-0005-0000-0000-00007C050000}"/>
    <cellStyle name="Normal 4 2 7 2 2 2" xfId="3333" xr:uid="{00000000-0005-0000-0000-0000FB050000}"/>
    <cellStyle name="Normal 4 2 7 2 2 2 2" xfId="8701" xr:uid="{00000000-0005-0000-0000-0000FD070000}"/>
    <cellStyle name="Normal 4 2 7 2 2 2 3" xfId="11098" xr:uid="{00000000-0005-0000-0000-0000FD070000}"/>
    <cellStyle name="Normal 4 2 7 2 2 3" xfId="4338" xr:uid="{00000000-0005-0000-0000-0000FA050000}"/>
    <cellStyle name="Normal 4 2 7 2 2 3 2" xfId="8048" xr:uid="{00000000-0005-0000-0000-0000FE070000}"/>
    <cellStyle name="Normal 4 2 7 2 2 3 3" xfId="10445" xr:uid="{00000000-0005-0000-0000-0000FE070000}"/>
    <cellStyle name="Normal 4 2 7 2 2 4" xfId="5933" xr:uid="{00000000-0005-0000-0000-00006B030000}"/>
    <cellStyle name="Normal 4 2 7 2 2 5" xfId="7360" xr:uid="{00000000-0005-0000-0000-0000FC070000}"/>
    <cellStyle name="Normal 4 2 7 2 2 6" xfId="9765" xr:uid="{00000000-0005-0000-0000-0000FC070000}"/>
    <cellStyle name="Normal 4 2 7 2 3" xfId="3334" xr:uid="{00000000-0005-0000-0000-0000FC050000}"/>
    <cellStyle name="Normal 4 2 7 2 3 2" xfId="4528" xr:uid="{00000000-0005-0000-0000-0000FC050000}"/>
    <cellStyle name="Normal 4 2 7 2 3 2 2" xfId="8702" xr:uid="{00000000-0005-0000-0000-000000080000}"/>
    <cellStyle name="Normal 4 2 7 2 3 2 3" xfId="11099" xr:uid="{00000000-0005-0000-0000-000000080000}"/>
    <cellStyle name="Normal 4 2 7 2 3 3" xfId="5763" xr:uid="{00000000-0005-0000-0000-00006C030000}"/>
    <cellStyle name="Normal 4 2 7 2 3 4" xfId="7359" xr:uid="{00000000-0005-0000-0000-0000FF070000}"/>
    <cellStyle name="Normal 4 2 7 2 3 5" xfId="9764" xr:uid="{00000000-0005-0000-0000-0000FF070000}"/>
    <cellStyle name="Normal 4 2 7 2 4" xfId="3332" xr:uid="{00000000-0005-0000-0000-0000FD050000}"/>
    <cellStyle name="Normal 4 2 7 2 4 2" xfId="8700" xr:uid="{00000000-0005-0000-0000-000001080000}"/>
    <cellStyle name="Normal 4 2 7 2 4 3" xfId="11097" xr:uid="{00000000-0005-0000-0000-000001080000}"/>
    <cellStyle name="Normal 4 2 7 2 5" xfId="2658" xr:uid="{00000000-0005-0000-0000-0000FE050000}"/>
    <cellStyle name="Normal 4 2 7 2 5 2" xfId="7870" xr:uid="{00000000-0005-0000-0000-000002080000}"/>
    <cellStyle name="Normal 4 2 7 2 5 3" xfId="10267" xr:uid="{00000000-0005-0000-0000-000002080000}"/>
    <cellStyle name="Normal 4 2 7 2 6" xfId="2362" xr:uid="{00000000-0005-0000-0000-0000F9050000}"/>
    <cellStyle name="Normal 4 2 7 2 7" xfId="3899" xr:uid="{00000000-0005-0000-0000-00003A020000}"/>
    <cellStyle name="Normal 4 2 7 2 8" xfId="5548" xr:uid="{00000000-0005-0000-0000-00006A030000}"/>
    <cellStyle name="Normal 4 2 7 2 9" xfId="5187" xr:uid="{00000000-0005-0000-0000-0000F8020000}"/>
    <cellStyle name="Normal 4 2 7 3" xfId="971" xr:uid="{00000000-0005-0000-0000-00007D050000}"/>
    <cellStyle name="Normal 4 2 7 3 2" xfId="3335" xr:uid="{00000000-0005-0000-0000-000000060000}"/>
    <cellStyle name="Normal 4 2 7 3 2 2" xfId="8703" xr:uid="{00000000-0005-0000-0000-000004080000}"/>
    <cellStyle name="Normal 4 2 7 3 2 3" xfId="11100" xr:uid="{00000000-0005-0000-0000-000004080000}"/>
    <cellStyle name="Normal 4 2 7 3 3" xfId="2781" xr:uid="{00000000-0005-0000-0000-000001060000}"/>
    <cellStyle name="Normal 4 2 7 3 3 2" xfId="8047" xr:uid="{00000000-0005-0000-0000-000005080000}"/>
    <cellStyle name="Normal 4 2 7 3 3 3" xfId="10444" xr:uid="{00000000-0005-0000-0000-000005080000}"/>
    <cellStyle name="Normal 4 2 7 3 4" xfId="4190" xr:uid="{00000000-0005-0000-0000-0000FF050000}"/>
    <cellStyle name="Normal 4 2 7 3 5" xfId="5932" xr:uid="{00000000-0005-0000-0000-00006D030000}"/>
    <cellStyle name="Normal 4 2 7 3 6" xfId="7361" xr:uid="{00000000-0005-0000-0000-000003080000}"/>
    <cellStyle name="Normal 4 2 7 3 7" xfId="9766" xr:uid="{00000000-0005-0000-0000-000003080000}"/>
    <cellStyle name="Normal 4 2 7 4" xfId="972" xr:uid="{00000000-0005-0000-0000-00007E050000}"/>
    <cellStyle name="Normal 4 2 7 4 2" xfId="4529" xr:uid="{00000000-0005-0000-0000-000002060000}"/>
    <cellStyle name="Normal 4 2 7 4 2 2" xfId="8704" xr:uid="{00000000-0005-0000-0000-000007080000}"/>
    <cellStyle name="Normal 4 2 7 4 2 3" xfId="11101" xr:uid="{00000000-0005-0000-0000-000007080000}"/>
    <cellStyle name="Normal 4 2 7 4 3" xfId="5631" xr:uid="{00000000-0005-0000-0000-00006E030000}"/>
    <cellStyle name="Normal 4 2 7 4 4" xfId="7362" xr:uid="{00000000-0005-0000-0000-000006080000}"/>
    <cellStyle name="Normal 4 2 7 4 5" xfId="9767" xr:uid="{00000000-0005-0000-0000-000006080000}"/>
    <cellStyle name="Normal 4 2 7 5" xfId="2936" xr:uid="{00000000-0005-0000-0000-000003060000}"/>
    <cellStyle name="Normal 4 2 7 5 2" xfId="8262" xr:uid="{00000000-0005-0000-0000-000009080000}"/>
    <cellStyle name="Normal 4 2 7 5 2 2" xfId="10659" xr:uid="{00000000-0005-0000-0000-000009080000}"/>
    <cellStyle name="Normal 4 2 7 5 3" xfId="7358" xr:uid="{00000000-0005-0000-0000-000008080000}"/>
    <cellStyle name="Normal 4 2 7 5 4" xfId="9763" xr:uid="{00000000-0005-0000-0000-000008080000}"/>
    <cellStyle name="Normal 4 2 7 6" xfId="2507" xr:uid="{00000000-0005-0000-0000-000004060000}"/>
    <cellStyle name="Normal 4 2 7 6 2" xfId="7705" xr:uid="{00000000-0005-0000-0000-00000A080000}"/>
    <cellStyle name="Normal 4 2 7 6 3" xfId="10102" xr:uid="{00000000-0005-0000-0000-00000A080000}"/>
    <cellStyle name="Normal 4 2 7 7" xfId="2263" xr:uid="{00000000-0005-0000-0000-0000F8050000}"/>
    <cellStyle name="Normal 4 2 7 8" xfId="3983" xr:uid="{00000000-0005-0000-0000-000039020000}"/>
    <cellStyle name="Normal 4 2 7 9" xfId="5385" xr:uid="{00000000-0005-0000-0000-000069030000}"/>
    <cellStyle name="Normal 4 2 8" xfId="973" xr:uid="{00000000-0005-0000-0000-00007F050000}"/>
    <cellStyle name="Normal 4 2 8 10" xfId="6683" xr:uid="{00000000-0005-0000-0000-00000B080000}"/>
    <cellStyle name="Normal 4 2 8 11" xfId="9104" xr:uid="{00000000-0005-0000-0000-00000B080000}"/>
    <cellStyle name="Normal 4 2 8 2" xfId="974" xr:uid="{00000000-0005-0000-0000-000080050000}"/>
    <cellStyle name="Normal 4 2 8 2 2" xfId="975" xr:uid="{00000000-0005-0000-0000-000081050000}"/>
    <cellStyle name="Normal 4 2 8 2 2 2" xfId="6406" xr:uid="{00000000-0005-0000-0000-000007060000}"/>
    <cellStyle name="Normal 4 2 8 2 2 2 2" xfId="8705" xr:uid="{00000000-0005-0000-0000-00000E080000}"/>
    <cellStyle name="Normal 4 2 8 2 2 2 3" xfId="11102" xr:uid="{00000000-0005-0000-0000-00000E080000}"/>
    <cellStyle name="Normal 4 2 8 2 2 3" xfId="7365" xr:uid="{00000000-0005-0000-0000-00000D080000}"/>
    <cellStyle name="Normal 4 2 8 2 2 4" xfId="9770" xr:uid="{00000000-0005-0000-0000-00000D080000}"/>
    <cellStyle name="Normal 4 2 8 2 3" xfId="2782" xr:uid="{00000000-0005-0000-0000-000008060000}"/>
    <cellStyle name="Normal 4 2 8 2 3 2" xfId="6217" xr:uid="{00000000-0005-0000-0000-000008060000}"/>
    <cellStyle name="Normal 4 2 8 2 3 3" xfId="7364" xr:uid="{00000000-0005-0000-0000-00000F080000}"/>
    <cellStyle name="Normal 4 2 8 2 3 4" xfId="9769" xr:uid="{00000000-0005-0000-0000-00000F080000}"/>
    <cellStyle name="Normal 4 2 8 2 4" xfId="4191" xr:uid="{00000000-0005-0000-0000-000006060000}"/>
    <cellStyle name="Normal 4 2 8 2 4 2" xfId="8049" xr:uid="{00000000-0005-0000-0000-000010080000}"/>
    <cellStyle name="Normal 4 2 8 2 4 3" xfId="10446" xr:uid="{00000000-0005-0000-0000-000010080000}"/>
    <cellStyle name="Normal 4 2 8 2 5" xfId="5934" xr:uid="{00000000-0005-0000-0000-000070030000}"/>
    <cellStyle name="Normal 4 2 8 2 6" xfId="5188" xr:uid="{00000000-0005-0000-0000-0000FA020000}"/>
    <cellStyle name="Normal 4 2 8 2 7" xfId="6844" xr:uid="{00000000-0005-0000-0000-00000C080000}"/>
    <cellStyle name="Normal 4 2 8 2 8" xfId="9265" xr:uid="{00000000-0005-0000-0000-00000C080000}"/>
    <cellStyle name="Normal 4 2 8 3" xfId="976" xr:uid="{00000000-0005-0000-0000-000082050000}"/>
    <cellStyle name="Normal 4 2 8 3 2" xfId="4530" xr:uid="{00000000-0005-0000-0000-000009060000}"/>
    <cellStyle name="Normal 4 2 8 3 2 2" xfId="8706" xr:uid="{00000000-0005-0000-0000-000012080000}"/>
    <cellStyle name="Normal 4 2 8 3 2 3" xfId="11103" xr:uid="{00000000-0005-0000-0000-000012080000}"/>
    <cellStyle name="Normal 4 2 8 3 3" xfId="5676" xr:uid="{00000000-0005-0000-0000-000071030000}"/>
    <cellStyle name="Normal 4 2 8 3 4" xfId="7366" xr:uid="{00000000-0005-0000-0000-000011080000}"/>
    <cellStyle name="Normal 4 2 8 3 5" xfId="9771" xr:uid="{00000000-0005-0000-0000-000011080000}"/>
    <cellStyle name="Normal 4 2 8 4" xfId="977" xr:uid="{00000000-0005-0000-0000-000083050000}"/>
    <cellStyle name="Normal 4 2 8 4 2" xfId="6317" xr:uid="{00000000-0005-0000-0000-00000A060000}"/>
    <cellStyle name="Normal 4 2 8 4 2 2" xfId="8263" xr:uid="{00000000-0005-0000-0000-000014080000}"/>
    <cellStyle name="Normal 4 2 8 4 2 3" xfId="10660" xr:uid="{00000000-0005-0000-0000-000014080000}"/>
    <cellStyle name="Normal 4 2 8 4 3" xfId="7367" xr:uid="{00000000-0005-0000-0000-000013080000}"/>
    <cellStyle name="Normal 4 2 8 4 4" xfId="9772" xr:uid="{00000000-0005-0000-0000-000013080000}"/>
    <cellStyle name="Normal 4 2 8 5" xfId="2567" xr:uid="{00000000-0005-0000-0000-00000B060000}"/>
    <cellStyle name="Normal 4 2 8 5 2" xfId="7363" xr:uid="{00000000-0005-0000-0000-000015080000}"/>
    <cellStyle name="Normal 4 2 8 5 3" xfId="9768" xr:uid="{00000000-0005-0000-0000-000015080000}"/>
    <cellStyle name="Normal 4 2 8 6" xfId="2363" xr:uid="{00000000-0005-0000-0000-000005060000}"/>
    <cellStyle name="Normal 4 2 8 6 2" xfId="7765" xr:uid="{00000000-0005-0000-0000-000016080000}"/>
    <cellStyle name="Normal 4 2 8 6 3" xfId="10162" xr:uid="{00000000-0005-0000-0000-000016080000}"/>
    <cellStyle name="Normal 4 2 8 7" xfId="3984" xr:uid="{00000000-0005-0000-0000-00003B020000}"/>
    <cellStyle name="Normal 4 2 8 8" xfId="5445" xr:uid="{00000000-0005-0000-0000-00006F030000}"/>
    <cellStyle name="Normal 4 2 8 9" xfId="4937" xr:uid="{00000000-0005-0000-0000-0000F9020000}"/>
    <cellStyle name="Normal 4 2 9" xfId="978" xr:uid="{00000000-0005-0000-0000-000084050000}"/>
    <cellStyle name="Normal 4 2 9 10" xfId="9105" xr:uid="{00000000-0005-0000-0000-000017080000}"/>
    <cellStyle name="Normal 4 2 9 2" xfId="979" xr:uid="{00000000-0005-0000-0000-000085050000}"/>
    <cellStyle name="Normal 4 2 9 2 2" xfId="3336" xr:uid="{00000000-0005-0000-0000-00000E060000}"/>
    <cellStyle name="Normal 4 2 9 2 2 2" xfId="6407" xr:uid="{00000000-0005-0000-0000-00000E060000}"/>
    <cellStyle name="Normal 4 2 9 2 2 3" xfId="7369" xr:uid="{00000000-0005-0000-0000-000019080000}"/>
    <cellStyle name="Normal 4 2 9 2 2 4" xfId="9774" xr:uid="{00000000-0005-0000-0000-000019080000}"/>
    <cellStyle name="Normal 4 2 9 2 3" xfId="4192" xr:uid="{00000000-0005-0000-0000-00000D060000}"/>
    <cellStyle name="Normal 4 2 9 2 3 2" xfId="6120" xr:uid="{00000000-0005-0000-0000-00000D060000}"/>
    <cellStyle name="Normal 4 2 9 2 3 3" xfId="8707" xr:uid="{00000000-0005-0000-0000-00001A080000}"/>
    <cellStyle name="Normal 4 2 9 2 3 4" xfId="11104" xr:uid="{00000000-0005-0000-0000-00001A080000}"/>
    <cellStyle name="Normal 4 2 9 2 4" xfId="5935" xr:uid="{00000000-0005-0000-0000-000073030000}"/>
    <cellStyle name="Normal 4 2 9 2 5" xfId="5189" xr:uid="{00000000-0005-0000-0000-0000FC020000}"/>
    <cellStyle name="Normal 4 2 9 2 6" xfId="6845" xr:uid="{00000000-0005-0000-0000-000018080000}"/>
    <cellStyle name="Normal 4 2 9 2 7" xfId="9266" xr:uid="{00000000-0005-0000-0000-000018080000}"/>
    <cellStyle name="Normal 4 2 9 3" xfId="980" xr:uid="{00000000-0005-0000-0000-000086050000}"/>
    <cellStyle name="Normal 4 2 9 3 2" xfId="6458" xr:uid="{00000000-0005-0000-0000-000098070000}"/>
    <cellStyle name="Normal 4 2 9 3 2 2" xfId="8264" xr:uid="{00000000-0005-0000-0000-00001C080000}"/>
    <cellStyle name="Normal 4 2 9 3 2 3" xfId="10661" xr:uid="{00000000-0005-0000-0000-00001C080000}"/>
    <cellStyle name="Normal 4 2 9 3 3" xfId="6318" xr:uid="{00000000-0005-0000-0000-00000F060000}"/>
    <cellStyle name="Normal 4 2 9 3 4" xfId="7370" xr:uid="{00000000-0005-0000-0000-00001B080000}"/>
    <cellStyle name="Normal 4 2 9 3 5" xfId="9775" xr:uid="{00000000-0005-0000-0000-00001B080000}"/>
    <cellStyle name="Normal 4 2 9 4" xfId="2783" xr:uid="{00000000-0005-0000-0000-000010060000}"/>
    <cellStyle name="Normal 4 2 9 4 2" xfId="6218" xr:uid="{00000000-0005-0000-0000-000010060000}"/>
    <cellStyle name="Normal 4 2 9 4 3" xfId="7368" xr:uid="{00000000-0005-0000-0000-00001D080000}"/>
    <cellStyle name="Normal 4 2 9 4 4" xfId="9773" xr:uid="{00000000-0005-0000-0000-00001D080000}"/>
    <cellStyle name="Normal 4 2 9 5" xfId="2364" xr:uid="{00000000-0005-0000-0000-00000C060000}"/>
    <cellStyle name="Normal 4 2 9 5 2" xfId="8050" xr:uid="{00000000-0005-0000-0000-00001E080000}"/>
    <cellStyle name="Normal 4 2 9 5 3" xfId="10447" xr:uid="{00000000-0005-0000-0000-00001E080000}"/>
    <cellStyle name="Normal 4 2 9 6" xfId="3985" xr:uid="{00000000-0005-0000-0000-00003C020000}"/>
    <cellStyle name="Normal 4 2 9 7" xfId="5308" xr:uid="{00000000-0005-0000-0000-000072030000}"/>
    <cellStyle name="Normal 4 2 9 8" xfId="4938" xr:uid="{00000000-0005-0000-0000-0000FB020000}"/>
    <cellStyle name="Normal 4 2 9 9" xfId="6684" xr:uid="{00000000-0005-0000-0000-000017080000}"/>
    <cellStyle name="Normal 4 20" xfId="4755" xr:uid="{00000000-0005-0000-0000-0000B7020000}"/>
    <cellStyle name="Normal 4 21" xfId="6526" xr:uid="{00000000-0005-0000-0000-0000E3060000}"/>
    <cellStyle name="Normal 4 22" xfId="8947" xr:uid="{00000000-0005-0000-0000-0000E3060000}"/>
    <cellStyle name="Normal 4 3" xfId="981" xr:uid="{00000000-0005-0000-0000-000087050000}"/>
    <cellStyle name="Normal 4 3 2" xfId="982" xr:uid="{00000000-0005-0000-0000-000088050000}"/>
    <cellStyle name="Normal 4 4" xfId="983" xr:uid="{00000000-0005-0000-0000-000089050000}"/>
    <cellStyle name="Normal 4 4 10" xfId="984" xr:uid="{00000000-0005-0000-0000-00008A050000}"/>
    <cellStyle name="Normal 4 4 10 2" xfId="3337" xr:uid="{00000000-0005-0000-0000-000015060000}"/>
    <cellStyle name="Normal 4 4 10 2 2" xfId="6408" xr:uid="{00000000-0005-0000-0000-000015060000}"/>
    <cellStyle name="Normal 4 4 10 2 3" xfId="7373" xr:uid="{00000000-0005-0000-0000-000023080000}"/>
    <cellStyle name="Normal 4 4 10 2 4" xfId="9777" xr:uid="{00000000-0005-0000-0000-000023080000}"/>
    <cellStyle name="Normal 4 4 10 3" xfId="4193" xr:uid="{00000000-0005-0000-0000-000014060000}"/>
    <cellStyle name="Normal 4 4 10 3 2" xfId="6121" xr:uid="{00000000-0005-0000-0000-000014060000}"/>
    <cellStyle name="Normal 4 4 10 3 3" xfId="8708" xr:uid="{00000000-0005-0000-0000-000024080000}"/>
    <cellStyle name="Normal 4 4 10 3 4" xfId="11105" xr:uid="{00000000-0005-0000-0000-000024080000}"/>
    <cellStyle name="Normal 4 4 10 4" xfId="5561" xr:uid="{00000000-0005-0000-0000-000077030000}"/>
    <cellStyle name="Normal 4 4 10 5" xfId="5190" xr:uid="{00000000-0005-0000-0000-000000030000}"/>
    <cellStyle name="Normal 4 4 10 6" xfId="6846" xr:uid="{00000000-0005-0000-0000-000022080000}"/>
    <cellStyle name="Normal 4 4 10 7" xfId="9267" xr:uid="{00000000-0005-0000-0000-000022080000}"/>
    <cellStyle name="Normal 4 4 11" xfId="985" xr:uid="{00000000-0005-0000-0000-00008B050000}"/>
    <cellStyle name="Normal 4 4 11 2" xfId="6470" xr:uid="{00000000-0005-0000-0000-0000A0070000}"/>
    <cellStyle name="Normal 4 4 11 2 2" xfId="8265" xr:uid="{00000000-0005-0000-0000-000026080000}"/>
    <cellStyle name="Normal 4 4 11 2 3" xfId="10662" xr:uid="{00000000-0005-0000-0000-000026080000}"/>
    <cellStyle name="Normal 4 4 11 3" xfId="6319" xr:uid="{00000000-0005-0000-0000-000016060000}"/>
    <cellStyle name="Normal 4 4 11 4" xfId="7374" xr:uid="{00000000-0005-0000-0000-000025080000}"/>
    <cellStyle name="Normal 4 4 11 5" xfId="9778" xr:uid="{00000000-0005-0000-0000-000025080000}"/>
    <cellStyle name="Normal 4 4 12" xfId="2438" xr:uid="{00000000-0005-0000-0000-000017060000}"/>
    <cellStyle name="Normal 4 4 12 2" xfId="6150" xr:uid="{00000000-0005-0000-0000-000017060000}"/>
    <cellStyle name="Normal 4 4 12 3" xfId="7372" xr:uid="{00000000-0005-0000-0000-000027080000}"/>
    <cellStyle name="Normal 4 4 12 4" xfId="9776" xr:uid="{00000000-0005-0000-0000-000027080000}"/>
    <cellStyle name="Normal 4 4 13" xfId="2168" xr:uid="{00000000-0005-0000-0000-000013060000}"/>
    <cellStyle name="Normal 4 4 13 2" xfId="7635" xr:uid="{00000000-0005-0000-0000-000028080000}"/>
    <cellStyle name="Normal 4 4 13 3" xfId="10032" xr:uid="{00000000-0005-0000-0000-000028080000}"/>
    <cellStyle name="Normal 4 4 14" xfId="3986" xr:uid="{00000000-0005-0000-0000-00003F020000}"/>
    <cellStyle name="Normal 4 4 15" xfId="5315" xr:uid="{00000000-0005-0000-0000-000076030000}"/>
    <cellStyle name="Normal 4 4 16" xfId="4770" xr:uid="{00000000-0005-0000-0000-0000FF020000}"/>
    <cellStyle name="Normal 4 4 17" xfId="6534" xr:uid="{00000000-0005-0000-0000-000021080000}"/>
    <cellStyle name="Normal 4 4 18" xfId="8955" xr:uid="{00000000-0005-0000-0000-000021080000}"/>
    <cellStyle name="Normal 4 4 2" xfId="986" xr:uid="{00000000-0005-0000-0000-00008C050000}"/>
    <cellStyle name="Normal 4 4 2 10" xfId="5375" xr:uid="{00000000-0005-0000-0000-000078030000}"/>
    <cellStyle name="Normal 4 4 2 11" xfId="4831" xr:uid="{00000000-0005-0000-0000-000001030000}"/>
    <cellStyle name="Normal 4 4 2 12" xfId="6577" xr:uid="{00000000-0005-0000-0000-000029080000}"/>
    <cellStyle name="Normal 4 4 2 13" xfId="8998" xr:uid="{00000000-0005-0000-0000-000029080000}"/>
    <cellStyle name="Normal 4 4 2 2" xfId="987" xr:uid="{00000000-0005-0000-0000-00008D050000}"/>
    <cellStyle name="Normal 4 4 2 2 10" xfId="4940" xr:uid="{00000000-0005-0000-0000-000002030000}"/>
    <cellStyle name="Normal 4 4 2 2 11" xfId="6686" xr:uid="{00000000-0005-0000-0000-00002A080000}"/>
    <cellStyle name="Normal 4 4 2 2 12" xfId="9107" xr:uid="{00000000-0005-0000-0000-00002A080000}"/>
    <cellStyle name="Normal 4 4 2 2 2" xfId="988" xr:uid="{00000000-0005-0000-0000-00008E050000}"/>
    <cellStyle name="Normal 4 4 2 2 2 2" xfId="2787" xr:uid="{00000000-0005-0000-0000-00001B060000}"/>
    <cellStyle name="Normal 4 4 2 2 2 2 2" xfId="3340" xr:uid="{00000000-0005-0000-0000-00001C060000}"/>
    <cellStyle name="Normal 4 4 2 2 2 2 2 2" xfId="8711" xr:uid="{00000000-0005-0000-0000-00002D080000}"/>
    <cellStyle name="Normal 4 4 2 2 2 2 2 3" xfId="11108" xr:uid="{00000000-0005-0000-0000-00002D080000}"/>
    <cellStyle name="Normal 4 4 2 2 2 2 3" xfId="4340" xr:uid="{00000000-0005-0000-0000-00001B060000}"/>
    <cellStyle name="Normal 4 4 2 2 2 2 3 2" xfId="11412" xr:uid="{00000000-0005-0000-0000-0000A7070000}"/>
    <cellStyle name="Normal 4 4 2 2 2 2 4" xfId="8054" xr:uid="{00000000-0005-0000-0000-00002C080000}"/>
    <cellStyle name="Normal 4 4 2 2 2 2 5" xfId="10451" xr:uid="{00000000-0005-0000-0000-00002C080000}"/>
    <cellStyle name="Normal 4 4 2 2 2 3" xfId="3341" xr:uid="{00000000-0005-0000-0000-00001D060000}"/>
    <cellStyle name="Normal 4 4 2 2 2 3 2" xfId="4531" xr:uid="{00000000-0005-0000-0000-00001D060000}"/>
    <cellStyle name="Normal 4 4 2 2 2 3 3" xfId="8712" xr:uid="{00000000-0005-0000-0000-00002E080000}"/>
    <cellStyle name="Normal 4 4 2 2 2 3 4" xfId="11109" xr:uid="{00000000-0005-0000-0000-00002E080000}"/>
    <cellStyle name="Normal 4 4 2 2 2 4" xfId="3339" xr:uid="{00000000-0005-0000-0000-00001E060000}"/>
    <cellStyle name="Normal 4 4 2 2 2 4 2" xfId="8710" xr:uid="{00000000-0005-0000-0000-00002F080000}"/>
    <cellStyle name="Normal 4 4 2 2 2 4 3" xfId="11107" xr:uid="{00000000-0005-0000-0000-00002F080000}"/>
    <cellStyle name="Normal 4 4 2 2 2 5" xfId="4247" xr:uid="{00000000-0005-0000-0000-00001A060000}"/>
    <cellStyle name="Normal 4 4 2 2 2 5 2" xfId="7858" xr:uid="{00000000-0005-0000-0000-000030080000}"/>
    <cellStyle name="Normal 4 4 2 2 2 5 3" xfId="10255" xr:uid="{00000000-0005-0000-0000-000030080000}"/>
    <cellStyle name="Normal 4 4 2 2 2 6" xfId="5536" xr:uid="{00000000-0005-0000-0000-00007A030000}"/>
    <cellStyle name="Normal 4 4 2 2 2 7" xfId="5192" xr:uid="{00000000-0005-0000-0000-000003030000}"/>
    <cellStyle name="Normal 4 4 2 2 2 8" xfId="7377" xr:uid="{00000000-0005-0000-0000-00002B080000}"/>
    <cellStyle name="Normal 4 4 2 2 2 9" xfId="9781" xr:uid="{00000000-0005-0000-0000-00002B080000}"/>
    <cellStyle name="Normal 4 4 2 2 3" xfId="2786" xr:uid="{00000000-0005-0000-0000-00001F060000}"/>
    <cellStyle name="Normal 4 4 2 2 3 2" xfId="3342" xr:uid="{00000000-0005-0000-0000-000020060000}"/>
    <cellStyle name="Normal 4 4 2 2 3 2 2" xfId="8713" xr:uid="{00000000-0005-0000-0000-000032080000}"/>
    <cellStyle name="Normal 4 4 2 2 3 2 3" xfId="11110" xr:uid="{00000000-0005-0000-0000-000032080000}"/>
    <cellStyle name="Normal 4 4 2 2 3 3" xfId="4339" xr:uid="{00000000-0005-0000-0000-00001F060000}"/>
    <cellStyle name="Normal 4 4 2 2 3 3 2" xfId="8053" xr:uid="{00000000-0005-0000-0000-000033080000}"/>
    <cellStyle name="Normal 4 4 2 2 3 3 3" xfId="10450" xr:uid="{00000000-0005-0000-0000-000033080000}"/>
    <cellStyle name="Normal 4 4 2 2 3 4" xfId="5938" xr:uid="{00000000-0005-0000-0000-00007D030000}"/>
    <cellStyle name="Normal 4 4 2 2 3 5" xfId="7376" xr:uid="{00000000-0005-0000-0000-000031080000}"/>
    <cellStyle name="Normal 4 4 2 2 3 6" xfId="9780" xr:uid="{00000000-0005-0000-0000-000031080000}"/>
    <cellStyle name="Normal 4 4 2 2 4" xfId="3343" xr:uid="{00000000-0005-0000-0000-000021060000}"/>
    <cellStyle name="Normal 4 4 2 2 4 2" xfId="4532" xr:uid="{00000000-0005-0000-0000-000021060000}"/>
    <cellStyle name="Normal 4 4 2 2 4 3" xfId="8714" xr:uid="{00000000-0005-0000-0000-000034080000}"/>
    <cellStyle name="Normal 4 4 2 2 4 4" xfId="11111" xr:uid="{00000000-0005-0000-0000-000034080000}"/>
    <cellStyle name="Normal 4 4 2 2 5" xfId="3338" xr:uid="{00000000-0005-0000-0000-000022060000}"/>
    <cellStyle name="Normal 4 4 2 2 5 2" xfId="8709" xr:uid="{00000000-0005-0000-0000-000035080000}"/>
    <cellStyle name="Normal 4 4 2 2 5 3" xfId="11106" xr:uid="{00000000-0005-0000-0000-000035080000}"/>
    <cellStyle name="Normal 4 4 2 2 6" xfId="2557" xr:uid="{00000000-0005-0000-0000-000023060000}"/>
    <cellStyle name="Normal 4 4 2 2 6 2" xfId="7755" xr:uid="{00000000-0005-0000-0000-000036080000}"/>
    <cellStyle name="Normal 4 4 2 2 6 3" xfId="10152" xr:uid="{00000000-0005-0000-0000-000036080000}"/>
    <cellStyle name="Normal 4 4 2 2 7" xfId="2251" xr:uid="{00000000-0005-0000-0000-000019060000}"/>
    <cellStyle name="Normal 4 4 2 2 8" xfId="3802" xr:uid="{00000000-0005-0000-0000-000041020000}"/>
    <cellStyle name="Normal 4 4 2 2 9" xfId="5435" xr:uid="{00000000-0005-0000-0000-000079030000}"/>
    <cellStyle name="Normal 4 4 2 3" xfId="989" xr:uid="{00000000-0005-0000-0000-00008F050000}"/>
    <cellStyle name="Normal 4 4 2 3 10" xfId="6847" xr:uid="{00000000-0005-0000-0000-000037080000}"/>
    <cellStyle name="Normal 4 4 2 3 11" xfId="9268" xr:uid="{00000000-0005-0000-0000-000037080000}"/>
    <cellStyle name="Normal 4 4 2 3 2" xfId="2788" xr:uid="{00000000-0005-0000-0000-000025060000}"/>
    <cellStyle name="Normal 4 4 2 3 2 2" xfId="3345" xr:uid="{00000000-0005-0000-0000-000026060000}"/>
    <cellStyle name="Normal 4 4 2 3 2 2 2" xfId="8716" xr:uid="{00000000-0005-0000-0000-000039080000}"/>
    <cellStyle name="Normal 4 4 2 3 2 2 3" xfId="11113" xr:uid="{00000000-0005-0000-0000-000039080000}"/>
    <cellStyle name="Normal 4 4 2 3 2 3" xfId="4341" xr:uid="{00000000-0005-0000-0000-000025060000}"/>
    <cellStyle name="Normal 4 4 2 3 2 3 2" xfId="8055" xr:uid="{00000000-0005-0000-0000-00003A080000}"/>
    <cellStyle name="Normal 4 4 2 3 2 3 3" xfId="10452" xr:uid="{00000000-0005-0000-0000-00003A080000}"/>
    <cellStyle name="Normal 4 4 2 3 2 4" xfId="5939" xr:uid="{00000000-0005-0000-0000-000080030000}"/>
    <cellStyle name="Normal 4 4 2 3 2 5" xfId="7378" xr:uid="{00000000-0005-0000-0000-000038080000}"/>
    <cellStyle name="Normal 4 4 2 3 2 6" xfId="9782" xr:uid="{00000000-0005-0000-0000-000038080000}"/>
    <cellStyle name="Normal 4 4 2 3 3" xfId="3346" xr:uid="{00000000-0005-0000-0000-000027060000}"/>
    <cellStyle name="Normal 4 4 2 3 3 2" xfId="4533" xr:uid="{00000000-0005-0000-0000-000027060000}"/>
    <cellStyle name="Normal 4 4 2 3 3 3" xfId="5707" xr:uid="{00000000-0005-0000-0000-000081030000}"/>
    <cellStyle name="Normal 4 4 2 3 3 4" xfId="8717" xr:uid="{00000000-0005-0000-0000-00003B080000}"/>
    <cellStyle name="Normal 4 4 2 3 3 5" xfId="11114" xr:uid="{00000000-0005-0000-0000-00003B080000}"/>
    <cellStyle name="Normal 4 4 2 3 4" xfId="3344" xr:uid="{00000000-0005-0000-0000-000028060000}"/>
    <cellStyle name="Normal 4 4 2 3 4 2" xfId="8715" xr:uid="{00000000-0005-0000-0000-00003C080000}"/>
    <cellStyle name="Normal 4 4 2 3 4 3" xfId="11112" xr:uid="{00000000-0005-0000-0000-00003C080000}"/>
    <cellStyle name="Normal 4 4 2 3 5" xfId="2600" xr:uid="{00000000-0005-0000-0000-000029060000}"/>
    <cellStyle name="Normal 4 4 2 3 5 2" xfId="7798" xr:uid="{00000000-0005-0000-0000-00003D080000}"/>
    <cellStyle name="Normal 4 4 2 3 5 3" xfId="10195" xr:uid="{00000000-0005-0000-0000-00003D080000}"/>
    <cellStyle name="Normal 4 4 2 3 6" xfId="2366" xr:uid="{00000000-0005-0000-0000-000024060000}"/>
    <cellStyle name="Normal 4 4 2 3 7" xfId="3901" xr:uid="{00000000-0005-0000-0000-000042020000}"/>
    <cellStyle name="Normal 4 4 2 3 8" xfId="5476" xr:uid="{00000000-0005-0000-0000-00007F030000}"/>
    <cellStyle name="Normal 4 4 2 3 9" xfId="5191" xr:uid="{00000000-0005-0000-0000-000004030000}"/>
    <cellStyle name="Normal 4 4 2 4" xfId="990" xr:uid="{00000000-0005-0000-0000-000090050000}"/>
    <cellStyle name="Normal 4 4 2 4 2" xfId="3347" xr:uid="{00000000-0005-0000-0000-00002B060000}"/>
    <cellStyle name="Normal 4 4 2 4 2 2" xfId="8718" xr:uid="{00000000-0005-0000-0000-00003F080000}"/>
    <cellStyle name="Normal 4 4 2 4 2 3" xfId="11115" xr:uid="{00000000-0005-0000-0000-00003F080000}"/>
    <cellStyle name="Normal 4 4 2 4 3" xfId="2785" xr:uid="{00000000-0005-0000-0000-00002C060000}"/>
    <cellStyle name="Normal 4 4 2 4 3 2" xfId="8052" xr:uid="{00000000-0005-0000-0000-000040080000}"/>
    <cellStyle name="Normal 4 4 2 4 3 3" xfId="10449" xr:uid="{00000000-0005-0000-0000-000040080000}"/>
    <cellStyle name="Normal 4 4 2 4 4" xfId="4194" xr:uid="{00000000-0005-0000-0000-00002A060000}"/>
    <cellStyle name="Normal 4 4 2 4 5" xfId="5937" xr:uid="{00000000-0005-0000-0000-000082030000}"/>
    <cellStyle name="Normal 4 4 2 4 6" xfId="7379" xr:uid="{00000000-0005-0000-0000-00003E080000}"/>
    <cellStyle name="Normal 4 4 2 4 7" xfId="9783" xr:uid="{00000000-0005-0000-0000-00003E080000}"/>
    <cellStyle name="Normal 4 4 2 5" xfId="3348" xr:uid="{00000000-0005-0000-0000-00002D060000}"/>
    <cellStyle name="Normal 4 4 2 5 2" xfId="4534" xr:uid="{00000000-0005-0000-0000-00002D060000}"/>
    <cellStyle name="Normal 4 4 2 5 2 2" xfId="8719" xr:uid="{00000000-0005-0000-0000-000042080000}"/>
    <cellStyle name="Normal 4 4 2 5 2 3" xfId="11116" xr:uid="{00000000-0005-0000-0000-000042080000}"/>
    <cellStyle name="Normal 4 4 2 5 3" xfId="5621" xr:uid="{00000000-0005-0000-0000-000083030000}"/>
    <cellStyle name="Normal 4 4 2 5 4" xfId="7375" xr:uid="{00000000-0005-0000-0000-000041080000}"/>
    <cellStyle name="Normal 4 4 2 5 5" xfId="9779" xr:uid="{00000000-0005-0000-0000-000041080000}"/>
    <cellStyle name="Normal 4 4 2 6" xfId="2937" xr:uid="{00000000-0005-0000-0000-00002E060000}"/>
    <cellStyle name="Normal 4 4 2 6 2" xfId="8266" xr:uid="{00000000-0005-0000-0000-000043080000}"/>
    <cellStyle name="Normal 4 4 2 6 3" xfId="10663" xr:uid="{00000000-0005-0000-0000-000043080000}"/>
    <cellStyle name="Normal 4 4 2 7" xfId="2497" xr:uid="{00000000-0005-0000-0000-00002F060000}"/>
    <cellStyle name="Normal 4 4 2 7 2" xfId="7695" xr:uid="{00000000-0005-0000-0000-000044080000}"/>
    <cellStyle name="Normal 4 4 2 7 3" xfId="10092" xr:uid="{00000000-0005-0000-0000-000044080000}"/>
    <cellStyle name="Normal 4 4 2 8" xfId="2191" xr:uid="{00000000-0005-0000-0000-000018060000}"/>
    <cellStyle name="Normal 4 4 2 9" xfId="3987" xr:uid="{00000000-0005-0000-0000-000040020000}"/>
    <cellStyle name="Normal 4 4 3" xfId="991" xr:uid="{00000000-0005-0000-0000-000091050000}"/>
    <cellStyle name="Normal 4 4 3 10" xfId="5352" xr:uid="{00000000-0005-0000-0000-000084030000}"/>
    <cellStyle name="Normal 4 4 3 11" xfId="4808" xr:uid="{00000000-0005-0000-0000-000005030000}"/>
    <cellStyle name="Normal 4 4 3 12" xfId="6554" xr:uid="{00000000-0005-0000-0000-000045080000}"/>
    <cellStyle name="Normal 4 4 3 13" xfId="8975" xr:uid="{00000000-0005-0000-0000-000045080000}"/>
    <cellStyle name="Normal 4 4 3 2" xfId="992" xr:uid="{00000000-0005-0000-0000-000092050000}"/>
    <cellStyle name="Normal 4 4 3 2 10" xfId="6687" xr:uid="{00000000-0005-0000-0000-000046080000}"/>
    <cellStyle name="Normal 4 4 3 2 11" xfId="9108" xr:uid="{00000000-0005-0000-0000-000046080000}"/>
    <cellStyle name="Normal 4 4 3 2 2" xfId="993" xr:uid="{00000000-0005-0000-0000-000093050000}"/>
    <cellStyle name="Normal 4 4 3 2 2 2" xfId="3350" xr:uid="{00000000-0005-0000-0000-000033060000}"/>
    <cellStyle name="Normal 4 4 3 2 2 2 2" xfId="8721" xr:uid="{00000000-0005-0000-0000-000048080000}"/>
    <cellStyle name="Normal 4 4 3 2 2 2 3" xfId="11118" xr:uid="{00000000-0005-0000-0000-000048080000}"/>
    <cellStyle name="Normal 4 4 3 2 2 3" xfId="4343" xr:uid="{00000000-0005-0000-0000-000032060000}"/>
    <cellStyle name="Normal 4 4 3 2 2 3 2" xfId="8057" xr:uid="{00000000-0005-0000-0000-000049080000}"/>
    <cellStyle name="Normal 4 4 3 2 2 3 3" xfId="10454" xr:uid="{00000000-0005-0000-0000-000049080000}"/>
    <cellStyle name="Normal 4 4 3 2 2 4" xfId="5941" xr:uid="{00000000-0005-0000-0000-000086030000}"/>
    <cellStyle name="Normal 4 4 3 2 2 5" xfId="5194" xr:uid="{00000000-0005-0000-0000-000007030000}"/>
    <cellStyle name="Normal 4 4 3 2 2 6" xfId="7382" xr:uid="{00000000-0005-0000-0000-000047080000}"/>
    <cellStyle name="Normal 4 4 3 2 2 7" xfId="9786" xr:uid="{00000000-0005-0000-0000-000047080000}"/>
    <cellStyle name="Normal 4 4 3 2 3" xfId="3351" xr:uid="{00000000-0005-0000-0000-000034060000}"/>
    <cellStyle name="Normal 4 4 3 2 3 2" xfId="4535" xr:uid="{00000000-0005-0000-0000-000034060000}"/>
    <cellStyle name="Normal 4 4 3 2 3 2 2" xfId="8722" xr:uid="{00000000-0005-0000-0000-00004B080000}"/>
    <cellStyle name="Normal 4 4 3 2 3 2 3" xfId="11119" xr:uid="{00000000-0005-0000-0000-00004B080000}"/>
    <cellStyle name="Normal 4 4 3 2 3 3" xfId="5657" xr:uid="{00000000-0005-0000-0000-000087030000}"/>
    <cellStyle name="Normal 4 4 3 2 3 4" xfId="7381" xr:uid="{00000000-0005-0000-0000-00004A080000}"/>
    <cellStyle name="Normal 4 4 3 2 3 5" xfId="9785" xr:uid="{00000000-0005-0000-0000-00004A080000}"/>
    <cellStyle name="Normal 4 4 3 2 4" xfId="3349" xr:uid="{00000000-0005-0000-0000-000035060000}"/>
    <cellStyle name="Normal 4 4 3 2 4 2" xfId="8720" xr:uid="{00000000-0005-0000-0000-00004C080000}"/>
    <cellStyle name="Normal 4 4 3 2 4 3" xfId="11117" xr:uid="{00000000-0005-0000-0000-00004C080000}"/>
    <cellStyle name="Normal 4 4 3 2 5" xfId="2534" xr:uid="{00000000-0005-0000-0000-000036060000}"/>
    <cellStyle name="Normal 4 4 3 2 5 2" xfId="7732" xr:uid="{00000000-0005-0000-0000-00004D080000}"/>
    <cellStyle name="Normal 4 4 3 2 5 3" xfId="10129" xr:uid="{00000000-0005-0000-0000-00004D080000}"/>
    <cellStyle name="Normal 4 4 3 2 6" xfId="2367" xr:uid="{00000000-0005-0000-0000-000031060000}"/>
    <cellStyle name="Normal 4 4 3 2 7" xfId="3902" xr:uid="{00000000-0005-0000-0000-000044020000}"/>
    <cellStyle name="Normal 4 4 3 2 8" xfId="5412" xr:uid="{00000000-0005-0000-0000-000085030000}"/>
    <cellStyle name="Normal 4 4 3 2 9" xfId="4941" xr:uid="{00000000-0005-0000-0000-000006030000}"/>
    <cellStyle name="Normal 4 4 3 3" xfId="994" xr:uid="{00000000-0005-0000-0000-000094050000}"/>
    <cellStyle name="Normal 4 4 3 3 10" xfId="9269" xr:uid="{00000000-0005-0000-0000-00004E080000}"/>
    <cellStyle name="Normal 4 4 3 3 2" xfId="2789" xr:uid="{00000000-0005-0000-0000-000038060000}"/>
    <cellStyle name="Normal 4 4 3 3 2 2" xfId="3353" xr:uid="{00000000-0005-0000-0000-000039060000}"/>
    <cellStyle name="Normal 4 4 3 3 2 2 2" xfId="8724" xr:uid="{00000000-0005-0000-0000-000050080000}"/>
    <cellStyle name="Normal 4 4 3 3 2 2 3" xfId="11121" xr:uid="{00000000-0005-0000-0000-000050080000}"/>
    <cellStyle name="Normal 4 4 3 3 2 3" xfId="4344" xr:uid="{00000000-0005-0000-0000-000038060000}"/>
    <cellStyle name="Normal 4 4 3 3 2 3 2" xfId="8058" xr:uid="{00000000-0005-0000-0000-000051080000}"/>
    <cellStyle name="Normal 4 4 3 3 2 3 3" xfId="10455" xr:uid="{00000000-0005-0000-0000-000051080000}"/>
    <cellStyle name="Normal 4 4 3 3 2 4" xfId="5942" xr:uid="{00000000-0005-0000-0000-000089030000}"/>
    <cellStyle name="Normal 4 4 3 3 2 5" xfId="7383" xr:uid="{00000000-0005-0000-0000-00004F080000}"/>
    <cellStyle name="Normal 4 4 3 3 2 6" xfId="9787" xr:uid="{00000000-0005-0000-0000-00004F080000}"/>
    <cellStyle name="Normal 4 4 3 3 3" xfId="3354" xr:uid="{00000000-0005-0000-0000-00003A060000}"/>
    <cellStyle name="Normal 4 4 3 3 3 2" xfId="4536" xr:uid="{00000000-0005-0000-0000-00003A060000}"/>
    <cellStyle name="Normal 4 4 3 3 3 3" xfId="5742" xr:uid="{00000000-0005-0000-0000-00008A030000}"/>
    <cellStyle name="Normal 4 4 3 3 3 4" xfId="8725" xr:uid="{00000000-0005-0000-0000-000052080000}"/>
    <cellStyle name="Normal 4 4 3 3 3 5" xfId="11122" xr:uid="{00000000-0005-0000-0000-000052080000}"/>
    <cellStyle name="Normal 4 4 3 3 4" xfId="3352" xr:uid="{00000000-0005-0000-0000-00003B060000}"/>
    <cellStyle name="Normal 4 4 3 3 4 2" xfId="8723" xr:uid="{00000000-0005-0000-0000-000053080000}"/>
    <cellStyle name="Normal 4 4 3 3 4 3" xfId="11120" xr:uid="{00000000-0005-0000-0000-000053080000}"/>
    <cellStyle name="Normal 4 4 3 3 5" xfId="2636" xr:uid="{00000000-0005-0000-0000-00003C060000}"/>
    <cellStyle name="Normal 4 4 3 3 5 2" xfId="7835" xr:uid="{00000000-0005-0000-0000-000054080000}"/>
    <cellStyle name="Normal 4 4 3 3 5 3" xfId="10232" xr:uid="{00000000-0005-0000-0000-000054080000}"/>
    <cellStyle name="Normal 4 4 3 3 6" xfId="4195" xr:uid="{00000000-0005-0000-0000-000037060000}"/>
    <cellStyle name="Normal 4 4 3 3 7" xfId="5513" xr:uid="{00000000-0005-0000-0000-000088030000}"/>
    <cellStyle name="Normal 4 4 3 3 8" xfId="5193" xr:uid="{00000000-0005-0000-0000-000008030000}"/>
    <cellStyle name="Normal 4 4 3 3 9" xfId="6848" xr:uid="{00000000-0005-0000-0000-00004E080000}"/>
    <cellStyle name="Normal 4 4 3 4" xfId="995" xr:uid="{00000000-0005-0000-0000-000095050000}"/>
    <cellStyle name="Normal 4 4 3 4 2" xfId="3355" xr:uid="{00000000-0005-0000-0000-00003E060000}"/>
    <cellStyle name="Normal 4 4 3 4 2 2" xfId="8726" xr:uid="{00000000-0005-0000-0000-000056080000}"/>
    <cellStyle name="Normal 4 4 3 4 2 3" xfId="11123" xr:uid="{00000000-0005-0000-0000-000056080000}"/>
    <cellStyle name="Normal 4 4 3 4 3" xfId="4342" xr:uid="{00000000-0005-0000-0000-00003D060000}"/>
    <cellStyle name="Normal 4 4 3 4 3 2" xfId="8056" xr:uid="{00000000-0005-0000-0000-000057080000}"/>
    <cellStyle name="Normal 4 4 3 4 3 3" xfId="10453" xr:uid="{00000000-0005-0000-0000-000057080000}"/>
    <cellStyle name="Normal 4 4 3 4 4" xfId="5940" xr:uid="{00000000-0005-0000-0000-00008B030000}"/>
    <cellStyle name="Normal 4 4 3 4 5" xfId="7384" xr:uid="{00000000-0005-0000-0000-000055080000}"/>
    <cellStyle name="Normal 4 4 3 4 6" xfId="9788" xr:uid="{00000000-0005-0000-0000-000055080000}"/>
    <cellStyle name="Normal 4 4 3 5" xfId="3356" xr:uid="{00000000-0005-0000-0000-00003F060000}"/>
    <cellStyle name="Normal 4 4 3 5 2" xfId="4537" xr:uid="{00000000-0005-0000-0000-00003F060000}"/>
    <cellStyle name="Normal 4 4 3 5 2 2" xfId="8727" xr:uid="{00000000-0005-0000-0000-000059080000}"/>
    <cellStyle name="Normal 4 4 3 5 2 3" xfId="11124" xr:uid="{00000000-0005-0000-0000-000059080000}"/>
    <cellStyle name="Normal 4 4 3 5 3" xfId="5598" xr:uid="{00000000-0005-0000-0000-00008C030000}"/>
    <cellStyle name="Normal 4 4 3 5 4" xfId="7380" xr:uid="{00000000-0005-0000-0000-000058080000}"/>
    <cellStyle name="Normal 4 4 3 5 5" xfId="9784" xr:uid="{00000000-0005-0000-0000-000058080000}"/>
    <cellStyle name="Normal 4 4 3 6" xfId="2938" xr:uid="{00000000-0005-0000-0000-000040060000}"/>
    <cellStyle name="Normal 4 4 3 6 2" xfId="8267" xr:uid="{00000000-0005-0000-0000-00005A080000}"/>
    <cellStyle name="Normal 4 4 3 6 3" xfId="10664" xr:uid="{00000000-0005-0000-0000-00005A080000}"/>
    <cellStyle name="Normal 4 4 3 7" xfId="2474" xr:uid="{00000000-0005-0000-0000-000041060000}"/>
    <cellStyle name="Normal 4 4 3 7 2" xfId="7672" xr:uid="{00000000-0005-0000-0000-00005B080000}"/>
    <cellStyle name="Normal 4 4 3 7 3" xfId="10069" xr:uid="{00000000-0005-0000-0000-00005B080000}"/>
    <cellStyle name="Normal 4 4 3 8" xfId="2228" xr:uid="{00000000-0005-0000-0000-000030060000}"/>
    <cellStyle name="Normal 4 4 3 9" xfId="3988" xr:uid="{00000000-0005-0000-0000-000043020000}"/>
    <cellStyle name="Normal 4 4 4" xfId="996" xr:uid="{00000000-0005-0000-0000-000096050000}"/>
    <cellStyle name="Normal 4 4 4 10" xfId="4788" xr:uid="{00000000-0005-0000-0000-000009030000}"/>
    <cellStyle name="Normal 4 4 4 11" xfId="6688" xr:uid="{00000000-0005-0000-0000-00005C080000}"/>
    <cellStyle name="Normal 4 4 4 12" xfId="9109" xr:uid="{00000000-0005-0000-0000-00005C080000}"/>
    <cellStyle name="Normal 4 4 4 2" xfId="997" xr:uid="{00000000-0005-0000-0000-000097050000}"/>
    <cellStyle name="Normal 4 4 4 2 10" xfId="6849" xr:uid="{00000000-0005-0000-0000-00005D080000}"/>
    <cellStyle name="Normal 4 4 4 2 11" xfId="9270" xr:uid="{00000000-0005-0000-0000-00005D080000}"/>
    <cellStyle name="Normal 4 4 4 2 2" xfId="998" xr:uid="{00000000-0005-0000-0000-000098050000}"/>
    <cellStyle name="Normal 4 4 4 2 2 2" xfId="3358" xr:uid="{00000000-0005-0000-0000-000045060000}"/>
    <cellStyle name="Normal 4 4 4 2 2 2 2" xfId="8729" xr:uid="{00000000-0005-0000-0000-00005F080000}"/>
    <cellStyle name="Normal 4 4 4 2 2 2 3" xfId="11126" xr:uid="{00000000-0005-0000-0000-00005F080000}"/>
    <cellStyle name="Normal 4 4 4 2 2 3" xfId="4345" xr:uid="{00000000-0005-0000-0000-000044060000}"/>
    <cellStyle name="Normal 4 4 4 2 2 3 2" xfId="8060" xr:uid="{00000000-0005-0000-0000-000060080000}"/>
    <cellStyle name="Normal 4 4 4 2 2 3 3" xfId="10457" xr:uid="{00000000-0005-0000-0000-000060080000}"/>
    <cellStyle name="Normal 4 4 4 2 2 4" xfId="5944" xr:uid="{00000000-0005-0000-0000-00008F030000}"/>
    <cellStyle name="Normal 4 4 4 2 2 5" xfId="5196" xr:uid="{00000000-0005-0000-0000-00000B030000}"/>
    <cellStyle name="Normal 4 4 4 2 2 6" xfId="7387" xr:uid="{00000000-0005-0000-0000-00005E080000}"/>
    <cellStyle name="Normal 4 4 4 2 2 7" xfId="9791" xr:uid="{00000000-0005-0000-0000-00005E080000}"/>
    <cellStyle name="Normal 4 4 4 2 3" xfId="3359" xr:uid="{00000000-0005-0000-0000-000046060000}"/>
    <cellStyle name="Normal 4 4 4 2 3 2" xfId="4538" xr:uid="{00000000-0005-0000-0000-000046060000}"/>
    <cellStyle name="Normal 4 4 4 2 3 2 2" xfId="8730" xr:uid="{00000000-0005-0000-0000-000062080000}"/>
    <cellStyle name="Normal 4 4 4 2 3 2 3" xfId="11127" xr:uid="{00000000-0005-0000-0000-000062080000}"/>
    <cellStyle name="Normal 4 4 4 2 3 3" xfId="5723" xr:uid="{00000000-0005-0000-0000-000090030000}"/>
    <cellStyle name="Normal 4 4 4 2 3 4" xfId="7386" xr:uid="{00000000-0005-0000-0000-000061080000}"/>
    <cellStyle name="Normal 4 4 4 2 3 5" xfId="9790" xr:uid="{00000000-0005-0000-0000-000061080000}"/>
    <cellStyle name="Normal 4 4 4 2 4" xfId="3357" xr:uid="{00000000-0005-0000-0000-000047060000}"/>
    <cellStyle name="Normal 4 4 4 2 4 2" xfId="8728" xr:uid="{00000000-0005-0000-0000-000063080000}"/>
    <cellStyle name="Normal 4 4 4 2 4 3" xfId="11125" xr:uid="{00000000-0005-0000-0000-000063080000}"/>
    <cellStyle name="Normal 4 4 4 2 5" xfId="2617" xr:uid="{00000000-0005-0000-0000-000048060000}"/>
    <cellStyle name="Normal 4 4 4 2 5 2" xfId="7815" xr:uid="{00000000-0005-0000-0000-000064080000}"/>
    <cellStyle name="Normal 4 4 4 2 5 3" xfId="10212" xr:uid="{00000000-0005-0000-0000-000064080000}"/>
    <cellStyle name="Normal 4 4 4 2 6" xfId="2368" xr:uid="{00000000-0005-0000-0000-000043060000}"/>
    <cellStyle name="Normal 4 4 4 2 7" xfId="3903" xr:uid="{00000000-0005-0000-0000-000046020000}"/>
    <cellStyle name="Normal 4 4 4 2 8" xfId="5493" xr:uid="{00000000-0005-0000-0000-00008E030000}"/>
    <cellStyle name="Normal 4 4 4 2 9" xfId="4942" xr:uid="{00000000-0005-0000-0000-00000A030000}"/>
    <cellStyle name="Normal 4 4 4 3" xfId="999" xr:uid="{00000000-0005-0000-0000-000099050000}"/>
    <cellStyle name="Normal 4 4 4 3 2" xfId="3360" xr:uid="{00000000-0005-0000-0000-00004A060000}"/>
    <cellStyle name="Normal 4 4 4 3 2 2" xfId="8731" xr:uid="{00000000-0005-0000-0000-000066080000}"/>
    <cellStyle name="Normal 4 4 4 3 2 3" xfId="11128" xr:uid="{00000000-0005-0000-0000-000066080000}"/>
    <cellStyle name="Normal 4 4 4 3 3" xfId="2790" xr:uid="{00000000-0005-0000-0000-00004B060000}"/>
    <cellStyle name="Normal 4 4 4 3 3 2" xfId="8059" xr:uid="{00000000-0005-0000-0000-000067080000}"/>
    <cellStyle name="Normal 4 4 4 3 3 3" xfId="10456" xr:uid="{00000000-0005-0000-0000-000067080000}"/>
    <cellStyle name="Normal 4 4 4 3 4" xfId="4196" xr:uid="{00000000-0005-0000-0000-000049060000}"/>
    <cellStyle name="Normal 4 4 4 3 5" xfId="5943" xr:uid="{00000000-0005-0000-0000-000091030000}"/>
    <cellStyle name="Normal 4 4 4 3 6" xfId="5195" xr:uid="{00000000-0005-0000-0000-00000C030000}"/>
    <cellStyle name="Normal 4 4 4 3 7" xfId="7388" xr:uid="{00000000-0005-0000-0000-000065080000}"/>
    <cellStyle name="Normal 4 4 4 3 8" xfId="9792" xr:uid="{00000000-0005-0000-0000-000065080000}"/>
    <cellStyle name="Normal 4 4 4 4" xfId="1000" xr:uid="{00000000-0005-0000-0000-00009A050000}"/>
    <cellStyle name="Normal 4 4 4 4 2" xfId="4539" xr:uid="{00000000-0005-0000-0000-00004C060000}"/>
    <cellStyle name="Normal 4 4 4 4 2 2" xfId="8732" xr:uid="{00000000-0005-0000-0000-000069080000}"/>
    <cellStyle name="Normal 4 4 4 4 2 3" xfId="11129" xr:uid="{00000000-0005-0000-0000-000069080000}"/>
    <cellStyle name="Normal 4 4 4 4 3" xfId="5578" xr:uid="{00000000-0005-0000-0000-000092030000}"/>
    <cellStyle name="Normal 4 4 4 4 4" xfId="7389" xr:uid="{00000000-0005-0000-0000-000068080000}"/>
    <cellStyle name="Normal 4 4 4 4 5" xfId="9793" xr:uid="{00000000-0005-0000-0000-000068080000}"/>
    <cellStyle name="Normal 4 4 4 5" xfId="2939" xr:uid="{00000000-0005-0000-0000-00004D060000}"/>
    <cellStyle name="Normal 4 4 4 5 2" xfId="8268" xr:uid="{00000000-0005-0000-0000-00006B080000}"/>
    <cellStyle name="Normal 4 4 4 5 2 2" xfId="10665" xr:uid="{00000000-0005-0000-0000-00006B080000}"/>
    <cellStyle name="Normal 4 4 4 5 3" xfId="7385" xr:uid="{00000000-0005-0000-0000-00006A080000}"/>
    <cellStyle name="Normal 4 4 4 5 4" xfId="9789" xr:uid="{00000000-0005-0000-0000-00006A080000}"/>
    <cellStyle name="Normal 4 4 4 6" xfId="2454" xr:uid="{00000000-0005-0000-0000-00004E060000}"/>
    <cellStyle name="Normal 4 4 4 6 2" xfId="7652" xr:uid="{00000000-0005-0000-0000-00006C080000}"/>
    <cellStyle name="Normal 4 4 4 6 3" xfId="10049" xr:uid="{00000000-0005-0000-0000-00006C080000}"/>
    <cellStyle name="Normal 4 4 4 7" xfId="2208" xr:uid="{00000000-0005-0000-0000-000042060000}"/>
    <cellStyle name="Normal 4 4 4 8" xfId="3989" xr:uid="{00000000-0005-0000-0000-000045020000}"/>
    <cellStyle name="Normal 4 4 4 9" xfId="5332" xr:uid="{00000000-0005-0000-0000-00008D030000}"/>
    <cellStyle name="Normal 4 4 5" xfId="1001" xr:uid="{00000000-0005-0000-0000-00009B050000}"/>
    <cellStyle name="Normal 4 4 5 10" xfId="6689" xr:uid="{00000000-0005-0000-0000-00006D080000}"/>
    <cellStyle name="Normal 4 4 5 11" xfId="9110" xr:uid="{00000000-0005-0000-0000-00006D080000}"/>
    <cellStyle name="Normal 4 4 5 2" xfId="1002" xr:uid="{00000000-0005-0000-0000-00009C050000}"/>
    <cellStyle name="Normal 4 4 5 2 2" xfId="1003" xr:uid="{00000000-0005-0000-0000-00009D050000}"/>
    <cellStyle name="Normal 4 4 5 2 2 2" xfId="6409" xr:uid="{00000000-0005-0000-0000-000051060000}"/>
    <cellStyle name="Normal 4 4 5 2 2 2 2" xfId="8733" xr:uid="{00000000-0005-0000-0000-000070080000}"/>
    <cellStyle name="Normal 4 4 5 2 2 2 3" xfId="11130" xr:uid="{00000000-0005-0000-0000-000070080000}"/>
    <cellStyle name="Normal 4 4 5 2 2 3" xfId="7392" xr:uid="{00000000-0005-0000-0000-00006F080000}"/>
    <cellStyle name="Normal 4 4 5 2 2 4" xfId="9796" xr:uid="{00000000-0005-0000-0000-00006F080000}"/>
    <cellStyle name="Normal 4 4 5 2 3" xfId="2791" xr:uid="{00000000-0005-0000-0000-000052060000}"/>
    <cellStyle name="Normal 4 4 5 2 3 2" xfId="6220" xr:uid="{00000000-0005-0000-0000-000052060000}"/>
    <cellStyle name="Normal 4 4 5 2 3 3" xfId="7391" xr:uid="{00000000-0005-0000-0000-000071080000}"/>
    <cellStyle name="Normal 4 4 5 2 3 4" xfId="9795" xr:uid="{00000000-0005-0000-0000-000071080000}"/>
    <cellStyle name="Normal 4 4 5 2 4" xfId="4197" xr:uid="{00000000-0005-0000-0000-000050060000}"/>
    <cellStyle name="Normal 4 4 5 2 4 2" xfId="8061" xr:uid="{00000000-0005-0000-0000-000072080000}"/>
    <cellStyle name="Normal 4 4 5 2 4 3" xfId="10458" xr:uid="{00000000-0005-0000-0000-000072080000}"/>
    <cellStyle name="Normal 4 4 5 2 5" xfId="5945" xr:uid="{00000000-0005-0000-0000-000094030000}"/>
    <cellStyle name="Normal 4 4 5 2 6" xfId="5197" xr:uid="{00000000-0005-0000-0000-00000E030000}"/>
    <cellStyle name="Normal 4 4 5 2 7" xfId="6850" xr:uid="{00000000-0005-0000-0000-00006E080000}"/>
    <cellStyle name="Normal 4 4 5 2 8" xfId="9271" xr:uid="{00000000-0005-0000-0000-00006E080000}"/>
    <cellStyle name="Normal 4 4 5 3" xfId="1004" xr:uid="{00000000-0005-0000-0000-00009E050000}"/>
    <cellStyle name="Normal 4 4 5 3 2" xfId="4540" xr:uid="{00000000-0005-0000-0000-000053060000}"/>
    <cellStyle name="Normal 4 4 5 3 2 2" xfId="8734" xr:uid="{00000000-0005-0000-0000-000074080000}"/>
    <cellStyle name="Normal 4 4 5 3 2 3" xfId="11131" xr:uid="{00000000-0005-0000-0000-000074080000}"/>
    <cellStyle name="Normal 4 4 5 3 3" xfId="5638" xr:uid="{00000000-0005-0000-0000-000095030000}"/>
    <cellStyle name="Normal 4 4 5 3 4" xfId="7393" xr:uid="{00000000-0005-0000-0000-000073080000}"/>
    <cellStyle name="Normal 4 4 5 3 5" xfId="9797" xr:uid="{00000000-0005-0000-0000-000073080000}"/>
    <cellStyle name="Normal 4 4 5 4" xfId="1005" xr:uid="{00000000-0005-0000-0000-00009F050000}"/>
    <cellStyle name="Normal 4 4 5 4 2" xfId="6320" xr:uid="{00000000-0005-0000-0000-000054060000}"/>
    <cellStyle name="Normal 4 4 5 4 2 2" xfId="8269" xr:uid="{00000000-0005-0000-0000-000076080000}"/>
    <cellStyle name="Normal 4 4 5 4 2 3" xfId="10666" xr:uid="{00000000-0005-0000-0000-000076080000}"/>
    <cellStyle name="Normal 4 4 5 4 3" xfId="7394" xr:uid="{00000000-0005-0000-0000-000075080000}"/>
    <cellStyle name="Normal 4 4 5 4 4" xfId="9798" xr:uid="{00000000-0005-0000-0000-000075080000}"/>
    <cellStyle name="Normal 4 4 5 5" xfId="2514" xr:uid="{00000000-0005-0000-0000-000055060000}"/>
    <cellStyle name="Normal 4 4 5 5 2" xfId="7390" xr:uid="{00000000-0005-0000-0000-000077080000}"/>
    <cellStyle name="Normal 4 4 5 5 3" xfId="9794" xr:uid="{00000000-0005-0000-0000-000077080000}"/>
    <cellStyle name="Normal 4 4 5 6" xfId="2369" xr:uid="{00000000-0005-0000-0000-00004F060000}"/>
    <cellStyle name="Normal 4 4 5 6 2" xfId="7712" xr:uid="{00000000-0005-0000-0000-000078080000}"/>
    <cellStyle name="Normal 4 4 5 6 3" xfId="10109" xr:uid="{00000000-0005-0000-0000-000078080000}"/>
    <cellStyle name="Normal 4 4 5 7" xfId="3990" xr:uid="{00000000-0005-0000-0000-000047020000}"/>
    <cellStyle name="Normal 4 4 5 8" xfId="5392" xr:uid="{00000000-0005-0000-0000-000093030000}"/>
    <cellStyle name="Normal 4 4 5 9" xfId="4943" xr:uid="{00000000-0005-0000-0000-00000D030000}"/>
    <cellStyle name="Normal 4 4 6" xfId="1006" xr:uid="{00000000-0005-0000-0000-0000A0050000}"/>
    <cellStyle name="Normal 4 4 6 10" xfId="6690" xr:uid="{00000000-0005-0000-0000-000079080000}"/>
    <cellStyle name="Normal 4 4 6 11" xfId="9111" xr:uid="{00000000-0005-0000-0000-000079080000}"/>
    <cellStyle name="Normal 4 4 6 2" xfId="1007" xr:uid="{00000000-0005-0000-0000-0000A1050000}"/>
    <cellStyle name="Normal 4 4 6 2 2" xfId="1008" xr:uid="{00000000-0005-0000-0000-0000A2050000}"/>
    <cellStyle name="Normal 4 4 6 2 2 2" xfId="6410" xr:uid="{00000000-0005-0000-0000-000058060000}"/>
    <cellStyle name="Normal 4 4 6 2 2 2 2" xfId="8735" xr:uid="{00000000-0005-0000-0000-00007C080000}"/>
    <cellStyle name="Normal 4 4 6 2 2 2 3" xfId="11132" xr:uid="{00000000-0005-0000-0000-00007C080000}"/>
    <cellStyle name="Normal 4 4 6 2 2 3" xfId="7397" xr:uid="{00000000-0005-0000-0000-00007B080000}"/>
    <cellStyle name="Normal 4 4 6 2 2 4" xfId="9801" xr:uid="{00000000-0005-0000-0000-00007B080000}"/>
    <cellStyle name="Normal 4 4 6 2 3" xfId="2792" xr:uid="{00000000-0005-0000-0000-000059060000}"/>
    <cellStyle name="Normal 4 4 6 2 3 2" xfId="6221" xr:uid="{00000000-0005-0000-0000-000059060000}"/>
    <cellStyle name="Normal 4 4 6 2 3 3" xfId="7396" xr:uid="{00000000-0005-0000-0000-00007D080000}"/>
    <cellStyle name="Normal 4 4 6 2 3 4" xfId="9800" xr:uid="{00000000-0005-0000-0000-00007D080000}"/>
    <cellStyle name="Normal 4 4 6 2 4" xfId="4198" xr:uid="{00000000-0005-0000-0000-000057060000}"/>
    <cellStyle name="Normal 4 4 6 2 4 2" xfId="8062" xr:uid="{00000000-0005-0000-0000-00007E080000}"/>
    <cellStyle name="Normal 4 4 6 2 4 3" xfId="10459" xr:uid="{00000000-0005-0000-0000-00007E080000}"/>
    <cellStyle name="Normal 4 4 6 2 5" xfId="5946" xr:uid="{00000000-0005-0000-0000-000097030000}"/>
    <cellStyle name="Normal 4 4 6 2 6" xfId="5198" xr:uid="{00000000-0005-0000-0000-000010030000}"/>
    <cellStyle name="Normal 4 4 6 2 7" xfId="6851" xr:uid="{00000000-0005-0000-0000-00007A080000}"/>
    <cellStyle name="Normal 4 4 6 2 8" xfId="9272" xr:uid="{00000000-0005-0000-0000-00007A080000}"/>
    <cellStyle name="Normal 4 4 6 3" xfId="1009" xr:uid="{00000000-0005-0000-0000-0000A3050000}"/>
    <cellStyle name="Normal 4 4 6 3 2" xfId="4541" xr:uid="{00000000-0005-0000-0000-00005A060000}"/>
    <cellStyle name="Normal 4 4 6 3 2 2" xfId="8736" xr:uid="{00000000-0005-0000-0000-000080080000}"/>
    <cellStyle name="Normal 4 4 6 3 2 3" xfId="11133" xr:uid="{00000000-0005-0000-0000-000080080000}"/>
    <cellStyle name="Normal 4 4 6 3 3" xfId="5684" xr:uid="{00000000-0005-0000-0000-000098030000}"/>
    <cellStyle name="Normal 4 4 6 3 4" xfId="7398" xr:uid="{00000000-0005-0000-0000-00007F080000}"/>
    <cellStyle name="Normal 4 4 6 3 5" xfId="9802" xr:uid="{00000000-0005-0000-0000-00007F080000}"/>
    <cellStyle name="Normal 4 4 6 4" xfId="1010" xr:uid="{00000000-0005-0000-0000-0000A4050000}"/>
    <cellStyle name="Normal 4 4 6 4 2" xfId="6321" xr:uid="{00000000-0005-0000-0000-00005B060000}"/>
    <cellStyle name="Normal 4 4 6 4 2 2" xfId="8270" xr:uid="{00000000-0005-0000-0000-000082080000}"/>
    <cellStyle name="Normal 4 4 6 4 2 3" xfId="10667" xr:uid="{00000000-0005-0000-0000-000082080000}"/>
    <cellStyle name="Normal 4 4 6 4 3" xfId="7399" xr:uid="{00000000-0005-0000-0000-000081080000}"/>
    <cellStyle name="Normal 4 4 6 4 4" xfId="9803" xr:uid="{00000000-0005-0000-0000-000081080000}"/>
    <cellStyle name="Normal 4 4 6 5" xfId="2577" xr:uid="{00000000-0005-0000-0000-00005C060000}"/>
    <cellStyle name="Normal 4 4 6 5 2" xfId="7395" xr:uid="{00000000-0005-0000-0000-000083080000}"/>
    <cellStyle name="Normal 4 4 6 5 3" xfId="9799" xr:uid="{00000000-0005-0000-0000-000083080000}"/>
    <cellStyle name="Normal 4 4 6 6" xfId="2370" xr:uid="{00000000-0005-0000-0000-000056060000}"/>
    <cellStyle name="Normal 4 4 6 6 2" xfId="7775" xr:uid="{00000000-0005-0000-0000-000084080000}"/>
    <cellStyle name="Normal 4 4 6 6 3" xfId="10172" xr:uid="{00000000-0005-0000-0000-000084080000}"/>
    <cellStyle name="Normal 4 4 6 7" xfId="3991" xr:uid="{00000000-0005-0000-0000-000048020000}"/>
    <cellStyle name="Normal 4 4 6 8" xfId="5453" xr:uid="{00000000-0005-0000-0000-000096030000}"/>
    <cellStyle name="Normal 4 4 6 9" xfId="4944" xr:uid="{00000000-0005-0000-0000-00000F030000}"/>
    <cellStyle name="Normal 4 4 7" xfId="1011" xr:uid="{00000000-0005-0000-0000-0000A5050000}"/>
    <cellStyle name="Normal 4 4 7 2" xfId="1012" xr:uid="{00000000-0005-0000-0000-0000A6050000}"/>
    <cellStyle name="Normal 4 4 7 2 2" xfId="2940" xr:uid="{00000000-0005-0000-0000-00005F060000}"/>
    <cellStyle name="Normal 4 4 7 2 2 2" xfId="6322" xr:uid="{00000000-0005-0000-0000-00005F060000}"/>
    <cellStyle name="Normal 4 4 7 2 2 3" xfId="7401" xr:uid="{00000000-0005-0000-0000-000087080000}"/>
    <cellStyle name="Normal 4 4 7 2 2 4" xfId="9805" xr:uid="{00000000-0005-0000-0000-000087080000}"/>
    <cellStyle name="Normal 4 4 7 2 3" xfId="4738" xr:uid="{00000000-0005-0000-0000-000097040000}"/>
    <cellStyle name="Normal 4 4 7 2 3 2" xfId="6122" xr:uid="{00000000-0005-0000-0000-00005E060000}"/>
    <cellStyle name="Normal 4 4 7 2 3 3" xfId="8271" xr:uid="{00000000-0005-0000-0000-000088080000}"/>
    <cellStyle name="Normal 4 4 7 2 3 4" xfId="10668" xr:uid="{00000000-0005-0000-0000-000088080000}"/>
    <cellStyle name="Normal 4 4 7 2 4" xfId="5199" xr:uid="{00000000-0005-0000-0000-000012030000}"/>
    <cellStyle name="Normal 4 4 7 2 5" xfId="6852" xr:uid="{00000000-0005-0000-0000-000086080000}"/>
    <cellStyle name="Normal 4 4 7 2 6" xfId="9273" xr:uid="{00000000-0005-0000-0000-000086080000}"/>
    <cellStyle name="Normal 4 4 7 3" xfId="1013" xr:uid="{00000000-0005-0000-0000-0000A7050000}"/>
    <cellStyle name="Normal 4 4 7 3 2" xfId="6222" xr:uid="{00000000-0005-0000-0000-000060060000}"/>
    <cellStyle name="Normal 4 4 7 3 3" xfId="7402" xr:uid="{00000000-0005-0000-0000-000089080000}"/>
    <cellStyle name="Normal 4 4 7 3 4" xfId="9806" xr:uid="{00000000-0005-0000-0000-000089080000}"/>
    <cellStyle name="Normal 4 4 7 4" xfId="2371" xr:uid="{00000000-0005-0000-0000-00005D060000}"/>
    <cellStyle name="Normal 4 4 7 4 2" xfId="6074" xr:uid="{00000000-0005-0000-0000-00005D060000}"/>
    <cellStyle name="Normal 4 4 7 4 3" xfId="7400" xr:uid="{00000000-0005-0000-0000-00008A080000}"/>
    <cellStyle name="Normal 4 4 7 4 4" xfId="9804" xr:uid="{00000000-0005-0000-0000-00008A080000}"/>
    <cellStyle name="Normal 4 4 7 5" xfId="3992" xr:uid="{00000000-0005-0000-0000-000049020000}"/>
    <cellStyle name="Normal 4 4 7 5 2" xfId="8063" xr:uid="{00000000-0005-0000-0000-00008B080000}"/>
    <cellStyle name="Normal 4 4 7 5 3" xfId="10460" xr:uid="{00000000-0005-0000-0000-00008B080000}"/>
    <cellStyle name="Normal 4 4 7 6" xfId="5947" xr:uid="{00000000-0005-0000-0000-000099030000}"/>
    <cellStyle name="Normal 4 4 7 7" xfId="4945" xr:uid="{00000000-0005-0000-0000-000011030000}"/>
    <cellStyle name="Normal 4 4 7 8" xfId="6691" xr:uid="{00000000-0005-0000-0000-000085080000}"/>
    <cellStyle name="Normal 4 4 7 9" xfId="9112" xr:uid="{00000000-0005-0000-0000-000085080000}"/>
    <cellStyle name="Normal 4 4 8" xfId="1014" xr:uid="{00000000-0005-0000-0000-0000A8050000}"/>
    <cellStyle name="Normal 4 4 8 2" xfId="1015" xr:uid="{00000000-0005-0000-0000-0000A9050000}"/>
    <cellStyle name="Normal 4 4 8 2 2" xfId="2941" xr:uid="{00000000-0005-0000-0000-000063060000}"/>
    <cellStyle name="Normal 4 4 8 2 2 2" xfId="6323" xr:uid="{00000000-0005-0000-0000-000063060000}"/>
    <cellStyle name="Normal 4 4 8 2 2 3" xfId="7404" xr:uid="{00000000-0005-0000-0000-00008E080000}"/>
    <cellStyle name="Normal 4 4 8 2 2 4" xfId="9808" xr:uid="{00000000-0005-0000-0000-00008E080000}"/>
    <cellStyle name="Normal 4 4 8 2 3" xfId="4739" xr:uid="{00000000-0005-0000-0000-00009D040000}"/>
    <cellStyle name="Normal 4 4 8 2 3 2" xfId="6123" xr:uid="{00000000-0005-0000-0000-000062060000}"/>
    <cellStyle name="Normal 4 4 8 2 3 3" xfId="8272" xr:uid="{00000000-0005-0000-0000-00008F080000}"/>
    <cellStyle name="Normal 4 4 8 2 3 4" xfId="10669" xr:uid="{00000000-0005-0000-0000-00008F080000}"/>
    <cellStyle name="Normal 4 4 8 2 4" xfId="5200" xr:uid="{00000000-0005-0000-0000-000014030000}"/>
    <cellStyle name="Normal 4 4 8 2 5" xfId="6853" xr:uid="{00000000-0005-0000-0000-00008D080000}"/>
    <cellStyle name="Normal 4 4 8 2 6" xfId="9274" xr:uid="{00000000-0005-0000-0000-00008D080000}"/>
    <cellStyle name="Normal 4 4 8 3" xfId="1016" xr:uid="{00000000-0005-0000-0000-0000AA050000}"/>
    <cellStyle name="Normal 4 4 8 3 2" xfId="6223" xr:uid="{00000000-0005-0000-0000-000064060000}"/>
    <cellStyle name="Normal 4 4 8 3 3" xfId="7405" xr:uid="{00000000-0005-0000-0000-000090080000}"/>
    <cellStyle name="Normal 4 4 8 3 4" xfId="9809" xr:uid="{00000000-0005-0000-0000-000090080000}"/>
    <cellStyle name="Normal 4 4 8 4" xfId="2372" xr:uid="{00000000-0005-0000-0000-000061060000}"/>
    <cellStyle name="Normal 4 4 8 4 2" xfId="6075" xr:uid="{00000000-0005-0000-0000-000061060000}"/>
    <cellStyle name="Normal 4 4 8 4 3" xfId="7403" xr:uid="{00000000-0005-0000-0000-000091080000}"/>
    <cellStyle name="Normal 4 4 8 4 4" xfId="9807" xr:uid="{00000000-0005-0000-0000-000091080000}"/>
    <cellStyle name="Normal 4 4 8 5" xfId="3993" xr:uid="{00000000-0005-0000-0000-00004A020000}"/>
    <cellStyle name="Normal 4 4 8 5 2" xfId="8064" xr:uid="{00000000-0005-0000-0000-000092080000}"/>
    <cellStyle name="Normal 4 4 8 5 3" xfId="10461" xr:uid="{00000000-0005-0000-0000-000092080000}"/>
    <cellStyle name="Normal 4 4 8 6" xfId="5948" xr:uid="{00000000-0005-0000-0000-00009A030000}"/>
    <cellStyle name="Normal 4 4 8 7" xfId="4946" xr:uid="{00000000-0005-0000-0000-000013030000}"/>
    <cellStyle name="Normal 4 4 8 8" xfId="6692" xr:uid="{00000000-0005-0000-0000-00008C080000}"/>
    <cellStyle name="Normal 4 4 8 9" xfId="9113" xr:uid="{00000000-0005-0000-0000-00008C080000}"/>
    <cellStyle name="Normal 4 4 9" xfId="1017" xr:uid="{00000000-0005-0000-0000-0000AB050000}"/>
    <cellStyle name="Normal 4 4 9 2" xfId="3361" xr:uid="{00000000-0005-0000-0000-000066060000}"/>
    <cellStyle name="Normal 4 4 9 2 2" xfId="6411" xr:uid="{00000000-0005-0000-0000-000066060000}"/>
    <cellStyle name="Normal 4 4 9 2 2 2" xfId="8737" xr:uid="{00000000-0005-0000-0000-000095080000}"/>
    <cellStyle name="Normal 4 4 9 2 2 3" xfId="11134" xr:uid="{00000000-0005-0000-0000-000095080000}"/>
    <cellStyle name="Normal 4 4 9 2 3" xfId="5201" xr:uid="{00000000-0005-0000-0000-000016030000}"/>
    <cellStyle name="Normal 4 4 9 2 4" xfId="7406" xr:uid="{00000000-0005-0000-0000-000094080000}"/>
    <cellStyle name="Normal 4 4 9 2 5" xfId="9810" xr:uid="{00000000-0005-0000-0000-000094080000}"/>
    <cellStyle name="Normal 4 4 9 3" xfId="2784" xr:uid="{00000000-0005-0000-0000-000067060000}"/>
    <cellStyle name="Normal 4 4 9 3 2" xfId="6219" xr:uid="{00000000-0005-0000-0000-000067060000}"/>
    <cellStyle name="Normal 4 4 9 3 3" xfId="8051" xr:uid="{00000000-0005-0000-0000-000096080000}"/>
    <cellStyle name="Normal 4 4 9 3 4" xfId="10448" xr:uid="{00000000-0005-0000-0000-000096080000}"/>
    <cellStyle name="Normal 4 4 9 4" xfId="2365" xr:uid="{00000000-0005-0000-0000-000065060000}"/>
    <cellStyle name="Normal 4 4 9 4 2" xfId="11411" xr:uid="{00000000-0005-0000-0000-000002080000}"/>
    <cellStyle name="Normal 4 4 9 5" xfId="3900" xr:uid="{00000000-0005-0000-0000-00004B020000}"/>
    <cellStyle name="Normal 4 4 9 6" xfId="5936" xr:uid="{00000000-0005-0000-0000-00009B030000}"/>
    <cellStyle name="Normal 4 4 9 7" xfId="4939" xr:uid="{00000000-0005-0000-0000-000015030000}"/>
    <cellStyle name="Normal 4 4 9 8" xfId="6685" xr:uid="{00000000-0005-0000-0000-000093080000}"/>
    <cellStyle name="Normal 4 4 9 9" xfId="9106" xr:uid="{00000000-0005-0000-0000-000093080000}"/>
    <cellStyle name="Normal 4 5" xfId="1018" xr:uid="{00000000-0005-0000-0000-0000AC050000}"/>
    <cellStyle name="Normal 4 5 10" xfId="5361" xr:uid="{00000000-0005-0000-0000-00009C030000}"/>
    <cellStyle name="Normal 4 5 11" xfId="4817" xr:uid="{00000000-0005-0000-0000-000017030000}"/>
    <cellStyle name="Normal 4 5 12" xfId="6563" xr:uid="{00000000-0005-0000-0000-000097080000}"/>
    <cellStyle name="Normal 4 5 13" xfId="8984" xr:uid="{00000000-0005-0000-0000-000097080000}"/>
    <cellStyle name="Normal 4 5 2" xfId="1019" xr:uid="{00000000-0005-0000-0000-0000AD050000}"/>
    <cellStyle name="Normal 4 5 2 10" xfId="4948" xr:uid="{00000000-0005-0000-0000-000018030000}"/>
    <cellStyle name="Normal 4 5 2 11" xfId="6694" xr:uid="{00000000-0005-0000-0000-000098080000}"/>
    <cellStyle name="Normal 4 5 2 12" xfId="9115" xr:uid="{00000000-0005-0000-0000-000098080000}"/>
    <cellStyle name="Normal 4 5 2 2" xfId="1020" xr:uid="{00000000-0005-0000-0000-0000AE050000}"/>
    <cellStyle name="Normal 4 5 2 2 10" xfId="6855" xr:uid="{00000000-0005-0000-0000-000099080000}"/>
    <cellStyle name="Normal 4 5 2 2 11" xfId="9276" xr:uid="{00000000-0005-0000-0000-000099080000}"/>
    <cellStyle name="Normal 4 5 2 2 2" xfId="2795" xr:uid="{00000000-0005-0000-0000-00006B060000}"/>
    <cellStyle name="Normal 4 5 2 2 2 2" xfId="3363" xr:uid="{00000000-0005-0000-0000-00006C060000}"/>
    <cellStyle name="Normal 4 5 2 2 2 2 2" xfId="8739" xr:uid="{00000000-0005-0000-0000-00009B080000}"/>
    <cellStyle name="Normal 4 5 2 2 2 2 3" xfId="11136" xr:uid="{00000000-0005-0000-0000-00009B080000}"/>
    <cellStyle name="Normal 4 5 2 2 2 3" xfId="4346" xr:uid="{00000000-0005-0000-0000-00006B060000}"/>
    <cellStyle name="Normal 4 5 2 2 2 3 2" xfId="8067" xr:uid="{00000000-0005-0000-0000-00009C080000}"/>
    <cellStyle name="Normal 4 5 2 2 2 3 3" xfId="10464" xr:uid="{00000000-0005-0000-0000-00009C080000}"/>
    <cellStyle name="Normal 4 5 2 2 2 4" xfId="5951" xr:uid="{00000000-0005-0000-0000-00009F030000}"/>
    <cellStyle name="Normal 4 5 2 2 2 5" xfId="7409" xr:uid="{00000000-0005-0000-0000-00009A080000}"/>
    <cellStyle name="Normal 4 5 2 2 2 6" xfId="9813" xr:uid="{00000000-0005-0000-0000-00009A080000}"/>
    <cellStyle name="Normal 4 5 2 2 3" xfId="3364" xr:uid="{00000000-0005-0000-0000-00006D060000}"/>
    <cellStyle name="Normal 4 5 2 2 3 2" xfId="4542" xr:uid="{00000000-0005-0000-0000-00006D060000}"/>
    <cellStyle name="Normal 4 5 2 2 3 3" xfId="5751" xr:uid="{00000000-0005-0000-0000-0000A0030000}"/>
    <cellStyle name="Normal 4 5 2 2 3 4" xfId="8740" xr:uid="{00000000-0005-0000-0000-00009D080000}"/>
    <cellStyle name="Normal 4 5 2 2 3 5" xfId="11137" xr:uid="{00000000-0005-0000-0000-00009D080000}"/>
    <cellStyle name="Normal 4 5 2 2 4" xfId="3362" xr:uid="{00000000-0005-0000-0000-00006E060000}"/>
    <cellStyle name="Normal 4 5 2 2 4 2" xfId="8738" xr:uid="{00000000-0005-0000-0000-00009E080000}"/>
    <cellStyle name="Normal 4 5 2 2 4 3" xfId="11135" xr:uid="{00000000-0005-0000-0000-00009E080000}"/>
    <cellStyle name="Normal 4 5 2 2 5" xfId="2645" xr:uid="{00000000-0005-0000-0000-00006F060000}"/>
    <cellStyle name="Normal 4 5 2 2 5 2" xfId="7844" xr:uid="{00000000-0005-0000-0000-00009F080000}"/>
    <cellStyle name="Normal 4 5 2 2 5 3" xfId="10241" xr:uid="{00000000-0005-0000-0000-00009F080000}"/>
    <cellStyle name="Normal 4 5 2 2 6" xfId="2374" xr:uid="{00000000-0005-0000-0000-00006A060000}"/>
    <cellStyle name="Normal 4 5 2 2 7" xfId="3925" xr:uid="{00000000-0005-0000-0000-00004E020000}"/>
    <cellStyle name="Normal 4 5 2 2 8" xfId="5522" xr:uid="{00000000-0005-0000-0000-00009E030000}"/>
    <cellStyle name="Normal 4 5 2 2 9" xfId="5203" xr:uid="{00000000-0005-0000-0000-000019030000}"/>
    <cellStyle name="Normal 4 5 2 3" xfId="1021" xr:uid="{00000000-0005-0000-0000-0000AF050000}"/>
    <cellStyle name="Normal 4 5 2 3 2" xfId="3365" xr:uid="{00000000-0005-0000-0000-000071060000}"/>
    <cellStyle name="Normal 4 5 2 3 2 2" xfId="8741" xr:uid="{00000000-0005-0000-0000-0000A1080000}"/>
    <cellStyle name="Normal 4 5 2 3 2 3" xfId="11138" xr:uid="{00000000-0005-0000-0000-0000A1080000}"/>
    <cellStyle name="Normal 4 5 2 3 3" xfId="2794" xr:uid="{00000000-0005-0000-0000-000072060000}"/>
    <cellStyle name="Normal 4 5 2 3 3 2" xfId="8066" xr:uid="{00000000-0005-0000-0000-0000A2080000}"/>
    <cellStyle name="Normal 4 5 2 3 3 3" xfId="10463" xr:uid="{00000000-0005-0000-0000-0000A2080000}"/>
    <cellStyle name="Normal 4 5 2 3 4" xfId="4200" xr:uid="{00000000-0005-0000-0000-000070060000}"/>
    <cellStyle name="Normal 4 5 2 3 5" xfId="5950" xr:uid="{00000000-0005-0000-0000-0000A1030000}"/>
    <cellStyle name="Normal 4 5 2 3 6" xfId="7410" xr:uid="{00000000-0005-0000-0000-0000A0080000}"/>
    <cellStyle name="Normal 4 5 2 3 7" xfId="9814" xr:uid="{00000000-0005-0000-0000-0000A0080000}"/>
    <cellStyle name="Normal 4 5 2 4" xfId="3366" xr:uid="{00000000-0005-0000-0000-000073060000}"/>
    <cellStyle name="Normal 4 5 2 4 2" xfId="4543" xr:uid="{00000000-0005-0000-0000-000073060000}"/>
    <cellStyle name="Normal 4 5 2 4 2 2" xfId="8742" xr:uid="{00000000-0005-0000-0000-0000A4080000}"/>
    <cellStyle name="Normal 4 5 2 4 2 3" xfId="11139" xr:uid="{00000000-0005-0000-0000-0000A4080000}"/>
    <cellStyle name="Normal 4 5 2 4 3" xfId="5666" xr:uid="{00000000-0005-0000-0000-0000A2030000}"/>
    <cellStyle name="Normal 4 5 2 4 4" xfId="7408" xr:uid="{00000000-0005-0000-0000-0000A3080000}"/>
    <cellStyle name="Normal 4 5 2 4 5" xfId="9812" xr:uid="{00000000-0005-0000-0000-0000A3080000}"/>
    <cellStyle name="Normal 4 5 2 5" xfId="2943" xr:uid="{00000000-0005-0000-0000-000074060000}"/>
    <cellStyle name="Normal 4 5 2 5 2" xfId="8274" xr:uid="{00000000-0005-0000-0000-0000A5080000}"/>
    <cellStyle name="Normal 4 5 2 5 3" xfId="10671" xr:uid="{00000000-0005-0000-0000-0000A5080000}"/>
    <cellStyle name="Normal 4 5 2 6" xfId="2543" xr:uid="{00000000-0005-0000-0000-000075060000}"/>
    <cellStyle name="Normal 4 5 2 6 2" xfId="7741" xr:uid="{00000000-0005-0000-0000-0000A6080000}"/>
    <cellStyle name="Normal 4 5 2 6 3" xfId="10138" xr:uid="{00000000-0005-0000-0000-0000A6080000}"/>
    <cellStyle name="Normal 4 5 2 7" xfId="2237" xr:uid="{00000000-0005-0000-0000-000069060000}"/>
    <cellStyle name="Normal 4 5 2 8" xfId="3995" xr:uid="{00000000-0005-0000-0000-00004D020000}"/>
    <cellStyle name="Normal 4 5 2 9" xfId="5421" xr:uid="{00000000-0005-0000-0000-00009D030000}"/>
    <cellStyle name="Normal 4 5 3" xfId="1022" xr:uid="{00000000-0005-0000-0000-0000B0050000}"/>
    <cellStyle name="Normal 4 5 3 10" xfId="6693" xr:uid="{00000000-0005-0000-0000-0000A7080000}"/>
    <cellStyle name="Normal 4 5 3 11" xfId="9114" xr:uid="{00000000-0005-0000-0000-0000A7080000}"/>
    <cellStyle name="Normal 4 5 3 2" xfId="2796" xr:uid="{00000000-0005-0000-0000-000077060000}"/>
    <cellStyle name="Normal 4 5 3 2 2" xfId="3368" xr:uid="{00000000-0005-0000-0000-000078060000}"/>
    <cellStyle name="Normal 4 5 3 2 2 2" xfId="8744" xr:uid="{00000000-0005-0000-0000-0000A9080000}"/>
    <cellStyle name="Normal 4 5 3 2 2 3" xfId="11141" xr:uid="{00000000-0005-0000-0000-0000A9080000}"/>
    <cellStyle name="Normal 4 5 3 2 3" xfId="4347" xr:uid="{00000000-0005-0000-0000-000077060000}"/>
    <cellStyle name="Normal 4 5 3 2 3 2" xfId="8068" xr:uid="{00000000-0005-0000-0000-0000AA080000}"/>
    <cellStyle name="Normal 4 5 3 2 3 3" xfId="10465" xr:uid="{00000000-0005-0000-0000-0000AA080000}"/>
    <cellStyle name="Normal 4 5 3 2 4" xfId="5952" xr:uid="{00000000-0005-0000-0000-0000A4030000}"/>
    <cellStyle name="Normal 4 5 3 2 5" xfId="5204" xr:uid="{00000000-0005-0000-0000-00001B030000}"/>
    <cellStyle name="Normal 4 5 3 2 6" xfId="7411" xr:uid="{00000000-0005-0000-0000-0000A8080000}"/>
    <cellStyle name="Normal 4 5 3 2 7" xfId="9815" xr:uid="{00000000-0005-0000-0000-0000A8080000}"/>
    <cellStyle name="Normal 4 5 3 3" xfId="3369" xr:uid="{00000000-0005-0000-0000-000079060000}"/>
    <cellStyle name="Normal 4 5 3 3 2" xfId="4544" xr:uid="{00000000-0005-0000-0000-000079060000}"/>
    <cellStyle name="Normal 4 5 3 3 2 2" xfId="11478" xr:uid="{00000000-0005-0000-0000-000017080000}"/>
    <cellStyle name="Normal 4 5 3 3 3" xfId="5693" xr:uid="{00000000-0005-0000-0000-0000A5030000}"/>
    <cellStyle name="Normal 4 5 3 3 4" xfId="8745" xr:uid="{00000000-0005-0000-0000-0000AB080000}"/>
    <cellStyle name="Normal 4 5 3 3 5" xfId="11142" xr:uid="{00000000-0005-0000-0000-0000AB080000}"/>
    <cellStyle name="Normal 4 5 3 4" xfId="3367" xr:uid="{00000000-0005-0000-0000-00007A060000}"/>
    <cellStyle name="Normal 4 5 3 4 2" xfId="8743" xr:uid="{00000000-0005-0000-0000-0000AC080000}"/>
    <cellStyle name="Normal 4 5 3 4 3" xfId="11140" xr:uid="{00000000-0005-0000-0000-0000AC080000}"/>
    <cellStyle name="Normal 4 5 3 5" xfId="2586" xr:uid="{00000000-0005-0000-0000-00007B060000}"/>
    <cellStyle name="Normal 4 5 3 5 2" xfId="7784" xr:uid="{00000000-0005-0000-0000-0000AD080000}"/>
    <cellStyle name="Normal 4 5 3 5 3" xfId="10181" xr:uid="{00000000-0005-0000-0000-0000AD080000}"/>
    <cellStyle name="Normal 4 5 3 6" xfId="2373" xr:uid="{00000000-0005-0000-0000-000076060000}"/>
    <cellStyle name="Normal 4 5 3 7" xfId="3916" xr:uid="{00000000-0005-0000-0000-00004F020000}"/>
    <cellStyle name="Normal 4 5 3 8" xfId="5462" xr:uid="{00000000-0005-0000-0000-0000A3030000}"/>
    <cellStyle name="Normal 4 5 3 9" xfId="4947" xr:uid="{00000000-0005-0000-0000-00001A030000}"/>
    <cellStyle name="Normal 4 5 4" xfId="1023" xr:uid="{00000000-0005-0000-0000-0000B1050000}"/>
    <cellStyle name="Normal 4 5 4 2" xfId="3370" xr:uid="{00000000-0005-0000-0000-00007D060000}"/>
    <cellStyle name="Normal 4 5 4 2 2" xfId="6412" xr:uid="{00000000-0005-0000-0000-00007D060000}"/>
    <cellStyle name="Normal 4 5 4 2 2 2" xfId="8746" xr:uid="{00000000-0005-0000-0000-0000B0080000}"/>
    <cellStyle name="Normal 4 5 4 2 2 3" xfId="11143" xr:uid="{00000000-0005-0000-0000-0000B0080000}"/>
    <cellStyle name="Normal 4 5 4 2 3" xfId="7412" xr:uid="{00000000-0005-0000-0000-0000AF080000}"/>
    <cellStyle name="Normal 4 5 4 2 4" xfId="9816" xr:uid="{00000000-0005-0000-0000-0000AF080000}"/>
    <cellStyle name="Normal 4 5 4 3" xfId="2793" xr:uid="{00000000-0005-0000-0000-00007E060000}"/>
    <cellStyle name="Normal 4 5 4 3 2" xfId="6224" xr:uid="{00000000-0005-0000-0000-00007E060000}"/>
    <cellStyle name="Normal 4 5 4 3 3" xfId="8065" xr:uid="{00000000-0005-0000-0000-0000B1080000}"/>
    <cellStyle name="Normal 4 5 4 3 4" xfId="10462" xr:uid="{00000000-0005-0000-0000-0000B1080000}"/>
    <cellStyle name="Normal 4 5 4 4" xfId="4199" xr:uid="{00000000-0005-0000-0000-00007C060000}"/>
    <cellStyle name="Normal 4 5 4 5" xfId="5949" xr:uid="{00000000-0005-0000-0000-0000A6030000}"/>
    <cellStyle name="Normal 4 5 4 6" xfId="5202" xr:uid="{00000000-0005-0000-0000-00001C030000}"/>
    <cellStyle name="Normal 4 5 4 7" xfId="6854" xr:uid="{00000000-0005-0000-0000-0000AE080000}"/>
    <cellStyle name="Normal 4 5 4 8" xfId="9275" xr:uid="{00000000-0005-0000-0000-0000AE080000}"/>
    <cellStyle name="Normal 4 5 5" xfId="1024" xr:uid="{00000000-0005-0000-0000-0000B2050000}"/>
    <cellStyle name="Normal 4 5 5 2" xfId="4545" xr:uid="{00000000-0005-0000-0000-00007F060000}"/>
    <cellStyle name="Normal 4 5 5 2 2" xfId="8747" xr:uid="{00000000-0005-0000-0000-0000B3080000}"/>
    <cellStyle name="Normal 4 5 5 2 3" xfId="11144" xr:uid="{00000000-0005-0000-0000-0000B3080000}"/>
    <cellStyle name="Normal 4 5 5 3" xfId="5607" xr:uid="{00000000-0005-0000-0000-0000A7030000}"/>
    <cellStyle name="Normal 4 5 5 4" xfId="7413" xr:uid="{00000000-0005-0000-0000-0000B2080000}"/>
    <cellStyle name="Normal 4 5 5 5" xfId="9817" xr:uid="{00000000-0005-0000-0000-0000B2080000}"/>
    <cellStyle name="Normal 4 5 6" xfId="2942" xr:uid="{00000000-0005-0000-0000-000080060000}"/>
    <cellStyle name="Normal 4 5 6 2" xfId="6324" xr:uid="{00000000-0005-0000-0000-000080060000}"/>
    <cellStyle name="Normal 4 5 6 2 2" xfId="8273" xr:uid="{00000000-0005-0000-0000-0000B5080000}"/>
    <cellStyle name="Normal 4 5 6 2 3" xfId="10670" xr:uid="{00000000-0005-0000-0000-0000B5080000}"/>
    <cellStyle name="Normal 4 5 6 3" xfId="7407" xr:uid="{00000000-0005-0000-0000-0000B4080000}"/>
    <cellStyle name="Normal 4 5 6 4" xfId="9811" xr:uid="{00000000-0005-0000-0000-0000B4080000}"/>
    <cellStyle name="Normal 4 5 7" xfId="2483" xr:uid="{00000000-0005-0000-0000-000081060000}"/>
    <cellStyle name="Normal 4 5 7 2" xfId="7681" xr:uid="{00000000-0005-0000-0000-0000B6080000}"/>
    <cellStyle name="Normal 4 5 7 3" xfId="10078" xr:uid="{00000000-0005-0000-0000-0000B6080000}"/>
    <cellStyle name="Normal 4 5 8" xfId="2177" xr:uid="{00000000-0005-0000-0000-000068060000}"/>
    <cellStyle name="Normal 4 5 9" xfId="3994" xr:uid="{00000000-0005-0000-0000-00004C020000}"/>
    <cellStyle name="Normal 4 6" xfId="1025" xr:uid="{00000000-0005-0000-0000-0000B3050000}"/>
    <cellStyle name="Normal 4 6 10" xfId="5367" xr:uid="{00000000-0005-0000-0000-0000A8030000}"/>
    <cellStyle name="Normal 4 6 11" xfId="4823" xr:uid="{00000000-0005-0000-0000-00001D030000}"/>
    <cellStyle name="Normal 4 6 12" xfId="6569" xr:uid="{00000000-0005-0000-0000-0000B7080000}"/>
    <cellStyle name="Normal 4 6 13" xfId="8990" xr:uid="{00000000-0005-0000-0000-0000B7080000}"/>
    <cellStyle name="Normal 4 6 2" xfId="1026" xr:uid="{00000000-0005-0000-0000-0000B4050000}"/>
    <cellStyle name="Normal 4 6 2 10" xfId="4949" xr:uid="{00000000-0005-0000-0000-00001E030000}"/>
    <cellStyle name="Normal 4 6 2 11" xfId="6695" xr:uid="{00000000-0005-0000-0000-0000B8080000}"/>
    <cellStyle name="Normal 4 6 2 12" xfId="9116" xr:uid="{00000000-0005-0000-0000-0000B8080000}"/>
    <cellStyle name="Normal 4 6 2 2" xfId="1027" xr:uid="{00000000-0005-0000-0000-0000B5050000}"/>
    <cellStyle name="Normal 4 6 2 2 2" xfId="2799" xr:uid="{00000000-0005-0000-0000-000085060000}"/>
    <cellStyle name="Normal 4 6 2 2 2 2" xfId="3373" xr:uid="{00000000-0005-0000-0000-000086060000}"/>
    <cellStyle name="Normal 4 6 2 2 2 2 2" xfId="8750" xr:uid="{00000000-0005-0000-0000-0000BB080000}"/>
    <cellStyle name="Normal 4 6 2 2 2 2 3" xfId="11147" xr:uid="{00000000-0005-0000-0000-0000BB080000}"/>
    <cellStyle name="Normal 4 6 2 2 2 3" xfId="4349" xr:uid="{00000000-0005-0000-0000-000085060000}"/>
    <cellStyle name="Normal 4 6 2 2 2 3 2" xfId="11413" xr:uid="{00000000-0005-0000-0000-000026080000}"/>
    <cellStyle name="Normal 4 6 2 2 2 4" xfId="8071" xr:uid="{00000000-0005-0000-0000-0000BA080000}"/>
    <cellStyle name="Normal 4 6 2 2 2 5" xfId="10468" xr:uid="{00000000-0005-0000-0000-0000BA080000}"/>
    <cellStyle name="Normal 4 6 2 2 3" xfId="3374" xr:uid="{00000000-0005-0000-0000-000087060000}"/>
    <cellStyle name="Normal 4 6 2 2 3 2" xfId="4546" xr:uid="{00000000-0005-0000-0000-000087060000}"/>
    <cellStyle name="Normal 4 6 2 2 3 3" xfId="8751" xr:uid="{00000000-0005-0000-0000-0000BC080000}"/>
    <cellStyle name="Normal 4 6 2 2 3 4" xfId="11148" xr:uid="{00000000-0005-0000-0000-0000BC080000}"/>
    <cellStyle name="Normal 4 6 2 2 4" xfId="3372" xr:uid="{00000000-0005-0000-0000-000088060000}"/>
    <cellStyle name="Normal 4 6 2 2 4 2" xfId="8749" xr:uid="{00000000-0005-0000-0000-0000BD080000}"/>
    <cellStyle name="Normal 4 6 2 2 4 3" xfId="11146" xr:uid="{00000000-0005-0000-0000-0000BD080000}"/>
    <cellStyle name="Normal 4 6 2 2 5" xfId="4241" xr:uid="{00000000-0005-0000-0000-000084060000}"/>
    <cellStyle name="Normal 4 6 2 2 5 2" xfId="7850" xr:uid="{00000000-0005-0000-0000-0000BE080000}"/>
    <cellStyle name="Normal 4 6 2 2 5 3" xfId="10247" xr:uid="{00000000-0005-0000-0000-0000BE080000}"/>
    <cellStyle name="Normal 4 6 2 2 6" xfId="5528" xr:uid="{00000000-0005-0000-0000-0000AA030000}"/>
    <cellStyle name="Normal 4 6 2 2 7" xfId="5206" xr:uid="{00000000-0005-0000-0000-00001F030000}"/>
    <cellStyle name="Normal 4 6 2 2 8" xfId="7416" xr:uid="{00000000-0005-0000-0000-0000B9080000}"/>
    <cellStyle name="Normal 4 6 2 2 9" xfId="9820" xr:uid="{00000000-0005-0000-0000-0000B9080000}"/>
    <cellStyle name="Normal 4 6 2 3" xfId="2798" xr:uid="{00000000-0005-0000-0000-000089060000}"/>
    <cellStyle name="Normal 4 6 2 3 2" xfId="3375" xr:uid="{00000000-0005-0000-0000-00008A060000}"/>
    <cellStyle name="Normal 4 6 2 3 2 2" xfId="8752" xr:uid="{00000000-0005-0000-0000-0000C0080000}"/>
    <cellStyle name="Normal 4 6 2 3 2 3" xfId="11149" xr:uid="{00000000-0005-0000-0000-0000C0080000}"/>
    <cellStyle name="Normal 4 6 2 3 3" xfId="4348" xr:uid="{00000000-0005-0000-0000-000089060000}"/>
    <cellStyle name="Normal 4 6 2 3 3 2" xfId="8070" xr:uid="{00000000-0005-0000-0000-0000C1080000}"/>
    <cellStyle name="Normal 4 6 2 3 3 3" xfId="10467" xr:uid="{00000000-0005-0000-0000-0000C1080000}"/>
    <cellStyle name="Normal 4 6 2 3 4" xfId="5954" xr:uid="{00000000-0005-0000-0000-0000AD030000}"/>
    <cellStyle name="Normal 4 6 2 3 5" xfId="7415" xr:uid="{00000000-0005-0000-0000-0000BF080000}"/>
    <cellStyle name="Normal 4 6 2 3 6" xfId="9819" xr:uid="{00000000-0005-0000-0000-0000BF080000}"/>
    <cellStyle name="Normal 4 6 2 4" xfId="3376" xr:uid="{00000000-0005-0000-0000-00008B060000}"/>
    <cellStyle name="Normal 4 6 2 4 2" xfId="4547" xr:uid="{00000000-0005-0000-0000-00008B060000}"/>
    <cellStyle name="Normal 4 6 2 4 3" xfId="8753" xr:uid="{00000000-0005-0000-0000-0000C2080000}"/>
    <cellStyle name="Normal 4 6 2 4 4" xfId="11150" xr:uid="{00000000-0005-0000-0000-0000C2080000}"/>
    <cellStyle name="Normal 4 6 2 5" xfId="3371" xr:uid="{00000000-0005-0000-0000-00008C060000}"/>
    <cellStyle name="Normal 4 6 2 5 2" xfId="8748" xr:uid="{00000000-0005-0000-0000-0000C3080000}"/>
    <cellStyle name="Normal 4 6 2 5 3" xfId="11145" xr:uid="{00000000-0005-0000-0000-0000C3080000}"/>
    <cellStyle name="Normal 4 6 2 6" xfId="2549" xr:uid="{00000000-0005-0000-0000-00008D060000}"/>
    <cellStyle name="Normal 4 6 2 6 2" xfId="7747" xr:uid="{00000000-0005-0000-0000-0000C4080000}"/>
    <cellStyle name="Normal 4 6 2 6 3" xfId="10144" xr:uid="{00000000-0005-0000-0000-0000C4080000}"/>
    <cellStyle name="Normal 4 6 2 7" xfId="2243" xr:uid="{00000000-0005-0000-0000-000083060000}"/>
    <cellStyle name="Normal 4 6 2 8" xfId="3796" xr:uid="{00000000-0005-0000-0000-000051020000}"/>
    <cellStyle name="Normal 4 6 2 9" xfId="5427" xr:uid="{00000000-0005-0000-0000-0000A9030000}"/>
    <cellStyle name="Normal 4 6 3" xfId="1028" xr:uid="{00000000-0005-0000-0000-0000B6050000}"/>
    <cellStyle name="Normal 4 6 3 10" xfId="6856" xr:uid="{00000000-0005-0000-0000-0000C5080000}"/>
    <cellStyle name="Normal 4 6 3 11" xfId="9277" xr:uid="{00000000-0005-0000-0000-0000C5080000}"/>
    <cellStyle name="Normal 4 6 3 2" xfId="2800" xr:uid="{00000000-0005-0000-0000-00008F060000}"/>
    <cellStyle name="Normal 4 6 3 2 2" xfId="3378" xr:uid="{00000000-0005-0000-0000-000090060000}"/>
    <cellStyle name="Normal 4 6 3 2 2 2" xfId="8755" xr:uid="{00000000-0005-0000-0000-0000C7080000}"/>
    <cellStyle name="Normal 4 6 3 2 2 3" xfId="11152" xr:uid="{00000000-0005-0000-0000-0000C7080000}"/>
    <cellStyle name="Normal 4 6 3 2 3" xfId="4350" xr:uid="{00000000-0005-0000-0000-00008F060000}"/>
    <cellStyle name="Normal 4 6 3 2 3 2" xfId="8072" xr:uid="{00000000-0005-0000-0000-0000C8080000}"/>
    <cellStyle name="Normal 4 6 3 2 3 3" xfId="10469" xr:uid="{00000000-0005-0000-0000-0000C8080000}"/>
    <cellStyle name="Normal 4 6 3 2 4" xfId="5955" xr:uid="{00000000-0005-0000-0000-0000B0030000}"/>
    <cellStyle name="Normal 4 6 3 2 5" xfId="7417" xr:uid="{00000000-0005-0000-0000-0000C6080000}"/>
    <cellStyle name="Normal 4 6 3 2 6" xfId="9821" xr:uid="{00000000-0005-0000-0000-0000C6080000}"/>
    <cellStyle name="Normal 4 6 3 3" xfId="3379" xr:uid="{00000000-0005-0000-0000-000091060000}"/>
    <cellStyle name="Normal 4 6 3 3 2" xfId="4548" xr:uid="{00000000-0005-0000-0000-000091060000}"/>
    <cellStyle name="Normal 4 6 3 3 3" xfId="5699" xr:uid="{00000000-0005-0000-0000-0000B1030000}"/>
    <cellStyle name="Normal 4 6 3 3 4" xfId="8756" xr:uid="{00000000-0005-0000-0000-0000C9080000}"/>
    <cellStyle name="Normal 4 6 3 3 5" xfId="11153" xr:uid="{00000000-0005-0000-0000-0000C9080000}"/>
    <cellStyle name="Normal 4 6 3 4" xfId="3377" xr:uid="{00000000-0005-0000-0000-000092060000}"/>
    <cellStyle name="Normal 4 6 3 4 2" xfId="8754" xr:uid="{00000000-0005-0000-0000-0000CA080000}"/>
    <cellStyle name="Normal 4 6 3 4 3" xfId="11151" xr:uid="{00000000-0005-0000-0000-0000CA080000}"/>
    <cellStyle name="Normal 4 6 3 5" xfId="2592" xr:uid="{00000000-0005-0000-0000-000093060000}"/>
    <cellStyle name="Normal 4 6 3 5 2" xfId="7790" xr:uid="{00000000-0005-0000-0000-0000CB080000}"/>
    <cellStyle name="Normal 4 6 3 5 3" xfId="10187" xr:uid="{00000000-0005-0000-0000-0000CB080000}"/>
    <cellStyle name="Normal 4 6 3 6" xfId="2375" xr:uid="{00000000-0005-0000-0000-00008E060000}"/>
    <cellStyle name="Normal 4 6 3 7" xfId="3926" xr:uid="{00000000-0005-0000-0000-000052020000}"/>
    <cellStyle name="Normal 4 6 3 8" xfId="5468" xr:uid="{00000000-0005-0000-0000-0000AF030000}"/>
    <cellStyle name="Normal 4 6 3 9" xfId="5205" xr:uid="{00000000-0005-0000-0000-000020030000}"/>
    <cellStyle name="Normal 4 6 4" xfId="1029" xr:uid="{00000000-0005-0000-0000-0000B7050000}"/>
    <cellStyle name="Normal 4 6 4 2" xfId="3380" xr:uid="{00000000-0005-0000-0000-000095060000}"/>
    <cellStyle name="Normal 4 6 4 2 2" xfId="8757" xr:uid="{00000000-0005-0000-0000-0000CD080000}"/>
    <cellStyle name="Normal 4 6 4 2 3" xfId="11154" xr:uid="{00000000-0005-0000-0000-0000CD080000}"/>
    <cellStyle name="Normal 4 6 4 3" xfId="2797" xr:uid="{00000000-0005-0000-0000-000096060000}"/>
    <cellStyle name="Normal 4 6 4 3 2" xfId="8069" xr:uid="{00000000-0005-0000-0000-0000CE080000}"/>
    <cellStyle name="Normal 4 6 4 3 3" xfId="10466" xr:uid="{00000000-0005-0000-0000-0000CE080000}"/>
    <cellStyle name="Normal 4 6 4 4" xfId="4201" xr:uid="{00000000-0005-0000-0000-000094060000}"/>
    <cellStyle name="Normal 4 6 4 5" xfId="5953" xr:uid="{00000000-0005-0000-0000-0000B2030000}"/>
    <cellStyle name="Normal 4 6 4 6" xfId="7418" xr:uid="{00000000-0005-0000-0000-0000CC080000}"/>
    <cellStyle name="Normal 4 6 4 7" xfId="9822" xr:uid="{00000000-0005-0000-0000-0000CC080000}"/>
    <cellStyle name="Normal 4 6 5" xfId="3381" xr:uid="{00000000-0005-0000-0000-000097060000}"/>
    <cellStyle name="Normal 4 6 5 2" xfId="4549" xr:uid="{00000000-0005-0000-0000-000097060000}"/>
    <cellStyle name="Normal 4 6 5 2 2" xfId="8758" xr:uid="{00000000-0005-0000-0000-0000D0080000}"/>
    <cellStyle name="Normal 4 6 5 2 3" xfId="11155" xr:uid="{00000000-0005-0000-0000-0000D0080000}"/>
    <cellStyle name="Normal 4 6 5 3" xfId="5613" xr:uid="{00000000-0005-0000-0000-0000B3030000}"/>
    <cellStyle name="Normal 4 6 5 4" xfId="7414" xr:uid="{00000000-0005-0000-0000-0000CF080000}"/>
    <cellStyle name="Normal 4 6 5 5" xfId="9818" xr:uid="{00000000-0005-0000-0000-0000CF080000}"/>
    <cellStyle name="Normal 4 6 6" xfId="2944" xr:uid="{00000000-0005-0000-0000-000098060000}"/>
    <cellStyle name="Normal 4 6 6 2" xfId="8275" xr:uid="{00000000-0005-0000-0000-0000D1080000}"/>
    <cellStyle name="Normal 4 6 6 3" xfId="10672" xr:uid="{00000000-0005-0000-0000-0000D1080000}"/>
    <cellStyle name="Normal 4 6 7" xfId="2489" xr:uid="{00000000-0005-0000-0000-000099060000}"/>
    <cellStyle name="Normal 4 6 7 2" xfId="7687" xr:uid="{00000000-0005-0000-0000-0000D2080000}"/>
    <cellStyle name="Normal 4 6 7 3" xfId="10084" xr:uid="{00000000-0005-0000-0000-0000D2080000}"/>
    <cellStyle name="Normal 4 6 8" xfId="2183" xr:uid="{00000000-0005-0000-0000-000082060000}"/>
    <cellStyle name="Normal 4 6 9" xfId="3996" xr:uid="{00000000-0005-0000-0000-000050020000}"/>
    <cellStyle name="Normal 4 7" xfId="1030" xr:uid="{00000000-0005-0000-0000-0000B8050000}"/>
    <cellStyle name="Normal 4 7 10" xfId="5341" xr:uid="{00000000-0005-0000-0000-0000B4030000}"/>
    <cellStyle name="Normal 4 7 11" xfId="4797" xr:uid="{00000000-0005-0000-0000-000021030000}"/>
    <cellStyle name="Normal 4 7 12" xfId="6543" xr:uid="{00000000-0005-0000-0000-0000D3080000}"/>
    <cellStyle name="Normal 4 7 13" xfId="8964" xr:uid="{00000000-0005-0000-0000-0000D3080000}"/>
    <cellStyle name="Normal 4 7 2" xfId="1031" xr:uid="{00000000-0005-0000-0000-0000B9050000}"/>
    <cellStyle name="Normal 4 7 2 10" xfId="6696" xr:uid="{00000000-0005-0000-0000-0000D4080000}"/>
    <cellStyle name="Normal 4 7 2 11" xfId="9117" xr:uid="{00000000-0005-0000-0000-0000D4080000}"/>
    <cellStyle name="Normal 4 7 2 2" xfId="1032" xr:uid="{00000000-0005-0000-0000-0000BA050000}"/>
    <cellStyle name="Normal 4 7 2 2 2" xfId="3383" xr:uid="{00000000-0005-0000-0000-00009D060000}"/>
    <cellStyle name="Normal 4 7 2 2 2 2" xfId="8760" xr:uid="{00000000-0005-0000-0000-0000D6080000}"/>
    <cellStyle name="Normal 4 7 2 2 2 3" xfId="11157" xr:uid="{00000000-0005-0000-0000-0000D6080000}"/>
    <cellStyle name="Normal 4 7 2 2 3" xfId="4352" xr:uid="{00000000-0005-0000-0000-00009C060000}"/>
    <cellStyle name="Normal 4 7 2 2 3 2" xfId="8074" xr:uid="{00000000-0005-0000-0000-0000D7080000}"/>
    <cellStyle name="Normal 4 7 2 2 3 3" xfId="10471" xr:uid="{00000000-0005-0000-0000-0000D7080000}"/>
    <cellStyle name="Normal 4 7 2 2 4" xfId="5957" xr:uid="{00000000-0005-0000-0000-0000B6030000}"/>
    <cellStyle name="Normal 4 7 2 2 5" xfId="5208" xr:uid="{00000000-0005-0000-0000-000023030000}"/>
    <cellStyle name="Normal 4 7 2 2 6" xfId="7421" xr:uid="{00000000-0005-0000-0000-0000D5080000}"/>
    <cellStyle name="Normal 4 7 2 2 7" xfId="9825" xr:uid="{00000000-0005-0000-0000-0000D5080000}"/>
    <cellStyle name="Normal 4 7 2 3" xfId="3384" xr:uid="{00000000-0005-0000-0000-00009E060000}"/>
    <cellStyle name="Normal 4 7 2 3 2" xfId="4550" xr:uid="{00000000-0005-0000-0000-00009E060000}"/>
    <cellStyle name="Normal 4 7 2 3 2 2" xfId="8761" xr:uid="{00000000-0005-0000-0000-0000D9080000}"/>
    <cellStyle name="Normal 4 7 2 3 2 3" xfId="11158" xr:uid="{00000000-0005-0000-0000-0000D9080000}"/>
    <cellStyle name="Normal 4 7 2 3 3" xfId="5647" xr:uid="{00000000-0005-0000-0000-0000B7030000}"/>
    <cellStyle name="Normal 4 7 2 3 4" xfId="7420" xr:uid="{00000000-0005-0000-0000-0000D8080000}"/>
    <cellStyle name="Normal 4 7 2 3 5" xfId="9824" xr:uid="{00000000-0005-0000-0000-0000D8080000}"/>
    <cellStyle name="Normal 4 7 2 4" xfId="3382" xr:uid="{00000000-0005-0000-0000-00009F060000}"/>
    <cellStyle name="Normal 4 7 2 4 2" xfId="8759" xr:uid="{00000000-0005-0000-0000-0000DA080000}"/>
    <cellStyle name="Normal 4 7 2 4 3" xfId="11156" xr:uid="{00000000-0005-0000-0000-0000DA080000}"/>
    <cellStyle name="Normal 4 7 2 5" xfId="2523" xr:uid="{00000000-0005-0000-0000-0000A0060000}"/>
    <cellStyle name="Normal 4 7 2 5 2" xfId="7721" xr:uid="{00000000-0005-0000-0000-0000DB080000}"/>
    <cellStyle name="Normal 4 7 2 5 3" xfId="10118" xr:uid="{00000000-0005-0000-0000-0000DB080000}"/>
    <cellStyle name="Normal 4 7 2 6" xfId="2376" xr:uid="{00000000-0005-0000-0000-00009B060000}"/>
    <cellStyle name="Normal 4 7 2 7" xfId="3941" xr:uid="{00000000-0005-0000-0000-000054020000}"/>
    <cellStyle name="Normal 4 7 2 8" xfId="5401" xr:uid="{00000000-0005-0000-0000-0000B5030000}"/>
    <cellStyle name="Normal 4 7 2 9" xfId="4950" xr:uid="{00000000-0005-0000-0000-000022030000}"/>
    <cellStyle name="Normal 4 7 3" xfId="1033" xr:uid="{00000000-0005-0000-0000-0000BB050000}"/>
    <cellStyle name="Normal 4 7 3 10" xfId="9278" xr:uid="{00000000-0005-0000-0000-0000DC080000}"/>
    <cellStyle name="Normal 4 7 3 2" xfId="2801" xr:uid="{00000000-0005-0000-0000-0000A2060000}"/>
    <cellStyle name="Normal 4 7 3 2 2" xfId="3386" xr:uid="{00000000-0005-0000-0000-0000A3060000}"/>
    <cellStyle name="Normal 4 7 3 2 2 2" xfId="8763" xr:uid="{00000000-0005-0000-0000-0000DE080000}"/>
    <cellStyle name="Normal 4 7 3 2 2 3" xfId="11160" xr:uid="{00000000-0005-0000-0000-0000DE080000}"/>
    <cellStyle name="Normal 4 7 3 2 3" xfId="4353" xr:uid="{00000000-0005-0000-0000-0000A2060000}"/>
    <cellStyle name="Normal 4 7 3 2 3 2" xfId="8075" xr:uid="{00000000-0005-0000-0000-0000DF080000}"/>
    <cellStyle name="Normal 4 7 3 2 3 3" xfId="10472" xr:uid="{00000000-0005-0000-0000-0000DF080000}"/>
    <cellStyle name="Normal 4 7 3 2 4" xfId="5958" xr:uid="{00000000-0005-0000-0000-0000B9030000}"/>
    <cellStyle name="Normal 4 7 3 2 5" xfId="7422" xr:uid="{00000000-0005-0000-0000-0000DD080000}"/>
    <cellStyle name="Normal 4 7 3 2 6" xfId="9826" xr:uid="{00000000-0005-0000-0000-0000DD080000}"/>
    <cellStyle name="Normal 4 7 3 3" xfId="3387" xr:uid="{00000000-0005-0000-0000-0000A4060000}"/>
    <cellStyle name="Normal 4 7 3 3 2" xfId="4551" xr:uid="{00000000-0005-0000-0000-0000A4060000}"/>
    <cellStyle name="Normal 4 7 3 3 3" xfId="5732" xr:uid="{00000000-0005-0000-0000-0000BA030000}"/>
    <cellStyle name="Normal 4 7 3 3 4" xfId="8764" xr:uid="{00000000-0005-0000-0000-0000E0080000}"/>
    <cellStyle name="Normal 4 7 3 3 5" xfId="11161" xr:uid="{00000000-0005-0000-0000-0000E0080000}"/>
    <cellStyle name="Normal 4 7 3 4" xfId="3385" xr:uid="{00000000-0005-0000-0000-0000A5060000}"/>
    <cellStyle name="Normal 4 7 3 4 2" xfId="8762" xr:uid="{00000000-0005-0000-0000-0000E1080000}"/>
    <cellStyle name="Normal 4 7 3 4 3" xfId="11159" xr:uid="{00000000-0005-0000-0000-0000E1080000}"/>
    <cellStyle name="Normal 4 7 3 5" xfId="2626" xr:uid="{00000000-0005-0000-0000-0000A6060000}"/>
    <cellStyle name="Normal 4 7 3 5 2" xfId="7824" xr:uid="{00000000-0005-0000-0000-0000E2080000}"/>
    <cellStyle name="Normal 4 7 3 5 3" xfId="10221" xr:uid="{00000000-0005-0000-0000-0000E2080000}"/>
    <cellStyle name="Normal 4 7 3 6" xfId="4202" xr:uid="{00000000-0005-0000-0000-0000A1060000}"/>
    <cellStyle name="Normal 4 7 3 7" xfId="5502" xr:uid="{00000000-0005-0000-0000-0000B8030000}"/>
    <cellStyle name="Normal 4 7 3 8" xfId="5207" xr:uid="{00000000-0005-0000-0000-000024030000}"/>
    <cellStyle name="Normal 4 7 3 9" xfId="6857" xr:uid="{00000000-0005-0000-0000-0000DC080000}"/>
    <cellStyle name="Normal 4 7 4" xfId="1034" xr:uid="{00000000-0005-0000-0000-0000BC050000}"/>
    <cellStyle name="Normal 4 7 4 2" xfId="3388" xr:uid="{00000000-0005-0000-0000-0000A8060000}"/>
    <cellStyle name="Normal 4 7 4 2 2" xfId="8765" xr:uid="{00000000-0005-0000-0000-0000E4080000}"/>
    <cellStyle name="Normal 4 7 4 2 3" xfId="11162" xr:uid="{00000000-0005-0000-0000-0000E4080000}"/>
    <cellStyle name="Normal 4 7 4 3" xfId="4351" xr:uid="{00000000-0005-0000-0000-0000A7060000}"/>
    <cellStyle name="Normal 4 7 4 3 2" xfId="8073" xr:uid="{00000000-0005-0000-0000-0000E5080000}"/>
    <cellStyle name="Normal 4 7 4 3 3" xfId="10470" xr:uid="{00000000-0005-0000-0000-0000E5080000}"/>
    <cellStyle name="Normal 4 7 4 4" xfId="5956" xr:uid="{00000000-0005-0000-0000-0000BB030000}"/>
    <cellStyle name="Normal 4 7 4 5" xfId="7423" xr:uid="{00000000-0005-0000-0000-0000E3080000}"/>
    <cellStyle name="Normal 4 7 4 6" xfId="9827" xr:uid="{00000000-0005-0000-0000-0000E3080000}"/>
    <cellStyle name="Normal 4 7 5" xfId="3389" xr:uid="{00000000-0005-0000-0000-0000A9060000}"/>
    <cellStyle name="Normal 4 7 5 2" xfId="4552" xr:uid="{00000000-0005-0000-0000-0000A9060000}"/>
    <cellStyle name="Normal 4 7 5 2 2" xfId="8766" xr:uid="{00000000-0005-0000-0000-0000E7080000}"/>
    <cellStyle name="Normal 4 7 5 2 3" xfId="11163" xr:uid="{00000000-0005-0000-0000-0000E7080000}"/>
    <cellStyle name="Normal 4 7 5 3" xfId="5587" xr:uid="{00000000-0005-0000-0000-0000BC030000}"/>
    <cellStyle name="Normal 4 7 5 4" xfId="7419" xr:uid="{00000000-0005-0000-0000-0000E6080000}"/>
    <cellStyle name="Normal 4 7 5 5" xfId="9823" xr:uid="{00000000-0005-0000-0000-0000E6080000}"/>
    <cellStyle name="Normal 4 7 6" xfId="2945" xr:uid="{00000000-0005-0000-0000-0000AA060000}"/>
    <cellStyle name="Normal 4 7 6 2" xfId="8276" xr:uid="{00000000-0005-0000-0000-0000E8080000}"/>
    <cellStyle name="Normal 4 7 6 3" xfId="10673" xr:uid="{00000000-0005-0000-0000-0000E8080000}"/>
    <cellStyle name="Normal 4 7 7" xfId="2463" xr:uid="{00000000-0005-0000-0000-0000AB060000}"/>
    <cellStyle name="Normal 4 7 7 2" xfId="7661" xr:uid="{00000000-0005-0000-0000-0000E9080000}"/>
    <cellStyle name="Normal 4 7 7 3" xfId="10058" xr:uid="{00000000-0005-0000-0000-0000E9080000}"/>
    <cellStyle name="Normal 4 7 8" xfId="2217" xr:uid="{00000000-0005-0000-0000-00009A060000}"/>
    <cellStyle name="Normal 4 7 9" xfId="3997" xr:uid="{00000000-0005-0000-0000-000053020000}"/>
    <cellStyle name="Normal 4 8" xfId="1035" xr:uid="{00000000-0005-0000-0000-0000BD050000}"/>
    <cellStyle name="Normal 4 8 10" xfId="4780" xr:uid="{00000000-0005-0000-0000-000025030000}"/>
    <cellStyle name="Normal 4 8 11" xfId="6697" xr:uid="{00000000-0005-0000-0000-0000EA080000}"/>
    <cellStyle name="Normal 4 8 12" xfId="9118" xr:uid="{00000000-0005-0000-0000-0000EA080000}"/>
    <cellStyle name="Normal 4 8 2" xfId="1036" xr:uid="{00000000-0005-0000-0000-0000BE050000}"/>
    <cellStyle name="Normal 4 8 2 10" xfId="6858" xr:uid="{00000000-0005-0000-0000-0000EB080000}"/>
    <cellStyle name="Normal 4 8 2 11" xfId="9279" xr:uid="{00000000-0005-0000-0000-0000EB080000}"/>
    <cellStyle name="Normal 4 8 2 2" xfId="1037" xr:uid="{00000000-0005-0000-0000-0000BF050000}"/>
    <cellStyle name="Normal 4 8 2 2 2" xfId="3391" xr:uid="{00000000-0005-0000-0000-0000AF060000}"/>
    <cellStyle name="Normal 4 8 2 2 2 2" xfId="8768" xr:uid="{00000000-0005-0000-0000-0000ED080000}"/>
    <cellStyle name="Normal 4 8 2 2 2 3" xfId="11165" xr:uid="{00000000-0005-0000-0000-0000ED080000}"/>
    <cellStyle name="Normal 4 8 2 2 3" xfId="4354" xr:uid="{00000000-0005-0000-0000-0000AE060000}"/>
    <cellStyle name="Normal 4 8 2 2 3 2" xfId="8077" xr:uid="{00000000-0005-0000-0000-0000EE080000}"/>
    <cellStyle name="Normal 4 8 2 2 3 3" xfId="10474" xr:uid="{00000000-0005-0000-0000-0000EE080000}"/>
    <cellStyle name="Normal 4 8 2 2 4" xfId="5960" xr:uid="{00000000-0005-0000-0000-0000BF030000}"/>
    <cellStyle name="Normal 4 8 2 2 5" xfId="5210" xr:uid="{00000000-0005-0000-0000-000027030000}"/>
    <cellStyle name="Normal 4 8 2 2 6" xfId="7426" xr:uid="{00000000-0005-0000-0000-0000EC080000}"/>
    <cellStyle name="Normal 4 8 2 2 7" xfId="9830" xr:uid="{00000000-0005-0000-0000-0000EC080000}"/>
    <cellStyle name="Normal 4 8 2 3" xfId="3392" xr:uid="{00000000-0005-0000-0000-0000B0060000}"/>
    <cellStyle name="Normal 4 8 2 3 2" xfId="4553" xr:uid="{00000000-0005-0000-0000-0000B0060000}"/>
    <cellStyle name="Normal 4 8 2 3 2 2" xfId="8769" xr:uid="{00000000-0005-0000-0000-0000F0080000}"/>
    <cellStyle name="Normal 4 8 2 3 2 3" xfId="11166" xr:uid="{00000000-0005-0000-0000-0000F0080000}"/>
    <cellStyle name="Normal 4 8 2 3 3" xfId="5715" xr:uid="{00000000-0005-0000-0000-0000C0030000}"/>
    <cellStyle name="Normal 4 8 2 3 4" xfId="7425" xr:uid="{00000000-0005-0000-0000-0000EF080000}"/>
    <cellStyle name="Normal 4 8 2 3 5" xfId="9829" xr:uid="{00000000-0005-0000-0000-0000EF080000}"/>
    <cellStyle name="Normal 4 8 2 4" xfId="3390" xr:uid="{00000000-0005-0000-0000-0000B1060000}"/>
    <cellStyle name="Normal 4 8 2 4 2" xfId="8767" xr:uid="{00000000-0005-0000-0000-0000F1080000}"/>
    <cellStyle name="Normal 4 8 2 4 3" xfId="11164" xr:uid="{00000000-0005-0000-0000-0000F1080000}"/>
    <cellStyle name="Normal 4 8 2 5" xfId="2609" xr:uid="{00000000-0005-0000-0000-0000B2060000}"/>
    <cellStyle name="Normal 4 8 2 5 2" xfId="7807" xr:uid="{00000000-0005-0000-0000-0000F2080000}"/>
    <cellStyle name="Normal 4 8 2 5 3" xfId="10204" xr:uid="{00000000-0005-0000-0000-0000F2080000}"/>
    <cellStyle name="Normal 4 8 2 6" xfId="2377" xr:uid="{00000000-0005-0000-0000-0000AD060000}"/>
    <cellStyle name="Normal 4 8 2 7" xfId="3942" xr:uid="{00000000-0005-0000-0000-000056020000}"/>
    <cellStyle name="Normal 4 8 2 8" xfId="5485" xr:uid="{00000000-0005-0000-0000-0000BE030000}"/>
    <cellStyle name="Normal 4 8 2 9" xfId="4951" xr:uid="{00000000-0005-0000-0000-000026030000}"/>
    <cellStyle name="Normal 4 8 3" xfId="1038" xr:uid="{00000000-0005-0000-0000-0000C0050000}"/>
    <cellStyle name="Normal 4 8 3 2" xfId="3393" xr:uid="{00000000-0005-0000-0000-0000B4060000}"/>
    <cellStyle name="Normal 4 8 3 2 2" xfId="8770" xr:uid="{00000000-0005-0000-0000-0000F4080000}"/>
    <cellStyle name="Normal 4 8 3 2 3" xfId="11167" xr:uid="{00000000-0005-0000-0000-0000F4080000}"/>
    <cellStyle name="Normal 4 8 3 3" xfId="2802" xr:uid="{00000000-0005-0000-0000-0000B5060000}"/>
    <cellStyle name="Normal 4 8 3 3 2" xfId="8076" xr:uid="{00000000-0005-0000-0000-0000F5080000}"/>
    <cellStyle name="Normal 4 8 3 3 3" xfId="10473" xr:uid="{00000000-0005-0000-0000-0000F5080000}"/>
    <cellStyle name="Normal 4 8 3 4" xfId="4203" xr:uid="{00000000-0005-0000-0000-0000B3060000}"/>
    <cellStyle name="Normal 4 8 3 5" xfId="5959" xr:uid="{00000000-0005-0000-0000-0000C1030000}"/>
    <cellStyle name="Normal 4 8 3 6" xfId="5209" xr:uid="{00000000-0005-0000-0000-000028030000}"/>
    <cellStyle name="Normal 4 8 3 7" xfId="7427" xr:uid="{00000000-0005-0000-0000-0000F3080000}"/>
    <cellStyle name="Normal 4 8 3 8" xfId="9831" xr:uid="{00000000-0005-0000-0000-0000F3080000}"/>
    <cellStyle name="Normal 4 8 4" xfId="1039" xr:uid="{00000000-0005-0000-0000-0000C1050000}"/>
    <cellStyle name="Normal 4 8 4 2" xfId="4554" xr:uid="{00000000-0005-0000-0000-0000B6060000}"/>
    <cellStyle name="Normal 4 8 4 2 2" xfId="8771" xr:uid="{00000000-0005-0000-0000-0000F7080000}"/>
    <cellStyle name="Normal 4 8 4 2 3" xfId="11168" xr:uid="{00000000-0005-0000-0000-0000F7080000}"/>
    <cellStyle name="Normal 4 8 4 3" xfId="5570" xr:uid="{00000000-0005-0000-0000-0000C2030000}"/>
    <cellStyle name="Normal 4 8 4 4" xfId="7428" xr:uid="{00000000-0005-0000-0000-0000F6080000}"/>
    <cellStyle name="Normal 4 8 4 5" xfId="9832" xr:uid="{00000000-0005-0000-0000-0000F6080000}"/>
    <cellStyle name="Normal 4 8 5" xfId="2946" xr:uid="{00000000-0005-0000-0000-0000B7060000}"/>
    <cellStyle name="Normal 4 8 5 2" xfId="8277" xr:uid="{00000000-0005-0000-0000-0000F9080000}"/>
    <cellStyle name="Normal 4 8 5 2 2" xfId="10674" xr:uid="{00000000-0005-0000-0000-0000F9080000}"/>
    <cellStyle name="Normal 4 8 5 3" xfId="7424" xr:uid="{00000000-0005-0000-0000-0000F8080000}"/>
    <cellStyle name="Normal 4 8 5 4" xfId="9828" xr:uid="{00000000-0005-0000-0000-0000F8080000}"/>
    <cellStyle name="Normal 4 8 6" xfId="2446" xr:uid="{00000000-0005-0000-0000-0000B8060000}"/>
    <cellStyle name="Normal 4 8 6 2" xfId="7644" xr:uid="{00000000-0005-0000-0000-0000FA080000}"/>
    <cellStyle name="Normal 4 8 6 3" xfId="10041" xr:uid="{00000000-0005-0000-0000-0000FA080000}"/>
    <cellStyle name="Normal 4 8 7" xfId="2200" xr:uid="{00000000-0005-0000-0000-0000AC060000}"/>
    <cellStyle name="Normal 4 8 8" xfId="3998" xr:uid="{00000000-0005-0000-0000-000055020000}"/>
    <cellStyle name="Normal 4 8 9" xfId="5324" xr:uid="{00000000-0005-0000-0000-0000BD030000}"/>
    <cellStyle name="Normal 4 9" xfId="1040" xr:uid="{00000000-0005-0000-0000-0000C2050000}"/>
    <cellStyle name="Normal 4 9 10" xfId="4952" xr:uid="{00000000-0005-0000-0000-000029030000}"/>
    <cellStyle name="Normal 4 9 11" xfId="6698" xr:uid="{00000000-0005-0000-0000-0000FB080000}"/>
    <cellStyle name="Normal 4 9 12" xfId="9119" xr:uid="{00000000-0005-0000-0000-0000FB080000}"/>
    <cellStyle name="Normal 4 9 2" xfId="1041" xr:uid="{00000000-0005-0000-0000-0000C3050000}"/>
    <cellStyle name="Normal 4 9 2 10" xfId="6859" xr:uid="{00000000-0005-0000-0000-0000FC080000}"/>
    <cellStyle name="Normal 4 9 2 11" xfId="9280" xr:uid="{00000000-0005-0000-0000-0000FC080000}"/>
    <cellStyle name="Normal 4 9 2 2" xfId="1042" xr:uid="{00000000-0005-0000-0000-0000C4050000}"/>
    <cellStyle name="Normal 4 9 2 2 2" xfId="3395" xr:uid="{00000000-0005-0000-0000-0000BC060000}"/>
    <cellStyle name="Normal 4 9 2 2 2 2" xfId="8773" xr:uid="{00000000-0005-0000-0000-0000FE080000}"/>
    <cellStyle name="Normal 4 9 2 2 2 3" xfId="11170" xr:uid="{00000000-0005-0000-0000-0000FE080000}"/>
    <cellStyle name="Normal 4 9 2 2 3" xfId="4355" xr:uid="{00000000-0005-0000-0000-0000BB060000}"/>
    <cellStyle name="Normal 4 9 2 2 3 2" xfId="8079" xr:uid="{00000000-0005-0000-0000-0000FF080000}"/>
    <cellStyle name="Normal 4 9 2 2 3 3" xfId="10476" xr:uid="{00000000-0005-0000-0000-0000FF080000}"/>
    <cellStyle name="Normal 4 9 2 2 4" xfId="5962" xr:uid="{00000000-0005-0000-0000-0000C5030000}"/>
    <cellStyle name="Normal 4 9 2 2 5" xfId="7431" xr:uid="{00000000-0005-0000-0000-0000FD080000}"/>
    <cellStyle name="Normal 4 9 2 2 6" xfId="9835" xr:uid="{00000000-0005-0000-0000-0000FD080000}"/>
    <cellStyle name="Normal 4 9 2 3" xfId="3396" xr:uid="{00000000-0005-0000-0000-0000BD060000}"/>
    <cellStyle name="Normal 4 9 2 3 2" xfId="4555" xr:uid="{00000000-0005-0000-0000-0000BD060000}"/>
    <cellStyle name="Normal 4 9 2 3 2 2" xfId="8774" xr:uid="{00000000-0005-0000-0000-000001090000}"/>
    <cellStyle name="Normal 4 9 2 3 2 3" xfId="11171" xr:uid="{00000000-0005-0000-0000-000001090000}"/>
    <cellStyle name="Normal 4 9 2 3 3" xfId="5762" xr:uid="{00000000-0005-0000-0000-0000C6030000}"/>
    <cellStyle name="Normal 4 9 2 3 4" xfId="7430" xr:uid="{00000000-0005-0000-0000-000000090000}"/>
    <cellStyle name="Normal 4 9 2 3 5" xfId="9834" xr:uid="{00000000-0005-0000-0000-000000090000}"/>
    <cellStyle name="Normal 4 9 2 4" xfId="3394" xr:uid="{00000000-0005-0000-0000-0000BE060000}"/>
    <cellStyle name="Normal 4 9 2 4 2" xfId="8772" xr:uid="{00000000-0005-0000-0000-000002090000}"/>
    <cellStyle name="Normal 4 9 2 4 3" xfId="11169" xr:uid="{00000000-0005-0000-0000-000002090000}"/>
    <cellStyle name="Normal 4 9 2 5" xfId="2657" xr:uid="{00000000-0005-0000-0000-0000BF060000}"/>
    <cellStyle name="Normal 4 9 2 5 2" xfId="7869" xr:uid="{00000000-0005-0000-0000-000003090000}"/>
    <cellStyle name="Normal 4 9 2 5 3" xfId="10266" xr:uid="{00000000-0005-0000-0000-000003090000}"/>
    <cellStyle name="Normal 4 9 2 6" xfId="2378" xr:uid="{00000000-0005-0000-0000-0000BA060000}"/>
    <cellStyle name="Normal 4 9 2 7" xfId="3955" xr:uid="{00000000-0005-0000-0000-000058020000}"/>
    <cellStyle name="Normal 4 9 2 8" xfId="5547" xr:uid="{00000000-0005-0000-0000-0000C4030000}"/>
    <cellStyle name="Normal 4 9 2 9" xfId="5211" xr:uid="{00000000-0005-0000-0000-00002A030000}"/>
    <cellStyle name="Normal 4 9 3" xfId="1043" xr:uid="{00000000-0005-0000-0000-0000C5050000}"/>
    <cellStyle name="Normal 4 9 3 2" xfId="3397" xr:uid="{00000000-0005-0000-0000-0000C1060000}"/>
    <cellStyle name="Normal 4 9 3 2 2" xfId="8775" xr:uid="{00000000-0005-0000-0000-000005090000}"/>
    <cellStyle name="Normal 4 9 3 2 3" xfId="11172" xr:uid="{00000000-0005-0000-0000-000005090000}"/>
    <cellStyle name="Normal 4 9 3 3" xfId="2803" xr:uid="{00000000-0005-0000-0000-0000C2060000}"/>
    <cellStyle name="Normal 4 9 3 3 2" xfId="8078" xr:uid="{00000000-0005-0000-0000-000006090000}"/>
    <cellStyle name="Normal 4 9 3 3 3" xfId="10475" xr:uid="{00000000-0005-0000-0000-000006090000}"/>
    <cellStyle name="Normal 4 9 3 4" xfId="4204" xr:uid="{00000000-0005-0000-0000-0000C0060000}"/>
    <cellStyle name="Normal 4 9 3 5" xfId="5961" xr:uid="{00000000-0005-0000-0000-0000C7030000}"/>
    <cellStyle name="Normal 4 9 3 6" xfId="7432" xr:uid="{00000000-0005-0000-0000-000004090000}"/>
    <cellStyle name="Normal 4 9 3 7" xfId="9836" xr:uid="{00000000-0005-0000-0000-000004090000}"/>
    <cellStyle name="Normal 4 9 4" xfId="1044" xr:uid="{00000000-0005-0000-0000-0000C6050000}"/>
    <cellStyle name="Normal 4 9 4 2" xfId="4556" xr:uid="{00000000-0005-0000-0000-0000C3060000}"/>
    <cellStyle name="Normal 4 9 4 2 2" xfId="8776" xr:uid="{00000000-0005-0000-0000-000008090000}"/>
    <cellStyle name="Normal 4 9 4 2 3" xfId="11173" xr:uid="{00000000-0005-0000-0000-000008090000}"/>
    <cellStyle name="Normal 4 9 4 3" xfId="5630" xr:uid="{00000000-0005-0000-0000-0000C8030000}"/>
    <cellStyle name="Normal 4 9 4 4" xfId="7433" xr:uid="{00000000-0005-0000-0000-000007090000}"/>
    <cellStyle name="Normal 4 9 4 5" xfId="9837" xr:uid="{00000000-0005-0000-0000-000007090000}"/>
    <cellStyle name="Normal 4 9 5" xfId="2947" xr:uid="{00000000-0005-0000-0000-0000C4060000}"/>
    <cellStyle name="Normal 4 9 5 2" xfId="8278" xr:uid="{00000000-0005-0000-0000-00000A090000}"/>
    <cellStyle name="Normal 4 9 5 2 2" xfId="10675" xr:uid="{00000000-0005-0000-0000-00000A090000}"/>
    <cellStyle name="Normal 4 9 5 3" xfId="7429" xr:uid="{00000000-0005-0000-0000-000009090000}"/>
    <cellStyle name="Normal 4 9 5 4" xfId="9833" xr:uid="{00000000-0005-0000-0000-000009090000}"/>
    <cellStyle name="Normal 4 9 6" xfId="2506" xr:uid="{00000000-0005-0000-0000-0000C5060000}"/>
    <cellStyle name="Normal 4 9 6 2" xfId="7704" xr:uid="{00000000-0005-0000-0000-00000B090000}"/>
    <cellStyle name="Normal 4 9 6 3" xfId="10101" xr:uid="{00000000-0005-0000-0000-00000B090000}"/>
    <cellStyle name="Normal 4 9 7" xfId="2262" xr:uid="{00000000-0005-0000-0000-0000B9060000}"/>
    <cellStyle name="Normal 4 9 8" xfId="3999" xr:uid="{00000000-0005-0000-0000-000057020000}"/>
    <cellStyle name="Normal 4 9 9" xfId="5384" xr:uid="{00000000-0005-0000-0000-0000C3030000}"/>
    <cellStyle name="Normal 5" xfId="1045" xr:uid="{00000000-0005-0000-0000-0000C7050000}"/>
    <cellStyle name="Normal 5 2" xfId="1046" xr:uid="{00000000-0005-0000-0000-0000C8050000}"/>
    <cellStyle name="Normal 5 2 2" xfId="1047" xr:uid="{00000000-0005-0000-0000-0000C9050000}"/>
    <cellStyle name="Normal 5 2 2 2" xfId="1048" xr:uid="{00000000-0005-0000-0000-0000CA050000}"/>
    <cellStyle name="Normal 5 2 2 3" xfId="1049" xr:uid="{00000000-0005-0000-0000-0000CB050000}"/>
    <cellStyle name="Normal 5 2 2 3 2" xfId="1050" xr:uid="{00000000-0005-0000-0000-0000CC050000}"/>
    <cellStyle name="Normal 5 2 2 3 3" xfId="1051" xr:uid="{00000000-0005-0000-0000-0000CD050000}"/>
    <cellStyle name="Normal 5 2 2 3 3 2" xfId="1052" xr:uid="{00000000-0005-0000-0000-0000CE050000}"/>
    <cellStyle name="Normal 5 2 2 3 3 2 2" xfId="1053" xr:uid="{00000000-0005-0000-0000-0000CF050000}"/>
    <cellStyle name="Normal 5 2 2 3 3 2 3" xfId="1054" xr:uid="{00000000-0005-0000-0000-0000D0050000}"/>
    <cellStyle name="Normal 5 2 2 3 3 2 3 2" xfId="1055" xr:uid="{00000000-0005-0000-0000-0000D1050000}"/>
    <cellStyle name="Normal 5 2 2 3 3 2 3 2 2" xfId="1056" xr:uid="{00000000-0005-0000-0000-0000D2050000}"/>
    <cellStyle name="Normal 5 2 2 3 3 2 3 2 2 2" xfId="11380" xr:uid="{00000000-0005-0000-0000-0000EB2C0000}"/>
    <cellStyle name="Normal 5 2 2 3 3 2 3 2 2 2 2" xfId="11493" xr:uid="{00000000-0005-0000-0000-000036030000}"/>
    <cellStyle name="Normal 5 2 2 3 3 2 3 2 3" xfId="1057" xr:uid="{00000000-0005-0000-0000-0000D3050000}"/>
    <cellStyle name="Normal 5 2 2 3 3 2 3 2 3 2" xfId="1994" xr:uid="{00000000-0005-0000-0000-0000D4050000}"/>
    <cellStyle name="Normal 5 2 2 3 3 2 3 2 3 3" xfId="3718" xr:uid="{00000000-0005-0000-0000-000040050000}"/>
    <cellStyle name="Normal 5 2 2 3 3 2 3 2 4" xfId="5002" xr:uid="{00000000-0005-0000-0000-000035030000}"/>
    <cellStyle name="Normal 5 2 2 3 3 2 3 2 4 2" xfId="11533" xr:uid="{00000000-0005-0000-0000-0000BF040000}"/>
    <cellStyle name="Normal 5 2 2 3 3 2 3 3" xfId="1058" xr:uid="{00000000-0005-0000-0000-0000D5050000}"/>
    <cellStyle name="Normal 5 2 2 3 3 2 3 4" xfId="2949" xr:uid="{00000000-0005-0000-0000-0000D2060000}"/>
    <cellStyle name="Normal 5 2 2 3 3 2 3 5" xfId="2102" xr:uid="{00000000-0005-0000-0000-000062020000}"/>
    <cellStyle name="Normal 5 2 2 3 3 2 3 5 2" xfId="4646" xr:uid="{00000000-0005-0000-0000-0000CF060000}"/>
    <cellStyle name="Normal 5 2 2 3 3 2 3 6" xfId="4001" xr:uid="{00000000-0005-0000-0000-000062020000}"/>
    <cellStyle name="Normal 5 2 2 3 3 2 4" xfId="1059" xr:uid="{00000000-0005-0000-0000-0000D6050000}"/>
    <cellStyle name="Normal 5 2 2 3 3 2 4 2" xfId="2948" xr:uid="{00000000-0005-0000-0000-0000D3060000}"/>
    <cellStyle name="Normal 5 2 2 3 3 2 4 3" xfId="4701" xr:uid="{00000000-0005-0000-0000-000080120000}"/>
    <cellStyle name="Normal 5 2 2 3 3 2 5" xfId="2101" xr:uid="{00000000-0005-0000-0000-000060020000}"/>
    <cellStyle name="Normal 5 2 2 3 3 2 5 2" xfId="4665" xr:uid="{00000000-0005-0000-0000-0000CD060000}"/>
    <cellStyle name="Normal 5 2 2 3 3 2 6" xfId="4000" xr:uid="{00000000-0005-0000-0000-000060020000}"/>
    <cellStyle name="Normal 5 2 2 3 3 3" xfId="1060" xr:uid="{00000000-0005-0000-0000-0000D7050000}"/>
    <cellStyle name="Normal 5 2 2 3 3 4" xfId="1061" xr:uid="{00000000-0005-0000-0000-0000D8050000}"/>
    <cellStyle name="Normal 5 2 2 3 3 4 2" xfId="1062" xr:uid="{00000000-0005-0000-0000-0000D9050000}"/>
    <cellStyle name="Normal 5 2 2 3 3 4 2 2" xfId="1063" xr:uid="{00000000-0005-0000-0000-0000DA050000}"/>
    <cellStyle name="Normal 5 2 2 3 3 4 2 2 2" xfId="1064" xr:uid="{00000000-0005-0000-0000-0000DB050000}"/>
    <cellStyle name="Normal 5 2 2 3 3 4 2 2 2 2" xfId="1995" xr:uid="{00000000-0005-0000-0000-0000DC050000}"/>
    <cellStyle name="Normal 5 2 2 3 3 4 2 2 2 2 2" xfId="11384" xr:uid="{00000000-0005-0000-0000-0000EC2C0000}"/>
    <cellStyle name="Normal 5 2 2 3 3 4 2 2 2 3" xfId="3719" xr:uid="{00000000-0005-0000-0000-000047050000}"/>
    <cellStyle name="Normal 5 2 2 3 3 4 2 2 2 3 2" xfId="11494" xr:uid="{00000000-0005-0000-0000-00003C030000}"/>
    <cellStyle name="Normal 5 2 2 3 3 4 2 2 3" xfId="1996" xr:uid="{00000000-0005-0000-0000-0000DD050000}"/>
    <cellStyle name="Normal 5 2 2 3 3 4 2 2 4" xfId="5003" xr:uid="{00000000-0005-0000-0000-00003B030000}"/>
    <cellStyle name="Normal 5 2 2 3 3 4 2 2 4 2" xfId="11534" xr:uid="{00000000-0005-0000-0000-0000C7040000}"/>
    <cellStyle name="Normal 5 2 2 3 3 4 2 3" xfId="1065" xr:uid="{00000000-0005-0000-0000-0000DE050000}"/>
    <cellStyle name="Normal 5 2 2 3 3 4 2 3 2" xfId="1066" xr:uid="{00000000-0005-0000-0000-0000DF050000}"/>
    <cellStyle name="Normal 5 2 2 3 3 4 2 3 2 2" xfId="6039" xr:uid="{00000000-0005-0000-0000-000069020000}"/>
    <cellStyle name="Normal 5 2 2 3 3 4 2 3 2 3" xfId="5281" xr:uid="{00000000-0005-0000-0000-00003E030000}"/>
    <cellStyle name="Normal 5 2 2 3 3 4 2 3 3" xfId="1067" xr:uid="{00000000-0005-0000-0000-0000E0050000}"/>
    <cellStyle name="Normal 5 2 2 3 3 4 2 3 3 2" xfId="11370" xr:uid="{00000000-0005-0000-0000-0000ED2C0000}"/>
    <cellStyle name="Normal 5 2 2 3 3 4 2 3 3 2 2" xfId="11524" xr:uid="{00000000-0005-0000-0000-0000E0050000}"/>
    <cellStyle name="Normal 5 2 2 3 3 4 2 3 4" xfId="2104" xr:uid="{00000000-0005-0000-0000-000068020000}"/>
    <cellStyle name="Normal 5 2 2 3 3 4 2 3 4 2" xfId="11526" xr:uid="{00000000-0005-0000-0000-0000CB040000}"/>
    <cellStyle name="Normal 5 2 2 3 3 4 2 3 5" xfId="5212" xr:uid="{00000000-0005-0000-0000-00003D030000}"/>
    <cellStyle name="Normal 5 2 2 3 3 4 2 4" xfId="4702" xr:uid="{00000000-0005-0000-0000-000081120000}"/>
    <cellStyle name="Normal 5 2 2 3 3 4 3" xfId="1068" xr:uid="{00000000-0005-0000-0000-0000E1050000}"/>
    <cellStyle name="Normal 5 2 2 3 3 4 4" xfId="2950" xr:uid="{00000000-0005-0000-0000-0000DB060000}"/>
    <cellStyle name="Normal 5 2 2 3 3 4 5" xfId="2103" xr:uid="{00000000-0005-0000-0000-000065020000}"/>
    <cellStyle name="Normal 5 2 2 3 3 4 5 2" xfId="3791" xr:uid="{00000000-0005-0000-0000-0000D5060000}"/>
    <cellStyle name="Normal 5 2 2 3 3 4 6" xfId="4002" xr:uid="{00000000-0005-0000-0000-000065020000}"/>
    <cellStyle name="Normal 5 2 2 3 3 5" xfId="1069" xr:uid="{00000000-0005-0000-0000-0000E2050000}"/>
    <cellStyle name="Normal 5 2 2 3 3 5 2" xfId="1070" xr:uid="{00000000-0005-0000-0000-0000E3050000}"/>
    <cellStyle name="Normal 5 2 2 3 3 5 3" xfId="3720" xr:uid="{00000000-0005-0000-0000-00004E050000}"/>
    <cellStyle name="Normal 5 2 2 3 3 5 3 2" xfId="6500" xr:uid="{00000000-0005-0000-0000-00008E080000}"/>
    <cellStyle name="Normal 5 2 2 3 4" xfId="1071" xr:uid="{00000000-0005-0000-0000-0000E4050000}"/>
    <cellStyle name="Normal 5 2 2 3 4 2" xfId="1072" xr:uid="{00000000-0005-0000-0000-0000E5050000}"/>
    <cellStyle name="Normal 5 2 2 3 4 3" xfId="1073" xr:uid="{00000000-0005-0000-0000-0000E6050000}"/>
    <cellStyle name="Normal 5 2 2 3 4 3 2" xfId="1074" xr:uid="{00000000-0005-0000-0000-0000E7050000}"/>
    <cellStyle name="Normal 5 2 2 3 4 3 2 2" xfId="1075" xr:uid="{00000000-0005-0000-0000-0000E8050000}"/>
    <cellStyle name="Normal 5 2 2 3 4 3 2 2 2" xfId="11360" xr:uid="{00000000-0005-0000-0000-0000EE2C0000}"/>
    <cellStyle name="Normal 5 2 2 3 4 3 2 2 2 2" xfId="11495" xr:uid="{00000000-0005-0000-0000-000045030000}"/>
    <cellStyle name="Normal 5 2 2 3 4 3 2 3" xfId="1076" xr:uid="{00000000-0005-0000-0000-0000E9050000}"/>
    <cellStyle name="Normal 5 2 2 3 4 3 2 3 2" xfId="1997" xr:uid="{00000000-0005-0000-0000-0000EA050000}"/>
    <cellStyle name="Normal 5 2 2 3 4 3 2 3 3" xfId="3721" xr:uid="{00000000-0005-0000-0000-000055050000}"/>
    <cellStyle name="Normal 5 2 2 3 4 3 2 4" xfId="5004" xr:uid="{00000000-0005-0000-0000-000044030000}"/>
    <cellStyle name="Normal 5 2 2 3 4 3 2 4 2" xfId="11535" xr:uid="{00000000-0005-0000-0000-0000D5040000}"/>
    <cellStyle name="Normal 5 2 2 3 4 3 3" xfId="1077" xr:uid="{00000000-0005-0000-0000-0000EB050000}"/>
    <cellStyle name="Normal 5 2 2 3 4 3 4" xfId="2951" xr:uid="{00000000-0005-0000-0000-0000E1060000}"/>
    <cellStyle name="Normal 5 2 2 3 4 3 5" xfId="2106" xr:uid="{00000000-0005-0000-0000-00006C020000}"/>
    <cellStyle name="Normal 5 2 2 3 4 3 5 2" xfId="4053" xr:uid="{00000000-0005-0000-0000-0000DE060000}"/>
    <cellStyle name="Normal 5 2 2 3 4 3 6" xfId="4004" xr:uid="{00000000-0005-0000-0000-00006C020000}"/>
    <cellStyle name="Normal 5 2 2 3 4 4" xfId="1078" xr:uid="{00000000-0005-0000-0000-0000EC050000}"/>
    <cellStyle name="Normal 5 2 2 3 4 4 2" xfId="1998" xr:uid="{00000000-0005-0000-0000-0000ED050000}"/>
    <cellStyle name="Normal 5 2 2 3 4 4 3" xfId="3722" xr:uid="{00000000-0005-0000-0000-000058050000}"/>
    <cellStyle name="Normal 5 2 2 3 4 5" xfId="2105" xr:uid="{00000000-0005-0000-0000-00006A020000}"/>
    <cellStyle name="Normal 5 2 2 3 4 5 2" xfId="4659" xr:uid="{00000000-0005-0000-0000-0000DC060000}"/>
    <cellStyle name="Normal 5 2 2 3 4 6" xfId="4003" xr:uid="{00000000-0005-0000-0000-00006A020000}"/>
    <cellStyle name="Normal 5 2 2 3 5" xfId="2067" xr:uid="{00000000-0005-0000-0000-00005D020000}"/>
    <cellStyle name="Normal 5 2 2 4" xfId="1079" xr:uid="{00000000-0005-0000-0000-0000EE050000}"/>
    <cellStyle name="Normal 5 2 2 4 2" xfId="1080" xr:uid="{00000000-0005-0000-0000-0000EF050000}"/>
    <cellStyle name="Normal 5 2 2 4 3" xfId="1081" xr:uid="{00000000-0005-0000-0000-0000F0050000}"/>
    <cellStyle name="Normal 5 2 2 4 3 2" xfId="1082" xr:uid="{00000000-0005-0000-0000-0000F1050000}"/>
    <cellStyle name="Normal 5 2 2 4 3 2 2" xfId="1083" xr:uid="{00000000-0005-0000-0000-0000F2050000}"/>
    <cellStyle name="Normal 5 2 2 4 3 2 2 2" xfId="11361" xr:uid="{00000000-0005-0000-0000-0000EF2C0000}"/>
    <cellStyle name="Normal 5 2 2 4 3 2 2 2 2" xfId="11496" xr:uid="{00000000-0005-0000-0000-00004B030000}"/>
    <cellStyle name="Normal 5 2 2 4 3 2 3" xfId="1084" xr:uid="{00000000-0005-0000-0000-0000F3050000}"/>
    <cellStyle name="Normal 5 2 2 4 3 2 3 2" xfId="1999" xr:uid="{00000000-0005-0000-0000-0000F4050000}"/>
    <cellStyle name="Normal 5 2 2 4 3 2 3 3" xfId="3723" xr:uid="{00000000-0005-0000-0000-00005F050000}"/>
    <cellStyle name="Normal 5 2 2 4 3 2 4" xfId="5005" xr:uid="{00000000-0005-0000-0000-00004A030000}"/>
    <cellStyle name="Normal 5 2 2 4 3 2 4 2" xfId="11536" xr:uid="{00000000-0005-0000-0000-0000DD040000}"/>
    <cellStyle name="Normal 5 2 2 4 3 3" xfId="1085" xr:uid="{00000000-0005-0000-0000-0000F5050000}"/>
    <cellStyle name="Normal 5 2 2 4 3 4" xfId="2952" xr:uid="{00000000-0005-0000-0000-0000E8060000}"/>
    <cellStyle name="Normal 5 2 2 4 3 5" xfId="2108" xr:uid="{00000000-0005-0000-0000-000070020000}"/>
    <cellStyle name="Normal 5 2 2 4 3 5 2" xfId="4630" xr:uid="{00000000-0005-0000-0000-0000E5060000}"/>
    <cellStyle name="Normal 5 2 2 4 3 6" xfId="4006" xr:uid="{00000000-0005-0000-0000-000070020000}"/>
    <cellStyle name="Normal 5 2 2 4 4" xfId="1086" xr:uid="{00000000-0005-0000-0000-0000F6050000}"/>
    <cellStyle name="Normal 5 2 2 4 4 2" xfId="1087" xr:uid="{00000000-0005-0000-0000-0000F7050000}"/>
    <cellStyle name="Normal 5 2 2 4 4 3" xfId="3724" xr:uid="{00000000-0005-0000-0000-000062050000}"/>
    <cellStyle name="Normal 5 2 2 4 5" xfId="2107" xr:uid="{00000000-0005-0000-0000-00006E020000}"/>
    <cellStyle name="Normal 5 2 2 4 5 2" xfId="4679" xr:uid="{00000000-0005-0000-0000-0000E3060000}"/>
    <cellStyle name="Normal 5 2 2 4 6" xfId="4005" xr:uid="{00000000-0005-0000-0000-00006E020000}"/>
    <cellStyle name="Normal 5 2 3" xfId="1088" xr:uid="{00000000-0005-0000-0000-0000F8050000}"/>
    <cellStyle name="Normal 5 2 3 2" xfId="1089" xr:uid="{00000000-0005-0000-0000-0000F9050000}"/>
    <cellStyle name="Normal 5 2 3 3" xfId="1090" xr:uid="{00000000-0005-0000-0000-0000FA050000}"/>
    <cellStyle name="Normal 5 2 3 4" xfId="1091" xr:uid="{00000000-0005-0000-0000-0000FB050000}"/>
    <cellStyle name="Normal 5 2 4" xfId="1092" xr:uid="{00000000-0005-0000-0000-0000FC050000}"/>
    <cellStyle name="Normal 5 2 4 2" xfId="1093" xr:uid="{00000000-0005-0000-0000-0000FD050000}"/>
    <cellStyle name="Normal 5 2 4 3" xfId="1094" xr:uid="{00000000-0005-0000-0000-0000FE050000}"/>
    <cellStyle name="Normal 5 2 4 3 2" xfId="1095" xr:uid="{00000000-0005-0000-0000-0000FF050000}"/>
    <cellStyle name="Normal 5 2 4 3 2 2" xfId="1096" xr:uid="{00000000-0005-0000-0000-000000060000}"/>
    <cellStyle name="Normal 5 2 4 3 2 3" xfId="1097" xr:uid="{00000000-0005-0000-0000-000001060000}"/>
    <cellStyle name="Normal 5 2 4 3 2 3 2" xfId="1098" xr:uid="{00000000-0005-0000-0000-000002060000}"/>
    <cellStyle name="Normal 5 2 4 3 2 3 2 2" xfId="1099" xr:uid="{00000000-0005-0000-0000-000003060000}"/>
    <cellStyle name="Normal 5 2 4 3 2 3 2 2 2" xfId="11348" xr:uid="{00000000-0005-0000-0000-0000F02C0000}"/>
    <cellStyle name="Normal 5 2 4 3 2 3 2 2 2 2" xfId="11497" xr:uid="{00000000-0005-0000-0000-000056030000}"/>
    <cellStyle name="Normal 5 2 4 3 2 3 2 3" xfId="1100" xr:uid="{00000000-0005-0000-0000-000004060000}"/>
    <cellStyle name="Normal 5 2 4 3 2 3 2 3 2" xfId="2000" xr:uid="{00000000-0005-0000-0000-000005060000}"/>
    <cellStyle name="Normal 5 2 4 3 2 3 2 3 3" xfId="3725" xr:uid="{00000000-0005-0000-0000-000070050000}"/>
    <cellStyle name="Normal 5 2 4 3 2 3 2 4" xfId="5006" xr:uid="{00000000-0005-0000-0000-000055030000}"/>
    <cellStyle name="Normal 5 2 4 3 2 3 2 4 2" xfId="11537" xr:uid="{00000000-0005-0000-0000-0000EA040000}"/>
    <cellStyle name="Normal 5 2 4 3 2 3 3" xfId="1101" xr:uid="{00000000-0005-0000-0000-000006060000}"/>
    <cellStyle name="Normal 5 2 4 3 2 3 4" xfId="2954" xr:uid="{00000000-0005-0000-0000-0000F4060000}"/>
    <cellStyle name="Normal 5 2 4 3 2 3 5" xfId="2110" xr:uid="{00000000-0005-0000-0000-000079020000}"/>
    <cellStyle name="Normal 5 2 4 3 2 3 5 2" xfId="4629" xr:uid="{00000000-0005-0000-0000-0000F1060000}"/>
    <cellStyle name="Normal 5 2 4 3 2 3 6" xfId="4008" xr:uid="{00000000-0005-0000-0000-000079020000}"/>
    <cellStyle name="Normal 5 2 4 3 2 4" xfId="1102" xr:uid="{00000000-0005-0000-0000-000007060000}"/>
    <cellStyle name="Normal 5 2 4 3 2 4 2" xfId="2953" xr:uid="{00000000-0005-0000-0000-0000F5060000}"/>
    <cellStyle name="Normal 5 2 4 3 2 4 3" xfId="4703" xr:uid="{00000000-0005-0000-0000-000082120000}"/>
    <cellStyle name="Normal 5 2 4 3 2 5" xfId="2109" xr:uid="{00000000-0005-0000-0000-000077020000}"/>
    <cellStyle name="Normal 5 2 4 3 2 5 2" xfId="4634" xr:uid="{00000000-0005-0000-0000-0000EF060000}"/>
    <cellStyle name="Normal 5 2 4 3 2 6" xfId="4007" xr:uid="{00000000-0005-0000-0000-000077020000}"/>
    <cellStyle name="Normal 5 2 4 3 3" xfId="1103" xr:uid="{00000000-0005-0000-0000-000008060000}"/>
    <cellStyle name="Normal 5 2 4 3 4" xfId="1104" xr:uid="{00000000-0005-0000-0000-000009060000}"/>
    <cellStyle name="Normal 5 2 4 3 4 2" xfId="1105" xr:uid="{00000000-0005-0000-0000-00000A060000}"/>
    <cellStyle name="Normal 5 2 4 3 4 2 2" xfId="1106" xr:uid="{00000000-0005-0000-0000-00000B060000}"/>
    <cellStyle name="Normal 5 2 4 3 4 2 2 2" xfId="1107" xr:uid="{00000000-0005-0000-0000-00000C060000}"/>
    <cellStyle name="Normal 5 2 4 3 4 2 2 2 2" xfId="2001" xr:uid="{00000000-0005-0000-0000-00000D060000}"/>
    <cellStyle name="Normal 5 2 4 3 4 2 2 2 2 2" xfId="11390" xr:uid="{00000000-0005-0000-0000-0000F12C0000}"/>
    <cellStyle name="Normal 5 2 4 3 4 2 2 2 3" xfId="3726" xr:uid="{00000000-0005-0000-0000-000077050000}"/>
    <cellStyle name="Normal 5 2 4 3 4 2 2 2 3 2" xfId="11498" xr:uid="{00000000-0005-0000-0000-00005C030000}"/>
    <cellStyle name="Normal 5 2 4 3 4 2 2 3" xfId="2002" xr:uid="{00000000-0005-0000-0000-00000E060000}"/>
    <cellStyle name="Normal 5 2 4 3 4 2 2 4" xfId="5007" xr:uid="{00000000-0005-0000-0000-00005B030000}"/>
    <cellStyle name="Normal 5 2 4 3 4 2 2 4 2" xfId="11538" xr:uid="{00000000-0005-0000-0000-0000F2040000}"/>
    <cellStyle name="Normal 5 2 4 3 4 2 3" xfId="1108" xr:uid="{00000000-0005-0000-0000-00000F060000}"/>
    <cellStyle name="Normal 5 2 4 3 4 2 3 2" xfId="1109" xr:uid="{00000000-0005-0000-0000-000010060000}"/>
    <cellStyle name="Normal 5 2 4 3 4 2 3 2 2" xfId="6041" xr:uid="{00000000-0005-0000-0000-000080020000}"/>
    <cellStyle name="Normal 5 2 4 3 4 2 3 2 3" xfId="5282" xr:uid="{00000000-0005-0000-0000-00005E030000}"/>
    <cellStyle name="Normal 5 2 4 3 4 2 3 3" xfId="1110" xr:uid="{00000000-0005-0000-0000-000011060000}"/>
    <cellStyle name="Normal 5 2 4 3 4 2 3 3 2" xfId="11376" xr:uid="{00000000-0005-0000-0000-0000F22C0000}"/>
    <cellStyle name="Normal 5 2 4 3 4 2 3 3 2 2" xfId="11521" xr:uid="{00000000-0005-0000-0000-000011060000}"/>
    <cellStyle name="Normal 5 2 4 3 4 2 3 4" xfId="2112" xr:uid="{00000000-0005-0000-0000-00007F020000}"/>
    <cellStyle name="Normal 5 2 4 3 4 2 3 4 2" xfId="11517" xr:uid="{00000000-0005-0000-0000-0000F6040000}"/>
    <cellStyle name="Normal 5 2 4 3 4 2 3 5" xfId="5213" xr:uid="{00000000-0005-0000-0000-00005D030000}"/>
    <cellStyle name="Normal 5 2 4 3 4 2 4" xfId="4704" xr:uid="{00000000-0005-0000-0000-000083120000}"/>
    <cellStyle name="Normal 5 2 4 3 4 3" xfId="1111" xr:uid="{00000000-0005-0000-0000-000012060000}"/>
    <cellStyle name="Normal 5 2 4 3 4 4" xfId="2955" xr:uid="{00000000-0005-0000-0000-0000FD060000}"/>
    <cellStyle name="Normal 5 2 4 3 4 5" xfId="2111" xr:uid="{00000000-0005-0000-0000-00007C020000}"/>
    <cellStyle name="Normal 5 2 4 3 4 5 2" xfId="4640" xr:uid="{00000000-0005-0000-0000-0000F7060000}"/>
    <cellStyle name="Normal 5 2 4 3 4 6" xfId="4009" xr:uid="{00000000-0005-0000-0000-00007C020000}"/>
    <cellStyle name="Normal 5 2 4 3 5" xfId="1112" xr:uid="{00000000-0005-0000-0000-000013060000}"/>
    <cellStyle name="Normal 5 2 4 3 5 2" xfId="1113" xr:uid="{00000000-0005-0000-0000-000014060000}"/>
    <cellStyle name="Normal 5 2 4 3 5 3" xfId="3727" xr:uid="{00000000-0005-0000-0000-00007E050000}"/>
    <cellStyle name="Normal 5 2 4 3 5 3 2" xfId="6456" xr:uid="{00000000-0005-0000-0000-0000BC080000}"/>
    <cellStyle name="Normal 5 2 4 4" xfId="1114" xr:uid="{00000000-0005-0000-0000-000015060000}"/>
    <cellStyle name="Normal 5 2 4 4 2" xfId="1115" xr:uid="{00000000-0005-0000-0000-000016060000}"/>
    <cellStyle name="Normal 5 2 4 4 3" xfId="1116" xr:uid="{00000000-0005-0000-0000-000017060000}"/>
    <cellStyle name="Normal 5 2 4 4 3 2" xfId="1117" xr:uid="{00000000-0005-0000-0000-000018060000}"/>
    <cellStyle name="Normal 5 2 4 4 3 2 2" xfId="1118" xr:uid="{00000000-0005-0000-0000-000019060000}"/>
    <cellStyle name="Normal 5 2 4 4 3 2 2 2" xfId="11382" xr:uid="{00000000-0005-0000-0000-0000F32C0000}"/>
    <cellStyle name="Normal 5 2 4 4 3 2 2 2 2" xfId="11499" xr:uid="{00000000-0005-0000-0000-000065030000}"/>
    <cellStyle name="Normal 5 2 4 4 3 2 3" xfId="1119" xr:uid="{00000000-0005-0000-0000-00001A060000}"/>
    <cellStyle name="Normal 5 2 4 4 3 2 3 2" xfId="2003" xr:uid="{00000000-0005-0000-0000-00001B060000}"/>
    <cellStyle name="Normal 5 2 4 4 3 2 3 3" xfId="3728" xr:uid="{00000000-0005-0000-0000-000085050000}"/>
    <cellStyle name="Normal 5 2 4 4 3 2 4" xfId="5008" xr:uid="{00000000-0005-0000-0000-000064030000}"/>
    <cellStyle name="Normal 5 2 4 4 3 2 4 2" xfId="11539" xr:uid="{00000000-0005-0000-0000-000000050000}"/>
    <cellStyle name="Normal 5 2 4 4 3 3" xfId="1120" xr:uid="{00000000-0005-0000-0000-00001C060000}"/>
    <cellStyle name="Normal 5 2 4 4 3 4" xfId="2956" xr:uid="{00000000-0005-0000-0000-000003070000}"/>
    <cellStyle name="Normal 5 2 4 4 3 5" xfId="2114" xr:uid="{00000000-0005-0000-0000-000083020000}"/>
    <cellStyle name="Normal 5 2 4 4 3 5 2" xfId="3783" xr:uid="{00000000-0005-0000-0000-000000070000}"/>
    <cellStyle name="Normal 5 2 4 4 3 6" xfId="4011" xr:uid="{00000000-0005-0000-0000-000083020000}"/>
    <cellStyle name="Normal 5 2 4 4 4" xfId="1121" xr:uid="{00000000-0005-0000-0000-00001D060000}"/>
    <cellStyle name="Normal 5 2 4 4 4 2" xfId="1122" xr:uid="{00000000-0005-0000-0000-00001E060000}"/>
    <cellStyle name="Normal 5 2 4 4 4 3" xfId="3729" xr:uid="{00000000-0005-0000-0000-000088050000}"/>
    <cellStyle name="Normal 5 2 4 4 5" xfId="1123" xr:uid="{00000000-0005-0000-0000-00001F060000}"/>
    <cellStyle name="Normal 5 2 4 4 5 2" xfId="4685" xr:uid="{00000000-0005-0000-0000-0000FE060000}"/>
    <cellStyle name="Normal 5 2 4 4 5 3" xfId="4660" xr:uid="{00000000-0005-0000-0000-0000FE060000}"/>
    <cellStyle name="Normal 5 2 4 4 6" xfId="2113" xr:uid="{00000000-0005-0000-0000-000081020000}"/>
    <cellStyle name="Normal 5 2 4 4 7" xfId="4010" xr:uid="{00000000-0005-0000-0000-000081020000}"/>
    <cellStyle name="Normal 5 2 4 5" xfId="1124" xr:uid="{00000000-0005-0000-0000-000020060000}"/>
    <cellStyle name="Normal 5 2 4 5 2" xfId="1125" xr:uid="{00000000-0005-0000-0000-000021060000}"/>
    <cellStyle name="Normal 5 2 4 5 3" xfId="3730" xr:uid="{00000000-0005-0000-0000-00008A050000}"/>
    <cellStyle name="Normal 5 2 4 6" xfId="2068" xr:uid="{00000000-0005-0000-0000-000074020000}"/>
    <cellStyle name="Normal 5 2 5" xfId="1126" xr:uid="{00000000-0005-0000-0000-000022060000}"/>
    <cellStyle name="Normal 5 2 6" xfId="1127" xr:uid="{00000000-0005-0000-0000-000023060000}"/>
    <cellStyle name="Normal 5 2 6 2" xfId="1128" xr:uid="{00000000-0005-0000-0000-000024060000}"/>
    <cellStyle name="Normal 5 2 6 3" xfId="1129" xr:uid="{00000000-0005-0000-0000-000025060000}"/>
    <cellStyle name="Normal 5 2 6 3 2" xfId="1130" xr:uid="{00000000-0005-0000-0000-000026060000}"/>
    <cellStyle name="Normal 5 2 6 3 2 2" xfId="1131" xr:uid="{00000000-0005-0000-0000-000027060000}"/>
    <cellStyle name="Normal 5 2 6 3 2 2 2" xfId="11385" xr:uid="{00000000-0005-0000-0000-0000F42C0000}"/>
    <cellStyle name="Normal 5 2 6 3 2 2 2 2" xfId="11500" xr:uid="{00000000-0005-0000-0000-00006C030000}"/>
    <cellStyle name="Normal 5 2 6 3 2 3" xfId="1132" xr:uid="{00000000-0005-0000-0000-000028060000}"/>
    <cellStyle name="Normal 5 2 6 3 2 3 2" xfId="2004" xr:uid="{00000000-0005-0000-0000-000029060000}"/>
    <cellStyle name="Normal 5 2 6 3 2 3 3" xfId="3731" xr:uid="{00000000-0005-0000-0000-000092050000}"/>
    <cellStyle name="Normal 5 2 6 3 2 4" xfId="5009" xr:uid="{00000000-0005-0000-0000-00006B030000}"/>
    <cellStyle name="Normal 5 2 6 3 2 4 2" xfId="11540" xr:uid="{00000000-0005-0000-0000-000009050000}"/>
    <cellStyle name="Normal 5 2 6 3 3" xfId="1133" xr:uid="{00000000-0005-0000-0000-00002A060000}"/>
    <cellStyle name="Normal 5 2 6 3 4" xfId="2958" xr:uid="{00000000-0005-0000-0000-00000B070000}"/>
    <cellStyle name="Normal 5 2 6 3 5" xfId="2116" xr:uid="{00000000-0005-0000-0000-000088020000}"/>
    <cellStyle name="Normal 5 2 6 3 5 2" xfId="4643" xr:uid="{00000000-0005-0000-0000-000008070000}"/>
    <cellStyle name="Normal 5 2 6 3 6" xfId="4013" xr:uid="{00000000-0005-0000-0000-000088020000}"/>
    <cellStyle name="Normal 5 2 6 4" xfId="2957" xr:uid="{00000000-0005-0000-0000-00000C070000}"/>
    <cellStyle name="Normal 5 2 6 5" xfId="2115" xr:uid="{00000000-0005-0000-0000-000086020000}"/>
    <cellStyle name="Normal 5 2 6 5 2" xfId="3961" xr:uid="{00000000-0005-0000-0000-000006070000}"/>
    <cellStyle name="Normal 5 2 6 6" xfId="4012" xr:uid="{00000000-0005-0000-0000-000086020000}"/>
    <cellStyle name="Normal 5 2 7" xfId="1134" xr:uid="{00000000-0005-0000-0000-00002B060000}"/>
    <cellStyle name="Normal 5 2 7 2" xfId="1135" xr:uid="{00000000-0005-0000-0000-00002C060000}"/>
    <cellStyle name="Normal 5 2 7 3" xfId="1136" xr:uid="{00000000-0005-0000-0000-00002D060000}"/>
    <cellStyle name="Normal 5 2 7 4" xfId="3732" xr:uid="{00000000-0005-0000-0000-000095050000}"/>
    <cellStyle name="Normal 5 3" xfId="1137" xr:uid="{00000000-0005-0000-0000-00002E060000}"/>
    <cellStyle name="Normal 5 3 2" xfId="1138" xr:uid="{00000000-0005-0000-0000-00002F060000}"/>
    <cellStyle name="Normal 5 3 3" xfId="1139" xr:uid="{00000000-0005-0000-0000-000030060000}"/>
    <cellStyle name="Normal 5 3 3 2" xfId="1140" xr:uid="{00000000-0005-0000-0000-000031060000}"/>
    <cellStyle name="Normal 5 3 3 2 2" xfId="1141" xr:uid="{00000000-0005-0000-0000-000032060000}"/>
    <cellStyle name="Normal 5 3 3 2 3" xfId="1142" xr:uid="{00000000-0005-0000-0000-000033060000}"/>
    <cellStyle name="Normal 5 3 3 2 3 2" xfId="1143" xr:uid="{00000000-0005-0000-0000-000034060000}"/>
    <cellStyle name="Normal 5 3 3 2 3 2 2" xfId="1144" xr:uid="{00000000-0005-0000-0000-000035060000}"/>
    <cellStyle name="Normal 5 3 3 2 3 2 2 2" xfId="11486" xr:uid="{00000000-0005-0000-0000-0000F52C0000}"/>
    <cellStyle name="Normal 5 3 3 2 3 2 2 2 2" xfId="11501" xr:uid="{00000000-0005-0000-0000-000075030000}"/>
    <cellStyle name="Normal 5 3 3 2 3 2 3" xfId="1145" xr:uid="{00000000-0005-0000-0000-000036060000}"/>
    <cellStyle name="Normal 5 3 3 2 3 2 3 2" xfId="2005" xr:uid="{00000000-0005-0000-0000-000037060000}"/>
    <cellStyle name="Normal 5 3 3 2 3 2 3 3" xfId="3733" xr:uid="{00000000-0005-0000-0000-00009F050000}"/>
    <cellStyle name="Normal 5 3 3 2 3 2 4" xfId="5010" xr:uid="{00000000-0005-0000-0000-000074030000}"/>
    <cellStyle name="Normal 5 3 3 2 3 2 4 2" xfId="11541" xr:uid="{00000000-0005-0000-0000-000014050000}"/>
    <cellStyle name="Normal 5 3 3 2 3 3" xfId="1146" xr:uid="{00000000-0005-0000-0000-000038060000}"/>
    <cellStyle name="Normal 5 3 3 2 3 4" xfId="2959" xr:uid="{00000000-0005-0000-0000-000015070000}"/>
    <cellStyle name="Normal 5 3 3 2 3 5" xfId="2118" xr:uid="{00000000-0005-0000-0000-00008F020000}"/>
    <cellStyle name="Normal 5 3 3 2 3 5 2" xfId="4667" xr:uid="{00000000-0005-0000-0000-000012070000}"/>
    <cellStyle name="Normal 5 3 3 2 3 6" xfId="4015" xr:uid="{00000000-0005-0000-0000-00008F020000}"/>
    <cellStyle name="Normal 5 3 3 2 4" xfId="1147" xr:uid="{00000000-0005-0000-0000-000039060000}"/>
    <cellStyle name="Normal 5 3 3 2 4 2" xfId="1148" xr:uid="{00000000-0005-0000-0000-00003A060000}"/>
    <cellStyle name="Normal 5 3 3 2 4 3" xfId="1149" xr:uid="{00000000-0005-0000-0000-00003B060000}"/>
    <cellStyle name="Normal 5 3 3 2 4 4" xfId="3734" xr:uid="{00000000-0005-0000-0000-0000A2050000}"/>
    <cellStyle name="Normal 5 3 3 2 5" xfId="2117" xr:uid="{00000000-0005-0000-0000-00008D020000}"/>
    <cellStyle name="Normal 5 3 3 2 5 2" xfId="4642" xr:uid="{00000000-0005-0000-0000-000010070000}"/>
    <cellStyle name="Normal 5 3 3 2 6" xfId="4014" xr:uid="{00000000-0005-0000-0000-00008D020000}"/>
    <cellStyle name="Normal 5 3 3 3" xfId="1150" xr:uid="{00000000-0005-0000-0000-00003C060000}"/>
    <cellStyle name="Normal 5 3 3 3 2" xfId="1151" xr:uid="{00000000-0005-0000-0000-00003D060000}"/>
    <cellStyle name="Normal 5 3 3 3 3" xfId="3735" xr:uid="{00000000-0005-0000-0000-0000A4050000}"/>
    <cellStyle name="Normal 5 3 3 4" xfId="1152" xr:uid="{00000000-0005-0000-0000-00003E060000}"/>
    <cellStyle name="Normal 5 3 3 4 2" xfId="1153" xr:uid="{00000000-0005-0000-0000-00003F060000}"/>
    <cellStyle name="Normal 5 3 3 4 2 2" xfId="1154" xr:uid="{00000000-0005-0000-0000-000040060000}"/>
    <cellStyle name="Normal 5 3 3 4 2 2 2" xfId="1155" xr:uid="{00000000-0005-0000-0000-000041060000}"/>
    <cellStyle name="Normal 5 3 3 4 2 2 2 2" xfId="2006" xr:uid="{00000000-0005-0000-0000-000042060000}"/>
    <cellStyle name="Normal 5 3 3 4 2 2 2 2 2" xfId="11369" xr:uid="{00000000-0005-0000-0000-0000F62C0000}"/>
    <cellStyle name="Normal 5 3 3 4 2 2 2 3" xfId="3736" xr:uid="{00000000-0005-0000-0000-0000A9050000}"/>
    <cellStyle name="Normal 5 3 3 4 2 2 2 3 2" xfId="11502" xr:uid="{00000000-0005-0000-0000-00007B030000}"/>
    <cellStyle name="Normal 5 3 3 4 2 2 3" xfId="2007" xr:uid="{00000000-0005-0000-0000-000043060000}"/>
    <cellStyle name="Normal 5 3 3 4 2 2 4" xfId="5011" xr:uid="{00000000-0005-0000-0000-00007A030000}"/>
    <cellStyle name="Normal 5 3 3 4 2 2 4 2" xfId="11542" xr:uid="{00000000-0005-0000-0000-00001C050000}"/>
    <cellStyle name="Normal 5 3 3 4 2 3" xfId="1156" xr:uid="{00000000-0005-0000-0000-000044060000}"/>
    <cellStyle name="Normal 5 3 3 4 2 3 2" xfId="1157" xr:uid="{00000000-0005-0000-0000-000045060000}"/>
    <cellStyle name="Normal 5 3 3 4 2 3 2 2" xfId="6038" xr:uid="{00000000-0005-0000-0000-000096020000}"/>
    <cellStyle name="Normal 5 3 3 4 2 3 2 3" xfId="5283" xr:uid="{00000000-0005-0000-0000-00007D030000}"/>
    <cellStyle name="Normal 5 3 3 4 2 3 3" xfId="1158" xr:uid="{00000000-0005-0000-0000-000046060000}"/>
    <cellStyle name="Normal 5 3 3 4 2 3 3 2" xfId="11349" xr:uid="{00000000-0005-0000-0000-0000F72C0000}"/>
    <cellStyle name="Normal 5 3 3 4 2 3 3 2 2" xfId="11523" xr:uid="{00000000-0005-0000-0000-000046060000}"/>
    <cellStyle name="Normal 5 3 3 4 2 3 4" xfId="2120" xr:uid="{00000000-0005-0000-0000-000095020000}"/>
    <cellStyle name="Normal 5 3 3 4 2 3 4 2" xfId="11527" xr:uid="{00000000-0005-0000-0000-000020050000}"/>
    <cellStyle name="Normal 5 3 3 4 2 3 5" xfId="5214" xr:uid="{00000000-0005-0000-0000-00007C030000}"/>
    <cellStyle name="Normal 5 3 3 4 2 4" xfId="4705" xr:uid="{00000000-0005-0000-0000-000084120000}"/>
    <cellStyle name="Normal 5 3 3 4 3" xfId="1159" xr:uid="{00000000-0005-0000-0000-000047060000}"/>
    <cellStyle name="Normal 5 3 3 4 4" xfId="2960" xr:uid="{00000000-0005-0000-0000-00001E070000}"/>
    <cellStyle name="Normal 5 3 3 4 5" xfId="2119" xr:uid="{00000000-0005-0000-0000-000092020000}"/>
    <cellStyle name="Normal 5 3 3 4 5 2" xfId="4670" xr:uid="{00000000-0005-0000-0000-000018070000}"/>
    <cellStyle name="Normal 5 3 3 4 6" xfId="4016" xr:uid="{00000000-0005-0000-0000-000092020000}"/>
    <cellStyle name="Normal 5 3 3 5" xfId="1160" xr:uid="{00000000-0005-0000-0000-000048060000}"/>
    <cellStyle name="Normal 5 3 3 5 2" xfId="1161" xr:uid="{00000000-0005-0000-0000-000049060000}"/>
    <cellStyle name="Normal 5 3 3 5 3" xfId="3737" xr:uid="{00000000-0005-0000-0000-0000B0050000}"/>
    <cellStyle name="Normal 5 3 3 5 3 2" xfId="6476" xr:uid="{00000000-0005-0000-0000-0000E9080000}"/>
    <cellStyle name="Normal 5 3 3 6" xfId="1162" xr:uid="{00000000-0005-0000-0000-00004A060000}"/>
    <cellStyle name="Normal 5 3 3 6 2" xfId="2008" xr:uid="{00000000-0005-0000-0000-00004B060000}"/>
    <cellStyle name="Normal 5 3 3 6 3" xfId="3738" xr:uid="{00000000-0005-0000-0000-0000B2050000}"/>
    <cellStyle name="Normal 5 3 4" xfId="1163" xr:uid="{00000000-0005-0000-0000-00004C060000}"/>
    <cellStyle name="Normal 5 3 4 2" xfId="1164" xr:uid="{00000000-0005-0000-0000-00004D060000}"/>
    <cellStyle name="Normal 5 3 4 3" xfId="1165" xr:uid="{00000000-0005-0000-0000-00004E060000}"/>
    <cellStyle name="Normal 5 3 4 3 2" xfId="1166" xr:uid="{00000000-0005-0000-0000-00004F060000}"/>
    <cellStyle name="Normal 5 3 4 3 2 2" xfId="1167" xr:uid="{00000000-0005-0000-0000-000050060000}"/>
    <cellStyle name="Normal 5 3 4 3 2 2 2" xfId="11355" xr:uid="{00000000-0005-0000-0000-0000F82C0000}"/>
    <cellStyle name="Normal 5 3 4 3 2 2 2 2" xfId="11503" xr:uid="{00000000-0005-0000-0000-000084030000}"/>
    <cellStyle name="Normal 5 3 4 3 2 3" xfId="1168" xr:uid="{00000000-0005-0000-0000-000051060000}"/>
    <cellStyle name="Normal 5 3 4 3 2 3 2" xfId="2009" xr:uid="{00000000-0005-0000-0000-000052060000}"/>
    <cellStyle name="Normal 5 3 4 3 2 3 3" xfId="3739" xr:uid="{00000000-0005-0000-0000-0000B9050000}"/>
    <cellStyle name="Normal 5 3 4 3 2 4" xfId="5012" xr:uid="{00000000-0005-0000-0000-000083030000}"/>
    <cellStyle name="Normal 5 3 4 3 2 4 2" xfId="11543" xr:uid="{00000000-0005-0000-0000-00002A050000}"/>
    <cellStyle name="Normal 5 3 4 3 3" xfId="1169" xr:uid="{00000000-0005-0000-0000-000053060000}"/>
    <cellStyle name="Normal 5 3 4 3 4" xfId="2961" xr:uid="{00000000-0005-0000-0000-000024070000}"/>
    <cellStyle name="Normal 5 3 4 3 5" xfId="2122" xr:uid="{00000000-0005-0000-0000-000099020000}"/>
    <cellStyle name="Normal 5 3 4 3 5 2" xfId="3818" xr:uid="{00000000-0005-0000-0000-000021070000}"/>
    <cellStyle name="Normal 5 3 4 3 6" xfId="4018" xr:uid="{00000000-0005-0000-0000-000099020000}"/>
    <cellStyle name="Normal 5 3 4 4" xfId="1170" xr:uid="{00000000-0005-0000-0000-000054060000}"/>
    <cellStyle name="Normal 5 3 4 4 2" xfId="2010" xr:uid="{00000000-0005-0000-0000-000055060000}"/>
    <cellStyle name="Normal 5 3 4 4 3" xfId="3740" xr:uid="{00000000-0005-0000-0000-0000BC050000}"/>
    <cellStyle name="Normal 5 3 4 5" xfId="2121" xr:uid="{00000000-0005-0000-0000-000097020000}"/>
    <cellStyle name="Normal 5 3 4 5 2" xfId="4652" xr:uid="{00000000-0005-0000-0000-00001F070000}"/>
    <cellStyle name="Normal 5 3 4 6" xfId="4017" xr:uid="{00000000-0005-0000-0000-000097020000}"/>
    <cellStyle name="Normal 5 3 5" xfId="2069" xr:uid="{00000000-0005-0000-0000-00008A020000}"/>
    <cellStyle name="Normal 5 4" xfId="1171" xr:uid="{00000000-0005-0000-0000-000056060000}"/>
    <cellStyle name="Normal 5 4 2" xfId="1172" xr:uid="{00000000-0005-0000-0000-000057060000}"/>
    <cellStyle name="Normal 5 4 3" xfId="1173" xr:uid="{00000000-0005-0000-0000-000058060000}"/>
    <cellStyle name="Normal 5 4 3 2" xfId="1174" xr:uid="{00000000-0005-0000-0000-000059060000}"/>
    <cellStyle name="Normal 5 4 3 3" xfId="3741" xr:uid="{00000000-0005-0000-0000-0000C0050000}"/>
    <cellStyle name="Normal 5 5" xfId="1175" xr:uid="{00000000-0005-0000-0000-00005A060000}"/>
    <cellStyle name="Normal 5 5 10" xfId="1176" xr:uid="{00000000-0005-0000-0000-00005B060000}"/>
    <cellStyle name="Normal 5 5 10 2" xfId="1177" xr:uid="{00000000-0005-0000-0000-00005C060000}"/>
    <cellStyle name="Normal 5 5 10 2 2" xfId="1178" xr:uid="{00000000-0005-0000-0000-00005D060000}"/>
    <cellStyle name="Normal 5 5 10 2 2 2" xfId="11372" xr:uid="{00000000-0005-0000-0000-0000F92C0000}"/>
    <cellStyle name="Normal 5 5 10 2 2 2 2" xfId="11504" xr:uid="{00000000-0005-0000-0000-00008B030000}"/>
    <cellStyle name="Normal 5 5 10 2 3" xfId="1179" xr:uid="{00000000-0005-0000-0000-00005E060000}"/>
    <cellStyle name="Normal 5 5 10 2 3 2" xfId="2011" xr:uid="{00000000-0005-0000-0000-00005F060000}"/>
    <cellStyle name="Normal 5 5 10 2 3 3" xfId="3742" xr:uid="{00000000-0005-0000-0000-0000C6050000}"/>
    <cellStyle name="Normal 5 5 10 2 4" xfId="5013" xr:uid="{00000000-0005-0000-0000-00008A030000}"/>
    <cellStyle name="Normal 5 5 10 2 4 2" xfId="11544" xr:uid="{00000000-0005-0000-0000-000033050000}"/>
    <cellStyle name="Normal 5 5 10 3" xfId="1180" xr:uid="{00000000-0005-0000-0000-000060060000}"/>
    <cellStyle name="Normal 5 5 10 4" xfId="2962" xr:uid="{00000000-0005-0000-0000-00002C070000}"/>
    <cellStyle name="Normal 5 5 10 5" xfId="2124" xr:uid="{00000000-0005-0000-0000-00009E020000}"/>
    <cellStyle name="Normal 5 5 10 5 2" xfId="3790" xr:uid="{00000000-0005-0000-0000-000029070000}"/>
    <cellStyle name="Normal 5 5 10 6" xfId="4020" xr:uid="{00000000-0005-0000-0000-00009E020000}"/>
    <cellStyle name="Normal 5 5 11" xfId="1181" xr:uid="{00000000-0005-0000-0000-000061060000}"/>
    <cellStyle name="Normal 5 5 11 2" xfId="2422" xr:uid="{00000000-0005-0000-0000-00002E070000}"/>
    <cellStyle name="Normal 5 5 11 2 2" xfId="2963" xr:uid="{00000000-0005-0000-0000-00002F070000}"/>
    <cellStyle name="Normal 5 5 11 2 2 2" xfId="6326" xr:uid="{00000000-0005-0000-0000-00002F070000}"/>
    <cellStyle name="Normal 5 5 11 2 2 3" xfId="8279" xr:uid="{00000000-0005-0000-0000-0000AB090000}"/>
    <cellStyle name="Normal 5 5 11 2 2 4" xfId="10676" xr:uid="{00000000-0005-0000-0000-0000AB090000}"/>
    <cellStyle name="Normal 5 5 11 2 3" xfId="4740" xr:uid="{00000000-0005-0000-0000-00001D050000}"/>
    <cellStyle name="Normal 5 5 11 2 3 2" xfId="6124" xr:uid="{00000000-0005-0000-0000-00002E070000}"/>
    <cellStyle name="Normal 5 5 11 2 4" xfId="5215" xr:uid="{00000000-0005-0000-0000-00008E030000}"/>
    <cellStyle name="Normal 5 5 11 2 5" xfId="6860" xr:uid="{00000000-0005-0000-0000-0000AA090000}"/>
    <cellStyle name="Normal 5 5 11 2 6" xfId="9281" xr:uid="{00000000-0005-0000-0000-0000AA090000}"/>
    <cellStyle name="Normal 5 5 11 3" xfId="2804" xr:uid="{00000000-0005-0000-0000-000030070000}"/>
    <cellStyle name="Normal 5 5 11 3 2" xfId="6225" xr:uid="{00000000-0005-0000-0000-000030070000}"/>
    <cellStyle name="Normal 5 5 11 3 3" xfId="7436" xr:uid="{00000000-0005-0000-0000-0000AC090000}"/>
    <cellStyle name="Normal 5 5 11 3 4" xfId="9838" xr:uid="{00000000-0005-0000-0000-0000AC090000}"/>
    <cellStyle name="Normal 5 5 11 4" xfId="2379" xr:uid="{00000000-0005-0000-0000-00002D070000}"/>
    <cellStyle name="Normal 5 5 11 4 2" xfId="6077" xr:uid="{00000000-0005-0000-0000-00002D070000}"/>
    <cellStyle name="Normal 5 5 11 4 3" xfId="8080" xr:uid="{00000000-0005-0000-0000-0000AD090000}"/>
    <cellStyle name="Normal 5 5 11 4 4" xfId="10477" xr:uid="{00000000-0005-0000-0000-0000AD090000}"/>
    <cellStyle name="Normal 5 5 11 5" xfId="4021" xr:uid="{00000000-0005-0000-0000-0000A0020000}"/>
    <cellStyle name="Normal 5 5 11 6" xfId="5966" xr:uid="{00000000-0005-0000-0000-000013040000}"/>
    <cellStyle name="Normal 5 5 11 7" xfId="4953" xr:uid="{00000000-0005-0000-0000-00008D030000}"/>
    <cellStyle name="Normal 5 5 11 8" xfId="6699" xr:uid="{00000000-0005-0000-0000-0000A9090000}"/>
    <cellStyle name="Normal 5 5 11 9" xfId="9120" xr:uid="{00000000-0005-0000-0000-0000A9090000}"/>
    <cellStyle name="Normal 5 5 12" xfId="1182" xr:uid="{00000000-0005-0000-0000-000062060000}"/>
    <cellStyle name="Normal 5 5 12 2" xfId="1183" xr:uid="{00000000-0005-0000-0000-000063060000}"/>
    <cellStyle name="Normal 5 5 12 3" xfId="1184" xr:uid="{00000000-0005-0000-0000-000064060000}"/>
    <cellStyle name="Normal 5 5 12 3 2" xfId="1185" xr:uid="{00000000-0005-0000-0000-000065060000}"/>
    <cellStyle name="Normal 5 5 12 3 2 2" xfId="7438" xr:uid="{00000000-0005-0000-0000-0000B1090000}"/>
    <cellStyle name="Normal 5 5 12 3 2 3" xfId="9839" xr:uid="{00000000-0005-0000-0000-0000B1090000}"/>
    <cellStyle name="Normal 5 5 12 3 3" xfId="3773" xr:uid="{00000000-0005-0000-0000-000031070000}"/>
    <cellStyle name="Normal 5 5 12 4" xfId="1186" xr:uid="{00000000-0005-0000-0000-000066060000}"/>
    <cellStyle name="Normal 5 5 12 4 2" xfId="2012" xr:uid="{00000000-0005-0000-0000-000067060000}"/>
    <cellStyle name="Normal 5 5 12 4 3" xfId="3743" xr:uid="{00000000-0005-0000-0000-0000CD050000}"/>
    <cellStyle name="Normal 5 5 12 5" xfId="1187" xr:uid="{00000000-0005-0000-0000-000068060000}"/>
    <cellStyle name="Normal 5 5 12 6" xfId="2013" xr:uid="{00000000-0005-0000-0000-000069060000}"/>
    <cellStyle name="Normal 5 5 12 6 2" xfId="7437" xr:uid="{00000000-0005-0000-0000-0000B4090000}"/>
    <cellStyle name="Normal 5 5 12 7" xfId="2134" xr:uid="{00000000-0005-0000-0000-0000A1020000}"/>
    <cellStyle name="Normal 5 5 12 8" xfId="4040" xr:uid="{00000000-0005-0000-0000-0000A1020000}"/>
    <cellStyle name="Normal 5 5 13" xfId="1188" xr:uid="{00000000-0005-0000-0000-00006A060000}"/>
    <cellStyle name="Normal 5 5 13 2" xfId="4557" xr:uid="{00000000-0005-0000-0000-000033070000}"/>
    <cellStyle name="Normal 5 5 13 2 2" xfId="8777" xr:uid="{00000000-0005-0000-0000-0000B6090000}"/>
    <cellStyle name="Normal 5 5 13 2 3" xfId="11174" xr:uid="{00000000-0005-0000-0000-0000B6090000}"/>
    <cellStyle name="Normal 5 5 13 3" xfId="5563" xr:uid="{00000000-0005-0000-0000-000015040000}"/>
    <cellStyle name="Normal 5 5 13 4" xfId="7439" xr:uid="{00000000-0005-0000-0000-0000B5090000}"/>
    <cellStyle name="Normal 5 5 13 5" xfId="9840" xr:uid="{00000000-0005-0000-0000-0000B5090000}"/>
    <cellStyle name="Normal 5 5 14" xfId="1189" xr:uid="{00000000-0005-0000-0000-00006B060000}"/>
    <cellStyle name="Normal 5 5 14 2" xfId="1190" xr:uid="{00000000-0005-0000-0000-00006C060000}"/>
    <cellStyle name="Normal 5 5 14 3" xfId="3744" xr:uid="{00000000-0005-0000-0000-0000D2050000}"/>
    <cellStyle name="Normal 5 5 14 3 2" xfId="6325" xr:uid="{00000000-0005-0000-0000-000034070000}"/>
    <cellStyle name="Normal 5 5 14 4" xfId="4689" xr:uid="{00000000-0005-0000-0000-000022050000}"/>
    <cellStyle name="Normal 5 5 15" xfId="2440" xr:uid="{00000000-0005-0000-0000-000035070000}"/>
    <cellStyle name="Normal 5 5 15 2" xfId="7637" xr:uid="{00000000-0005-0000-0000-0000B9090000}"/>
    <cellStyle name="Normal 5 5 15 3" xfId="10034" xr:uid="{00000000-0005-0000-0000-0000B9090000}"/>
    <cellStyle name="Normal 5 5 16" xfId="2170" xr:uid="{00000000-0005-0000-0000-000028070000}"/>
    <cellStyle name="Normal 5 5 17" xfId="2123" xr:uid="{00000000-0005-0000-0000-00009D020000}"/>
    <cellStyle name="Normal 5 5 18" xfId="4019" xr:uid="{00000000-0005-0000-0000-00009D020000}"/>
    <cellStyle name="Normal 5 5 19" xfId="5317" xr:uid="{00000000-0005-0000-0000-00000F040000}"/>
    <cellStyle name="Normal 5 5 2" xfId="1191" xr:uid="{00000000-0005-0000-0000-00006D060000}"/>
    <cellStyle name="Normal 5 5 2 10" xfId="4833" xr:uid="{00000000-0005-0000-0000-000090030000}"/>
    <cellStyle name="Normal 5 5 2 11" xfId="6579" xr:uid="{00000000-0005-0000-0000-0000BA090000}"/>
    <cellStyle name="Normal 5 5 2 12" xfId="9000" xr:uid="{00000000-0005-0000-0000-0000BA090000}"/>
    <cellStyle name="Normal 5 5 2 2" xfId="1192" xr:uid="{00000000-0005-0000-0000-00006E060000}"/>
    <cellStyle name="Normal 5 5 2 2 10" xfId="4954" xr:uid="{00000000-0005-0000-0000-000091030000}"/>
    <cellStyle name="Normal 5 5 2 2 11" xfId="6700" xr:uid="{00000000-0005-0000-0000-0000BB090000}"/>
    <cellStyle name="Normal 5 5 2 2 12" xfId="9121" xr:uid="{00000000-0005-0000-0000-0000BB090000}"/>
    <cellStyle name="Normal 5 5 2 2 2" xfId="1193" xr:uid="{00000000-0005-0000-0000-00006F060000}"/>
    <cellStyle name="Normal 5 5 2 2 2 10" xfId="6861" xr:uid="{00000000-0005-0000-0000-0000BC090000}"/>
    <cellStyle name="Normal 5 5 2 2 2 11" xfId="9282" xr:uid="{00000000-0005-0000-0000-0000BC090000}"/>
    <cellStyle name="Normal 5 5 2 2 2 2" xfId="2806" xr:uid="{00000000-0005-0000-0000-000039070000}"/>
    <cellStyle name="Normal 5 5 2 2 2 2 2" xfId="3399" xr:uid="{00000000-0005-0000-0000-00003A070000}"/>
    <cellStyle name="Normal 5 5 2 2 2 2 2 2" xfId="8779" xr:uid="{00000000-0005-0000-0000-0000BE090000}"/>
    <cellStyle name="Normal 5 5 2 2 2 2 2 3" xfId="11176" xr:uid="{00000000-0005-0000-0000-0000BE090000}"/>
    <cellStyle name="Normal 5 5 2 2 2 2 3" xfId="4356" xr:uid="{00000000-0005-0000-0000-000039070000}"/>
    <cellStyle name="Normal 5 5 2 2 2 2 3 2" xfId="8082" xr:uid="{00000000-0005-0000-0000-0000BF090000}"/>
    <cellStyle name="Normal 5 5 2 2 2 2 3 3" xfId="10479" xr:uid="{00000000-0005-0000-0000-0000BF090000}"/>
    <cellStyle name="Normal 5 5 2 2 2 2 4" xfId="5968" xr:uid="{00000000-0005-0000-0000-000019040000}"/>
    <cellStyle name="Normal 5 5 2 2 2 2 5" xfId="7441" xr:uid="{00000000-0005-0000-0000-0000BD090000}"/>
    <cellStyle name="Normal 5 5 2 2 2 2 6" xfId="9842" xr:uid="{00000000-0005-0000-0000-0000BD090000}"/>
    <cellStyle name="Normal 5 5 2 2 2 3" xfId="3400" xr:uid="{00000000-0005-0000-0000-00003B070000}"/>
    <cellStyle name="Normal 5 5 2 2 2 3 2" xfId="4558" xr:uid="{00000000-0005-0000-0000-00003B070000}"/>
    <cellStyle name="Normal 5 5 2 2 2 3 3" xfId="5756" xr:uid="{00000000-0005-0000-0000-00001A040000}"/>
    <cellStyle name="Normal 5 5 2 2 2 3 4" xfId="8780" xr:uid="{00000000-0005-0000-0000-0000C0090000}"/>
    <cellStyle name="Normal 5 5 2 2 2 3 5" xfId="11177" xr:uid="{00000000-0005-0000-0000-0000C0090000}"/>
    <cellStyle name="Normal 5 5 2 2 2 4" xfId="3398" xr:uid="{00000000-0005-0000-0000-00003C070000}"/>
    <cellStyle name="Normal 5 5 2 2 2 4 2" xfId="8778" xr:uid="{00000000-0005-0000-0000-0000C1090000}"/>
    <cellStyle name="Normal 5 5 2 2 2 4 3" xfId="11175" xr:uid="{00000000-0005-0000-0000-0000C1090000}"/>
    <cellStyle name="Normal 5 5 2 2 2 5" xfId="2650" xr:uid="{00000000-0005-0000-0000-00003D070000}"/>
    <cellStyle name="Normal 5 5 2 2 2 5 2" xfId="7860" xr:uid="{00000000-0005-0000-0000-0000C2090000}"/>
    <cellStyle name="Normal 5 5 2 2 2 5 3" xfId="10257" xr:uid="{00000000-0005-0000-0000-0000C2090000}"/>
    <cellStyle name="Normal 5 5 2 2 2 6" xfId="2380" xr:uid="{00000000-0005-0000-0000-000038070000}"/>
    <cellStyle name="Normal 5 5 2 2 2 7" xfId="4052" xr:uid="{00000000-0005-0000-0000-0000A5020000}"/>
    <cellStyle name="Normal 5 5 2 2 2 8" xfId="5538" xr:uid="{00000000-0005-0000-0000-000018040000}"/>
    <cellStyle name="Normal 5 5 2 2 2 9" xfId="5216" xr:uid="{00000000-0005-0000-0000-000092030000}"/>
    <cellStyle name="Normal 5 5 2 2 3" xfId="1194" xr:uid="{00000000-0005-0000-0000-000070060000}"/>
    <cellStyle name="Normal 5 5 2 2 3 2" xfId="3401" xr:uid="{00000000-0005-0000-0000-00003F070000}"/>
    <cellStyle name="Normal 5 5 2 2 3 2 2" xfId="8781" xr:uid="{00000000-0005-0000-0000-0000C4090000}"/>
    <cellStyle name="Normal 5 5 2 2 3 2 3" xfId="11178" xr:uid="{00000000-0005-0000-0000-0000C4090000}"/>
    <cellStyle name="Normal 5 5 2 2 3 3" xfId="2805" xr:uid="{00000000-0005-0000-0000-000040070000}"/>
    <cellStyle name="Normal 5 5 2 2 3 3 2" xfId="8081" xr:uid="{00000000-0005-0000-0000-0000C5090000}"/>
    <cellStyle name="Normal 5 5 2 2 3 3 3" xfId="10478" xr:uid="{00000000-0005-0000-0000-0000C5090000}"/>
    <cellStyle name="Normal 5 5 2 2 3 4" xfId="4205" xr:uid="{00000000-0005-0000-0000-00003E070000}"/>
    <cellStyle name="Normal 5 5 2 2 3 5" xfId="5967" xr:uid="{00000000-0005-0000-0000-00001B040000}"/>
    <cellStyle name="Normal 5 5 2 2 3 6" xfId="7442" xr:uid="{00000000-0005-0000-0000-0000C3090000}"/>
    <cellStyle name="Normal 5 5 2 2 3 7" xfId="9843" xr:uid="{00000000-0005-0000-0000-0000C3090000}"/>
    <cellStyle name="Normal 5 5 2 2 4" xfId="3402" xr:uid="{00000000-0005-0000-0000-000041070000}"/>
    <cellStyle name="Normal 5 5 2 2 4 2" xfId="4559" xr:uid="{00000000-0005-0000-0000-000041070000}"/>
    <cellStyle name="Normal 5 5 2 2 4 2 2" xfId="8782" xr:uid="{00000000-0005-0000-0000-0000C7090000}"/>
    <cellStyle name="Normal 5 5 2 2 4 2 3" xfId="11179" xr:uid="{00000000-0005-0000-0000-0000C7090000}"/>
    <cellStyle name="Normal 5 5 2 2 4 3" xfId="5671" xr:uid="{00000000-0005-0000-0000-00001C040000}"/>
    <cellStyle name="Normal 5 5 2 2 4 4" xfId="7440" xr:uid="{00000000-0005-0000-0000-0000C6090000}"/>
    <cellStyle name="Normal 5 5 2 2 4 5" xfId="9841" xr:uid="{00000000-0005-0000-0000-0000C6090000}"/>
    <cellStyle name="Normal 5 5 2 2 5" xfId="2964" xr:uid="{00000000-0005-0000-0000-000042070000}"/>
    <cellStyle name="Normal 5 5 2 2 5 2" xfId="8280" xr:uid="{00000000-0005-0000-0000-0000C8090000}"/>
    <cellStyle name="Normal 5 5 2 2 5 3" xfId="10677" xr:uid="{00000000-0005-0000-0000-0000C8090000}"/>
    <cellStyle name="Normal 5 5 2 2 6" xfId="2559" xr:uid="{00000000-0005-0000-0000-000043070000}"/>
    <cellStyle name="Normal 5 5 2 2 6 2" xfId="7757" xr:uid="{00000000-0005-0000-0000-0000C9090000}"/>
    <cellStyle name="Normal 5 5 2 2 6 3" xfId="10154" xr:uid="{00000000-0005-0000-0000-0000C9090000}"/>
    <cellStyle name="Normal 5 5 2 2 7" xfId="2253" xr:uid="{00000000-0005-0000-0000-000037070000}"/>
    <cellStyle name="Normal 5 5 2 2 8" xfId="4022" xr:uid="{00000000-0005-0000-0000-0000A4020000}"/>
    <cellStyle name="Normal 5 5 2 2 9" xfId="5437" xr:uid="{00000000-0005-0000-0000-000017040000}"/>
    <cellStyle name="Normal 5 5 2 3" xfId="1195" xr:uid="{00000000-0005-0000-0000-000071060000}"/>
    <cellStyle name="Normal 5 5 2 3 2" xfId="2808" xr:uid="{00000000-0005-0000-0000-000045070000}"/>
    <cellStyle name="Normal 5 5 2 3 2 2" xfId="3403" xr:uid="{00000000-0005-0000-0000-000046070000}"/>
    <cellStyle name="Normal 5 5 2 3 2 2 2" xfId="8783" xr:uid="{00000000-0005-0000-0000-0000CC090000}"/>
    <cellStyle name="Normal 5 5 2 3 2 2 3" xfId="11180" xr:uid="{00000000-0005-0000-0000-0000CC090000}"/>
    <cellStyle name="Normal 5 5 2 3 2 3" xfId="4357" xr:uid="{00000000-0005-0000-0000-000045070000}"/>
    <cellStyle name="Normal 5 5 2 3 2 3 2" xfId="11414" xr:uid="{00000000-0005-0000-0000-000017090000}"/>
    <cellStyle name="Normal 5 5 2 3 2 4" xfId="8083" xr:uid="{00000000-0005-0000-0000-0000CB090000}"/>
    <cellStyle name="Normal 5 5 2 3 2 5" xfId="10480" xr:uid="{00000000-0005-0000-0000-0000CB090000}"/>
    <cellStyle name="Normal 5 5 2 3 3" xfId="2807" xr:uid="{00000000-0005-0000-0000-000047070000}"/>
    <cellStyle name="Normal 5 5 2 3 4" xfId="3404" xr:uid="{00000000-0005-0000-0000-000048070000}"/>
    <cellStyle name="Normal 5 5 2 3 4 2" xfId="4560" xr:uid="{00000000-0005-0000-0000-000048070000}"/>
    <cellStyle name="Normal 5 5 2 3 4 2 2" xfId="11479" xr:uid="{00000000-0005-0000-0000-00001A090000}"/>
    <cellStyle name="Normal 5 5 2 3 4 3" xfId="8784" xr:uid="{00000000-0005-0000-0000-0000CE090000}"/>
    <cellStyle name="Normal 5 5 2 3 4 4" xfId="11181" xr:uid="{00000000-0005-0000-0000-0000CE090000}"/>
    <cellStyle name="Normal 5 5 2 3 5" xfId="2602" xr:uid="{00000000-0005-0000-0000-000049070000}"/>
    <cellStyle name="Normal 5 5 2 3 5 2" xfId="7800" xr:uid="{00000000-0005-0000-0000-0000CF090000}"/>
    <cellStyle name="Normal 5 5 2 3 5 3" xfId="10197" xr:uid="{00000000-0005-0000-0000-0000CF090000}"/>
    <cellStyle name="Normal 5 5 2 3 6" xfId="5478" xr:uid="{00000000-0005-0000-0000-00001D040000}"/>
    <cellStyle name="Normal 5 5 2 4" xfId="1196" xr:uid="{00000000-0005-0000-0000-000072060000}"/>
    <cellStyle name="Normal 5 5 2 4 2" xfId="2423" xr:uid="{00000000-0005-0000-0000-00004B070000}"/>
    <cellStyle name="Normal 5 5 2 4 2 2" xfId="2965" xr:uid="{00000000-0005-0000-0000-00004C070000}"/>
    <cellStyle name="Normal 5 5 2 4 2 2 2" xfId="6327" xr:uid="{00000000-0005-0000-0000-00004C070000}"/>
    <cellStyle name="Normal 5 5 2 4 2 2 3" xfId="8281" xr:uid="{00000000-0005-0000-0000-0000D2090000}"/>
    <cellStyle name="Normal 5 5 2 4 2 2 4" xfId="10678" xr:uid="{00000000-0005-0000-0000-0000D2090000}"/>
    <cellStyle name="Normal 5 5 2 4 2 3" xfId="4741" xr:uid="{00000000-0005-0000-0000-00002E050000}"/>
    <cellStyle name="Normal 5 5 2 4 2 3 2" xfId="6125" xr:uid="{00000000-0005-0000-0000-00004B070000}"/>
    <cellStyle name="Normal 5 5 2 4 2 4" xfId="5217" xr:uid="{00000000-0005-0000-0000-000095030000}"/>
    <cellStyle name="Normal 5 5 2 4 2 5" xfId="6862" xr:uid="{00000000-0005-0000-0000-0000D1090000}"/>
    <cellStyle name="Normal 5 5 2 4 2 6" xfId="9283" xr:uid="{00000000-0005-0000-0000-0000D1090000}"/>
    <cellStyle name="Normal 5 5 2 4 3" xfId="2809" xr:uid="{00000000-0005-0000-0000-00004D070000}"/>
    <cellStyle name="Normal 5 5 2 4 3 2" xfId="6226" xr:uid="{00000000-0005-0000-0000-00004D070000}"/>
    <cellStyle name="Normal 5 5 2 4 3 3" xfId="7443" xr:uid="{00000000-0005-0000-0000-0000D3090000}"/>
    <cellStyle name="Normal 5 5 2 4 3 4" xfId="9844" xr:uid="{00000000-0005-0000-0000-0000D3090000}"/>
    <cellStyle name="Normal 5 5 2 4 4" xfId="2381" xr:uid="{00000000-0005-0000-0000-00004A070000}"/>
    <cellStyle name="Normal 5 5 2 4 4 2" xfId="6078" xr:uid="{00000000-0005-0000-0000-00004A070000}"/>
    <cellStyle name="Normal 5 5 2 4 4 3" xfId="8084" xr:uid="{00000000-0005-0000-0000-0000D4090000}"/>
    <cellStyle name="Normal 5 5 2 4 4 4" xfId="10481" xr:uid="{00000000-0005-0000-0000-0000D4090000}"/>
    <cellStyle name="Normal 5 5 2 4 5" xfId="4024" xr:uid="{00000000-0005-0000-0000-0000A7020000}"/>
    <cellStyle name="Normal 5 5 2 4 6" xfId="5969" xr:uid="{00000000-0005-0000-0000-000021040000}"/>
    <cellStyle name="Normal 5 5 2 4 7" xfId="4955" xr:uid="{00000000-0005-0000-0000-000094030000}"/>
    <cellStyle name="Normal 5 5 2 4 8" xfId="6701" xr:uid="{00000000-0005-0000-0000-0000D0090000}"/>
    <cellStyle name="Normal 5 5 2 4 9" xfId="9122" xr:uid="{00000000-0005-0000-0000-0000D0090000}"/>
    <cellStyle name="Normal 5 5 2 5" xfId="1197" xr:uid="{00000000-0005-0000-0000-000073060000}"/>
    <cellStyle name="Normal 5 5 2 5 2" xfId="1198" xr:uid="{00000000-0005-0000-0000-000074060000}"/>
    <cellStyle name="Normal 5 5 2 5 2 2" xfId="7444" xr:uid="{00000000-0005-0000-0000-0000D6090000}"/>
    <cellStyle name="Normal 5 5 2 5 2 3" xfId="9845" xr:uid="{00000000-0005-0000-0000-0000D6090000}"/>
    <cellStyle name="Normal 5 5 2 6" xfId="1199" xr:uid="{00000000-0005-0000-0000-000075060000}"/>
    <cellStyle name="Normal 5 5 2 6 2" xfId="4561" xr:uid="{00000000-0005-0000-0000-00004F070000}"/>
    <cellStyle name="Normal 5 5 2 6 2 2" xfId="8785" xr:uid="{00000000-0005-0000-0000-0000D8090000}"/>
    <cellStyle name="Normal 5 5 2 6 2 3" xfId="11182" xr:uid="{00000000-0005-0000-0000-0000D8090000}"/>
    <cellStyle name="Normal 5 5 2 6 3" xfId="5623" xr:uid="{00000000-0005-0000-0000-000023040000}"/>
    <cellStyle name="Normal 5 5 2 6 4" xfId="7445" xr:uid="{00000000-0005-0000-0000-0000D7090000}"/>
    <cellStyle name="Normal 5 5 2 6 5" xfId="9846" xr:uid="{00000000-0005-0000-0000-0000D7090000}"/>
    <cellStyle name="Normal 5 5 2 7" xfId="1200" xr:uid="{00000000-0005-0000-0000-000076060000}"/>
    <cellStyle name="Normal 5 5 2 7 2" xfId="2499" xr:uid="{00000000-0005-0000-0000-000050070000}"/>
    <cellStyle name="Normal 5 5 2 7 3" xfId="2045" xr:uid="{00000000-0005-0000-0000-000076060000}"/>
    <cellStyle name="Normal 5 5 2 7 4" xfId="6154" xr:uid="{00000000-0005-0000-0000-000050070000}"/>
    <cellStyle name="Normal 5 5 2 8" xfId="2193" xr:uid="{00000000-0005-0000-0000-000036070000}"/>
    <cellStyle name="Normal 5 5 2 8 2" xfId="7697" xr:uid="{00000000-0005-0000-0000-0000DA090000}"/>
    <cellStyle name="Normal 5 5 2 8 3" xfId="10094" xr:uid="{00000000-0005-0000-0000-0000DA090000}"/>
    <cellStyle name="Normal 5 5 2 9" xfId="5377" xr:uid="{00000000-0005-0000-0000-000016040000}"/>
    <cellStyle name="Normal 5 5 20" xfId="4772" xr:uid="{00000000-0005-0000-0000-000088030000}"/>
    <cellStyle name="Normal 5 5 21" xfId="6536" xr:uid="{00000000-0005-0000-0000-0000A2090000}"/>
    <cellStyle name="Normal 5 5 22" xfId="8957" xr:uid="{00000000-0005-0000-0000-0000A2090000}"/>
    <cellStyle name="Normal 5 5 3" xfId="1201" xr:uid="{00000000-0005-0000-0000-000077060000}"/>
    <cellStyle name="Normal 5 5 3 10" xfId="5354" xr:uid="{00000000-0005-0000-0000-000024040000}"/>
    <cellStyle name="Normal 5 5 3 11" xfId="4810" xr:uid="{00000000-0005-0000-0000-000097030000}"/>
    <cellStyle name="Normal 5 5 3 12" xfId="6556" xr:uid="{00000000-0005-0000-0000-0000DB090000}"/>
    <cellStyle name="Normal 5 5 3 13" xfId="8977" xr:uid="{00000000-0005-0000-0000-0000DB090000}"/>
    <cellStyle name="Normal 5 5 3 2" xfId="1202" xr:uid="{00000000-0005-0000-0000-000078060000}"/>
    <cellStyle name="Normal 5 5 3 2 10" xfId="6702" xr:uid="{00000000-0005-0000-0000-0000DC090000}"/>
    <cellStyle name="Normal 5 5 3 2 11" xfId="9123" xr:uid="{00000000-0005-0000-0000-0000DC090000}"/>
    <cellStyle name="Normal 5 5 3 2 2" xfId="1203" xr:uid="{00000000-0005-0000-0000-000079060000}"/>
    <cellStyle name="Normal 5 5 3 2 2 2" xfId="3406" xr:uid="{00000000-0005-0000-0000-000054070000}"/>
    <cellStyle name="Normal 5 5 3 2 2 2 2" xfId="6414" xr:uid="{00000000-0005-0000-0000-000054070000}"/>
    <cellStyle name="Normal 5 5 3 2 2 2 2 2" xfId="8787" xr:uid="{00000000-0005-0000-0000-0000DF090000}"/>
    <cellStyle name="Normal 5 5 3 2 2 2 2 3" xfId="11184" xr:uid="{00000000-0005-0000-0000-0000DF090000}"/>
    <cellStyle name="Normal 5 5 3 2 2 2 3" xfId="7447" xr:uid="{00000000-0005-0000-0000-0000DE090000}"/>
    <cellStyle name="Normal 5 5 3 2 2 2 4" xfId="9848" xr:uid="{00000000-0005-0000-0000-0000DE090000}"/>
    <cellStyle name="Normal 5 5 3 2 2 3" xfId="4358" xr:uid="{00000000-0005-0000-0000-000053070000}"/>
    <cellStyle name="Normal 5 5 3 2 2 3 2" xfId="6227" xr:uid="{00000000-0005-0000-0000-000053070000}"/>
    <cellStyle name="Normal 5 5 3 2 2 3 3" xfId="8086" xr:uid="{00000000-0005-0000-0000-0000E0090000}"/>
    <cellStyle name="Normal 5 5 3 2 2 3 4" xfId="10483" xr:uid="{00000000-0005-0000-0000-0000E0090000}"/>
    <cellStyle name="Normal 5 5 3 2 2 4" xfId="5971" xr:uid="{00000000-0005-0000-0000-000026040000}"/>
    <cellStyle name="Normal 5 5 3 2 2 5" xfId="5218" xr:uid="{00000000-0005-0000-0000-000099030000}"/>
    <cellStyle name="Normal 5 5 3 2 2 6" xfId="6863" xr:uid="{00000000-0005-0000-0000-0000DD090000}"/>
    <cellStyle name="Normal 5 5 3 2 2 7" xfId="9284" xr:uid="{00000000-0005-0000-0000-0000DD090000}"/>
    <cellStyle name="Normal 5 5 3 2 3" xfId="3407" xr:uid="{00000000-0005-0000-0000-000055070000}"/>
    <cellStyle name="Normal 5 5 3 2 3 2" xfId="4562" xr:uid="{00000000-0005-0000-0000-000055070000}"/>
    <cellStyle name="Normal 5 5 3 2 3 2 2" xfId="8788" xr:uid="{00000000-0005-0000-0000-0000E2090000}"/>
    <cellStyle name="Normal 5 5 3 2 3 2 3" xfId="11185" xr:uid="{00000000-0005-0000-0000-0000E2090000}"/>
    <cellStyle name="Normal 5 5 3 2 3 3" xfId="5659" xr:uid="{00000000-0005-0000-0000-000027040000}"/>
    <cellStyle name="Normal 5 5 3 2 3 4" xfId="7446" xr:uid="{00000000-0005-0000-0000-0000E1090000}"/>
    <cellStyle name="Normal 5 5 3 2 3 5" xfId="9847" xr:uid="{00000000-0005-0000-0000-0000E1090000}"/>
    <cellStyle name="Normal 5 5 3 2 4" xfId="3405" xr:uid="{00000000-0005-0000-0000-000056070000}"/>
    <cellStyle name="Normal 5 5 3 2 4 2" xfId="6413" xr:uid="{00000000-0005-0000-0000-000056070000}"/>
    <cellStyle name="Normal 5 5 3 2 4 3" xfId="8786" xr:uid="{00000000-0005-0000-0000-0000E3090000}"/>
    <cellStyle name="Normal 5 5 3 2 4 4" xfId="11183" xr:uid="{00000000-0005-0000-0000-0000E3090000}"/>
    <cellStyle name="Normal 5 5 3 2 5" xfId="2536" xr:uid="{00000000-0005-0000-0000-000057070000}"/>
    <cellStyle name="Normal 5 5 3 2 5 2" xfId="7734" xr:uid="{00000000-0005-0000-0000-0000E4090000}"/>
    <cellStyle name="Normal 5 5 3 2 5 3" xfId="10131" xr:uid="{00000000-0005-0000-0000-0000E4090000}"/>
    <cellStyle name="Normal 5 5 3 2 6" xfId="2382" xr:uid="{00000000-0005-0000-0000-000052070000}"/>
    <cellStyle name="Normal 5 5 3 2 7" xfId="4026" xr:uid="{00000000-0005-0000-0000-0000AA020000}"/>
    <cellStyle name="Normal 5 5 3 2 8" xfId="5414" xr:uid="{00000000-0005-0000-0000-000025040000}"/>
    <cellStyle name="Normal 5 5 3 2 9" xfId="4957" xr:uid="{00000000-0005-0000-0000-000098030000}"/>
    <cellStyle name="Normal 5 5 3 3" xfId="1204" xr:uid="{00000000-0005-0000-0000-00007A060000}"/>
    <cellStyle name="Normal 5 5 3 3 2" xfId="1205" xr:uid="{00000000-0005-0000-0000-00007B060000}"/>
    <cellStyle name="Normal 5 5 3 3 2 2" xfId="1206" xr:uid="{00000000-0005-0000-0000-00007C060000}"/>
    <cellStyle name="Normal 5 5 3 3 2 2 2" xfId="3410" xr:uid="{00000000-0005-0000-0000-00005A070000}"/>
    <cellStyle name="Normal 5 5 3 3 2 2 2 2" xfId="8790" xr:uid="{00000000-0005-0000-0000-0000E8090000}"/>
    <cellStyle name="Normal 5 5 3 3 2 2 2 3" xfId="11187" xr:uid="{00000000-0005-0000-0000-0000E8090000}"/>
    <cellStyle name="Normal 5 5 3 3 2 2 3" xfId="3654" xr:uid="{00000000-0005-0000-0000-00007C060000}"/>
    <cellStyle name="Normal 5 5 3 3 2 2 4" xfId="6415" xr:uid="{00000000-0005-0000-0000-00005A070000}"/>
    <cellStyle name="Normal 5 5 3 3 2 2 5" xfId="11567" xr:uid="{00000000-0005-0000-0000-00004C050000}"/>
    <cellStyle name="Normal 5 5 3 3 2 3" xfId="3409" xr:uid="{00000000-0005-0000-0000-00005B070000}"/>
    <cellStyle name="Normal 5 5 3 3 2 3 2" xfId="11377" xr:uid="{00000000-0005-0000-0000-0000FA2C0000}"/>
    <cellStyle name="Normal 5 5 3 3 2 4" xfId="2811" xr:uid="{00000000-0005-0000-0000-000059070000}"/>
    <cellStyle name="Normal 5 5 3 3 2 4 2" xfId="8087" xr:uid="{00000000-0005-0000-0000-0000EA090000}"/>
    <cellStyle name="Normal 5 5 3 3 2 4 3" xfId="10484" xr:uid="{00000000-0005-0000-0000-0000EA090000}"/>
    <cellStyle name="Normal 5 5 3 3 2 5" xfId="3745" xr:uid="{00000000-0005-0000-0000-0000E2050000}"/>
    <cellStyle name="Normal 5 5 3 3 2 5 2" xfId="3789" xr:uid="{00000000-0005-0000-0000-0000AC020000}"/>
    <cellStyle name="Normal 5 5 3 3 2 5 2 2" xfId="6519" xr:uid="{00000000-0005-0000-0000-000033090000}"/>
    <cellStyle name="Normal 5 5 3 3 2 5 3" xfId="11415" xr:uid="{00000000-0005-0000-0000-000033090000}"/>
    <cellStyle name="Normal 5 5 3 3 2 6" xfId="5972" xr:uid="{00000000-0005-0000-0000-000029040000}"/>
    <cellStyle name="Normal 5 5 3 3 3" xfId="1207" xr:uid="{00000000-0005-0000-0000-00007D060000}"/>
    <cellStyle name="Normal 5 5 3 3 3 2" xfId="3411" xr:uid="{00000000-0005-0000-0000-00005C070000}"/>
    <cellStyle name="Normal 5 5 3 3 3 2 2" xfId="6505" xr:uid="{00000000-0005-0000-0000-000035090000}"/>
    <cellStyle name="Normal 5 5 3 3 3 2 3" xfId="8791" xr:uid="{00000000-0005-0000-0000-0000EC090000}"/>
    <cellStyle name="Normal 5 5 3 3 3 2 4" xfId="11188" xr:uid="{00000000-0005-0000-0000-0000EC090000}"/>
    <cellStyle name="Normal 5 5 3 3 3 3" xfId="3559" xr:uid="{00000000-0005-0000-0000-00007D060000}"/>
    <cellStyle name="Normal 5 5 3 3 3 3 2" xfId="6491" xr:uid="{00000000-0005-0000-0000-000036090000}"/>
    <cellStyle name="Normal 5 5 3 3 3 3 3" xfId="11481" xr:uid="{00000000-0005-0000-0000-000036090000}"/>
    <cellStyle name="Normal 5 5 3 3 3 4" xfId="4563" xr:uid="{00000000-0005-0000-0000-00005C070000}"/>
    <cellStyle name="Normal 5 5 3 3 3 5" xfId="5744" xr:uid="{00000000-0005-0000-0000-00002A040000}"/>
    <cellStyle name="Normal 5 5 3 3 3 6" xfId="5284" xr:uid="{00000000-0005-0000-0000-00009D030000}"/>
    <cellStyle name="Normal 5 5 3 3 4" xfId="3408" xr:uid="{00000000-0005-0000-0000-00005D070000}"/>
    <cellStyle name="Normal 5 5 3 3 4 2" xfId="6493" xr:uid="{00000000-0005-0000-0000-000038090000}"/>
    <cellStyle name="Normal 5 5 3 3 4 2 2" xfId="11480" xr:uid="{00000000-0005-0000-0000-000038090000}"/>
    <cellStyle name="Normal 5 5 3 3 4 3" xfId="8789" xr:uid="{00000000-0005-0000-0000-0000ED090000}"/>
    <cellStyle name="Normal 5 5 3 3 4 4" xfId="11186" xr:uid="{00000000-0005-0000-0000-0000ED090000}"/>
    <cellStyle name="Normal 5 5 3 3 5" xfId="2638" xr:uid="{00000000-0005-0000-0000-00005E070000}"/>
    <cellStyle name="Normal 5 5 3 3 5 2" xfId="7837" xr:uid="{00000000-0005-0000-0000-0000EE090000}"/>
    <cellStyle name="Normal 5 5 3 3 5 3" xfId="10234" xr:uid="{00000000-0005-0000-0000-0000EE090000}"/>
    <cellStyle name="Normal 5 5 3 3 6" xfId="2125" xr:uid="{00000000-0005-0000-0000-0000AB020000}"/>
    <cellStyle name="Normal 5 5 3 3 6 2" xfId="4650" xr:uid="{00000000-0005-0000-0000-000058070000}"/>
    <cellStyle name="Normal 5 5 3 3 7" xfId="4027" xr:uid="{00000000-0005-0000-0000-0000AB020000}"/>
    <cellStyle name="Normal 5 5 3 3 8" xfId="5515" xr:uid="{00000000-0005-0000-0000-000028040000}"/>
    <cellStyle name="Normal 5 5 3 3 9" xfId="4956" xr:uid="{00000000-0005-0000-0000-00009A030000}"/>
    <cellStyle name="Normal 5 5 3 4" xfId="1208" xr:uid="{00000000-0005-0000-0000-00007E060000}"/>
    <cellStyle name="Normal 5 5 3 4 2" xfId="3412" xr:uid="{00000000-0005-0000-0000-000060070000}"/>
    <cellStyle name="Normal 5 5 3 4 2 2" xfId="8792" xr:uid="{00000000-0005-0000-0000-0000F0090000}"/>
    <cellStyle name="Normal 5 5 3 4 2 3" xfId="11189" xr:uid="{00000000-0005-0000-0000-0000F0090000}"/>
    <cellStyle name="Normal 5 5 3 4 3" xfId="2810" xr:uid="{00000000-0005-0000-0000-000061070000}"/>
    <cellStyle name="Normal 5 5 3 4 3 2" xfId="8085" xr:uid="{00000000-0005-0000-0000-0000F1090000}"/>
    <cellStyle name="Normal 5 5 3 4 3 3" xfId="10482" xr:uid="{00000000-0005-0000-0000-0000F1090000}"/>
    <cellStyle name="Normal 5 5 3 4 4" xfId="4206" xr:uid="{00000000-0005-0000-0000-00005F070000}"/>
    <cellStyle name="Normal 5 5 3 4 5" xfId="5970" xr:uid="{00000000-0005-0000-0000-00002B040000}"/>
    <cellStyle name="Normal 5 5 3 4 6" xfId="7448" xr:uid="{00000000-0005-0000-0000-0000EF090000}"/>
    <cellStyle name="Normal 5 5 3 4 7" xfId="9849" xr:uid="{00000000-0005-0000-0000-0000EF090000}"/>
    <cellStyle name="Normal 5 5 3 5" xfId="1209" xr:uid="{00000000-0005-0000-0000-00007F060000}"/>
    <cellStyle name="Normal 5 5 3 5 2" xfId="4564" xr:uid="{00000000-0005-0000-0000-000062070000}"/>
    <cellStyle name="Normal 5 5 3 5 2 2" xfId="8793" xr:uid="{00000000-0005-0000-0000-0000F3090000}"/>
    <cellStyle name="Normal 5 5 3 5 2 3" xfId="11190" xr:uid="{00000000-0005-0000-0000-0000F3090000}"/>
    <cellStyle name="Normal 5 5 3 5 3" xfId="5600" xr:uid="{00000000-0005-0000-0000-00002C040000}"/>
    <cellStyle name="Normal 5 5 3 5 4" xfId="7449" xr:uid="{00000000-0005-0000-0000-0000F2090000}"/>
    <cellStyle name="Normal 5 5 3 5 5" xfId="9850" xr:uid="{00000000-0005-0000-0000-0000F2090000}"/>
    <cellStyle name="Normal 5 5 3 6" xfId="2966" xr:uid="{00000000-0005-0000-0000-000063070000}"/>
    <cellStyle name="Normal 5 5 3 6 2" xfId="8282" xr:uid="{00000000-0005-0000-0000-0000F4090000}"/>
    <cellStyle name="Normal 5 5 3 6 3" xfId="10679" xr:uid="{00000000-0005-0000-0000-0000F4090000}"/>
    <cellStyle name="Normal 5 5 3 7" xfId="2476" xr:uid="{00000000-0005-0000-0000-000064070000}"/>
    <cellStyle name="Normal 5 5 3 7 2" xfId="7674" xr:uid="{00000000-0005-0000-0000-0000F5090000}"/>
    <cellStyle name="Normal 5 5 3 7 3" xfId="10071" xr:uid="{00000000-0005-0000-0000-0000F5090000}"/>
    <cellStyle name="Normal 5 5 3 8" xfId="2230" xr:uid="{00000000-0005-0000-0000-000051070000}"/>
    <cellStyle name="Normal 5 5 3 9" xfId="4025" xr:uid="{00000000-0005-0000-0000-0000A9020000}"/>
    <cellStyle name="Normal 5 5 4" xfId="1210" xr:uid="{00000000-0005-0000-0000-000080060000}"/>
    <cellStyle name="Normal 5 5 4 10" xfId="4790" xr:uid="{00000000-0005-0000-0000-00009E030000}"/>
    <cellStyle name="Normal 5 5 4 11" xfId="6703" xr:uid="{00000000-0005-0000-0000-0000F6090000}"/>
    <cellStyle name="Normal 5 5 4 12" xfId="9124" xr:uid="{00000000-0005-0000-0000-0000F6090000}"/>
    <cellStyle name="Normal 5 5 4 2" xfId="1211" xr:uid="{00000000-0005-0000-0000-000081060000}"/>
    <cellStyle name="Normal 5 5 4 2 10" xfId="6864" xr:uid="{00000000-0005-0000-0000-0000F7090000}"/>
    <cellStyle name="Normal 5 5 4 2 11" xfId="9285" xr:uid="{00000000-0005-0000-0000-0000F7090000}"/>
    <cellStyle name="Normal 5 5 4 2 2" xfId="1212" xr:uid="{00000000-0005-0000-0000-000082060000}"/>
    <cellStyle name="Normal 5 5 4 2 2 2" xfId="3414" xr:uid="{00000000-0005-0000-0000-000068070000}"/>
    <cellStyle name="Normal 5 5 4 2 2 2 2" xfId="8795" xr:uid="{00000000-0005-0000-0000-0000F9090000}"/>
    <cellStyle name="Normal 5 5 4 2 2 2 3" xfId="11192" xr:uid="{00000000-0005-0000-0000-0000F9090000}"/>
    <cellStyle name="Normal 5 5 4 2 2 3" xfId="4359" xr:uid="{00000000-0005-0000-0000-000067070000}"/>
    <cellStyle name="Normal 5 5 4 2 2 3 2" xfId="8089" xr:uid="{00000000-0005-0000-0000-0000FA090000}"/>
    <cellStyle name="Normal 5 5 4 2 2 3 3" xfId="10486" xr:uid="{00000000-0005-0000-0000-0000FA090000}"/>
    <cellStyle name="Normal 5 5 4 2 2 4" xfId="5974" xr:uid="{00000000-0005-0000-0000-00002F040000}"/>
    <cellStyle name="Normal 5 5 4 2 2 5" xfId="5220" xr:uid="{00000000-0005-0000-0000-0000A0030000}"/>
    <cellStyle name="Normal 5 5 4 2 2 6" xfId="7452" xr:uid="{00000000-0005-0000-0000-0000F8090000}"/>
    <cellStyle name="Normal 5 5 4 2 2 7" xfId="9853" xr:uid="{00000000-0005-0000-0000-0000F8090000}"/>
    <cellStyle name="Normal 5 5 4 2 3" xfId="3415" xr:uid="{00000000-0005-0000-0000-000069070000}"/>
    <cellStyle name="Normal 5 5 4 2 3 2" xfId="4565" xr:uid="{00000000-0005-0000-0000-000069070000}"/>
    <cellStyle name="Normal 5 5 4 2 3 2 2" xfId="8796" xr:uid="{00000000-0005-0000-0000-0000FC090000}"/>
    <cellStyle name="Normal 5 5 4 2 3 2 3" xfId="11193" xr:uid="{00000000-0005-0000-0000-0000FC090000}"/>
    <cellStyle name="Normal 5 5 4 2 3 3" xfId="5725" xr:uid="{00000000-0005-0000-0000-000030040000}"/>
    <cellStyle name="Normal 5 5 4 2 3 4" xfId="7451" xr:uid="{00000000-0005-0000-0000-0000FB090000}"/>
    <cellStyle name="Normal 5 5 4 2 3 5" xfId="9852" xr:uid="{00000000-0005-0000-0000-0000FB090000}"/>
    <cellStyle name="Normal 5 5 4 2 4" xfId="3413" xr:uid="{00000000-0005-0000-0000-00006A070000}"/>
    <cellStyle name="Normal 5 5 4 2 4 2" xfId="8794" xr:uid="{00000000-0005-0000-0000-0000FD090000}"/>
    <cellStyle name="Normal 5 5 4 2 4 3" xfId="11191" xr:uid="{00000000-0005-0000-0000-0000FD090000}"/>
    <cellStyle name="Normal 5 5 4 2 5" xfId="2619" xr:uid="{00000000-0005-0000-0000-00006B070000}"/>
    <cellStyle name="Normal 5 5 4 2 5 2" xfId="7817" xr:uid="{00000000-0005-0000-0000-0000FE090000}"/>
    <cellStyle name="Normal 5 5 4 2 5 3" xfId="10214" xr:uid="{00000000-0005-0000-0000-0000FE090000}"/>
    <cellStyle name="Normal 5 5 4 2 6" xfId="2383" xr:uid="{00000000-0005-0000-0000-000066070000}"/>
    <cellStyle name="Normal 5 5 4 2 7" xfId="4077" xr:uid="{00000000-0005-0000-0000-0000AE020000}"/>
    <cellStyle name="Normal 5 5 4 2 8" xfId="5495" xr:uid="{00000000-0005-0000-0000-00002E040000}"/>
    <cellStyle name="Normal 5 5 4 2 9" xfId="4958" xr:uid="{00000000-0005-0000-0000-00009F030000}"/>
    <cellStyle name="Normal 5 5 4 3" xfId="1213" xr:uid="{00000000-0005-0000-0000-000083060000}"/>
    <cellStyle name="Normal 5 5 4 3 2" xfId="3416" xr:uid="{00000000-0005-0000-0000-00006D070000}"/>
    <cellStyle name="Normal 5 5 4 3 2 2" xfId="8797" xr:uid="{00000000-0005-0000-0000-0000000A0000}"/>
    <cellStyle name="Normal 5 5 4 3 2 3" xfId="11194" xr:uid="{00000000-0005-0000-0000-0000000A0000}"/>
    <cellStyle name="Normal 5 5 4 3 3" xfId="2812" xr:uid="{00000000-0005-0000-0000-00006E070000}"/>
    <cellStyle name="Normal 5 5 4 3 3 2" xfId="8088" xr:uid="{00000000-0005-0000-0000-0000010A0000}"/>
    <cellStyle name="Normal 5 5 4 3 3 3" xfId="10485" xr:uid="{00000000-0005-0000-0000-0000010A0000}"/>
    <cellStyle name="Normal 5 5 4 3 4" xfId="4207" xr:uid="{00000000-0005-0000-0000-00006C070000}"/>
    <cellStyle name="Normal 5 5 4 3 5" xfId="5973" xr:uid="{00000000-0005-0000-0000-000031040000}"/>
    <cellStyle name="Normal 5 5 4 3 6" xfId="5219" xr:uid="{00000000-0005-0000-0000-0000A1030000}"/>
    <cellStyle name="Normal 5 5 4 3 7" xfId="7453" xr:uid="{00000000-0005-0000-0000-0000FF090000}"/>
    <cellStyle name="Normal 5 5 4 3 8" xfId="9854" xr:uid="{00000000-0005-0000-0000-0000FF090000}"/>
    <cellStyle name="Normal 5 5 4 4" xfId="1214" xr:uid="{00000000-0005-0000-0000-000084060000}"/>
    <cellStyle name="Normal 5 5 4 4 2" xfId="4566" xr:uid="{00000000-0005-0000-0000-00006F070000}"/>
    <cellStyle name="Normal 5 5 4 4 2 2" xfId="8798" xr:uid="{00000000-0005-0000-0000-0000030A0000}"/>
    <cellStyle name="Normal 5 5 4 4 2 3" xfId="11195" xr:uid="{00000000-0005-0000-0000-0000030A0000}"/>
    <cellStyle name="Normal 5 5 4 4 3" xfId="5580" xr:uid="{00000000-0005-0000-0000-000032040000}"/>
    <cellStyle name="Normal 5 5 4 4 4" xfId="7454" xr:uid="{00000000-0005-0000-0000-0000020A0000}"/>
    <cellStyle name="Normal 5 5 4 4 5" xfId="9855" xr:uid="{00000000-0005-0000-0000-0000020A0000}"/>
    <cellStyle name="Normal 5 5 4 5" xfId="2967" xr:uid="{00000000-0005-0000-0000-000070070000}"/>
    <cellStyle name="Normal 5 5 4 5 2" xfId="8283" xr:uid="{00000000-0005-0000-0000-0000050A0000}"/>
    <cellStyle name="Normal 5 5 4 5 2 2" xfId="10680" xr:uid="{00000000-0005-0000-0000-0000050A0000}"/>
    <cellStyle name="Normal 5 5 4 5 3" xfId="7450" xr:uid="{00000000-0005-0000-0000-0000040A0000}"/>
    <cellStyle name="Normal 5 5 4 5 4" xfId="9851" xr:uid="{00000000-0005-0000-0000-0000040A0000}"/>
    <cellStyle name="Normal 5 5 4 6" xfId="2456" xr:uid="{00000000-0005-0000-0000-000071070000}"/>
    <cellStyle name="Normal 5 5 4 6 2" xfId="7654" xr:uid="{00000000-0005-0000-0000-0000060A0000}"/>
    <cellStyle name="Normal 5 5 4 6 3" xfId="10051" xr:uid="{00000000-0005-0000-0000-0000060A0000}"/>
    <cellStyle name="Normal 5 5 4 7" xfId="2210" xr:uid="{00000000-0005-0000-0000-000065070000}"/>
    <cellStyle name="Normal 5 5 4 8" xfId="4028" xr:uid="{00000000-0005-0000-0000-0000AD020000}"/>
    <cellStyle name="Normal 5 5 4 9" xfId="5334" xr:uid="{00000000-0005-0000-0000-00002D040000}"/>
    <cellStyle name="Normal 5 5 5" xfId="1215" xr:uid="{00000000-0005-0000-0000-000085060000}"/>
    <cellStyle name="Normal 5 5 5 10" xfId="6704" xr:uid="{00000000-0005-0000-0000-0000070A0000}"/>
    <cellStyle name="Normal 5 5 5 11" xfId="9125" xr:uid="{00000000-0005-0000-0000-0000070A0000}"/>
    <cellStyle name="Normal 5 5 5 2" xfId="1216" xr:uid="{00000000-0005-0000-0000-000086060000}"/>
    <cellStyle name="Normal 5 5 5 2 2" xfId="1217" xr:uid="{00000000-0005-0000-0000-000087060000}"/>
    <cellStyle name="Normal 5 5 5 2 2 2" xfId="6416" xr:uid="{00000000-0005-0000-0000-000074070000}"/>
    <cellStyle name="Normal 5 5 5 2 2 2 2" xfId="8799" xr:uid="{00000000-0005-0000-0000-00000A0A0000}"/>
    <cellStyle name="Normal 5 5 5 2 2 2 3" xfId="11196" xr:uid="{00000000-0005-0000-0000-00000A0A0000}"/>
    <cellStyle name="Normal 5 5 5 2 2 3" xfId="7457" xr:uid="{00000000-0005-0000-0000-0000090A0000}"/>
    <cellStyle name="Normal 5 5 5 2 2 4" xfId="9858" xr:uid="{00000000-0005-0000-0000-0000090A0000}"/>
    <cellStyle name="Normal 5 5 5 2 3" xfId="2813" xr:uid="{00000000-0005-0000-0000-000075070000}"/>
    <cellStyle name="Normal 5 5 5 2 3 2" xfId="6228" xr:uid="{00000000-0005-0000-0000-000075070000}"/>
    <cellStyle name="Normal 5 5 5 2 3 3" xfId="7456" xr:uid="{00000000-0005-0000-0000-00000B0A0000}"/>
    <cellStyle name="Normal 5 5 5 2 3 4" xfId="9857" xr:uid="{00000000-0005-0000-0000-00000B0A0000}"/>
    <cellStyle name="Normal 5 5 5 2 4" xfId="4208" xr:uid="{00000000-0005-0000-0000-000073070000}"/>
    <cellStyle name="Normal 5 5 5 2 4 2" xfId="8090" xr:uid="{00000000-0005-0000-0000-00000C0A0000}"/>
    <cellStyle name="Normal 5 5 5 2 4 3" xfId="10487" xr:uid="{00000000-0005-0000-0000-00000C0A0000}"/>
    <cellStyle name="Normal 5 5 5 2 5" xfId="5975" xr:uid="{00000000-0005-0000-0000-000034040000}"/>
    <cellStyle name="Normal 5 5 5 2 6" xfId="5221" xr:uid="{00000000-0005-0000-0000-0000A3030000}"/>
    <cellStyle name="Normal 5 5 5 2 7" xfId="6865" xr:uid="{00000000-0005-0000-0000-0000080A0000}"/>
    <cellStyle name="Normal 5 5 5 2 8" xfId="9286" xr:uid="{00000000-0005-0000-0000-0000080A0000}"/>
    <cellStyle name="Normal 5 5 5 3" xfId="1218" xr:uid="{00000000-0005-0000-0000-000088060000}"/>
    <cellStyle name="Normal 5 5 5 3 2" xfId="4567" xr:uid="{00000000-0005-0000-0000-000076070000}"/>
    <cellStyle name="Normal 5 5 5 3 2 2" xfId="8800" xr:uid="{00000000-0005-0000-0000-00000E0A0000}"/>
    <cellStyle name="Normal 5 5 5 3 2 3" xfId="11197" xr:uid="{00000000-0005-0000-0000-00000E0A0000}"/>
    <cellStyle name="Normal 5 5 5 3 3" xfId="5640" xr:uid="{00000000-0005-0000-0000-000035040000}"/>
    <cellStyle name="Normal 5 5 5 3 4" xfId="7458" xr:uid="{00000000-0005-0000-0000-00000D0A0000}"/>
    <cellStyle name="Normal 5 5 5 3 5" xfId="9859" xr:uid="{00000000-0005-0000-0000-00000D0A0000}"/>
    <cellStyle name="Normal 5 5 5 4" xfId="1219" xr:uid="{00000000-0005-0000-0000-000089060000}"/>
    <cellStyle name="Normal 5 5 5 4 2" xfId="6328" xr:uid="{00000000-0005-0000-0000-000077070000}"/>
    <cellStyle name="Normal 5 5 5 4 2 2" xfId="8284" xr:uid="{00000000-0005-0000-0000-0000100A0000}"/>
    <cellStyle name="Normal 5 5 5 4 2 3" xfId="10681" xr:uid="{00000000-0005-0000-0000-0000100A0000}"/>
    <cellStyle name="Normal 5 5 5 4 3" xfId="7459" xr:uid="{00000000-0005-0000-0000-00000F0A0000}"/>
    <cellStyle name="Normal 5 5 5 4 4" xfId="9860" xr:uid="{00000000-0005-0000-0000-00000F0A0000}"/>
    <cellStyle name="Normal 5 5 5 5" xfId="2516" xr:uid="{00000000-0005-0000-0000-000078070000}"/>
    <cellStyle name="Normal 5 5 5 5 2" xfId="7455" xr:uid="{00000000-0005-0000-0000-0000110A0000}"/>
    <cellStyle name="Normal 5 5 5 5 3" xfId="9856" xr:uid="{00000000-0005-0000-0000-0000110A0000}"/>
    <cellStyle name="Normal 5 5 5 6" xfId="2384" xr:uid="{00000000-0005-0000-0000-000072070000}"/>
    <cellStyle name="Normal 5 5 5 6 2" xfId="7714" xr:uid="{00000000-0005-0000-0000-0000120A0000}"/>
    <cellStyle name="Normal 5 5 5 6 3" xfId="10111" xr:uid="{00000000-0005-0000-0000-0000120A0000}"/>
    <cellStyle name="Normal 5 5 5 7" xfId="4029" xr:uid="{00000000-0005-0000-0000-0000AF020000}"/>
    <cellStyle name="Normal 5 5 5 8" xfId="5394" xr:uid="{00000000-0005-0000-0000-000033040000}"/>
    <cellStyle name="Normal 5 5 5 9" xfId="4959" xr:uid="{00000000-0005-0000-0000-0000A2030000}"/>
    <cellStyle name="Normal 5 5 6" xfId="1220" xr:uid="{00000000-0005-0000-0000-00008A060000}"/>
    <cellStyle name="Normal 5 5 6 10" xfId="6705" xr:uid="{00000000-0005-0000-0000-0000130A0000}"/>
    <cellStyle name="Normal 5 5 6 11" xfId="9126" xr:uid="{00000000-0005-0000-0000-0000130A0000}"/>
    <cellStyle name="Normal 5 5 6 2" xfId="1221" xr:uid="{00000000-0005-0000-0000-00008B060000}"/>
    <cellStyle name="Normal 5 5 6 2 2" xfId="1222" xr:uid="{00000000-0005-0000-0000-00008C060000}"/>
    <cellStyle name="Normal 5 5 6 2 2 2" xfId="6417" xr:uid="{00000000-0005-0000-0000-00007B070000}"/>
    <cellStyle name="Normal 5 5 6 2 2 2 2" xfId="8801" xr:uid="{00000000-0005-0000-0000-0000160A0000}"/>
    <cellStyle name="Normal 5 5 6 2 2 2 3" xfId="11198" xr:uid="{00000000-0005-0000-0000-0000160A0000}"/>
    <cellStyle name="Normal 5 5 6 2 2 3" xfId="7462" xr:uid="{00000000-0005-0000-0000-0000150A0000}"/>
    <cellStyle name="Normal 5 5 6 2 2 4" xfId="9863" xr:uid="{00000000-0005-0000-0000-0000150A0000}"/>
    <cellStyle name="Normal 5 5 6 2 3" xfId="2814" xr:uid="{00000000-0005-0000-0000-00007C070000}"/>
    <cellStyle name="Normal 5 5 6 2 3 2" xfId="6229" xr:uid="{00000000-0005-0000-0000-00007C070000}"/>
    <cellStyle name="Normal 5 5 6 2 3 3" xfId="7461" xr:uid="{00000000-0005-0000-0000-0000170A0000}"/>
    <cellStyle name="Normal 5 5 6 2 3 4" xfId="9862" xr:uid="{00000000-0005-0000-0000-0000170A0000}"/>
    <cellStyle name="Normal 5 5 6 2 4" xfId="4209" xr:uid="{00000000-0005-0000-0000-00007A070000}"/>
    <cellStyle name="Normal 5 5 6 2 4 2" xfId="8091" xr:uid="{00000000-0005-0000-0000-0000180A0000}"/>
    <cellStyle name="Normal 5 5 6 2 4 3" xfId="10488" xr:uid="{00000000-0005-0000-0000-0000180A0000}"/>
    <cellStyle name="Normal 5 5 6 2 5" xfId="5976" xr:uid="{00000000-0005-0000-0000-000037040000}"/>
    <cellStyle name="Normal 5 5 6 2 6" xfId="5222" xr:uid="{00000000-0005-0000-0000-0000A5030000}"/>
    <cellStyle name="Normal 5 5 6 2 7" xfId="6866" xr:uid="{00000000-0005-0000-0000-0000140A0000}"/>
    <cellStyle name="Normal 5 5 6 2 8" xfId="9287" xr:uid="{00000000-0005-0000-0000-0000140A0000}"/>
    <cellStyle name="Normal 5 5 6 3" xfId="1223" xr:uid="{00000000-0005-0000-0000-00008D060000}"/>
    <cellStyle name="Normal 5 5 6 3 2" xfId="4568" xr:uid="{00000000-0005-0000-0000-00007D070000}"/>
    <cellStyle name="Normal 5 5 6 3 2 2" xfId="8802" xr:uid="{00000000-0005-0000-0000-00001A0A0000}"/>
    <cellStyle name="Normal 5 5 6 3 2 3" xfId="11199" xr:uid="{00000000-0005-0000-0000-00001A0A0000}"/>
    <cellStyle name="Normal 5 5 6 3 3" xfId="5686" xr:uid="{00000000-0005-0000-0000-000038040000}"/>
    <cellStyle name="Normal 5 5 6 3 4" xfId="7463" xr:uid="{00000000-0005-0000-0000-0000190A0000}"/>
    <cellStyle name="Normal 5 5 6 3 5" xfId="9864" xr:uid="{00000000-0005-0000-0000-0000190A0000}"/>
    <cellStyle name="Normal 5 5 6 4" xfId="1224" xr:uid="{00000000-0005-0000-0000-00008E060000}"/>
    <cellStyle name="Normal 5 5 6 4 2" xfId="6329" xr:uid="{00000000-0005-0000-0000-00007E070000}"/>
    <cellStyle name="Normal 5 5 6 4 2 2" xfId="8285" xr:uid="{00000000-0005-0000-0000-00001C0A0000}"/>
    <cellStyle name="Normal 5 5 6 4 2 3" xfId="10682" xr:uid="{00000000-0005-0000-0000-00001C0A0000}"/>
    <cellStyle name="Normal 5 5 6 4 3" xfId="7464" xr:uid="{00000000-0005-0000-0000-00001B0A0000}"/>
    <cellStyle name="Normal 5 5 6 4 4" xfId="9865" xr:uid="{00000000-0005-0000-0000-00001B0A0000}"/>
    <cellStyle name="Normal 5 5 6 5" xfId="2579" xr:uid="{00000000-0005-0000-0000-00007F070000}"/>
    <cellStyle name="Normal 5 5 6 5 2" xfId="7460" xr:uid="{00000000-0005-0000-0000-00001D0A0000}"/>
    <cellStyle name="Normal 5 5 6 5 3" xfId="9861" xr:uid="{00000000-0005-0000-0000-00001D0A0000}"/>
    <cellStyle name="Normal 5 5 6 6" xfId="2385" xr:uid="{00000000-0005-0000-0000-000079070000}"/>
    <cellStyle name="Normal 5 5 6 6 2" xfId="7777" xr:uid="{00000000-0005-0000-0000-00001E0A0000}"/>
    <cellStyle name="Normal 5 5 6 6 3" xfId="10174" xr:uid="{00000000-0005-0000-0000-00001E0A0000}"/>
    <cellStyle name="Normal 5 5 6 7" xfId="4030" xr:uid="{00000000-0005-0000-0000-0000B0020000}"/>
    <cellStyle name="Normal 5 5 6 8" xfId="5455" xr:uid="{00000000-0005-0000-0000-000036040000}"/>
    <cellStyle name="Normal 5 5 6 9" xfId="4960" xr:uid="{00000000-0005-0000-0000-0000A4030000}"/>
    <cellStyle name="Normal 5 5 7" xfId="1225" xr:uid="{00000000-0005-0000-0000-00008F060000}"/>
    <cellStyle name="Normal 5 5 7 2" xfId="1226" xr:uid="{00000000-0005-0000-0000-000090060000}"/>
    <cellStyle name="Normal 5 5 7 2 2" xfId="2968" xr:uid="{00000000-0005-0000-0000-000082070000}"/>
    <cellStyle name="Normal 5 5 7 2 2 2" xfId="6330" xr:uid="{00000000-0005-0000-0000-000082070000}"/>
    <cellStyle name="Normal 5 5 7 2 2 3" xfId="7466" xr:uid="{00000000-0005-0000-0000-0000210A0000}"/>
    <cellStyle name="Normal 5 5 7 2 2 4" xfId="9867" xr:uid="{00000000-0005-0000-0000-0000210A0000}"/>
    <cellStyle name="Normal 5 5 7 2 3" xfId="4742" xr:uid="{00000000-0005-0000-0000-000053050000}"/>
    <cellStyle name="Normal 5 5 7 2 3 2" xfId="6126" xr:uid="{00000000-0005-0000-0000-000081070000}"/>
    <cellStyle name="Normal 5 5 7 2 3 3" xfId="8286" xr:uid="{00000000-0005-0000-0000-0000220A0000}"/>
    <cellStyle name="Normal 5 5 7 2 3 4" xfId="10683" xr:uid="{00000000-0005-0000-0000-0000220A0000}"/>
    <cellStyle name="Normal 5 5 7 2 4" xfId="5223" xr:uid="{00000000-0005-0000-0000-0000A7030000}"/>
    <cellStyle name="Normal 5 5 7 2 5" xfId="6867" xr:uid="{00000000-0005-0000-0000-0000200A0000}"/>
    <cellStyle name="Normal 5 5 7 2 6" xfId="9288" xr:uid="{00000000-0005-0000-0000-0000200A0000}"/>
    <cellStyle name="Normal 5 5 7 3" xfId="1227" xr:uid="{00000000-0005-0000-0000-000091060000}"/>
    <cellStyle name="Normal 5 5 7 3 2" xfId="6230" xr:uid="{00000000-0005-0000-0000-000083070000}"/>
    <cellStyle name="Normal 5 5 7 3 3" xfId="7467" xr:uid="{00000000-0005-0000-0000-0000230A0000}"/>
    <cellStyle name="Normal 5 5 7 3 4" xfId="9868" xr:uid="{00000000-0005-0000-0000-0000230A0000}"/>
    <cellStyle name="Normal 5 5 7 4" xfId="2386" xr:uid="{00000000-0005-0000-0000-000080070000}"/>
    <cellStyle name="Normal 5 5 7 4 2" xfId="6079" xr:uid="{00000000-0005-0000-0000-000080070000}"/>
    <cellStyle name="Normal 5 5 7 4 3" xfId="7465" xr:uid="{00000000-0005-0000-0000-0000240A0000}"/>
    <cellStyle name="Normal 5 5 7 4 4" xfId="9866" xr:uid="{00000000-0005-0000-0000-0000240A0000}"/>
    <cellStyle name="Normal 5 5 7 5" xfId="4031" xr:uid="{00000000-0005-0000-0000-0000B1020000}"/>
    <cellStyle name="Normal 5 5 7 5 2" xfId="8092" xr:uid="{00000000-0005-0000-0000-0000250A0000}"/>
    <cellStyle name="Normal 5 5 7 5 3" xfId="10489" xr:uid="{00000000-0005-0000-0000-0000250A0000}"/>
    <cellStyle name="Normal 5 5 7 6" xfId="5977" xr:uid="{00000000-0005-0000-0000-000039040000}"/>
    <cellStyle name="Normal 5 5 7 7" xfId="4961" xr:uid="{00000000-0005-0000-0000-0000A6030000}"/>
    <cellStyle name="Normal 5 5 7 8" xfId="6706" xr:uid="{00000000-0005-0000-0000-00001F0A0000}"/>
    <cellStyle name="Normal 5 5 7 9" xfId="9127" xr:uid="{00000000-0005-0000-0000-00001F0A0000}"/>
    <cellStyle name="Normal 5 5 8" xfId="1228" xr:uid="{00000000-0005-0000-0000-000092060000}"/>
    <cellStyle name="Normal 5 5 8 2" xfId="1229" xr:uid="{00000000-0005-0000-0000-000093060000}"/>
    <cellStyle name="Normal 5 5 8 2 2" xfId="2969" xr:uid="{00000000-0005-0000-0000-000086070000}"/>
    <cellStyle name="Normal 5 5 8 2 2 2" xfId="6331" xr:uid="{00000000-0005-0000-0000-000086070000}"/>
    <cellStyle name="Normal 5 5 8 2 2 3" xfId="7469" xr:uid="{00000000-0005-0000-0000-0000280A0000}"/>
    <cellStyle name="Normal 5 5 8 2 2 4" xfId="9870" xr:uid="{00000000-0005-0000-0000-0000280A0000}"/>
    <cellStyle name="Normal 5 5 8 2 3" xfId="4743" xr:uid="{00000000-0005-0000-0000-000059050000}"/>
    <cellStyle name="Normal 5 5 8 2 3 2" xfId="6127" xr:uid="{00000000-0005-0000-0000-000085070000}"/>
    <cellStyle name="Normal 5 5 8 2 3 3" xfId="8287" xr:uid="{00000000-0005-0000-0000-0000290A0000}"/>
    <cellStyle name="Normal 5 5 8 2 3 4" xfId="10684" xr:uid="{00000000-0005-0000-0000-0000290A0000}"/>
    <cellStyle name="Normal 5 5 8 2 4" xfId="5224" xr:uid="{00000000-0005-0000-0000-0000A9030000}"/>
    <cellStyle name="Normal 5 5 8 2 5" xfId="6868" xr:uid="{00000000-0005-0000-0000-0000270A0000}"/>
    <cellStyle name="Normal 5 5 8 2 6" xfId="9289" xr:uid="{00000000-0005-0000-0000-0000270A0000}"/>
    <cellStyle name="Normal 5 5 8 3" xfId="1230" xr:uid="{00000000-0005-0000-0000-000094060000}"/>
    <cellStyle name="Normal 5 5 8 3 2" xfId="6231" xr:uid="{00000000-0005-0000-0000-000087070000}"/>
    <cellStyle name="Normal 5 5 8 3 3" xfId="7470" xr:uid="{00000000-0005-0000-0000-00002A0A0000}"/>
    <cellStyle name="Normal 5 5 8 3 4" xfId="9871" xr:uid="{00000000-0005-0000-0000-00002A0A0000}"/>
    <cellStyle name="Normal 5 5 8 4" xfId="2387" xr:uid="{00000000-0005-0000-0000-000084070000}"/>
    <cellStyle name="Normal 5 5 8 4 2" xfId="6080" xr:uid="{00000000-0005-0000-0000-000084070000}"/>
    <cellStyle name="Normal 5 5 8 4 3" xfId="7468" xr:uid="{00000000-0005-0000-0000-00002B0A0000}"/>
    <cellStyle name="Normal 5 5 8 4 4" xfId="9869" xr:uid="{00000000-0005-0000-0000-00002B0A0000}"/>
    <cellStyle name="Normal 5 5 8 5" xfId="4032" xr:uid="{00000000-0005-0000-0000-0000B2020000}"/>
    <cellStyle name="Normal 5 5 8 5 2" xfId="8093" xr:uid="{00000000-0005-0000-0000-00002C0A0000}"/>
    <cellStyle name="Normal 5 5 8 5 3" xfId="10490" xr:uid="{00000000-0005-0000-0000-00002C0A0000}"/>
    <cellStyle name="Normal 5 5 8 6" xfId="5978" xr:uid="{00000000-0005-0000-0000-00003A040000}"/>
    <cellStyle name="Normal 5 5 8 7" xfId="4962" xr:uid="{00000000-0005-0000-0000-0000A8030000}"/>
    <cellStyle name="Normal 5 5 8 8" xfId="6707" xr:uid="{00000000-0005-0000-0000-0000260A0000}"/>
    <cellStyle name="Normal 5 5 8 9" xfId="9128" xr:uid="{00000000-0005-0000-0000-0000260A0000}"/>
    <cellStyle name="Normal 5 5 9" xfId="1231" xr:uid="{00000000-0005-0000-0000-000095060000}"/>
    <cellStyle name="Normal 5 5 9 2" xfId="1232" xr:uid="{00000000-0005-0000-0000-000096060000}"/>
    <cellStyle name="Normal 5 5 9 3" xfId="1233" xr:uid="{00000000-0005-0000-0000-000097060000}"/>
    <cellStyle name="Normal 6" xfId="1234" xr:uid="{00000000-0005-0000-0000-000098060000}"/>
    <cellStyle name="Normal 6 2" xfId="1235" xr:uid="{00000000-0005-0000-0000-000099060000}"/>
    <cellStyle name="Normal 6 2 2" xfId="1236" xr:uid="{00000000-0005-0000-0000-00009A060000}"/>
    <cellStyle name="Normal 6 2 3" xfId="1237" xr:uid="{00000000-0005-0000-0000-00009B060000}"/>
    <cellStyle name="Normal 6 2 4" xfId="1238" xr:uid="{00000000-0005-0000-0000-00009C060000}"/>
    <cellStyle name="Normal 6 2 4 2" xfId="1239" xr:uid="{00000000-0005-0000-0000-00009D060000}"/>
    <cellStyle name="Normal 6 2 4 2 2" xfId="1240" xr:uid="{00000000-0005-0000-0000-00009E060000}"/>
    <cellStyle name="Normal 6 2 4 2 3" xfId="3746" xr:uid="{00000000-0005-0000-0000-000003060000}"/>
    <cellStyle name="Normal 6 2 4 3" xfId="1241" xr:uid="{00000000-0005-0000-0000-00009F060000}"/>
    <cellStyle name="Normal 6 2 4 4" xfId="7471" xr:uid="{00000000-0005-0000-0000-0000340A0000}"/>
    <cellStyle name="Normal 6 2 5" xfId="1242" xr:uid="{00000000-0005-0000-0000-0000A0060000}"/>
    <cellStyle name="Normal 6 3" xfId="1243" xr:uid="{00000000-0005-0000-0000-0000A1060000}"/>
    <cellStyle name="Normal 6 3 2" xfId="1244" xr:uid="{00000000-0005-0000-0000-0000A2060000}"/>
    <cellStyle name="Normal 6 3 3" xfId="1245" xr:uid="{00000000-0005-0000-0000-0000A3060000}"/>
    <cellStyle name="Normal 6 3 3 2" xfId="1246" xr:uid="{00000000-0005-0000-0000-0000A4060000}"/>
    <cellStyle name="Normal 6 3 3 3" xfId="1247" xr:uid="{00000000-0005-0000-0000-0000A5060000}"/>
    <cellStyle name="Normal 6 3 3 3 2" xfId="1248" xr:uid="{00000000-0005-0000-0000-0000A6060000}"/>
    <cellStyle name="Normal 6 3 3 3 2 2" xfId="1249" xr:uid="{00000000-0005-0000-0000-0000A7060000}"/>
    <cellStyle name="Normal 6 3 3 3 2 3" xfId="1250" xr:uid="{00000000-0005-0000-0000-0000A8060000}"/>
    <cellStyle name="Normal 6 3 3 3 2 3 2" xfId="1251" xr:uid="{00000000-0005-0000-0000-0000A9060000}"/>
    <cellStyle name="Normal 6 3 3 3 2 3 2 2" xfId="1252" xr:uid="{00000000-0005-0000-0000-0000AA060000}"/>
    <cellStyle name="Normal 6 3 3 3 2 3 2 2 2" xfId="11388" xr:uid="{00000000-0005-0000-0000-0000FB2C0000}"/>
    <cellStyle name="Normal 6 3 3 3 2 3 2 2 2 2" xfId="11505" xr:uid="{00000000-0005-0000-0000-0000B7030000}"/>
    <cellStyle name="Normal 6 3 3 3 2 3 2 3" xfId="1253" xr:uid="{00000000-0005-0000-0000-0000AB060000}"/>
    <cellStyle name="Normal 6 3 3 3 2 3 2 3 2" xfId="2014" xr:uid="{00000000-0005-0000-0000-0000AC060000}"/>
    <cellStyle name="Normal 6 3 3 3 2 3 2 3 3" xfId="3747" xr:uid="{00000000-0005-0000-0000-00000F060000}"/>
    <cellStyle name="Normal 6 3 3 3 2 3 2 4" xfId="5014" xr:uid="{00000000-0005-0000-0000-0000B6030000}"/>
    <cellStyle name="Normal 6 3 3 3 2 3 2 4 2" xfId="11545" xr:uid="{00000000-0005-0000-0000-000074050000}"/>
    <cellStyle name="Normal 6 3 3 3 2 3 3" xfId="1254" xr:uid="{00000000-0005-0000-0000-0000AD060000}"/>
    <cellStyle name="Normal 6 3 3 3 2 3 4" xfId="2971" xr:uid="{00000000-0005-0000-0000-000096070000}"/>
    <cellStyle name="Normal 6 3 3 3 2 3 5" xfId="2127" xr:uid="{00000000-0005-0000-0000-0000BE020000}"/>
    <cellStyle name="Normal 6 3 3 3 2 3 5 2" xfId="4680" xr:uid="{00000000-0005-0000-0000-000093070000}"/>
    <cellStyle name="Normal 6 3 3 3 2 3 6" xfId="4034" xr:uid="{00000000-0005-0000-0000-0000BE020000}"/>
    <cellStyle name="Normal 6 3 3 3 2 4" xfId="1255" xr:uid="{00000000-0005-0000-0000-0000AE060000}"/>
    <cellStyle name="Normal 6 3 3 3 2 4 2" xfId="2970" xr:uid="{00000000-0005-0000-0000-000097070000}"/>
    <cellStyle name="Normal 6 3 3 3 2 4 3" xfId="4706" xr:uid="{00000000-0005-0000-0000-000085120000}"/>
    <cellStyle name="Normal 6 3 3 3 2 5" xfId="2126" xr:uid="{00000000-0005-0000-0000-0000BC020000}"/>
    <cellStyle name="Normal 6 3 3 3 2 5 2" xfId="4637" xr:uid="{00000000-0005-0000-0000-000091070000}"/>
    <cellStyle name="Normal 6 3 3 3 2 6" xfId="4033" xr:uid="{00000000-0005-0000-0000-0000BC020000}"/>
    <cellStyle name="Normal 6 3 3 3 3" xfId="1256" xr:uid="{00000000-0005-0000-0000-0000AF060000}"/>
    <cellStyle name="Normal 6 3 3 3 4" xfId="1257" xr:uid="{00000000-0005-0000-0000-0000B0060000}"/>
    <cellStyle name="Normal 6 3 3 3 4 2" xfId="1258" xr:uid="{00000000-0005-0000-0000-0000B1060000}"/>
    <cellStyle name="Normal 6 3 3 3 4 2 2" xfId="1259" xr:uid="{00000000-0005-0000-0000-0000B2060000}"/>
    <cellStyle name="Normal 6 3 3 3 4 2 2 2" xfId="1260" xr:uid="{00000000-0005-0000-0000-0000B3060000}"/>
    <cellStyle name="Normal 6 3 3 3 4 2 2 2 2" xfId="2015" xr:uid="{00000000-0005-0000-0000-0000B4060000}"/>
    <cellStyle name="Normal 6 3 3 3 4 2 2 2 2 2" xfId="11374" xr:uid="{00000000-0005-0000-0000-0000FC2C0000}"/>
    <cellStyle name="Normal 6 3 3 3 4 2 2 2 3" xfId="3748" xr:uid="{00000000-0005-0000-0000-000016060000}"/>
    <cellStyle name="Normal 6 3 3 3 4 2 2 2 3 2" xfId="11506" xr:uid="{00000000-0005-0000-0000-0000BD030000}"/>
    <cellStyle name="Normal 6 3 3 3 4 2 2 3" xfId="2016" xr:uid="{00000000-0005-0000-0000-0000B5060000}"/>
    <cellStyle name="Normal 6 3 3 3 4 2 2 4" xfId="5015" xr:uid="{00000000-0005-0000-0000-0000BC030000}"/>
    <cellStyle name="Normal 6 3 3 3 4 2 2 4 2" xfId="11546" xr:uid="{00000000-0005-0000-0000-00007C050000}"/>
    <cellStyle name="Normal 6 3 3 3 4 2 3" xfId="1261" xr:uid="{00000000-0005-0000-0000-0000B6060000}"/>
    <cellStyle name="Normal 6 3 3 3 4 2 3 2" xfId="1262" xr:uid="{00000000-0005-0000-0000-0000B7060000}"/>
    <cellStyle name="Normal 6 3 3 3 4 2 3 2 2" xfId="6043" xr:uid="{00000000-0005-0000-0000-0000C5020000}"/>
    <cellStyle name="Normal 6 3 3 3 4 2 3 2 3" xfId="5285" xr:uid="{00000000-0005-0000-0000-0000BF030000}"/>
    <cellStyle name="Normal 6 3 3 3 4 2 3 3" xfId="1263" xr:uid="{00000000-0005-0000-0000-0000B8060000}"/>
    <cellStyle name="Normal 6 3 3 3 4 2 3 3 2" xfId="11350" xr:uid="{00000000-0005-0000-0000-0000FD2C0000}"/>
    <cellStyle name="Normal 6 3 3 3 4 2 3 3 2 2" xfId="11519" xr:uid="{00000000-0005-0000-0000-0000B8060000}"/>
    <cellStyle name="Normal 6 3 3 3 4 2 3 4" xfId="2129" xr:uid="{00000000-0005-0000-0000-0000C4020000}"/>
    <cellStyle name="Normal 6 3 3 3 4 2 3 4 2" xfId="11488" xr:uid="{00000000-0005-0000-0000-000080050000}"/>
    <cellStyle name="Normal 6 3 3 3 4 2 3 5" xfId="5225" xr:uid="{00000000-0005-0000-0000-0000BE030000}"/>
    <cellStyle name="Normal 6 3 3 3 4 2 4" xfId="4707" xr:uid="{00000000-0005-0000-0000-000086120000}"/>
    <cellStyle name="Normal 6 3 3 3 4 3" xfId="1264" xr:uid="{00000000-0005-0000-0000-0000B9060000}"/>
    <cellStyle name="Normal 6 3 3 3 4 4" xfId="2972" xr:uid="{00000000-0005-0000-0000-00009F070000}"/>
    <cellStyle name="Normal 6 3 3 3 4 5" xfId="2128" xr:uid="{00000000-0005-0000-0000-0000C1020000}"/>
    <cellStyle name="Normal 6 3 3 3 4 5 2" xfId="4672" xr:uid="{00000000-0005-0000-0000-000099070000}"/>
    <cellStyle name="Normal 6 3 3 3 4 6" xfId="4035" xr:uid="{00000000-0005-0000-0000-0000C1020000}"/>
    <cellStyle name="Normal 6 3 3 3 5" xfId="1265" xr:uid="{00000000-0005-0000-0000-0000BA060000}"/>
    <cellStyle name="Normal 6 3 3 3 5 2" xfId="1266" xr:uid="{00000000-0005-0000-0000-0000BB060000}"/>
    <cellStyle name="Normal 6 3 3 3 5 3" xfId="3749" xr:uid="{00000000-0005-0000-0000-00001D060000}"/>
    <cellStyle name="Normal 6 3 3 3 5 3 2" xfId="6496" xr:uid="{00000000-0005-0000-0000-000089090000}"/>
    <cellStyle name="Normal 6 3 3 4" xfId="1267" xr:uid="{00000000-0005-0000-0000-0000BC060000}"/>
    <cellStyle name="Normal 6 3 3 4 2" xfId="1268" xr:uid="{00000000-0005-0000-0000-0000BD060000}"/>
    <cellStyle name="Normal 6 3 3 4 3" xfId="1269" xr:uid="{00000000-0005-0000-0000-0000BE060000}"/>
    <cellStyle name="Normal 6 3 3 4 3 2" xfId="1270" xr:uid="{00000000-0005-0000-0000-0000BF060000}"/>
    <cellStyle name="Normal 6 3 3 4 3 2 2" xfId="1271" xr:uid="{00000000-0005-0000-0000-0000C0060000}"/>
    <cellStyle name="Normal 6 3 3 4 3 2 2 2" xfId="11358" xr:uid="{00000000-0005-0000-0000-0000FE2C0000}"/>
    <cellStyle name="Normal 6 3 3 4 3 2 2 2 2" xfId="11507" xr:uid="{00000000-0005-0000-0000-0000C6030000}"/>
    <cellStyle name="Normal 6 3 3 4 3 2 3" xfId="1272" xr:uid="{00000000-0005-0000-0000-0000C1060000}"/>
    <cellStyle name="Normal 6 3 3 4 3 2 3 2" xfId="2017" xr:uid="{00000000-0005-0000-0000-0000C2060000}"/>
    <cellStyle name="Normal 6 3 3 4 3 2 3 3" xfId="3750" xr:uid="{00000000-0005-0000-0000-000024060000}"/>
    <cellStyle name="Normal 6 3 3 4 3 2 4" xfId="5016" xr:uid="{00000000-0005-0000-0000-0000C5030000}"/>
    <cellStyle name="Normal 6 3 3 4 3 2 4 2" xfId="11547" xr:uid="{00000000-0005-0000-0000-00008A050000}"/>
    <cellStyle name="Normal 6 3 3 4 3 3" xfId="1273" xr:uid="{00000000-0005-0000-0000-0000C3060000}"/>
    <cellStyle name="Normal 6 3 3 4 3 4" xfId="2973" xr:uid="{00000000-0005-0000-0000-0000A5070000}"/>
    <cellStyle name="Normal 6 3 3 4 3 5" xfId="2131" xr:uid="{00000000-0005-0000-0000-0000C8020000}"/>
    <cellStyle name="Normal 6 3 3 4 3 5 2" xfId="3855" xr:uid="{00000000-0005-0000-0000-0000A2070000}"/>
    <cellStyle name="Normal 6 3 3 4 3 6" xfId="4037" xr:uid="{00000000-0005-0000-0000-0000C8020000}"/>
    <cellStyle name="Normal 6 3 3 4 4" xfId="1274" xr:uid="{00000000-0005-0000-0000-0000C4060000}"/>
    <cellStyle name="Normal 6 3 3 4 4 2" xfId="2018" xr:uid="{00000000-0005-0000-0000-0000C5060000}"/>
    <cellStyle name="Normal 6 3 3 4 4 3" xfId="3751" xr:uid="{00000000-0005-0000-0000-000027060000}"/>
    <cellStyle name="Normal 6 3 3 4 5" xfId="2130" xr:uid="{00000000-0005-0000-0000-0000C6020000}"/>
    <cellStyle name="Normal 6 3 3 4 5 2" xfId="3776" xr:uid="{00000000-0005-0000-0000-0000A0070000}"/>
    <cellStyle name="Normal 6 3 3 4 6" xfId="4036" xr:uid="{00000000-0005-0000-0000-0000C6020000}"/>
    <cellStyle name="Normal 6 3 3 5" xfId="2070" xr:uid="{00000000-0005-0000-0000-0000B9020000}"/>
    <cellStyle name="Normal 6 3 4" xfId="1275" xr:uid="{00000000-0005-0000-0000-0000C6060000}"/>
    <cellStyle name="Normal 6 3 4 2" xfId="1276" xr:uid="{00000000-0005-0000-0000-0000C7060000}"/>
    <cellStyle name="Normal 6 3 4 3" xfId="1277" xr:uid="{00000000-0005-0000-0000-0000C8060000}"/>
    <cellStyle name="Normal 6 3 4 3 2" xfId="1278" xr:uid="{00000000-0005-0000-0000-0000C9060000}"/>
    <cellStyle name="Normal 6 3 4 3 2 2" xfId="1279" xr:uid="{00000000-0005-0000-0000-0000CA060000}"/>
    <cellStyle name="Normal 6 3 4 3 2 2 2" xfId="11346" xr:uid="{00000000-0005-0000-0000-0000FF2C0000}"/>
    <cellStyle name="Normal 6 3 4 3 2 2 2 2" xfId="11508" xr:uid="{00000000-0005-0000-0000-0000CC030000}"/>
    <cellStyle name="Normal 6 3 4 3 2 3" xfId="1280" xr:uid="{00000000-0005-0000-0000-0000CB060000}"/>
    <cellStyle name="Normal 6 3 4 3 2 3 2" xfId="2019" xr:uid="{00000000-0005-0000-0000-0000CC060000}"/>
    <cellStyle name="Normal 6 3 4 3 2 3 3" xfId="3752" xr:uid="{00000000-0005-0000-0000-00002E060000}"/>
    <cellStyle name="Normal 6 3 4 3 2 4" xfId="5017" xr:uid="{00000000-0005-0000-0000-0000CB030000}"/>
    <cellStyle name="Normal 6 3 4 3 2 4 2" xfId="11548" xr:uid="{00000000-0005-0000-0000-000092050000}"/>
    <cellStyle name="Normal 6 3 4 3 3" xfId="1281" xr:uid="{00000000-0005-0000-0000-0000CD060000}"/>
    <cellStyle name="Normal 6 3 4 3 4" xfId="2975" xr:uid="{00000000-0005-0000-0000-0000AC070000}"/>
    <cellStyle name="Normal 6 3 4 3 5" xfId="2133" xr:uid="{00000000-0005-0000-0000-0000CC020000}"/>
    <cellStyle name="Normal 6 3 4 3 5 2" xfId="4641" xr:uid="{00000000-0005-0000-0000-0000A9070000}"/>
    <cellStyle name="Normal 6 3 4 3 6" xfId="4039" xr:uid="{00000000-0005-0000-0000-0000CC020000}"/>
    <cellStyle name="Normal 6 3 4 4" xfId="2974" xr:uid="{00000000-0005-0000-0000-0000AD070000}"/>
    <cellStyle name="Normal 6 3 4 5" xfId="2132" xr:uid="{00000000-0005-0000-0000-0000CA020000}"/>
    <cellStyle name="Normal 6 3 4 5 2" xfId="4626" xr:uid="{00000000-0005-0000-0000-0000A7070000}"/>
    <cellStyle name="Normal 6 3 4 6" xfId="4038" xr:uid="{00000000-0005-0000-0000-0000CA020000}"/>
    <cellStyle name="Normal 6 4" xfId="1282" xr:uid="{00000000-0005-0000-0000-0000CE060000}"/>
    <cellStyle name="Normal 6 5" xfId="1283" xr:uid="{00000000-0005-0000-0000-0000CF060000}"/>
    <cellStyle name="Normal 6 5 2" xfId="1284" xr:uid="{00000000-0005-0000-0000-0000D0060000}"/>
    <cellStyle name="Normal 6 5 3" xfId="1285" xr:uid="{00000000-0005-0000-0000-0000D1060000}"/>
    <cellStyle name="Normal 6 5 3 2" xfId="1286" xr:uid="{00000000-0005-0000-0000-0000D2060000}"/>
    <cellStyle name="Normal 6 5 3 2 2" xfId="1287" xr:uid="{00000000-0005-0000-0000-0000D3060000}"/>
    <cellStyle name="Normal 6 5 3 2 3" xfId="1288" xr:uid="{00000000-0005-0000-0000-0000D4060000}"/>
    <cellStyle name="Normal 6 5 3 2 3 2" xfId="1289" xr:uid="{00000000-0005-0000-0000-0000D5060000}"/>
    <cellStyle name="Normal 6 5 3 2 3 2 2" xfId="1290" xr:uid="{00000000-0005-0000-0000-0000D6060000}"/>
    <cellStyle name="Normal 6 5 3 2 3 2 2 2" xfId="11363" xr:uid="{00000000-0005-0000-0000-0000002D0000}"/>
    <cellStyle name="Normal 6 5 3 2 3 2 2 2 2" xfId="11509" xr:uid="{00000000-0005-0000-0000-0000D6030000}"/>
    <cellStyle name="Normal 6 5 3 2 3 2 3" xfId="1291" xr:uid="{00000000-0005-0000-0000-0000D7060000}"/>
    <cellStyle name="Normal 6 5 3 2 3 2 3 2" xfId="2020" xr:uid="{00000000-0005-0000-0000-0000D8060000}"/>
    <cellStyle name="Normal 6 5 3 2 3 2 3 3" xfId="3753" xr:uid="{00000000-0005-0000-0000-00003A060000}"/>
    <cellStyle name="Normal 6 5 3 2 3 2 4" xfId="5018" xr:uid="{00000000-0005-0000-0000-0000D5030000}"/>
    <cellStyle name="Normal 6 5 3 2 3 2 4 2" xfId="11549" xr:uid="{00000000-0005-0000-0000-00009E050000}"/>
    <cellStyle name="Normal 6 5 3 2 3 3" xfId="1292" xr:uid="{00000000-0005-0000-0000-0000D9060000}"/>
    <cellStyle name="Normal 6 5 3 2 3 4" xfId="2977" xr:uid="{00000000-0005-0000-0000-0000B7070000}"/>
    <cellStyle name="Normal 6 5 3 2 3 5" xfId="2136" xr:uid="{00000000-0005-0000-0000-0000D4020000}"/>
    <cellStyle name="Normal 6 5 3 2 3 5 2" xfId="4648" xr:uid="{00000000-0005-0000-0000-0000B4070000}"/>
    <cellStyle name="Normal 6 5 3 2 3 6" xfId="4042" xr:uid="{00000000-0005-0000-0000-0000D4020000}"/>
    <cellStyle name="Normal 6 5 3 2 4" xfId="1293" xr:uid="{00000000-0005-0000-0000-0000DA060000}"/>
    <cellStyle name="Normal 6 5 3 2 4 2" xfId="2976" xr:uid="{00000000-0005-0000-0000-0000B8070000}"/>
    <cellStyle name="Normal 6 5 3 2 4 3" xfId="4708" xr:uid="{00000000-0005-0000-0000-000087120000}"/>
    <cellStyle name="Normal 6 5 3 2 5" xfId="2135" xr:uid="{00000000-0005-0000-0000-0000D2020000}"/>
    <cellStyle name="Normal 6 5 3 2 5 2" xfId="4684" xr:uid="{00000000-0005-0000-0000-0000B2070000}"/>
    <cellStyle name="Normal 6 5 3 2 6" xfId="4041" xr:uid="{00000000-0005-0000-0000-0000D2020000}"/>
    <cellStyle name="Normal 6 5 3 3" xfId="1294" xr:uid="{00000000-0005-0000-0000-0000DB060000}"/>
    <cellStyle name="Normal 6 5 3 4" xfId="1295" xr:uid="{00000000-0005-0000-0000-0000DC060000}"/>
    <cellStyle name="Normal 6 5 3 4 2" xfId="1296" xr:uid="{00000000-0005-0000-0000-0000DD060000}"/>
    <cellStyle name="Normal 6 5 3 4 2 2" xfId="1297" xr:uid="{00000000-0005-0000-0000-0000DE060000}"/>
    <cellStyle name="Normal 6 5 3 4 2 2 2" xfId="1298" xr:uid="{00000000-0005-0000-0000-0000DF060000}"/>
    <cellStyle name="Normal 6 5 3 4 2 2 2 2" xfId="2021" xr:uid="{00000000-0005-0000-0000-0000E0060000}"/>
    <cellStyle name="Normal 6 5 3 4 2 2 2 2 2" xfId="11341" xr:uid="{00000000-0005-0000-0000-0000012D0000}"/>
    <cellStyle name="Normal 6 5 3 4 2 2 2 3" xfId="3754" xr:uid="{00000000-0005-0000-0000-000041060000}"/>
    <cellStyle name="Normal 6 5 3 4 2 2 2 3 2" xfId="11510" xr:uid="{00000000-0005-0000-0000-0000DC030000}"/>
    <cellStyle name="Normal 6 5 3 4 2 2 3" xfId="2022" xr:uid="{00000000-0005-0000-0000-0000E1060000}"/>
    <cellStyle name="Normal 6 5 3 4 2 2 4" xfId="5019" xr:uid="{00000000-0005-0000-0000-0000DB030000}"/>
    <cellStyle name="Normal 6 5 3 4 2 2 4 2" xfId="11550" xr:uid="{00000000-0005-0000-0000-0000A6050000}"/>
    <cellStyle name="Normal 6 5 3 4 2 3" xfId="1299" xr:uid="{00000000-0005-0000-0000-0000E2060000}"/>
    <cellStyle name="Normal 6 5 3 4 2 3 2" xfId="1300" xr:uid="{00000000-0005-0000-0000-0000E3060000}"/>
    <cellStyle name="Normal 6 5 3 4 2 3 2 2" xfId="6042" xr:uid="{00000000-0005-0000-0000-0000DB020000}"/>
    <cellStyle name="Normal 6 5 3 4 2 3 2 3" xfId="5286" xr:uid="{00000000-0005-0000-0000-0000DE030000}"/>
    <cellStyle name="Normal 6 5 3 4 2 3 3" xfId="1301" xr:uid="{00000000-0005-0000-0000-0000E4060000}"/>
    <cellStyle name="Normal 6 5 3 4 2 3 3 2" xfId="11343" xr:uid="{00000000-0005-0000-0000-0000022D0000}"/>
    <cellStyle name="Normal 6 5 3 4 2 3 3 2 2" xfId="11525" xr:uid="{00000000-0005-0000-0000-0000E4060000}"/>
    <cellStyle name="Normal 6 5 3 4 2 3 4" xfId="2138" xr:uid="{00000000-0005-0000-0000-0000DA020000}"/>
    <cellStyle name="Normal 6 5 3 4 2 3 4 2" xfId="11557" xr:uid="{00000000-0005-0000-0000-0000AA050000}"/>
    <cellStyle name="Normal 6 5 3 4 2 3 5" xfId="5226" xr:uid="{00000000-0005-0000-0000-0000DD030000}"/>
    <cellStyle name="Normal 6 5 3 4 2 4" xfId="4709" xr:uid="{00000000-0005-0000-0000-000088120000}"/>
    <cellStyle name="Normal 6 5 3 4 3" xfId="1302" xr:uid="{00000000-0005-0000-0000-0000E5060000}"/>
    <cellStyle name="Normal 6 5 3 4 4" xfId="2978" xr:uid="{00000000-0005-0000-0000-0000C0070000}"/>
    <cellStyle name="Normal 6 5 3 4 5" xfId="2137" xr:uid="{00000000-0005-0000-0000-0000D7020000}"/>
    <cellStyle name="Normal 6 5 3 4 5 2" xfId="4668" xr:uid="{00000000-0005-0000-0000-0000BA070000}"/>
    <cellStyle name="Normal 6 5 3 4 6" xfId="4043" xr:uid="{00000000-0005-0000-0000-0000D7020000}"/>
    <cellStyle name="Normal 6 5 3 5" xfId="1303" xr:uid="{00000000-0005-0000-0000-0000E6060000}"/>
    <cellStyle name="Normal 6 5 3 5 2" xfId="1304" xr:uid="{00000000-0005-0000-0000-0000E7060000}"/>
    <cellStyle name="Normal 6 5 3 5 3" xfId="3755" xr:uid="{00000000-0005-0000-0000-000048060000}"/>
    <cellStyle name="Normal 6 5 3 5 3 2" xfId="6454" xr:uid="{00000000-0005-0000-0000-0000B6090000}"/>
    <cellStyle name="Normal 6 5 4" xfId="1305" xr:uid="{00000000-0005-0000-0000-0000E8060000}"/>
    <cellStyle name="Normal 6 5 4 2" xfId="1306" xr:uid="{00000000-0005-0000-0000-0000E9060000}"/>
    <cellStyle name="Normal 6 5 4 3" xfId="1307" xr:uid="{00000000-0005-0000-0000-0000EA060000}"/>
    <cellStyle name="Normal 6 5 4 3 2" xfId="1308" xr:uid="{00000000-0005-0000-0000-0000EB060000}"/>
    <cellStyle name="Normal 6 5 4 3 2 2" xfId="1309" xr:uid="{00000000-0005-0000-0000-0000EC060000}"/>
    <cellStyle name="Normal 6 5 4 3 2 2 2" xfId="11362" xr:uid="{00000000-0005-0000-0000-0000032D0000}"/>
    <cellStyle name="Normal 6 5 4 3 2 2 2 2" xfId="11511" xr:uid="{00000000-0005-0000-0000-0000E5030000}"/>
    <cellStyle name="Normal 6 5 4 3 2 3" xfId="1310" xr:uid="{00000000-0005-0000-0000-0000ED060000}"/>
    <cellStyle name="Normal 6 5 4 3 2 3 2" xfId="2023" xr:uid="{00000000-0005-0000-0000-0000EE060000}"/>
    <cellStyle name="Normal 6 5 4 3 2 3 3" xfId="3756" xr:uid="{00000000-0005-0000-0000-00004F060000}"/>
    <cellStyle name="Normal 6 5 4 3 2 4" xfId="5020" xr:uid="{00000000-0005-0000-0000-0000E4030000}"/>
    <cellStyle name="Normal 6 5 4 3 2 4 2" xfId="11551" xr:uid="{00000000-0005-0000-0000-0000B4050000}"/>
    <cellStyle name="Normal 6 5 4 3 3" xfId="1311" xr:uid="{00000000-0005-0000-0000-0000EF060000}"/>
    <cellStyle name="Normal 6 5 4 3 4" xfId="2979" xr:uid="{00000000-0005-0000-0000-0000C6070000}"/>
    <cellStyle name="Normal 6 5 4 3 5" xfId="2140" xr:uid="{00000000-0005-0000-0000-0000DE020000}"/>
    <cellStyle name="Normal 6 5 4 3 5 2" xfId="3772" xr:uid="{00000000-0005-0000-0000-0000C3070000}"/>
    <cellStyle name="Normal 6 5 4 3 6" xfId="4045" xr:uid="{00000000-0005-0000-0000-0000DE020000}"/>
    <cellStyle name="Normal 6 5 4 4" xfId="1312" xr:uid="{00000000-0005-0000-0000-0000F0060000}"/>
    <cellStyle name="Normal 6 5 4 4 2" xfId="2024" xr:uid="{00000000-0005-0000-0000-0000F1060000}"/>
    <cellStyle name="Normal 6 5 4 4 3" xfId="3757" xr:uid="{00000000-0005-0000-0000-000052060000}"/>
    <cellStyle name="Normal 6 5 4 5" xfId="2139" xr:uid="{00000000-0005-0000-0000-0000DC020000}"/>
    <cellStyle name="Normal 6 5 4 5 2" xfId="4628" xr:uid="{00000000-0005-0000-0000-0000C1070000}"/>
    <cellStyle name="Normal 6 5 4 6" xfId="4044" xr:uid="{00000000-0005-0000-0000-0000DC020000}"/>
    <cellStyle name="Normal 6 5 5" xfId="2071" xr:uid="{00000000-0005-0000-0000-0000CF020000}"/>
    <cellStyle name="Normal 6 6" xfId="1313" xr:uid="{00000000-0005-0000-0000-0000F2060000}"/>
    <cellStyle name="Normal 6 6 2" xfId="1314" xr:uid="{00000000-0005-0000-0000-0000F3060000}"/>
    <cellStyle name="Normal 6 6 3" xfId="1315" xr:uid="{00000000-0005-0000-0000-0000F4060000}"/>
    <cellStyle name="Normal 6 6 3 2" xfId="1316" xr:uid="{00000000-0005-0000-0000-0000F5060000}"/>
    <cellStyle name="Normal 6 6 3 3" xfId="1317" xr:uid="{00000000-0005-0000-0000-0000F6060000}"/>
    <cellStyle name="Normal 6 6 3 3 2" xfId="1318" xr:uid="{00000000-0005-0000-0000-0000F7060000}"/>
    <cellStyle name="Normal 6 6 3 3 2 2" xfId="6037" xr:uid="{00000000-0005-0000-0000-0000E5020000}"/>
    <cellStyle name="Normal 6 6 3 3 2 3" xfId="5287" xr:uid="{00000000-0005-0000-0000-0000EC030000}"/>
    <cellStyle name="Normal 6 6 3 3 3" xfId="1319" xr:uid="{00000000-0005-0000-0000-0000F8060000}"/>
    <cellStyle name="Normal 6 6 3 3 4" xfId="2142" xr:uid="{00000000-0005-0000-0000-0000E4020000}"/>
    <cellStyle name="Normal 6 6 3 3 4 2" xfId="6477" xr:uid="{00000000-0005-0000-0000-0000C8090000}"/>
    <cellStyle name="Normal 6 6 3 4" xfId="1320" xr:uid="{00000000-0005-0000-0000-0000F9060000}"/>
    <cellStyle name="Normal 6 6 3 4 2" xfId="1321" xr:uid="{00000000-0005-0000-0000-0000FA060000}"/>
    <cellStyle name="Normal 6 6 3 4 3" xfId="3758" xr:uid="{00000000-0005-0000-0000-00005A060000}"/>
    <cellStyle name="Normal 6 6 4" xfId="1322" xr:uid="{00000000-0005-0000-0000-0000FB060000}"/>
    <cellStyle name="Normal 6 6 4 2" xfId="1323" xr:uid="{00000000-0005-0000-0000-0000FC060000}"/>
    <cellStyle name="Normal 6 6 4 2 2" xfId="1324" xr:uid="{00000000-0005-0000-0000-0000FD060000}"/>
    <cellStyle name="Normal 6 6 4 2 2 2" xfId="11387" xr:uid="{00000000-0005-0000-0000-0000042D0000}"/>
    <cellStyle name="Normal 6 6 4 2 2 2 2" xfId="11512" xr:uid="{00000000-0005-0000-0000-0000F0030000}"/>
    <cellStyle name="Normal 6 6 4 2 3" xfId="1325" xr:uid="{00000000-0005-0000-0000-0000FE060000}"/>
    <cellStyle name="Normal 6 6 4 2 3 2" xfId="2025" xr:uid="{00000000-0005-0000-0000-0000FF060000}"/>
    <cellStyle name="Normal 6 6 4 2 3 3" xfId="3759" xr:uid="{00000000-0005-0000-0000-00005F060000}"/>
    <cellStyle name="Normal 6 6 4 2 4" xfId="5021" xr:uid="{00000000-0005-0000-0000-0000EF030000}"/>
    <cellStyle name="Normal 6 6 4 2 4 2" xfId="11552" xr:uid="{00000000-0005-0000-0000-0000BF050000}"/>
    <cellStyle name="Normal 6 6 4 3" xfId="1326" xr:uid="{00000000-0005-0000-0000-000000070000}"/>
    <cellStyle name="Normal 6 6 4 4" xfId="2980" xr:uid="{00000000-0005-0000-0000-0000D1070000}"/>
    <cellStyle name="Normal 6 6 4 5" xfId="2143" xr:uid="{00000000-0005-0000-0000-0000E6020000}"/>
    <cellStyle name="Normal 6 6 4 5 2" xfId="4636" xr:uid="{00000000-0005-0000-0000-0000CE070000}"/>
    <cellStyle name="Normal 6 6 4 6" xfId="4047" xr:uid="{00000000-0005-0000-0000-0000E6020000}"/>
    <cellStyle name="Normal 6 6 5" xfId="1327" xr:uid="{00000000-0005-0000-0000-000001070000}"/>
    <cellStyle name="Normal 6 6 6" xfId="1328" xr:uid="{00000000-0005-0000-0000-000002070000}"/>
    <cellStyle name="Normal 6 6 6 2" xfId="1329" xr:uid="{00000000-0005-0000-0000-000003070000}"/>
    <cellStyle name="Normal 6 6 6 3" xfId="1330" xr:uid="{00000000-0005-0000-0000-000004070000}"/>
    <cellStyle name="Normal 6 6 6 3 2" xfId="4627" xr:uid="{00000000-0005-0000-0000-0000D3070000}"/>
    <cellStyle name="Normal 6 6 6 4" xfId="2153" xr:uid="{00000000-0005-0000-0000-0000E9020000}"/>
    <cellStyle name="Normal 6 6 6 5" xfId="4096" xr:uid="{00000000-0005-0000-0000-0000E9020000}"/>
    <cellStyle name="Normal 6 6 7" xfId="1331" xr:uid="{00000000-0005-0000-0000-000005070000}"/>
    <cellStyle name="Normal 6 6 7 2" xfId="1332" xr:uid="{00000000-0005-0000-0000-000006070000}"/>
    <cellStyle name="Normal 6 6 7 3" xfId="3760" xr:uid="{00000000-0005-0000-0000-000066060000}"/>
    <cellStyle name="Normal 6 6 8" xfId="2141" xr:uid="{00000000-0005-0000-0000-0000E0020000}"/>
    <cellStyle name="Normal 6 6 9" xfId="4046" xr:uid="{00000000-0005-0000-0000-0000E0020000}"/>
    <cellStyle name="Normal 7" xfId="1333" xr:uid="{00000000-0005-0000-0000-000007070000}"/>
    <cellStyle name="Normal 7 10" xfId="1334" xr:uid="{00000000-0005-0000-0000-000008070000}"/>
    <cellStyle name="Normal 7 10 10" xfId="6708" xr:uid="{00000000-0005-0000-0000-0000A40A0000}"/>
    <cellStyle name="Normal 7 10 11" xfId="9129" xr:uid="{00000000-0005-0000-0000-0000A40A0000}"/>
    <cellStyle name="Normal 7 10 2" xfId="1335" xr:uid="{00000000-0005-0000-0000-000009070000}"/>
    <cellStyle name="Normal 7 10 2 2" xfId="1336" xr:uid="{00000000-0005-0000-0000-00000A070000}"/>
    <cellStyle name="Normal 7 10 2 2 2" xfId="6418" xr:uid="{00000000-0005-0000-0000-0000D9070000}"/>
    <cellStyle name="Normal 7 10 2 2 2 2" xfId="8803" xr:uid="{00000000-0005-0000-0000-0000A70A0000}"/>
    <cellStyle name="Normal 7 10 2 2 2 3" xfId="11200" xr:uid="{00000000-0005-0000-0000-0000A70A0000}"/>
    <cellStyle name="Normal 7 10 2 2 3" xfId="7474" xr:uid="{00000000-0005-0000-0000-0000A60A0000}"/>
    <cellStyle name="Normal 7 10 2 2 4" xfId="9874" xr:uid="{00000000-0005-0000-0000-0000A60A0000}"/>
    <cellStyle name="Normal 7 10 2 3" xfId="2815" xr:uid="{00000000-0005-0000-0000-0000DA070000}"/>
    <cellStyle name="Normal 7 10 2 3 2" xfId="6232" xr:uid="{00000000-0005-0000-0000-0000DA070000}"/>
    <cellStyle name="Normal 7 10 2 3 3" xfId="7473" xr:uid="{00000000-0005-0000-0000-0000A80A0000}"/>
    <cellStyle name="Normal 7 10 2 3 4" xfId="9873" xr:uid="{00000000-0005-0000-0000-0000A80A0000}"/>
    <cellStyle name="Normal 7 10 2 4" xfId="4210" xr:uid="{00000000-0005-0000-0000-0000D8070000}"/>
    <cellStyle name="Normal 7 10 2 4 2" xfId="8094" xr:uid="{00000000-0005-0000-0000-0000A90A0000}"/>
    <cellStyle name="Normal 7 10 2 4 3" xfId="10491" xr:uid="{00000000-0005-0000-0000-0000A90A0000}"/>
    <cellStyle name="Normal 7 10 2 5" xfId="5979" xr:uid="{00000000-0005-0000-0000-000073040000}"/>
    <cellStyle name="Normal 7 10 2 6" xfId="5227" xr:uid="{00000000-0005-0000-0000-0000F6030000}"/>
    <cellStyle name="Normal 7 10 2 7" xfId="6869" xr:uid="{00000000-0005-0000-0000-0000A50A0000}"/>
    <cellStyle name="Normal 7 10 2 8" xfId="9290" xr:uid="{00000000-0005-0000-0000-0000A50A0000}"/>
    <cellStyle name="Normal 7 10 3" xfId="1337" xr:uid="{00000000-0005-0000-0000-00000B070000}"/>
    <cellStyle name="Normal 7 10 3 2" xfId="4569" xr:uid="{00000000-0005-0000-0000-0000DB070000}"/>
    <cellStyle name="Normal 7 10 3 2 2" xfId="8804" xr:uid="{00000000-0005-0000-0000-0000AB0A0000}"/>
    <cellStyle name="Normal 7 10 3 2 3" xfId="11201" xr:uid="{00000000-0005-0000-0000-0000AB0A0000}"/>
    <cellStyle name="Normal 7 10 3 3" xfId="5632" xr:uid="{00000000-0005-0000-0000-000074040000}"/>
    <cellStyle name="Normal 7 10 3 4" xfId="7475" xr:uid="{00000000-0005-0000-0000-0000AA0A0000}"/>
    <cellStyle name="Normal 7 10 3 5" xfId="9875" xr:uid="{00000000-0005-0000-0000-0000AA0A0000}"/>
    <cellStyle name="Normal 7 10 4" xfId="1338" xr:uid="{00000000-0005-0000-0000-00000C070000}"/>
    <cellStyle name="Normal 7 10 4 2" xfId="6332" xr:uid="{00000000-0005-0000-0000-0000DC070000}"/>
    <cellStyle name="Normal 7 10 4 2 2" xfId="8288" xr:uid="{00000000-0005-0000-0000-0000AD0A0000}"/>
    <cellStyle name="Normal 7 10 4 2 3" xfId="10685" xr:uid="{00000000-0005-0000-0000-0000AD0A0000}"/>
    <cellStyle name="Normal 7 10 4 3" xfId="7476" xr:uid="{00000000-0005-0000-0000-0000AC0A0000}"/>
    <cellStyle name="Normal 7 10 4 4" xfId="9876" xr:uid="{00000000-0005-0000-0000-0000AC0A0000}"/>
    <cellStyle name="Normal 7 10 5" xfId="2508" xr:uid="{00000000-0005-0000-0000-0000DD070000}"/>
    <cellStyle name="Normal 7 10 5 2" xfId="7472" xr:uid="{00000000-0005-0000-0000-0000AE0A0000}"/>
    <cellStyle name="Normal 7 10 5 3" xfId="9872" xr:uid="{00000000-0005-0000-0000-0000AE0A0000}"/>
    <cellStyle name="Normal 7 10 6" xfId="2388" xr:uid="{00000000-0005-0000-0000-0000D7070000}"/>
    <cellStyle name="Normal 7 10 6 2" xfId="7706" xr:uid="{00000000-0005-0000-0000-0000AF0A0000}"/>
    <cellStyle name="Normal 7 10 6 3" xfId="10103" xr:uid="{00000000-0005-0000-0000-0000AF0A0000}"/>
    <cellStyle name="Normal 7 10 7" xfId="4048" xr:uid="{00000000-0005-0000-0000-0000EC020000}"/>
    <cellStyle name="Normal 7 10 8" xfId="5386" xr:uid="{00000000-0005-0000-0000-000072040000}"/>
    <cellStyle name="Normal 7 10 9" xfId="4963" xr:uid="{00000000-0005-0000-0000-0000F5030000}"/>
    <cellStyle name="Normal 7 11" xfId="1339" xr:uid="{00000000-0005-0000-0000-00000D070000}"/>
    <cellStyle name="Normal 7 11 10" xfId="6709" xr:uid="{00000000-0005-0000-0000-0000B00A0000}"/>
    <cellStyle name="Normal 7 11 11" xfId="9130" xr:uid="{00000000-0005-0000-0000-0000B00A0000}"/>
    <cellStyle name="Normal 7 11 2" xfId="1340" xr:uid="{00000000-0005-0000-0000-00000E070000}"/>
    <cellStyle name="Normal 7 11 2 2" xfId="1341" xr:uid="{00000000-0005-0000-0000-00000F070000}"/>
    <cellStyle name="Normal 7 11 2 2 2" xfId="6419" xr:uid="{00000000-0005-0000-0000-0000E0070000}"/>
    <cellStyle name="Normal 7 11 2 2 2 2" xfId="8805" xr:uid="{00000000-0005-0000-0000-0000B30A0000}"/>
    <cellStyle name="Normal 7 11 2 2 2 3" xfId="11202" xr:uid="{00000000-0005-0000-0000-0000B30A0000}"/>
    <cellStyle name="Normal 7 11 2 2 3" xfId="7479" xr:uid="{00000000-0005-0000-0000-0000B20A0000}"/>
    <cellStyle name="Normal 7 11 2 2 4" xfId="9879" xr:uid="{00000000-0005-0000-0000-0000B20A0000}"/>
    <cellStyle name="Normal 7 11 2 3" xfId="2816" xr:uid="{00000000-0005-0000-0000-0000E1070000}"/>
    <cellStyle name="Normal 7 11 2 3 2" xfId="6233" xr:uid="{00000000-0005-0000-0000-0000E1070000}"/>
    <cellStyle name="Normal 7 11 2 3 3" xfId="7478" xr:uid="{00000000-0005-0000-0000-0000B40A0000}"/>
    <cellStyle name="Normal 7 11 2 3 4" xfId="9878" xr:uid="{00000000-0005-0000-0000-0000B40A0000}"/>
    <cellStyle name="Normal 7 11 2 4" xfId="4211" xr:uid="{00000000-0005-0000-0000-0000DF070000}"/>
    <cellStyle name="Normal 7 11 2 4 2" xfId="8095" xr:uid="{00000000-0005-0000-0000-0000B50A0000}"/>
    <cellStyle name="Normal 7 11 2 4 3" xfId="10492" xr:uid="{00000000-0005-0000-0000-0000B50A0000}"/>
    <cellStyle name="Normal 7 11 2 5" xfId="5980" xr:uid="{00000000-0005-0000-0000-000076040000}"/>
    <cellStyle name="Normal 7 11 2 6" xfId="5228" xr:uid="{00000000-0005-0000-0000-0000F8030000}"/>
    <cellStyle name="Normal 7 11 2 7" xfId="6870" xr:uid="{00000000-0005-0000-0000-0000B10A0000}"/>
    <cellStyle name="Normal 7 11 2 8" xfId="9291" xr:uid="{00000000-0005-0000-0000-0000B10A0000}"/>
    <cellStyle name="Normal 7 11 3" xfId="1342" xr:uid="{00000000-0005-0000-0000-000010070000}"/>
    <cellStyle name="Normal 7 11 3 2" xfId="4570" xr:uid="{00000000-0005-0000-0000-0000E2070000}"/>
    <cellStyle name="Normal 7 11 3 2 2" xfId="8806" xr:uid="{00000000-0005-0000-0000-0000B70A0000}"/>
    <cellStyle name="Normal 7 11 3 2 3" xfId="11203" xr:uid="{00000000-0005-0000-0000-0000B70A0000}"/>
    <cellStyle name="Normal 7 11 3 3" xfId="5677" xr:uid="{00000000-0005-0000-0000-000077040000}"/>
    <cellStyle name="Normal 7 11 3 4" xfId="7480" xr:uid="{00000000-0005-0000-0000-0000B60A0000}"/>
    <cellStyle name="Normal 7 11 3 5" xfId="9880" xr:uid="{00000000-0005-0000-0000-0000B60A0000}"/>
    <cellStyle name="Normal 7 11 4" xfId="1343" xr:uid="{00000000-0005-0000-0000-000011070000}"/>
    <cellStyle name="Normal 7 11 4 2" xfId="6333" xr:uid="{00000000-0005-0000-0000-0000E3070000}"/>
    <cellStyle name="Normal 7 11 4 2 2" xfId="8289" xr:uid="{00000000-0005-0000-0000-0000B90A0000}"/>
    <cellStyle name="Normal 7 11 4 2 3" xfId="10686" xr:uid="{00000000-0005-0000-0000-0000B90A0000}"/>
    <cellStyle name="Normal 7 11 4 3" xfId="7481" xr:uid="{00000000-0005-0000-0000-0000B80A0000}"/>
    <cellStyle name="Normal 7 11 4 4" xfId="9881" xr:uid="{00000000-0005-0000-0000-0000B80A0000}"/>
    <cellStyle name="Normal 7 11 5" xfId="2568" xr:uid="{00000000-0005-0000-0000-0000E4070000}"/>
    <cellStyle name="Normal 7 11 5 2" xfId="7477" xr:uid="{00000000-0005-0000-0000-0000BA0A0000}"/>
    <cellStyle name="Normal 7 11 5 3" xfId="9877" xr:uid="{00000000-0005-0000-0000-0000BA0A0000}"/>
    <cellStyle name="Normal 7 11 6" xfId="2389" xr:uid="{00000000-0005-0000-0000-0000DE070000}"/>
    <cellStyle name="Normal 7 11 6 2" xfId="7766" xr:uid="{00000000-0005-0000-0000-0000BB0A0000}"/>
    <cellStyle name="Normal 7 11 6 3" xfId="10163" xr:uid="{00000000-0005-0000-0000-0000BB0A0000}"/>
    <cellStyle name="Normal 7 11 7" xfId="4049" xr:uid="{00000000-0005-0000-0000-0000ED020000}"/>
    <cellStyle name="Normal 7 11 8" xfId="5446" xr:uid="{00000000-0005-0000-0000-000075040000}"/>
    <cellStyle name="Normal 7 11 9" xfId="4964" xr:uid="{00000000-0005-0000-0000-0000F7030000}"/>
    <cellStyle name="Normal 7 12" xfId="1344" xr:uid="{00000000-0005-0000-0000-000012070000}"/>
    <cellStyle name="Normal 7 12 10" xfId="9131" xr:uid="{00000000-0005-0000-0000-0000BC0A0000}"/>
    <cellStyle name="Normal 7 12 2" xfId="1345" xr:uid="{00000000-0005-0000-0000-000013070000}"/>
    <cellStyle name="Normal 7 12 2 2" xfId="3417" xr:uid="{00000000-0005-0000-0000-0000E7070000}"/>
    <cellStyle name="Normal 7 12 2 2 2" xfId="6420" xr:uid="{00000000-0005-0000-0000-0000E7070000}"/>
    <cellStyle name="Normal 7 12 2 2 3" xfId="7483" xr:uid="{00000000-0005-0000-0000-0000BE0A0000}"/>
    <cellStyle name="Normal 7 12 2 2 4" xfId="9883" xr:uid="{00000000-0005-0000-0000-0000BE0A0000}"/>
    <cellStyle name="Normal 7 12 2 3" xfId="4212" xr:uid="{00000000-0005-0000-0000-0000E6070000}"/>
    <cellStyle name="Normal 7 12 2 3 2" xfId="6128" xr:uid="{00000000-0005-0000-0000-0000E6070000}"/>
    <cellStyle name="Normal 7 12 2 3 3" xfId="8807" xr:uid="{00000000-0005-0000-0000-0000BF0A0000}"/>
    <cellStyle name="Normal 7 12 2 3 4" xfId="11204" xr:uid="{00000000-0005-0000-0000-0000BF0A0000}"/>
    <cellStyle name="Normal 7 12 2 4" xfId="5981" xr:uid="{00000000-0005-0000-0000-000079040000}"/>
    <cellStyle name="Normal 7 12 2 5" xfId="5229" xr:uid="{00000000-0005-0000-0000-0000FA030000}"/>
    <cellStyle name="Normal 7 12 2 6" xfId="6871" xr:uid="{00000000-0005-0000-0000-0000BD0A0000}"/>
    <cellStyle name="Normal 7 12 2 7" xfId="9292" xr:uid="{00000000-0005-0000-0000-0000BD0A0000}"/>
    <cellStyle name="Normal 7 12 3" xfId="1346" xr:uid="{00000000-0005-0000-0000-000014070000}"/>
    <cellStyle name="Normal 7 12 3 2" xfId="6461" xr:uid="{00000000-0005-0000-0000-0000E7090000}"/>
    <cellStyle name="Normal 7 12 3 2 2" xfId="8290" xr:uid="{00000000-0005-0000-0000-0000C10A0000}"/>
    <cellStyle name="Normal 7 12 3 2 3" xfId="10687" xr:uid="{00000000-0005-0000-0000-0000C10A0000}"/>
    <cellStyle name="Normal 7 12 3 3" xfId="6334" xr:uid="{00000000-0005-0000-0000-0000E8070000}"/>
    <cellStyle name="Normal 7 12 3 4" xfId="7484" xr:uid="{00000000-0005-0000-0000-0000C00A0000}"/>
    <cellStyle name="Normal 7 12 3 5" xfId="9884" xr:uid="{00000000-0005-0000-0000-0000C00A0000}"/>
    <cellStyle name="Normal 7 12 4" xfId="2817" xr:uid="{00000000-0005-0000-0000-0000E9070000}"/>
    <cellStyle name="Normal 7 12 4 2" xfId="6234" xr:uid="{00000000-0005-0000-0000-0000E9070000}"/>
    <cellStyle name="Normal 7 12 4 3" xfId="7482" xr:uid="{00000000-0005-0000-0000-0000C20A0000}"/>
    <cellStyle name="Normal 7 12 4 4" xfId="9882" xr:uid="{00000000-0005-0000-0000-0000C20A0000}"/>
    <cellStyle name="Normal 7 12 5" xfId="2390" xr:uid="{00000000-0005-0000-0000-0000E5070000}"/>
    <cellStyle name="Normal 7 12 5 2" xfId="8096" xr:uid="{00000000-0005-0000-0000-0000C30A0000}"/>
    <cellStyle name="Normal 7 12 5 3" xfId="10493" xr:uid="{00000000-0005-0000-0000-0000C30A0000}"/>
    <cellStyle name="Normal 7 12 6" xfId="4050" xr:uid="{00000000-0005-0000-0000-0000EE020000}"/>
    <cellStyle name="Normal 7 12 7" xfId="5309" xr:uid="{00000000-0005-0000-0000-000078040000}"/>
    <cellStyle name="Normal 7 12 8" xfId="4965" xr:uid="{00000000-0005-0000-0000-0000F9030000}"/>
    <cellStyle name="Normal 7 12 9" xfId="6710" xr:uid="{00000000-0005-0000-0000-0000BC0A0000}"/>
    <cellStyle name="Normal 7 13" xfId="1347" xr:uid="{00000000-0005-0000-0000-000015070000}"/>
    <cellStyle name="Normal 7 13 2" xfId="1348" xr:uid="{00000000-0005-0000-0000-000016070000}"/>
    <cellStyle name="Normal 7 13 2 2" xfId="2981" xr:uid="{00000000-0005-0000-0000-0000EC070000}"/>
    <cellStyle name="Normal 7 13 2 2 2" xfId="6335" xr:uid="{00000000-0005-0000-0000-0000EC070000}"/>
    <cellStyle name="Normal 7 13 2 2 3" xfId="7486" xr:uid="{00000000-0005-0000-0000-0000C60A0000}"/>
    <cellStyle name="Normal 7 13 2 2 4" xfId="9886" xr:uid="{00000000-0005-0000-0000-0000C60A0000}"/>
    <cellStyle name="Normal 7 13 2 3" xfId="4744" xr:uid="{00000000-0005-0000-0000-0000AA050000}"/>
    <cellStyle name="Normal 7 13 2 3 2" xfId="6129" xr:uid="{00000000-0005-0000-0000-0000EB070000}"/>
    <cellStyle name="Normal 7 13 2 3 3" xfId="8291" xr:uid="{00000000-0005-0000-0000-0000C70A0000}"/>
    <cellStyle name="Normal 7 13 2 3 4" xfId="10688" xr:uid="{00000000-0005-0000-0000-0000C70A0000}"/>
    <cellStyle name="Normal 7 13 2 4" xfId="5230" xr:uid="{00000000-0005-0000-0000-0000FC030000}"/>
    <cellStyle name="Normal 7 13 2 5" xfId="6872" xr:uid="{00000000-0005-0000-0000-0000C50A0000}"/>
    <cellStyle name="Normal 7 13 2 6" xfId="9293" xr:uid="{00000000-0005-0000-0000-0000C50A0000}"/>
    <cellStyle name="Normal 7 13 3" xfId="1349" xr:uid="{00000000-0005-0000-0000-000017070000}"/>
    <cellStyle name="Normal 7 13 3 2" xfId="6235" xr:uid="{00000000-0005-0000-0000-0000ED070000}"/>
    <cellStyle name="Normal 7 13 3 3" xfId="7487" xr:uid="{00000000-0005-0000-0000-0000C80A0000}"/>
    <cellStyle name="Normal 7 13 3 4" xfId="9887" xr:uid="{00000000-0005-0000-0000-0000C80A0000}"/>
    <cellStyle name="Normal 7 13 4" xfId="2391" xr:uid="{00000000-0005-0000-0000-0000EA070000}"/>
    <cellStyle name="Normal 7 13 4 2" xfId="6081" xr:uid="{00000000-0005-0000-0000-0000EA070000}"/>
    <cellStyle name="Normal 7 13 4 3" xfId="7485" xr:uid="{00000000-0005-0000-0000-0000C90A0000}"/>
    <cellStyle name="Normal 7 13 4 4" xfId="9885" xr:uid="{00000000-0005-0000-0000-0000C90A0000}"/>
    <cellStyle name="Normal 7 13 5" xfId="4051" xr:uid="{00000000-0005-0000-0000-0000EF020000}"/>
    <cellStyle name="Normal 7 13 5 2" xfId="8097" xr:uid="{00000000-0005-0000-0000-0000CA0A0000}"/>
    <cellStyle name="Normal 7 13 5 3" xfId="10494" xr:uid="{00000000-0005-0000-0000-0000CA0A0000}"/>
    <cellStyle name="Normal 7 13 6" xfId="5982" xr:uid="{00000000-0005-0000-0000-00007A040000}"/>
    <cellStyle name="Normal 7 13 7" xfId="4966" xr:uid="{00000000-0005-0000-0000-0000FB030000}"/>
    <cellStyle name="Normal 7 13 8" xfId="6711" xr:uid="{00000000-0005-0000-0000-0000C40A0000}"/>
    <cellStyle name="Normal 7 13 9" xfId="9132" xr:uid="{00000000-0005-0000-0000-0000C40A0000}"/>
    <cellStyle name="Normal 7 14" xfId="1350" xr:uid="{00000000-0005-0000-0000-000018070000}"/>
    <cellStyle name="Normal 7 14 2" xfId="4571" xr:uid="{00000000-0005-0000-0000-0000EE070000}"/>
    <cellStyle name="Normal 7 14 2 2" xfId="6421" xr:uid="{00000000-0005-0000-0000-0000EE070000}"/>
    <cellStyle name="Normal 7 14 2 3" xfId="5231" xr:uid="{00000000-0005-0000-0000-0000FE030000}"/>
    <cellStyle name="Normal 7 14 2 4" xfId="8808" xr:uid="{00000000-0005-0000-0000-0000CC0A0000}"/>
    <cellStyle name="Normal 7 14 2 5" xfId="11205" xr:uid="{00000000-0005-0000-0000-0000CC0A0000}"/>
    <cellStyle name="Normal 7 14 3" xfId="5555" xr:uid="{00000000-0005-0000-0000-00007B040000}"/>
    <cellStyle name="Normal 7 14 3 2" xfId="11482" xr:uid="{00000000-0005-0000-0000-0000F0090000}"/>
    <cellStyle name="Normal 7 14 4" xfId="4764" xr:uid="{00000000-0005-0000-0000-0000FD030000}"/>
    <cellStyle name="Normal 7 14 5" xfId="7488" xr:uid="{00000000-0005-0000-0000-0000CB0A0000}"/>
    <cellStyle name="Normal 7 14 6" xfId="9888" xr:uid="{00000000-0005-0000-0000-0000CB0A0000}"/>
    <cellStyle name="Normal 7 15" xfId="2432" xr:uid="{00000000-0005-0000-0000-0000EF070000}"/>
    <cellStyle name="Normal 7 15 2" xfId="6144" xr:uid="{00000000-0005-0000-0000-0000EF070000}"/>
    <cellStyle name="Normal 7 15 3" xfId="7629" xr:uid="{00000000-0005-0000-0000-0000CD0A0000}"/>
    <cellStyle name="Normal 7 15 4" xfId="10026" xr:uid="{00000000-0005-0000-0000-0000CD0A0000}"/>
    <cellStyle name="Normal 7 16" xfId="2159" xr:uid="{00000000-0005-0000-0000-0000D6070000}"/>
    <cellStyle name="Normal 7 16 2" xfId="6051" xr:uid="{00000000-0005-0000-0000-0000D6070000}"/>
    <cellStyle name="Normal 7 17" xfId="3784" xr:uid="{00000000-0005-0000-0000-0000EB020000}"/>
    <cellStyle name="Normal 7 18" xfId="5302" xr:uid="{00000000-0005-0000-0000-000071040000}"/>
    <cellStyle name="Normal 7 19" xfId="4757" xr:uid="{00000000-0005-0000-0000-0000F4030000}"/>
    <cellStyle name="Normal 7 2" xfId="1351" xr:uid="{00000000-0005-0000-0000-000019070000}"/>
    <cellStyle name="Normal 7 2 2" xfId="1352" xr:uid="{00000000-0005-0000-0000-00001A070000}"/>
    <cellStyle name="Normal 7 20" xfId="6528" xr:uid="{00000000-0005-0000-0000-0000A30A0000}"/>
    <cellStyle name="Normal 7 21" xfId="8949" xr:uid="{00000000-0005-0000-0000-0000A30A0000}"/>
    <cellStyle name="Normal 7 3" xfId="1353" xr:uid="{00000000-0005-0000-0000-00001B070000}"/>
    <cellStyle name="Normal 7 3 2" xfId="1354" xr:uid="{00000000-0005-0000-0000-00001C070000}"/>
    <cellStyle name="Normal 7 3 3" xfId="1355" xr:uid="{00000000-0005-0000-0000-00001D070000}"/>
    <cellStyle name="Normal 7 3 3 2" xfId="1356" xr:uid="{00000000-0005-0000-0000-00001E070000}"/>
    <cellStyle name="Normal 7 3 3 2 2" xfId="1357" xr:uid="{00000000-0005-0000-0000-00001F070000}"/>
    <cellStyle name="Normal 7 3 3 2 3" xfId="1358" xr:uid="{00000000-0005-0000-0000-000020070000}"/>
    <cellStyle name="Normal 7 3 3 2 3 2" xfId="1359" xr:uid="{00000000-0005-0000-0000-000021070000}"/>
    <cellStyle name="Normal 7 3 3 2 3 2 2" xfId="1360" xr:uid="{00000000-0005-0000-0000-000022070000}"/>
    <cellStyle name="Normal 7 3 3 2 3 2 2 2" xfId="11386" xr:uid="{00000000-0005-0000-0000-0000052D0000}"/>
    <cellStyle name="Normal 7 3 3 2 3 2 2 2 2" xfId="11513" xr:uid="{00000000-0005-0000-0000-000008040000}"/>
    <cellStyle name="Normal 7 3 3 2 3 2 3" xfId="1361" xr:uid="{00000000-0005-0000-0000-000023070000}"/>
    <cellStyle name="Normal 7 3 3 2 3 2 3 2" xfId="2026" xr:uid="{00000000-0005-0000-0000-000024070000}"/>
    <cellStyle name="Normal 7 3 3 2 3 2 3 3" xfId="3761" xr:uid="{00000000-0005-0000-0000-000084060000}"/>
    <cellStyle name="Normal 7 3 3 2 3 2 4" xfId="5022" xr:uid="{00000000-0005-0000-0000-000007040000}"/>
    <cellStyle name="Normal 7 3 3 2 3 2 4 2" xfId="11553" xr:uid="{00000000-0005-0000-0000-0000E0050000}"/>
    <cellStyle name="Normal 7 3 3 2 3 3" xfId="1362" xr:uid="{00000000-0005-0000-0000-000025070000}"/>
    <cellStyle name="Normal 7 3 3 2 3 4" xfId="2983" xr:uid="{00000000-0005-0000-0000-0000FA070000}"/>
    <cellStyle name="Normal 7 3 3 2 3 5" xfId="2145" xr:uid="{00000000-0005-0000-0000-0000F7020000}"/>
    <cellStyle name="Normal 7 3 3 2 3 5 2" xfId="4635" xr:uid="{00000000-0005-0000-0000-0000F7070000}"/>
    <cellStyle name="Normal 7 3 3 2 3 6" xfId="4055" xr:uid="{00000000-0005-0000-0000-0000F7020000}"/>
    <cellStyle name="Normal 7 3 3 2 4" xfId="1363" xr:uid="{00000000-0005-0000-0000-000026070000}"/>
    <cellStyle name="Normal 7 3 3 2 4 2" xfId="2982" xr:uid="{00000000-0005-0000-0000-0000FB070000}"/>
    <cellStyle name="Normal 7 3 3 2 4 3" xfId="4710" xr:uid="{00000000-0005-0000-0000-000089120000}"/>
    <cellStyle name="Normal 7 3 3 2 5" xfId="2144" xr:uid="{00000000-0005-0000-0000-0000F5020000}"/>
    <cellStyle name="Normal 7 3 3 2 5 2" xfId="4663" xr:uid="{00000000-0005-0000-0000-0000F5070000}"/>
    <cellStyle name="Normal 7 3 3 2 6" xfId="4054" xr:uid="{00000000-0005-0000-0000-0000F5020000}"/>
    <cellStyle name="Normal 7 3 3 3" xfId="1364" xr:uid="{00000000-0005-0000-0000-000027070000}"/>
    <cellStyle name="Normal 7 3 3 4" xfId="1365" xr:uid="{00000000-0005-0000-0000-000028070000}"/>
    <cellStyle name="Normal 7 3 3 4 2" xfId="1366" xr:uid="{00000000-0005-0000-0000-000029070000}"/>
    <cellStyle name="Normal 7 3 3 4 2 2" xfId="1367" xr:uid="{00000000-0005-0000-0000-00002A070000}"/>
    <cellStyle name="Normal 7 3 3 4 2 2 2" xfId="1368" xr:uid="{00000000-0005-0000-0000-00002B070000}"/>
    <cellStyle name="Normal 7 3 3 4 2 2 2 2" xfId="2027" xr:uid="{00000000-0005-0000-0000-00002C070000}"/>
    <cellStyle name="Normal 7 3 3 4 2 2 2 2 2" xfId="11364" xr:uid="{00000000-0005-0000-0000-0000062D0000}"/>
    <cellStyle name="Normal 7 3 3 4 2 2 2 3" xfId="3762" xr:uid="{00000000-0005-0000-0000-00008B060000}"/>
    <cellStyle name="Normal 7 3 3 4 2 2 2 3 2" xfId="11514" xr:uid="{00000000-0005-0000-0000-00000E040000}"/>
    <cellStyle name="Normal 7 3 3 4 2 2 3" xfId="2028" xr:uid="{00000000-0005-0000-0000-00002D070000}"/>
    <cellStyle name="Normal 7 3 3 4 2 2 4" xfId="5023" xr:uid="{00000000-0005-0000-0000-00000D040000}"/>
    <cellStyle name="Normal 7 3 3 4 2 2 4 2" xfId="11554" xr:uid="{00000000-0005-0000-0000-0000E8050000}"/>
    <cellStyle name="Normal 7 3 3 4 2 3" xfId="1369" xr:uid="{00000000-0005-0000-0000-00002E070000}"/>
    <cellStyle name="Normal 7 3 3 4 2 3 2" xfId="1370" xr:uid="{00000000-0005-0000-0000-00002F070000}"/>
    <cellStyle name="Normal 7 3 3 4 2 3 2 2" xfId="6040" xr:uid="{00000000-0005-0000-0000-0000FE020000}"/>
    <cellStyle name="Normal 7 3 3 4 2 3 2 3" xfId="5288" xr:uid="{00000000-0005-0000-0000-000010040000}"/>
    <cellStyle name="Normal 7 3 3 4 2 3 3" xfId="1371" xr:uid="{00000000-0005-0000-0000-000030070000}"/>
    <cellStyle name="Normal 7 3 3 4 2 3 3 2" xfId="11354" xr:uid="{00000000-0005-0000-0000-0000072D0000}"/>
    <cellStyle name="Normal 7 3 3 4 2 3 3 2 2" xfId="11518" xr:uid="{00000000-0005-0000-0000-000030070000}"/>
    <cellStyle name="Normal 7 3 3 4 2 3 4" xfId="2147" xr:uid="{00000000-0005-0000-0000-0000FD020000}"/>
    <cellStyle name="Normal 7 3 3 4 2 3 4 2" xfId="11522" xr:uid="{00000000-0005-0000-0000-0000EC050000}"/>
    <cellStyle name="Normal 7 3 3 4 2 3 5" xfId="5233" xr:uid="{00000000-0005-0000-0000-00000F040000}"/>
    <cellStyle name="Normal 7 3 3 4 2 4" xfId="4711" xr:uid="{00000000-0005-0000-0000-00008A120000}"/>
    <cellStyle name="Normal 7 3 3 4 3" xfId="1372" xr:uid="{00000000-0005-0000-0000-000031070000}"/>
    <cellStyle name="Normal 7 3 3 4 4" xfId="2984" xr:uid="{00000000-0005-0000-0000-000003080000}"/>
    <cellStyle name="Normal 7 3 3 4 5" xfId="2146" xr:uid="{00000000-0005-0000-0000-0000FA020000}"/>
    <cellStyle name="Normal 7 3 3 4 5 2" xfId="4023" xr:uid="{00000000-0005-0000-0000-0000FD070000}"/>
    <cellStyle name="Normal 7 3 3 4 6" xfId="4056" xr:uid="{00000000-0005-0000-0000-0000FA020000}"/>
    <cellStyle name="Normal 7 3 3 5" xfId="1373" xr:uid="{00000000-0005-0000-0000-000032070000}"/>
    <cellStyle name="Normal 7 3 3 5 2" xfId="1374" xr:uid="{00000000-0005-0000-0000-000033070000}"/>
    <cellStyle name="Normal 7 3 3 5 3" xfId="3763" xr:uid="{00000000-0005-0000-0000-000092060000}"/>
    <cellStyle name="Normal 7 3 3 5 3 2" xfId="6486" xr:uid="{00000000-0005-0000-0000-00000D0A0000}"/>
    <cellStyle name="Normal 7 3 4" xfId="1375" xr:uid="{00000000-0005-0000-0000-000034070000}"/>
    <cellStyle name="Normal 7 3 4 2" xfId="1376" xr:uid="{00000000-0005-0000-0000-000035070000}"/>
    <cellStyle name="Normal 7 3 4 3" xfId="1377" xr:uid="{00000000-0005-0000-0000-000036070000}"/>
    <cellStyle name="Normal 7 3 4 3 2" xfId="1378" xr:uid="{00000000-0005-0000-0000-000037070000}"/>
    <cellStyle name="Normal 7 3 4 3 2 2" xfId="1379" xr:uid="{00000000-0005-0000-0000-000038070000}"/>
    <cellStyle name="Normal 7 3 4 3 2 2 2" xfId="11368" xr:uid="{00000000-0005-0000-0000-0000082D0000}"/>
    <cellStyle name="Normal 7 3 4 3 2 2 2 2" xfId="11515" xr:uid="{00000000-0005-0000-0000-000017040000}"/>
    <cellStyle name="Normal 7 3 4 3 2 3" xfId="1380" xr:uid="{00000000-0005-0000-0000-000039070000}"/>
    <cellStyle name="Normal 7 3 4 3 2 3 2" xfId="2029" xr:uid="{00000000-0005-0000-0000-00003A070000}"/>
    <cellStyle name="Normal 7 3 4 3 2 3 3" xfId="3764" xr:uid="{00000000-0005-0000-0000-000099060000}"/>
    <cellStyle name="Normal 7 3 4 3 2 4" xfId="5024" xr:uid="{00000000-0005-0000-0000-000016040000}"/>
    <cellStyle name="Normal 7 3 4 3 2 4 2" xfId="11555" xr:uid="{00000000-0005-0000-0000-0000F6050000}"/>
    <cellStyle name="Normal 7 3 4 3 3" xfId="1381" xr:uid="{00000000-0005-0000-0000-00003B070000}"/>
    <cellStyle name="Normal 7 3 4 3 4" xfId="2985" xr:uid="{00000000-0005-0000-0000-000009080000}"/>
    <cellStyle name="Normal 7 3 4 3 5" xfId="2149" xr:uid="{00000000-0005-0000-0000-000001030000}"/>
    <cellStyle name="Normal 7 3 4 3 5 2" xfId="4669" xr:uid="{00000000-0005-0000-0000-000006080000}"/>
    <cellStyle name="Normal 7 3 4 3 6" xfId="4058" xr:uid="{00000000-0005-0000-0000-000001030000}"/>
    <cellStyle name="Normal 7 3 4 4" xfId="1382" xr:uid="{00000000-0005-0000-0000-00003C070000}"/>
    <cellStyle name="Normal 7 3 4 4 2" xfId="2030" xr:uid="{00000000-0005-0000-0000-00003D070000}"/>
    <cellStyle name="Normal 7 3 4 4 3" xfId="3765" xr:uid="{00000000-0005-0000-0000-00009C060000}"/>
    <cellStyle name="Normal 7 3 4 5" xfId="2148" xr:uid="{00000000-0005-0000-0000-0000FF020000}"/>
    <cellStyle name="Normal 7 3 4 5 2" xfId="4676" xr:uid="{00000000-0005-0000-0000-000004080000}"/>
    <cellStyle name="Normal 7 3 4 6" xfId="4057" xr:uid="{00000000-0005-0000-0000-0000FF020000}"/>
    <cellStyle name="Normal 7 3 5" xfId="2072" xr:uid="{00000000-0005-0000-0000-0000F2020000}"/>
    <cellStyle name="Normal 7 4" xfId="1383" xr:uid="{00000000-0005-0000-0000-00003E070000}"/>
    <cellStyle name="Normal 7 4 10" xfId="1384" xr:uid="{00000000-0005-0000-0000-00003F070000}"/>
    <cellStyle name="Normal 7 4 10 2" xfId="1385" xr:uid="{00000000-0005-0000-0000-000040070000}"/>
    <cellStyle name="Normal 7 4 10 2 2" xfId="2986" xr:uid="{00000000-0005-0000-0000-00000E080000}"/>
    <cellStyle name="Normal 7 4 10 2 2 2" xfId="6336" xr:uid="{00000000-0005-0000-0000-00000E080000}"/>
    <cellStyle name="Normal 7 4 10 2 2 3" xfId="7491" xr:uid="{00000000-0005-0000-0000-0000F70A0000}"/>
    <cellStyle name="Normal 7 4 10 2 2 4" xfId="9891" xr:uid="{00000000-0005-0000-0000-0000F70A0000}"/>
    <cellStyle name="Normal 7 4 10 2 3" xfId="4745" xr:uid="{00000000-0005-0000-0000-0000C9050000}"/>
    <cellStyle name="Normal 7 4 10 2 3 2" xfId="6130" xr:uid="{00000000-0005-0000-0000-00000D080000}"/>
    <cellStyle name="Normal 7 4 10 2 3 3" xfId="8292" xr:uid="{00000000-0005-0000-0000-0000F80A0000}"/>
    <cellStyle name="Normal 7 4 10 2 3 4" xfId="10689" xr:uid="{00000000-0005-0000-0000-0000F80A0000}"/>
    <cellStyle name="Normal 7 4 10 2 4" xfId="5235" xr:uid="{00000000-0005-0000-0000-00001B040000}"/>
    <cellStyle name="Normal 7 4 10 2 5" xfId="6874" xr:uid="{00000000-0005-0000-0000-0000F60A0000}"/>
    <cellStyle name="Normal 7 4 10 2 6" xfId="9295" xr:uid="{00000000-0005-0000-0000-0000F60A0000}"/>
    <cellStyle name="Normal 7 4 10 3" xfId="1386" xr:uid="{00000000-0005-0000-0000-000041070000}"/>
    <cellStyle name="Normal 7 4 10 3 2" xfId="6237" xr:uid="{00000000-0005-0000-0000-00000F080000}"/>
    <cellStyle name="Normal 7 4 10 3 3" xfId="7492" xr:uid="{00000000-0005-0000-0000-0000F90A0000}"/>
    <cellStyle name="Normal 7 4 10 3 4" xfId="9892" xr:uid="{00000000-0005-0000-0000-0000F90A0000}"/>
    <cellStyle name="Normal 7 4 10 4" xfId="2392" xr:uid="{00000000-0005-0000-0000-00000C080000}"/>
    <cellStyle name="Normal 7 4 10 4 2" xfId="6082" xr:uid="{00000000-0005-0000-0000-00000C080000}"/>
    <cellStyle name="Normal 7 4 10 4 3" xfId="7490" xr:uid="{00000000-0005-0000-0000-0000FA0A0000}"/>
    <cellStyle name="Normal 7 4 10 4 4" xfId="9890" xr:uid="{00000000-0005-0000-0000-0000FA0A0000}"/>
    <cellStyle name="Normal 7 4 10 5" xfId="4060" xr:uid="{00000000-0005-0000-0000-000004030000}"/>
    <cellStyle name="Normal 7 4 10 5 2" xfId="8099" xr:uid="{00000000-0005-0000-0000-0000FB0A0000}"/>
    <cellStyle name="Normal 7 4 10 5 3" xfId="10496" xr:uid="{00000000-0005-0000-0000-0000FB0A0000}"/>
    <cellStyle name="Normal 7 4 10 6" xfId="5984" xr:uid="{00000000-0005-0000-0000-000090040000}"/>
    <cellStyle name="Normal 7 4 10 7" xfId="4968" xr:uid="{00000000-0005-0000-0000-00001A040000}"/>
    <cellStyle name="Normal 7 4 10 8" xfId="6713" xr:uid="{00000000-0005-0000-0000-0000F50A0000}"/>
    <cellStyle name="Normal 7 4 10 9" xfId="9134" xr:uid="{00000000-0005-0000-0000-0000F50A0000}"/>
    <cellStyle name="Normal 7 4 11" xfId="1387" xr:uid="{00000000-0005-0000-0000-000042070000}"/>
    <cellStyle name="Normal 7 4 11 2" xfId="3418" xr:uid="{00000000-0005-0000-0000-000011080000}"/>
    <cellStyle name="Normal 7 4 11 2 2" xfId="6422" xr:uid="{00000000-0005-0000-0000-000011080000}"/>
    <cellStyle name="Normal 7 4 11 2 2 2" xfId="8809" xr:uid="{00000000-0005-0000-0000-0000FE0A0000}"/>
    <cellStyle name="Normal 7 4 11 2 2 3" xfId="11206" xr:uid="{00000000-0005-0000-0000-0000FE0A0000}"/>
    <cellStyle name="Normal 7 4 11 2 3" xfId="5236" xr:uid="{00000000-0005-0000-0000-00001D040000}"/>
    <cellStyle name="Normal 7 4 11 2 4" xfId="7493" xr:uid="{00000000-0005-0000-0000-0000FD0A0000}"/>
    <cellStyle name="Normal 7 4 11 2 5" xfId="9893" xr:uid="{00000000-0005-0000-0000-0000FD0A0000}"/>
    <cellStyle name="Normal 7 4 11 3" xfId="2818" xr:uid="{00000000-0005-0000-0000-000012080000}"/>
    <cellStyle name="Normal 7 4 11 3 2" xfId="6236" xr:uid="{00000000-0005-0000-0000-000012080000}"/>
    <cellStyle name="Normal 7 4 11 3 3" xfId="8098" xr:uid="{00000000-0005-0000-0000-0000FF0A0000}"/>
    <cellStyle name="Normal 7 4 11 3 4" xfId="10495" xr:uid="{00000000-0005-0000-0000-0000FF0A0000}"/>
    <cellStyle name="Normal 7 4 11 4" xfId="2270" xr:uid="{00000000-0005-0000-0000-000010080000}"/>
    <cellStyle name="Normal 7 4 11 4 2" xfId="11416" xr:uid="{00000000-0005-0000-0000-0000210A0000}"/>
    <cellStyle name="Normal 7 4 11 5" xfId="4059" xr:uid="{00000000-0005-0000-0000-000005030000}"/>
    <cellStyle name="Normal 7 4 11 6" xfId="5983" xr:uid="{00000000-0005-0000-0000-000091040000}"/>
    <cellStyle name="Normal 7 4 11 7" xfId="4967" xr:uid="{00000000-0005-0000-0000-00001C040000}"/>
    <cellStyle name="Normal 7 4 11 8" xfId="6712" xr:uid="{00000000-0005-0000-0000-0000FC0A0000}"/>
    <cellStyle name="Normal 7 4 11 9" xfId="9133" xr:uid="{00000000-0005-0000-0000-0000FC0A0000}"/>
    <cellStyle name="Normal 7 4 12" xfId="1388" xr:uid="{00000000-0005-0000-0000-000043070000}"/>
    <cellStyle name="Normal 7 4 12 2" xfId="3419" xr:uid="{00000000-0005-0000-0000-000014080000}"/>
    <cellStyle name="Normal 7 4 12 2 2" xfId="6423" xr:uid="{00000000-0005-0000-0000-000014080000}"/>
    <cellStyle name="Normal 7 4 12 2 3" xfId="5237" xr:uid="{00000000-0005-0000-0000-00001F040000}"/>
    <cellStyle name="Normal 7 4 12 2 4" xfId="7494" xr:uid="{00000000-0005-0000-0000-0000010B0000}"/>
    <cellStyle name="Normal 7 4 12 2 5" xfId="9894" xr:uid="{00000000-0005-0000-0000-0000010B0000}"/>
    <cellStyle name="Normal 7 4 12 3" xfId="4117" xr:uid="{00000000-0005-0000-0000-000013080000}"/>
    <cellStyle name="Normal 7 4 12 3 2" xfId="6093" xr:uid="{00000000-0005-0000-0000-000013080000}"/>
    <cellStyle name="Normal 7 4 12 3 3" xfId="8810" xr:uid="{00000000-0005-0000-0000-0000020B0000}"/>
    <cellStyle name="Normal 7 4 12 3 4" xfId="11207" xr:uid="{00000000-0005-0000-0000-0000020B0000}"/>
    <cellStyle name="Normal 7 4 12 4" xfId="5556" xr:uid="{00000000-0005-0000-0000-000092040000}"/>
    <cellStyle name="Normal 7 4 12 5" xfId="4765" xr:uid="{00000000-0005-0000-0000-00001E040000}"/>
    <cellStyle name="Normal 7 4 12 6" xfId="6873" xr:uid="{00000000-0005-0000-0000-0000000B0000}"/>
    <cellStyle name="Normal 7 4 12 7" xfId="9294" xr:uid="{00000000-0005-0000-0000-0000000B0000}"/>
    <cellStyle name="Normal 7 4 13" xfId="1389" xr:uid="{00000000-0005-0000-0000-000044070000}"/>
    <cellStyle name="Normal 7 4 13 2" xfId="4690" xr:uid="{00000000-0005-0000-0000-0000D3050000}"/>
    <cellStyle name="Normal 7 4 13 2 2" xfId="6261" xr:uid="{00000000-0005-0000-0000-000015080000}"/>
    <cellStyle name="Normal 7 4 13 2 3" xfId="8168" xr:uid="{00000000-0005-0000-0000-0000040B0000}"/>
    <cellStyle name="Normal 7 4 13 2 4" xfId="10565" xr:uid="{00000000-0005-0000-0000-0000040B0000}"/>
    <cellStyle name="Normal 7 4 13 3" xfId="5234" xr:uid="{00000000-0005-0000-0000-000020040000}"/>
    <cellStyle name="Normal 7 4 13 4" xfId="7495" xr:uid="{00000000-0005-0000-0000-0000030B0000}"/>
    <cellStyle name="Normal 7 4 13 5" xfId="9895" xr:uid="{00000000-0005-0000-0000-0000030B0000}"/>
    <cellStyle name="Normal 7 4 14" xfId="2433" xr:uid="{00000000-0005-0000-0000-000016080000}"/>
    <cellStyle name="Normal 7 4 14 2" xfId="6145" xr:uid="{00000000-0005-0000-0000-000016080000}"/>
    <cellStyle name="Normal 7 4 14 3" xfId="7489" xr:uid="{00000000-0005-0000-0000-0000050B0000}"/>
    <cellStyle name="Normal 7 4 14 4" xfId="9889" xr:uid="{00000000-0005-0000-0000-0000050B0000}"/>
    <cellStyle name="Normal 7 4 15" xfId="2160" xr:uid="{00000000-0005-0000-0000-00000B080000}"/>
    <cellStyle name="Normal 7 4 15 2" xfId="6052" xr:uid="{00000000-0005-0000-0000-00000B080000}"/>
    <cellStyle name="Normal 7 4 15 3" xfId="7630" xr:uid="{00000000-0005-0000-0000-0000060B0000}"/>
    <cellStyle name="Normal 7 4 15 4" xfId="10027" xr:uid="{00000000-0005-0000-0000-0000060B0000}"/>
    <cellStyle name="Normal 7 4 16" xfId="3785" xr:uid="{00000000-0005-0000-0000-000003030000}"/>
    <cellStyle name="Normal 7 4 17" xfId="5303" xr:uid="{00000000-0005-0000-0000-00008F040000}"/>
    <cellStyle name="Normal 7 4 18" xfId="4758" xr:uid="{00000000-0005-0000-0000-000019040000}"/>
    <cellStyle name="Normal 7 4 19" xfId="6529" xr:uid="{00000000-0005-0000-0000-0000F40A0000}"/>
    <cellStyle name="Normal 7 4 2" xfId="1390" xr:uid="{00000000-0005-0000-0000-000045070000}"/>
    <cellStyle name="Normal 7 4 2 10" xfId="1391" xr:uid="{00000000-0005-0000-0000-000046070000}"/>
    <cellStyle name="Normal 7 4 2 10 2" xfId="3420" xr:uid="{00000000-0005-0000-0000-000019080000}"/>
    <cellStyle name="Normal 7 4 2 10 2 2" xfId="6424" xr:uid="{00000000-0005-0000-0000-000019080000}"/>
    <cellStyle name="Normal 7 4 2 10 2 3" xfId="7497" xr:uid="{00000000-0005-0000-0000-0000090B0000}"/>
    <cellStyle name="Normal 7 4 2 10 2 4" xfId="9897" xr:uid="{00000000-0005-0000-0000-0000090B0000}"/>
    <cellStyle name="Normal 7 4 2 10 3" xfId="4213" xr:uid="{00000000-0005-0000-0000-000018080000}"/>
    <cellStyle name="Normal 7 4 2 10 3 2" xfId="6131" xr:uid="{00000000-0005-0000-0000-000018080000}"/>
    <cellStyle name="Normal 7 4 2 10 3 3" xfId="8811" xr:uid="{00000000-0005-0000-0000-00000A0B0000}"/>
    <cellStyle name="Normal 7 4 2 10 3 4" xfId="11208" xr:uid="{00000000-0005-0000-0000-00000A0B0000}"/>
    <cellStyle name="Normal 7 4 2 10 4" xfId="5565" xr:uid="{00000000-0005-0000-0000-000094040000}"/>
    <cellStyle name="Normal 7 4 2 10 5" xfId="5238" xr:uid="{00000000-0005-0000-0000-000022040000}"/>
    <cellStyle name="Normal 7 4 2 10 6" xfId="6875" xr:uid="{00000000-0005-0000-0000-0000080B0000}"/>
    <cellStyle name="Normal 7 4 2 10 7" xfId="9296" xr:uid="{00000000-0005-0000-0000-0000080B0000}"/>
    <cellStyle name="Normal 7 4 2 11" xfId="1392" xr:uid="{00000000-0005-0000-0000-000047070000}"/>
    <cellStyle name="Normal 7 4 2 11 2" xfId="6513" xr:uid="{00000000-0005-0000-0000-00002D0A0000}"/>
    <cellStyle name="Normal 7 4 2 11 2 2" xfId="8293" xr:uid="{00000000-0005-0000-0000-00000C0B0000}"/>
    <cellStyle name="Normal 7 4 2 11 2 3" xfId="10690" xr:uid="{00000000-0005-0000-0000-00000C0B0000}"/>
    <cellStyle name="Normal 7 4 2 11 3" xfId="6337" xr:uid="{00000000-0005-0000-0000-00001A080000}"/>
    <cellStyle name="Normal 7 4 2 11 4" xfId="7498" xr:uid="{00000000-0005-0000-0000-00000B0B0000}"/>
    <cellStyle name="Normal 7 4 2 11 5" xfId="9898" xr:uid="{00000000-0005-0000-0000-00000B0B0000}"/>
    <cellStyle name="Normal 7 4 2 12" xfId="2442" xr:uid="{00000000-0005-0000-0000-00001B080000}"/>
    <cellStyle name="Normal 7 4 2 12 2" xfId="6152" xr:uid="{00000000-0005-0000-0000-00001B080000}"/>
    <cellStyle name="Normal 7 4 2 12 3" xfId="7496" xr:uid="{00000000-0005-0000-0000-00000D0B0000}"/>
    <cellStyle name="Normal 7 4 2 12 4" xfId="9896" xr:uid="{00000000-0005-0000-0000-00000D0B0000}"/>
    <cellStyle name="Normal 7 4 2 13" xfId="2172" xr:uid="{00000000-0005-0000-0000-000017080000}"/>
    <cellStyle name="Normal 7 4 2 13 2" xfId="7639" xr:uid="{00000000-0005-0000-0000-00000E0B0000}"/>
    <cellStyle name="Normal 7 4 2 13 3" xfId="10036" xr:uid="{00000000-0005-0000-0000-00000E0B0000}"/>
    <cellStyle name="Normal 7 4 2 14" xfId="4061" xr:uid="{00000000-0005-0000-0000-000006030000}"/>
    <cellStyle name="Normal 7 4 2 15" xfId="5319" xr:uid="{00000000-0005-0000-0000-000093040000}"/>
    <cellStyle name="Normal 7 4 2 16" xfId="4774" xr:uid="{00000000-0005-0000-0000-000021040000}"/>
    <cellStyle name="Normal 7 4 2 17" xfId="6538" xr:uid="{00000000-0005-0000-0000-0000070B0000}"/>
    <cellStyle name="Normal 7 4 2 18" xfId="8959" xr:uid="{00000000-0005-0000-0000-0000070B0000}"/>
    <cellStyle name="Normal 7 4 2 2" xfId="1393" xr:uid="{00000000-0005-0000-0000-000048070000}"/>
    <cellStyle name="Normal 7 4 2 2 10" xfId="5379" xr:uid="{00000000-0005-0000-0000-000095040000}"/>
    <cellStyle name="Normal 7 4 2 2 11" xfId="4835" xr:uid="{00000000-0005-0000-0000-000023040000}"/>
    <cellStyle name="Normal 7 4 2 2 12" xfId="6581" xr:uid="{00000000-0005-0000-0000-00000F0B0000}"/>
    <cellStyle name="Normal 7 4 2 2 13" xfId="9002" xr:uid="{00000000-0005-0000-0000-00000F0B0000}"/>
    <cellStyle name="Normal 7 4 2 2 2" xfId="1394" xr:uid="{00000000-0005-0000-0000-000049070000}"/>
    <cellStyle name="Normal 7 4 2 2 2 10" xfId="4970" xr:uid="{00000000-0005-0000-0000-000024040000}"/>
    <cellStyle name="Normal 7 4 2 2 2 11" xfId="6715" xr:uid="{00000000-0005-0000-0000-0000100B0000}"/>
    <cellStyle name="Normal 7 4 2 2 2 12" xfId="9136" xr:uid="{00000000-0005-0000-0000-0000100B0000}"/>
    <cellStyle name="Normal 7 4 2 2 2 2" xfId="1395" xr:uid="{00000000-0005-0000-0000-00004A070000}"/>
    <cellStyle name="Normal 7 4 2 2 2 2 2" xfId="2822" xr:uid="{00000000-0005-0000-0000-00001F080000}"/>
    <cellStyle name="Normal 7 4 2 2 2 2 2 2" xfId="3423" xr:uid="{00000000-0005-0000-0000-000020080000}"/>
    <cellStyle name="Normal 7 4 2 2 2 2 2 2 2" xfId="8814" xr:uid="{00000000-0005-0000-0000-0000130B0000}"/>
    <cellStyle name="Normal 7 4 2 2 2 2 2 2 3" xfId="11211" xr:uid="{00000000-0005-0000-0000-0000130B0000}"/>
    <cellStyle name="Normal 7 4 2 2 2 2 2 3" xfId="4361" xr:uid="{00000000-0005-0000-0000-00001F080000}"/>
    <cellStyle name="Normal 7 4 2 2 2 2 2 3 2" xfId="11418" xr:uid="{00000000-0005-0000-0000-0000340A0000}"/>
    <cellStyle name="Normal 7 4 2 2 2 2 2 4" xfId="8103" xr:uid="{00000000-0005-0000-0000-0000120B0000}"/>
    <cellStyle name="Normal 7 4 2 2 2 2 2 5" xfId="10500" xr:uid="{00000000-0005-0000-0000-0000120B0000}"/>
    <cellStyle name="Normal 7 4 2 2 2 2 3" xfId="3424" xr:uid="{00000000-0005-0000-0000-000021080000}"/>
    <cellStyle name="Normal 7 4 2 2 2 2 3 2" xfId="4572" xr:uid="{00000000-0005-0000-0000-000021080000}"/>
    <cellStyle name="Normal 7 4 2 2 2 2 3 3" xfId="8815" xr:uid="{00000000-0005-0000-0000-0000140B0000}"/>
    <cellStyle name="Normal 7 4 2 2 2 2 3 4" xfId="11212" xr:uid="{00000000-0005-0000-0000-0000140B0000}"/>
    <cellStyle name="Normal 7 4 2 2 2 2 4" xfId="3422" xr:uid="{00000000-0005-0000-0000-000022080000}"/>
    <cellStyle name="Normal 7 4 2 2 2 2 4 2" xfId="8813" xr:uid="{00000000-0005-0000-0000-0000150B0000}"/>
    <cellStyle name="Normal 7 4 2 2 2 2 4 3" xfId="11210" xr:uid="{00000000-0005-0000-0000-0000150B0000}"/>
    <cellStyle name="Normal 7 4 2 2 2 2 5" xfId="4249" xr:uid="{00000000-0005-0000-0000-00001E080000}"/>
    <cellStyle name="Normal 7 4 2 2 2 2 5 2" xfId="7862" xr:uid="{00000000-0005-0000-0000-0000160B0000}"/>
    <cellStyle name="Normal 7 4 2 2 2 2 5 3" xfId="10259" xr:uid="{00000000-0005-0000-0000-0000160B0000}"/>
    <cellStyle name="Normal 7 4 2 2 2 2 6" xfId="5540" xr:uid="{00000000-0005-0000-0000-000097040000}"/>
    <cellStyle name="Normal 7 4 2 2 2 2 7" xfId="5240" xr:uid="{00000000-0005-0000-0000-000025040000}"/>
    <cellStyle name="Normal 7 4 2 2 2 2 8" xfId="7501" xr:uid="{00000000-0005-0000-0000-0000110B0000}"/>
    <cellStyle name="Normal 7 4 2 2 2 2 9" xfId="9901" xr:uid="{00000000-0005-0000-0000-0000110B0000}"/>
    <cellStyle name="Normal 7 4 2 2 2 3" xfId="2821" xr:uid="{00000000-0005-0000-0000-000023080000}"/>
    <cellStyle name="Normal 7 4 2 2 2 3 2" xfId="3425" xr:uid="{00000000-0005-0000-0000-000024080000}"/>
    <cellStyle name="Normal 7 4 2 2 2 3 2 2" xfId="8816" xr:uid="{00000000-0005-0000-0000-0000180B0000}"/>
    <cellStyle name="Normal 7 4 2 2 2 3 2 3" xfId="11213" xr:uid="{00000000-0005-0000-0000-0000180B0000}"/>
    <cellStyle name="Normal 7 4 2 2 2 3 3" xfId="4360" xr:uid="{00000000-0005-0000-0000-000023080000}"/>
    <cellStyle name="Normal 7 4 2 2 2 3 3 2" xfId="8102" xr:uid="{00000000-0005-0000-0000-0000190B0000}"/>
    <cellStyle name="Normal 7 4 2 2 2 3 3 3" xfId="10499" xr:uid="{00000000-0005-0000-0000-0000190B0000}"/>
    <cellStyle name="Normal 7 4 2 2 2 3 4" xfId="5987" xr:uid="{00000000-0005-0000-0000-00009A040000}"/>
    <cellStyle name="Normal 7 4 2 2 2 3 5" xfId="7500" xr:uid="{00000000-0005-0000-0000-0000170B0000}"/>
    <cellStyle name="Normal 7 4 2 2 2 3 6" xfId="9900" xr:uid="{00000000-0005-0000-0000-0000170B0000}"/>
    <cellStyle name="Normal 7 4 2 2 2 4" xfId="3426" xr:uid="{00000000-0005-0000-0000-000025080000}"/>
    <cellStyle name="Normal 7 4 2 2 2 4 2" xfId="4573" xr:uid="{00000000-0005-0000-0000-000025080000}"/>
    <cellStyle name="Normal 7 4 2 2 2 4 3" xfId="8817" xr:uid="{00000000-0005-0000-0000-00001A0B0000}"/>
    <cellStyle name="Normal 7 4 2 2 2 4 4" xfId="11214" xr:uid="{00000000-0005-0000-0000-00001A0B0000}"/>
    <cellStyle name="Normal 7 4 2 2 2 5" xfId="3421" xr:uid="{00000000-0005-0000-0000-000026080000}"/>
    <cellStyle name="Normal 7 4 2 2 2 5 2" xfId="8812" xr:uid="{00000000-0005-0000-0000-00001B0B0000}"/>
    <cellStyle name="Normal 7 4 2 2 2 5 3" xfId="11209" xr:uid="{00000000-0005-0000-0000-00001B0B0000}"/>
    <cellStyle name="Normal 7 4 2 2 2 6" xfId="2561" xr:uid="{00000000-0005-0000-0000-000027080000}"/>
    <cellStyle name="Normal 7 4 2 2 2 6 2" xfId="7759" xr:uid="{00000000-0005-0000-0000-00001C0B0000}"/>
    <cellStyle name="Normal 7 4 2 2 2 6 3" xfId="10156" xr:uid="{00000000-0005-0000-0000-00001C0B0000}"/>
    <cellStyle name="Normal 7 4 2 2 2 7" xfId="2255" xr:uid="{00000000-0005-0000-0000-00001D080000}"/>
    <cellStyle name="Normal 7 4 2 2 2 8" xfId="3805" xr:uid="{00000000-0005-0000-0000-000008030000}"/>
    <cellStyle name="Normal 7 4 2 2 2 9" xfId="5439" xr:uid="{00000000-0005-0000-0000-000096040000}"/>
    <cellStyle name="Normal 7 4 2 2 3" xfId="1396" xr:uid="{00000000-0005-0000-0000-00004B070000}"/>
    <cellStyle name="Normal 7 4 2 2 3 10" xfId="6876" xr:uid="{00000000-0005-0000-0000-00001D0B0000}"/>
    <cellStyle name="Normal 7 4 2 2 3 11" xfId="9297" xr:uid="{00000000-0005-0000-0000-00001D0B0000}"/>
    <cellStyle name="Normal 7 4 2 2 3 2" xfId="2823" xr:uid="{00000000-0005-0000-0000-000029080000}"/>
    <cellStyle name="Normal 7 4 2 2 3 2 2" xfId="3428" xr:uid="{00000000-0005-0000-0000-00002A080000}"/>
    <cellStyle name="Normal 7 4 2 2 3 2 2 2" xfId="8819" xr:uid="{00000000-0005-0000-0000-00001F0B0000}"/>
    <cellStyle name="Normal 7 4 2 2 3 2 2 3" xfId="11216" xr:uid="{00000000-0005-0000-0000-00001F0B0000}"/>
    <cellStyle name="Normal 7 4 2 2 3 2 3" xfId="4362" xr:uid="{00000000-0005-0000-0000-000029080000}"/>
    <cellStyle name="Normal 7 4 2 2 3 2 3 2" xfId="8104" xr:uid="{00000000-0005-0000-0000-0000200B0000}"/>
    <cellStyle name="Normal 7 4 2 2 3 2 3 3" xfId="10501" xr:uid="{00000000-0005-0000-0000-0000200B0000}"/>
    <cellStyle name="Normal 7 4 2 2 3 2 4" xfId="5988" xr:uid="{00000000-0005-0000-0000-00009D040000}"/>
    <cellStyle name="Normal 7 4 2 2 3 2 5" xfId="7502" xr:uid="{00000000-0005-0000-0000-00001E0B0000}"/>
    <cellStyle name="Normal 7 4 2 2 3 2 6" xfId="9902" xr:uid="{00000000-0005-0000-0000-00001E0B0000}"/>
    <cellStyle name="Normal 7 4 2 2 3 3" xfId="3429" xr:uid="{00000000-0005-0000-0000-00002B080000}"/>
    <cellStyle name="Normal 7 4 2 2 3 3 2" xfId="4574" xr:uid="{00000000-0005-0000-0000-00002B080000}"/>
    <cellStyle name="Normal 7 4 2 2 3 3 3" xfId="5710" xr:uid="{00000000-0005-0000-0000-00009E040000}"/>
    <cellStyle name="Normal 7 4 2 2 3 3 4" xfId="8820" xr:uid="{00000000-0005-0000-0000-0000210B0000}"/>
    <cellStyle name="Normal 7 4 2 2 3 3 5" xfId="11217" xr:uid="{00000000-0005-0000-0000-0000210B0000}"/>
    <cellStyle name="Normal 7 4 2 2 3 4" xfId="3427" xr:uid="{00000000-0005-0000-0000-00002C080000}"/>
    <cellStyle name="Normal 7 4 2 2 3 4 2" xfId="8818" xr:uid="{00000000-0005-0000-0000-0000220B0000}"/>
    <cellStyle name="Normal 7 4 2 2 3 4 3" xfId="11215" xr:uid="{00000000-0005-0000-0000-0000220B0000}"/>
    <cellStyle name="Normal 7 4 2 2 3 5" xfId="2604" xr:uid="{00000000-0005-0000-0000-00002D080000}"/>
    <cellStyle name="Normal 7 4 2 2 3 5 2" xfId="7802" xr:uid="{00000000-0005-0000-0000-0000230B0000}"/>
    <cellStyle name="Normal 7 4 2 2 3 5 3" xfId="10199" xr:uid="{00000000-0005-0000-0000-0000230B0000}"/>
    <cellStyle name="Normal 7 4 2 2 3 6" xfId="2394" xr:uid="{00000000-0005-0000-0000-000028080000}"/>
    <cellStyle name="Normal 7 4 2 2 3 7" xfId="4098" xr:uid="{00000000-0005-0000-0000-000009030000}"/>
    <cellStyle name="Normal 7 4 2 2 3 8" xfId="5480" xr:uid="{00000000-0005-0000-0000-00009C040000}"/>
    <cellStyle name="Normal 7 4 2 2 3 9" xfId="5239" xr:uid="{00000000-0005-0000-0000-000026040000}"/>
    <cellStyle name="Normal 7 4 2 2 4" xfId="1397" xr:uid="{00000000-0005-0000-0000-00004C070000}"/>
    <cellStyle name="Normal 7 4 2 2 4 2" xfId="3430" xr:uid="{00000000-0005-0000-0000-00002F080000}"/>
    <cellStyle name="Normal 7 4 2 2 4 2 2" xfId="8821" xr:uid="{00000000-0005-0000-0000-0000250B0000}"/>
    <cellStyle name="Normal 7 4 2 2 4 2 3" xfId="11218" xr:uid="{00000000-0005-0000-0000-0000250B0000}"/>
    <cellStyle name="Normal 7 4 2 2 4 3" xfId="2820" xr:uid="{00000000-0005-0000-0000-000030080000}"/>
    <cellStyle name="Normal 7 4 2 2 4 3 2" xfId="8101" xr:uid="{00000000-0005-0000-0000-0000260B0000}"/>
    <cellStyle name="Normal 7 4 2 2 4 3 3" xfId="10498" xr:uid="{00000000-0005-0000-0000-0000260B0000}"/>
    <cellStyle name="Normal 7 4 2 2 4 4" xfId="4214" xr:uid="{00000000-0005-0000-0000-00002E080000}"/>
    <cellStyle name="Normal 7 4 2 2 4 5" xfId="5986" xr:uid="{00000000-0005-0000-0000-00009F040000}"/>
    <cellStyle name="Normal 7 4 2 2 4 6" xfId="7503" xr:uid="{00000000-0005-0000-0000-0000240B0000}"/>
    <cellStyle name="Normal 7 4 2 2 4 7" xfId="9903" xr:uid="{00000000-0005-0000-0000-0000240B0000}"/>
    <cellStyle name="Normal 7 4 2 2 5" xfId="3431" xr:uid="{00000000-0005-0000-0000-000031080000}"/>
    <cellStyle name="Normal 7 4 2 2 5 2" xfId="4575" xr:uid="{00000000-0005-0000-0000-000031080000}"/>
    <cellStyle name="Normal 7 4 2 2 5 2 2" xfId="8822" xr:uid="{00000000-0005-0000-0000-0000280B0000}"/>
    <cellStyle name="Normal 7 4 2 2 5 2 3" xfId="11219" xr:uid="{00000000-0005-0000-0000-0000280B0000}"/>
    <cellStyle name="Normal 7 4 2 2 5 3" xfId="5625" xr:uid="{00000000-0005-0000-0000-0000A0040000}"/>
    <cellStyle name="Normal 7 4 2 2 5 4" xfId="7499" xr:uid="{00000000-0005-0000-0000-0000270B0000}"/>
    <cellStyle name="Normal 7 4 2 2 5 5" xfId="9899" xr:uid="{00000000-0005-0000-0000-0000270B0000}"/>
    <cellStyle name="Normal 7 4 2 2 6" xfId="2987" xr:uid="{00000000-0005-0000-0000-000032080000}"/>
    <cellStyle name="Normal 7 4 2 2 6 2" xfId="8294" xr:uid="{00000000-0005-0000-0000-0000290B0000}"/>
    <cellStyle name="Normal 7 4 2 2 6 3" xfId="10691" xr:uid="{00000000-0005-0000-0000-0000290B0000}"/>
    <cellStyle name="Normal 7 4 2 2 7" xfId="2501" xr:uid="{00000000-0005-0000-0000-000033080000}"/>
    <cellStyle name="Normal 7 4 2 2 7 2" xfId="7699" xr:uid="{00000000-0005-0000-0000-00002A0B0000}"/>
    <cellStyle name="Normal 7 4 2 2 7 3" xfId="10096" xr:uid="{00000000-0005-0000-0000-00002A0B0000}"/>
    <cellStyle name="Normal 7 4 2 2 8" xfId="2195" xr:uid="{00000000-0005-0000-0000-00001C080000}"/>
    <cellStyle name="Normal 7 4 2 2 9" xfId="4062" xr:uid="{00000000-0005-0000-0000-000007030000}"/>
    <cellStyle name="Normal 7 4 2 3" xfId="1398" xr:uid="{00000000-0005-0000-0000-00004D070000}"/>
    <cellStyle name="Normal 7 4 2 3 10" xfId="5356" xr:uid="{00000000-0005-0000-0000-0000A1040000}"/>
    <cellStyle name="Normal 7 4 2 3 11" xfId="4812" xr:uid="{00000000-0005-0000-0000-000027040000}"/>
    <cellStyle name="Normal 7 4 2 3 12" xfId="6558" xr:uid="{00000000-0005-0000-0000-00002B0B0000}"/>
    <cellStyle name="Normal 7 4 2 3 13" xfId="8979" xr:uid="{00000000-0005-0000-0000-00002B0B0000}"/>
    <cellStyle name="Normal 7 4 2 3 2" xfId="1399" xr:uid="{00000000-0005-0000-0000-00004E070000}"/>
    <cellStyle name="Normal 7 4 2 3 2 10" xfId="6716" xr:uid="{00000000-0005-0000-0000-00002C0B0000}"/>
    <cellStyle name="Normal 7 4 2 3 2 11" xfId="9137" xr:uid="{00000000-0005-0000-0000-00002C0B0000}"/>
    <cellStyle name="Normal 7 4 2 3 2 2" xfId="1400" xr:uid="{00000000-0005-0000-0000-00004F070000}"/>
    <cellStyle name="Normal 7 4 2 3 2 2 2" xfId="3433" xr:uid="{00000000-0005-0000-0000-000037080000}"/>
    <cellStyle name="Normal 7 4 2 3 2 2 2 2" xfId="8824" xr:uid="{00000000-0005-0000-0000-00002E0B0000}"/>
    <cellStyle name="Normal 7 4 2 3 2 2 2 3" xfId="11221" xr:uid="{00000000-0005-0000-0000-00002E0B0000}"/>
    <cellStyle name="Normal 7 4 2 3 2 2 3" xfId="4364" xr:uid="{00000000-0005-0000-0000-000036080000}"/>
    <cellStyle name="Normal 7 4 2 3 2 2 3 2" xfId="8106" xr:uid="{00000000-0005-0000-0000-00002F0B0000}"/>
    <cellStyle name="Normal 7 4 2 3 2 2 3 3" xfId="10503" xr:uid="{00000000-0005-0000-0000-00002F0B0000}"/>
    <cellStyle name="Normal 7 4 2 3 2 2 4" xfId="5990" xr:uid="{00000000-0005-0000-0000-0000A3040000}"/>
    <cellStyle name="Normal 7 4 2 3 2 2 5" xfId="5242" xr:uid="{00000000-0005-0000-0000-000029040000}"/>
    <cellStyle name="Normal 7 4 2 3 2 2 6" xfId="7506" xr:uid="{00000000-0005-0000-0000-00002D0B0000}"/>
    <cellStyle name="Normal 7 4 2 3 2 2 7" xfId="9906" xr:uid="{00000000-0005-0000-0000-00002D0B0000}"/>
    <cellStyle name="Normal 7 4 2 3 2 3" xfId="3434" xr:uid="{00000000-0005-0000-0000-000038080000}"/>
    <cellStyle name="Normal 7 4 2 3 2 3 2" xfId="4576" xr:uid="{00000000-0005-0000-0000-000038080000}"/>
    <cellStyle name="Normal 7 4 2 3 2 3 2 2" xfId="8825" xr:uid="{00000000-0005-0000-0000-0000310B0000}"/>
    <cellStyle name="Normal 7 4 2 3 2 3 2 3" xfId="11222" xr:uid="{00000000-0005-0000-0000-0000310B0000}"/>
    <cellStyle name="Normal 7 4 2 3 2 3 3" xfId="5661" xr:uid="{00000000-0005-0000-0000-0000A4040000}"/>
    <cellStyle name="Normal 7 4 2 3 2 3 4" xfId="7505" xr:uid="{00000000-0005-0000-0000-0000300B0000}"/>
    <cellStyle name="Normal 7 4 2 3 2 3 5" xfId="9905" xr:uid="{00000000-0005-0000-0000-0000300B0000}"/>
    <cellStyle name="Normal 7 4 2 3 2 4" xfId="3432" xr:uid="{00000000-0005-0000-0000-000039080000}"/>
    <cellStyle name="Normal 7 4 2 3 2 4 2" xfId="8823" xr:uid="{00000000-0005-0000-0000-0000320B0000}"/>
    <cellStyle name="Normal 7 4 2 3 2 4 3" xfId="11220" xr:uid="{00000000-0005-0000-0000-0000320B0000}"/>
    <cellStyle name="Normal 7 4 2 3 2 5" xfId="2538" xr:uid="{00000000-0005-0000-0000-00003A080000}"/>
    <cellStyle name="Normal 7 4 2 3 2 5 2" xfId="7736" xr:uid="{00000000-0005-0000-0000-0000330B0000}"/>
    <cellStyle name="Normal 7 4 2 3 2 5 3" xfId="10133" xr:uid="{00000000-0005-0000-0000-0000330B0000}"/>
    <cellStyle name="Normal 7 4 2 3 2 6" xfId="2395" xr:uid="{00000000-0005-0000-0000-000035080000}"/>
    <cellStyle name="Normal 7 4 2 3 2 7" xfId="4099" xr:uid="{00000000-0005-0000-0000-00000B030000}"/>
    <cellStyle name="Normal 7 4 2 3 2 8" xfId="5416" xr:uid="{00000000-0005-0000-0000-0000A2040000}"/>
    <cellStyle name="Normal 7 4 2 3 2 9" xfId="4971" xr:uid="{00000000-0005-0000-0000-000028040000}"/>
    <cellStyle name="Normal 7 4 2 3 3" xfId="1401" xr:uid="{00000000-0005-0000-0000-000050070000}"/>
    <cellStyle name="Normal 7 4 2 3 3 10" xfId="9298" xr:uid="{00000000-0005-0000-0000-0000340B0000}"/>
    <cellStyle name="Normal 7 4 2 3 3 2" xfId="2824" xr:uid="{00000000-0005-0000-0000-00003C080000}"/>
    <cellStyle name="Normal 7 4 2 3 3 2 2" xfId="3436" xr:uid="{00000000-0005-0000-0000-00003D080000}"/>
    <cellStyle name="Normal 7 4 2 3 3 2 2 2" xfId="8827" xr:uid="{00000000-0005-0000-0000-0000360B0000}"/>
    <cellStyle name="Normal 7 4 2 3 3 2 2 3" xfId="11224" xr:uid="{00000000-0005-0000-0000-0000360B0000}"/>
    <cellStyle name="Normal 7 4 2 3 3 2 3" xfId="4365" xr:uid="{00000000-0005-0000-0000-00003C080000}"/>
    <cellStyle name="Normal 7 4 2 3 3 2 3 2" xfId="8107" xr:uid="{00000000-0005-0000-0000-0000370B0000}"/>
    <cellStyle name="Normal 7 4 2 3 3 2 3 3" xfId="10504" xr:uid="{00000000-0005-0000-0000-0000370B0000}"/>
    <cellStyle name="Normal 7 4 2 3 3 2 4" xfId="5991" xr:uid="{00000000-0005-0000-0000-0000A6040000}"/>
    <cellStyle name="Normal 7 4 2 3 3 2 5" xfId="7507" xr:uid="{00000000-0005-0000-0000-0000350B0000}"/>
    <cellStyle name="Normal 7 4 2 3 3 2 6" xfId="9907" xr:uid="{00000000-0005-0000-0000-0000350B0000}"/>
    <cellStyle name="Normal 7 4 2 3 3 3" xfId="3437" xr:uid="{00000000-0005-0000-0000-00003E080000}"/>
    <cellStyle name="Normal 7 4 2 3 3 3 2" xfId="4577" xr:uid="{00000000-0005-0000-0000-00003E080000}"/>
    <cellStyle name="Normal 7 4 2 3 3 3 3" xfId="5746" xr:uid="{00000000-0005-0000-0000-0000A7040000}"/>
    <cellStyle name="Normal 7 4 2 3 3 3 4" xfId="8828" xr:uid="{00000000-0005-0000-0000-0000380B0000}"/>
    <cellStyle name="Normal 7 4 2 3 3 3 5" xfId="11225" xr:uid="{00000000-0005-0000-0000-0000380B0000}"/>
    <cellStyle name="Normal 7 4 2 3 3 4" xfId="3435" xr:uid="{00000000-0005-0000-0000-00003F080000}"/>
    <cellStyle name="Normal 7 4 2 3 3 4 2" xfId="8826" xr:uid="{00000000-0005-0000-0000-0000390B0000}"/>
    <cellStyle name="Normal 7 4 2 3 3 4 3" xfId="11223" xr:uid="{00000000-0005-0000-0000-0000390B0000}"/>
    <cellStyle name="Normal 7 4 2 3 3 5" xfId="2640" xr:uid="{00000000-0005-0000-0000-000040080000}"/>
    <cellStyle name="Normal 7 4 2 3 3 5 2" xfId="7839" xr:uid="{00000000-0005-0000-0000-00003A0B0000}"/>
    <cellStyle name="Normal 7 4 2 3 3 5 3" xfId="10236" xr:uid="{00000000-0005-0000-0000-00003A0B0000}"/>
    <cellStyle name="Normal 7 4 2 3 3 6" xfId="4215" xr:uid="{00000000-0005-0000-0000-00003B080000}"/>
    <cellStyle name="Normal 7 4 2 3 3 7" xfId="5517" xr:uid="{00000000-0005-0000-0000-0000A5040000}"/>
    <cellStyle name="Normal 7 4 2 3 3 8" xfId="5241" xr:uid="{00000000-0005-0000-0000-00002A040000}"/>
    <cellStyle name="Normal 7 4 2 3 3 9" xfId="6877" xr:uid="{00000000-0005-0000-0000-0000340B0000}"/>
    <cellStyle name="Normal 7 4 2 3 4" xfId="1402" xr:uid="{00000000-0005-0000-0000-000051070000}"/>
    <cellStyle name="Normal 7 4 2 3 4 2" xfId="3438" xr:uid="{00000000-0005-0000-0000-000042080000}"/>
    <cellStyle name="Normal 7 4 2 3 4 2 2" xfId="8829" xr:uid="{00000000-0005-0000-0000-00003C0B0000}"/>
    <cellStyle name="Normal 7 4 2 3 4 2 3" xfId="11226" xr:uid="{00000000-0005-0000-0000-00003C0B0000}"/>
    <cellStyle name="Normal 7 4 2 3 4 3" xfId="4363" xr:uid="{00000000-0005-0000-0000-000041080000}"/>
    <cellStyle name="Normal 7 4 2 3 4 3 2" xfId="8105" xr:uid="{00000000-0005-0000-0000-00003D0B0000}"/>
    <cellStyle name="Normal 7 4 2 3 4 3 3" xfId="10502" xr:uid="{00000000-0005-0000-0000-00003D0B0000}"/>
    <cellStyle name="Normal 7 4 2 3 4 4" xfId="5989" xr:uid="{00000000-0005-0000-0000-0000A8040000}"/>
    <cellStyle name="Normal 7 4 2 3 4 5" xfId="7508" xr:uid="{00000000-0005-0000-0000-00003B0B0000}"/>
    <cellStyle name="Normal 7 4 2 3 4 6" xfId="9908" xr:uid="{00000000-0005-0000-0000-00003B0B0000}"/>
    <cellStyle name="Normal 7 4 2 3 5" xfId="3439" xr:uid="{00000000-0005-0000-0000-000043080000}"/>
    <cellStyle name="Normal 7 4 2 3 5 2" xfId="4578" xr:uid="{00000000-0005-0000-0000-000043080000}"/>
    <cellStyle name="Normal 7 4 2 3 5 2 2" xfId="8830" xr:uid="{00000000-0005-0000-0000-00003F0B0000}"/>
    <cellStyle name="Normal 7 4 2 3 5 2 3" xfId="11227" xr:uid="{00000000-0005-0000-0000-00003F0B0000}"/>
    <cellStyle name="Normal 7 4 2 3 5 3" xfId="5602" xr:uid="{00000000-0005-0000-0000-0000A9040000}"/>
    <cellStyle name="Normal 7 4 2 3 5 4" xfId="7504" xr:uid="{00000000-0005-0000-0000-00003E0B0000}"/>
    <cellStyle name="Normal 7 4 2 3 5 5" xfId="9904" xr:uid="{00000000-0005-0000-0000-00003E0B0000}"/>
    <cellStyle name="Normal 7 4 2 3 6" xfId="2988" xr:uid="{00000000-0005-0000-0000-000044080000}"/>
    <cellStyle name="Normal 7 4 2 3 6 2" xfId="8295" xr:uid="{00000000-0005-0000-0000-0000400B0000}"/>
    <cellStyle name="Normal 7 4 2 3 6 3" xfId="10692" xr:uid="{00000000-0005-0000-0000-0000400B0000}"/>
    <cellStyle name="Normal 7 4 2 3 7" xfId="2478" xr:uid="{00000000-0005-0000-0000-000045080000}"/>
    <cellStyle name="Normal 7 4 2 3 7 2" xfId="7676" xr:uid="{00000000-0005-0000-0000-0000410B0000}"/>
    <cellStyle name="Normal 7 4 2 3 7 3" xfId="10073" xr:uid="{00000000-0005-0000-0000-0000410B0000}"/>
    <cellStyle name="Normal 7 4 2 3 8" xfId="2232" xr:uid="{00000000-0005-0000-0000-000034080000}"/>
    <cellStyle name="Normal 7 4 2 3 9" xfId="4063" xr:uid="{00000000-0005-0000-0000-00000A030000}"/>
    <cellStyle name="Normal 7 4 2 4" xfId="1403" xr:uid="{00000000-0005-0000-0000-000052070000}"/>
    <cellStyle name="Normal 7 4 2 4 10" xfId="4792" xr:uid="{00000000-0005-0000-0000-00002B040000}"/>
    <cellStyle name="Normal 7 4 2 4 11" xfId="6717" xr:uid="{00000000-0005-0000-0000-0000420B0000}"/>
    <cellStyle name="Normal 7 4 2 4 12" xfId="9138" xr:uid="{00000000-0005-0000-0000-0000420B0000}"/>
    <cellStyle name="Normal 7 4 2 4 2" xfId="1404" xr:uid="{00000000-0005-0000-0000-000053070000}"/>
    <cellStyle name="Normal 7 4 2 4 2 10" xfId="6878" xr:uid="{00000000-0005-0000-0000-0000430B0000}"/>
    <cellStyle name="Normal 7 4 2 4 2 11" xfId="9299" xr:uid="{00000000-0005-0000-0000-0000430B0000}"/>
    <cellStyle name="Normal 7 4 2 4 2 2" xfId="1405" xr:uid="{00000000-0005-0000-0000-000054070000}"/>
    <cellStyle name="Normal 7 4 2 4 2 2 2" xfId="3441" xr:uid="{00000000-0005-0000-0000-000049080000}"/>
    <cellStyle name="Normal 7 4 2 4 2 2 2 2" xfId="8832" xr:uid="{00000000-0005-0000-0000-0000450B0000}"/>
    <cellStyle name="Normal 7 4 2 4 2 2 2 3" xfId="11229" xr:uid="{00000000-0005-0000-0000-0000450B0000}"/>
    <cellStyle name="Normal 7 4 2 4 2 2 3" xfId="4366" xr:uid="{00000000-0005-0000-0000-000048080000}"/>
    <cellStyle name="Normal 7 4 2 4 2 2 3 2" xfId="8109" xr:uid="{00000000-0005-0000-0000-0000460B0000}"/>
    <cellStyle name="Normal 7 4 2 4 2 2 3 3" xfId="10506" xr:uid="{00000000-0005-0000-0000-0000460B0000}"/>
    <cellStyle name="Normal 7 4 2 4 2 2 4" xfId="5993" xr:uid="{00000000-0005-0000-0000-0000AC040000}"/>
    <cellStyle name="Normal 7 4 2 4 2 2 5" xfId="5244" xr:uid="{00000000-0005-0000-0000-00002D040000}"/>
    <cellStyle name="Normal 7 4 2 4 2 2 6" xfId="7511" xr:uid="{00000000-0005-0000-0000-0000440B0000}"/>
    <cellStyle name="Normal 7 4 2 4 2 2 7" xfId="9911" xr:uid="{00000000-0005-0000-0000-0000440B0000}"/>
    <cellStyle name="Normal 7 4 2 4 2 3" xfId="3442" xr:uid="{00000000-0005-0000-0000-00004A080000}"/>
    <cellStyle name="Normal 7 4 2 4 2 3 2" xfId="4579" xr:uid="{00000000-0005-0000-0000-00004A080000}"/>
    <cellStyle name="Normal 7 4 2 4 2 3 2 2" xfId="8833" xr:uid="{00000000-0005-0000-0000-0000480B0000}"/>
    <cellStyle name="Normal 7 4 2 4 2 3 2 3" xfId="11230" xr:uid="{00000000-0005-0000-0000-0000480B0000}"/>
    <cellStyle name="Normal 7 4 2 4 2 3 3" xfId="5727" xr:uid="{00000000-0005-0000-0000-0000AD040000}"/>
    <cellStyle name="Normal 7 4 2 4 2 3 4" xfId="7510" xr:uid="{00000000-0005-0000-0000-0000470B0000}"/>
    <cellStyle name="Normal 7 4 2 4 2 3 5" xfId="9910" xr:uid="{00000000-0005-0000-0000-0000470B0000}"/>
    <cellStyle name="Normal 7 4 2 4 2 4" xfId="3440" xr:uid="{00000000-0005-0000-0000-00004B080000}"/>
    <cellStyle name="Normal 7 4 2 4 2 4 2" xfId="8831" xr:uid="{00000000-0005-0000-0000-0000490B0000}"/>
    <cellStyle name="Normal 7 4 2 4 2 4 3" xfId="11228" xr:uid="{00000000-0005-0000-0000-0000490B0000}"/>
    <cellStyle name="Normal 7 4 2 4 2 5" xfId="2621" xr:uid="{00000000-0005-0000-0000-00004C080000}"/>
    <cellStyle name="Normal 7 4 2 4 2 5 2" xfId="7819" xr:uid="{00000000-0005-0000-0000-00004A0B0000}"/>
    <cellStyle name="Normal 7 4 2 4 2 5 3" xfId="10216" xr:uid="{00000000-0005-0000-0000-00004A0B0000}"/>
    <cellStyle name="Normal 7 4 2 4 2 6" xfId="2396" xr:uid="{00000000-0005-0000-0000-000047080000}"/>
    <cellStyle name="Normal 7 4 2 4 2 7" xfId="4100" xr:uid="{00000000-0005-0000-0000-00000D030000}"/>
    <cellStyle name="Normal 7 4 2 4 2 8" xfId="5497" xr:uid="{00000000-0005-0000-0000-0000AB040000}"/>
    <cellStyle name="Normal 7 4 2 4 2 9" xfId="4972" xr:uid="{00000000-0005-0000-0000-00002C040000}"/>
    <cellStyle name="Normal 7 4 2 4 3" xfId="1406" xr:uid="{00000000-0005-0000-0000-000055070000}"/>
    <cellStyle name="Normal 7 4 2 4 3 2" xfId="3443" xr:uid="{00000000-0005-0000-0000-00004E080000}"/>
    <cellStyle name="Normal 7 4 2 4 3 2 2" xfId="8834" xr:uid="{00000000-0005-0000-0000-00004C0B0000}"/>
    <cellStyle name="Normal 7 4 2 4 3 2 3" xfId="11231" xr:uid="{00000000-0005-0000-0000-00004C0B0000}"/>
    <cellStyle name="Normal 7 4 2 4 3 3" xfId="2825" xr:uid="{00000000-0005-0000-0000-00004F080000}"/>
    <cellStyle name="Normal 7 4 2 4 3 3 2" xfId="8108" xr:uid="{00000000-0005-0000-0000-00004D0B0000}"/>
    <cellStyle name="Normal 7 4 2 4 3 3 3" xfId="10505" xr:uid="{00000000-0005-0000-0000-00004D0B0000}"/>
    <cellStyle name="Normal 7 4 2 4 3 4" xfId="4216" xr:uid="{00000000-0005-0000-0000-00004D080000}"/>
    <cellStyle name="Normal 7 4 2 4 3 5" xfId="5992" xr:uid="{00000000-0005-0000-0000-0000AE040000}"/>
    <cellStyle name="Normal 7 4 2 4 3 6" xfId="5243" xr:uid="{00000000-0005-0000-0000-00002E040000}"/>
    <cellStyle name="Normal 7 4 2 4 3 7" xfId="7512" xr:uid="{00000000-0005-0000-0000-00004B0B0000}"/>
    <cellStyle name="Normal 7 4 2 4 3 8" xfId="9912" xr:uid="{00000000-0005-0000-0000-00004B0B0000}"/>
    <cellStyle name="Normal 7 4 2 4 4" xfId="1407" xr:uid="{00000000-0005-0000-0000-000056070000}"/>
    <cellStyle name="Normal 7 4 2 4 4 2" xfId="4580" xr:uid="{00000000-0005-0000-0000-000050080000}"/>
    <cellStyle name="Normal 7 4 2 4 4 2 2" xfId="8835" xr:uid="{00000000-0005-0000-0000-00004F0B0000}"/>
    <cellStyle name="Normal 7 4 2 4 4 2 3" xfId="11232" xr:uid="{00000000-0005-0000-0000-00004F0B0000}"/>
    <cellStyle name="Normal 7 4 2 4 4 3" xfId="5582" xr:uid="{00000000-0005-0000-0000-0000AF040000}"/>
    <cellStyle name="Normal 7 4 2 4 4 4" xfId="7513" xr:uid="{00000000-0005-0000-0000-00004E0B0000}"/>
    <cellStyle name="Normal 7 4 2 4 4 5" xfId="9913" xr:uid="{00000000-0005-0000-0000-00004E0B0000}"/>
    <cellStyle name="Normal 7 4 2 4 5" xfId="2989" xr:uid="{00000000-0005-0000-0000-000051080000}"/>
    <cellStyle name="Normal 7 4 2 4 5 2" xfId="8296" xr:uid="{00000000-0005-0000-0000-0000510B0000}"/>
    <cellStyle name="Normal 7 4 2 4 5 2 2" xfId="10693" xr:uid="{00000000-0005-0000-0000-0000510B0000}"/>
    <cellStyle name="Normal 7 4 2 4 5 3" xfId="7509" xr:uid="{00000000-0005-0000-0000-0000500B0000}"/>
    <cellStyle name="Normal 7 4 2 4 5 4" xfId="9909" xr:uid="{00000000-0005-0000-0000-0000500B0000}"/>
    <cellStyle name="Normal 7 4 2 4 6" xfId="2458" xr:uid="{00000000-0005-0000-0000-000052080000}"/>
    <cellStyle name="Normal 7 4 2 4 6 2" xfId="7656" xr:uid="{00000000-0005-0000-0000-0000520B0000}"/>
    <cellStyle name="Normal 7 4 2 4 6 3" xfId="10053" xr:uid="{00000000-0005-0000-0000-0000520B0000}"/>
    <cellStyle name="Normal 7 4 2 4 7" xfId="2212" xr:uid="{00000000-0005-0000-0000-000046080000}"/>
    <cellStyle name="Normal 7 4 2 4 8" xfId="4064" xr:uid="{00000000-0005-0000-0000-00000C030000}"/>
    <cellStyle name="Normal 7 4 2 4 9" xfId="5336" xr:uid="{00000000-0005-0000-0000-0000AA040000}"/>
    <cellStyle name="Normal 7 4 2 5" xfId="1408" xr:uid="{00000000-0005-0000-0000-000057070000}"/>
    <cellStyle name="Normal 7 4 2 5 10" xfId="6718" xr:uid="{00000000-0005-0000-0000-0000530B0000}"/>
    <cellStyle name="Normal 7 4 2 5 11" xfId="9139" xr:uid="{00000000-0005-0000-0000-0000530B0000}"/>
    <cellStyle name="Normal 7 4 2 5 2" xfId="1409" xr:uid="{00000000-0005-0000-0000-000058070000}"/>
    <cellStyle name="Normal 7 4 2 5 2 2" xfId="1410" xr:uid="{00000000-0005-0000-0000-000059070000}"/>
    <cellStyle name="Normal 7 4 2 5 2 2 2" xfId="6425" xr:uid="{00000000-0005-0000-0000-000055080000}"/>
    <cellStyle name="Normal 7 4 2 5 2 2 2 2" xfId="8836" xr:uid="{00000000-0005-0000-0000-0000560B0000}"/>
    <cellStyle name="Normal 7 4 2 5 2 2 2 3" xfId="11233" xr:uid="{00000000-0005-0000-0000-0000560B0000}"/>
    <cellStyle name="Normal 7 4 2 5 2 2 3" xfId="7516" xr:uid="{00000000-0005-0000-0000-0000550B0000}"/>
    <cellStyle name="Normal 7 4 2 5 2 2 4" xfId="9916" xr:uid="{00000000-0005-0000-0000-0000550B0000}"/>
    <cellStyle name="Normal 7 4 2 5 2 3" xfId="2826" xr:uid="{00000000-0005-0000-0000-000056080000}"/>
    <cellStyle name="Normal 7 4 2 5 2 3 2" xfId="6239" xr:uid="{00000000-0005-0000-0000-000056080000}"/>
    <cellStyle name="Normal 7 4 2 5 2 3 3" xfId="7515" xr:uid="{00000000-0005-0000-0000-0000570B0000}"/>
    <cellStyle name="Normal 7 4 2 5 2 3 4" xfId="9915" xr:uid="{00000000-0005-0000-0000-0000570B0000}"/>
    <cellStyle name="Normal 7 4 2 5 2 4" xfId="4217" xr:uid="{00000000-0005-0000-0000-000054080000}"/>
    <cellStyle name="Normal 7 4 2 5 2 4 2" xfId="8110" xr:uid="{00000000-0005-0000-0000-0000580B0000}"/>
    <cellStyle name="Normal 7 4 2 5 2 4 3" xfId="10507" xr:uid="{00000000-0005-0000-0000-0000580B0000}"/>
    <cellStyle name="Normal 7 4 2 5 2 5" xfId="5994" xr:uid="{00000000-0005-0000-0000-0000B1040000}"/>
    <cellStyle name="Normal 7 4 2 5 2 6" xfId="5245" xr:uid="{00000000-0005-0000-0000-000030040000}"/>
    <cellStyle name="Normal 7 4 2 5 2 7" xfId="6879" xr:uid="{00000000-0005-0000-0000-0000540B0000}"/>
    <cellStyle name="Normal 7 4 2 5 2 8" xfId="9300" xr:uid="{00000000-0005-0000-0000-0000540B0000}"/>
    <cellStyle name="Normal 7 4 2 5 3" xfId="1411" xr:uid="{00000000-0005-0000-0000-00005A070000}"/>
    <cellStyle name="Normal 7 4 2 5 3 2" xfId="4581" xr:uid="{00000000-0005-0000-0000-000057080000}"/>
    <cellStyle name="Normal 7 4 2 5 3 2 2" xfId="8837" xr:uid="{00000000-0005-0000-0000-00005A0B0000}"/>
    <cellStyle name="Normal 7 4 2 5 3 2 3" xfId="11234" xr:uid="{00000000-0005-0000-0000-00005A0B0000}"/>
    <cellStyle name="Normal 7 4 2 5 3 3" xfId="5642" xr:uid="{00000000-0005-0000-0000-0000B2040000}"/>
    <cellStyle name="Normal 7 4 2 5 3 4" xfId="7517" xr:uid="{00000000-0005-0000-0000-0000590B0000}"/>
    <cellStyle name="Normal 7 4 2 5 3 5" xfId="9917" xr:uid="{00000000-0005-0000-0000-0000590B0000}"/>
    <cellStyle name="Normal 7 4 2 5 4" xfId="1412" xr:uid="{00000000-0005-0000-0000-00005B070000}"/>
    <cellStyle name="Normal 7 4 2 5 4 2" xfId="6338" xr:uid="{00000000-0005-0000-0000-000058080000}"/>
    <cellStyle name="Normal 7 4 2 5 4 2 2" xfId="8297" xr:uid="{00000000-0005-0000-0000-00005C0B0000}"/>
    <cellStyle name="Normal 7 4 2 5 4 2 3" xfId="10694" xr:uid="{00000000-0005-0000-0000-00005C0B0000}"/>
    <cellStyle name="Normal 7 4 2 5 4 3" xfId="7518" xr:uid="{00000000-0005-0000-0000-00005B0B0000}"/>
    <cellStyle name="Normal 7 4 2 5 4 4" xfId="9918" xr:uid="{00000000-0005-0000-0000-00005B0B0000}"/>
    <cellStyle name="Normal 7 4 2 5 5" xfId="2518" xr:uid="{00000000-0005-0000-0000-000059080000}"/>
    <cellStyle name="Normal 7 4 2 5 5 2" xfId="7514" xr:uid="{00000000-0005-0000-0000-00005D0B0000}"/>
    <cellStyle name="Normal 7 4 2 5 5 3" xfId="9914" xr:uid="{00000000-0005-0000-0000-00005D0B0000}"/>
    <cellStyle name="Normal 7 4 2 5 6" xfId="2397" xr:uid="{00000000-0005-0000-0000-000053080000}"/>
    <cellStyle name="Normal 7 4 2 5 6 2" xfId="7716" xr:uid="{00000000-0005-0000-0000-00005E0B0000}"/>
    <cellStyle name="Normal 7 4 2 5 6 3" xfId="10113" xr:uid="{00000000-0005-0000-0000-00005E0B0000}"/>
    <cellStyle name="Normal 7 4 2 5 7" xfId="4065" xr:uid="{00000000-0005-0000-0000-00000E030000}"/>
    <cellStyle name="Normal 7 4 2 5 8" xfId="5396" xr:uid="{00000000-0005-0000-0000-0000B0040000}"/>
    <cellStyle name="Normal 7 4 2 5 9" xfId="4973" xr:uid="{00000000-0005-0000-0000-00002F040000}"/>
    <cellStyle name="Normal 7 4 2 6" xfId="1413" xr:uid="{00000000-0005-0000-0000-00005C070000}"/>
    <cellStyle name="Normal 7 4 2 6 10" xfId="6719" xr:uid="{00000000-0005-0000-0000-00005F0B0000}"/>
    <cellStyle name="Normal 7 4 2 6 11" xfId="9140" xr:uid="{00000000-0005-0000-0000-00005F0B0000}"/>
    <cellStyle name="Normal 7 4 2 6 2" xfId="1414" xr:uid="{00000000-0005-0000-0000-00005D070000}"/>
    <cellStyle name="Normal 7 4 2 6 2 2" xfId="1415" xr:uid="{00000000-0005-0000-0000-00005E070000}"/>
    <cellStyle name="Normal 7 4 2 6 2 2 2" xfId="6426" xr:uid="{00000000-0005-0000-0000-00005C080000}"/>
    <cellStyle name="Normal 7 4 2 6 2 2 2 2" xfId="8838" xr:uid="{00000000-0005-0000-0000-0000620B0000}"/>
    <cellStyle name="Normal 7 4 2 6 2 2 2 3" xfId="11235" xr:uid="{00000000-0005-0000-0000-0000620B0000}"/>
    <cellStyle name="Normal 7 4 2 6 2 2 3" xfId="7521" xr:uid="{00000000-0005-0000-0000-0000610B0000}"/>
    <cellStyle name="Normal 7 4 2 6 2 2 4" xfId="9921" xr:uid="{00000000-0005-0000-0000-0000610B0000}"/>
    <cellStyle name="Normal 7 4 2 6 2 3" xfId="2827" xr:uid="{00000000-0005-0000-0000-00005D080000}"/>
    <cellStyle name="Normal 7 4 2 6 2 3 2" xfId="6240" xr:uid="{00000000-0005-0000-0000-00005D080000}"/>
    <cellStyle name="Normal 7 4 2 6 2 3 3" xfId="7520" xr:uid="{00000000-0005-0000-0000-0000630B0000}"/>
    <cellStyle name="Normal 7 4 2 6 2 3 4" xfId="9920" xr:uid="{00000000-0005-0000-0000-0000630B0000}"/>
    <cellStyle name="Normal 7 4 2 6 2 4" xfId="4218" xr:uid="{00000000-0005-0000-0000-00005B080000}"/>
    <cellStyle name="Normal 7 4 2 6 2 4 2" xfId="8111" xr:uid="{00000000-0005-0000-0000-0000640B0000}"/>
    <cellStyle name="Normal 7 4 2 6 2 4 3" xfId="10508" xr:uid="{00000000-0005-0000-0000-0000640B0000}"/>
    <cellStyle name="Normal 7 4 2 6 2 5" xfId="5995" xr:uid="{00000000-0005-0000-0000-0000B4040000}"/>
    <cellStyle name="Normal 7 4 2 6 2 6" xfId="5246" xr:uid="{00000000-0005-0000-0000-000032040000}"/>
    <cellStyle name="Normal 7 4 2 6 2 7" xfId="6880" xr:uid="{00000000-0005-0000-0000-0000600B0000}"/>
    <cellStyle name="Normal 7 4 2 6 2 8" xfId="9301" xr:uid="{00000000-0005-0000-0000-0000600B0000}"/>
    <cellStyle name="Normal 7 4 2 6 3" xfId="1416" xr:uid="{00000000-0005-0000-0000-00005F070000}"/>
    <cellStyle name="Normal 7 4 2 6 3 2" xfId="4582" xr:uid="{00000000-0005-0000-0000-00005E080000}"/>
    <cellStyle name="Normal 7 4 2 6 3 2 2" xfId="8839" xr:uid="{00000000-0005-0000-0000-0000660B0000}"/>
    <cellStyle name="Normal 7 4 2 6 3 2 3" xfId="11236" xr:uid="{00000000-0005-0000-0000-0000660B0000}"/>
    <cellStyle name="Normal 7 4 2 6 3 3" xfId="5688" xr:uid="{00000000-0005-0000-0000-0000B5040000}"/>
    <cellStyle name="Normal 7 4 2 6 3 4" xfId="7522" xr:uid="{00000000-0005-0000-0000-0000650B0000}"/>
    <cellStyle name="Normal 7 4 2 6 3 5" xfId="9922" xr:uid="{00000000-0005-0000-0000-0000650B0000}"/>
    <cellStyle name="Normal 7 4 2 6 4" xfId="1417" xr:uid="{00000000-0005-0000-0000-000060070000}"/>
    <cellStyle name="Normal 7 4 2 6 4 2" xfId="6339" xr:uid="{00000000-0005-0000-0000-00005F080000}"/>
    <cellStyle name="Normal 7 4 2 6 4 2 2" xfId="8298" xr:uid="{00000000-0005-0000-0000-0000680B0000}"/>
    <cellStyle name="Normal 7 4 2 6 4 2 3" xfId="10695" xr:uid="{00000000-0005-0000-0000-0000680B0000}"/>
    <cellStyle name="Normal 7 4 2 6 4 3" xfId="7523" xr:uid="{00000000-0005-0000-0000-0000670B0000}"/>
    <cellStyle name="Normal 7 4 2 6 4 4" xfId="9923" xr:uid="{00000000-0005-0000-0000-0000670B0000}"/>
    <cellStyle name="Normal 7 4 2 6 5" xfId="2581" xr:uid="{00000000-0005-0000-0000-000060080000}"/>
    <cellStyle name="Normal 7 4 2 6 5 2" xfId="7519" xr:uid="{00000000-0005-0000-0000-0000690B0000}"/>
    <cellStyle name="Normal 7 4 2 6 5 3" xfId="9919" xr:uid="{00000000-0005-0000-0000-0000690B0000}"/>
    <cellStyle name="Normal 7 4 2 6 6" xfId="2398" xr:uid="{00000000-0005-0000-0000-00005A080000}"/>
    <cellStyle name="Normal 7 4 2 6 6 2" xfId="7779" xr:uid="{00000000-0005-0000-0000-00006A0B0000}"/>
    <cellStyle name="Normal 7 4 2 6 6 3" xfId="10176" xr:uid="{00000000-0005-0000-0000-00006A0B0000}"/>
    <cellStyle name="Normal 7 4 2 6 7" xfId="4066" xr:uid="{00000000-0005-0000-0000-00000F030000}"/>
    <cellStyle name="Normal 7 4 2 6 8" xfId="5457" xr:uid="{00000000-0005-0000-0000-0000B3040000}"/>
    <cellStyle name="Normal 7 4 2 6 9" xfId="4974" xr:uid="{00000000-0005-0000-0000-000031040000}"/>
    <cellStyle name="Normal 7 4 2 7" xfId="1418" xr:uid="{00000000-0005-0000-0000-000061070000}"/>
    <cellStyle name="Normal 7 4 2 7 2" xfId="1419" xr:uid="{00000000-0005-0000-0000-000062070000}"/>
    <cellStyle name="Normal 7 4 2 7 2 2" xfId="2990" xr:uid="{00000000-0005-0000-0000-000063080000}"/>
    <cellStyle name="Normal 7 4 2 7 2 2 2" xfId="6340" xr:uid="{00000000-0005-0000-0000-000063080000}"/>
    <cellStyle name="Normal 7 4 2 7 2 2 3" xfId="7525" xr:uid="{00000000-0005-0000-0000-00006D0B0000}"/>
    <cellStyle name="Normal 7 4 2 7 2 2 4" xfId="9925" xr:uid="{00000000-0005-0000-0000-00006D0B0000}"/>
    <cellStyle name="Normal 7 4 2 7 2 3" xfId="4746" xr:uid="{00000000-0005-0000-0000-000003060000}"/>
    <cellStyle name="Normal 7 4 2 7 2 3 2" xfId="6132" xr:uid="{00000000-0005-0000-0000-000062080000}"/>
    <cellStyle name="Normal 7 4 2 7 2 3 3" xfId="8299" xr:uid="{00000000-0005-0000-0000-00006E0B0000}"/>
    <cellStyle name="Normal 7 4 2 7 2 3 4" xfId="10696" xr:uid="{00000000-0005-0000-0000-00006E0B0000}"/>
    <cellStyle name="Normal 7 4 2 7 2 4" xfId="5247" xr:uid="{00000000-0005-0000-0000-000034040000}"/>
    <cellStyle name="Normal 7 4 2 7 2 5" xfId="6881" xr:uid="{00000000-0005-0000-0000-00006C0B0000}"/>
    <cellStyle name="Normal 7 4 2 7 2 6" xfId="9302" xr:uid="{00000000-0005-0000-0000-00006C0B0000}"/>
    <cellStyle name="Normal 7 4 2 7 3" xfId="1420" xr:uid="{00000000-0005-0000-0000-000063070000}"/>
    <cellStyle name="Normal 7 4 2 7 3 2" xfId="6241" xr:uid="{00000000-0005-0000-0000-000064080000}"/>
    <cellStyle name="Normal 7 4 2 7 3 3" xfId="7526" xr:uid="{00000000-0005-0000-0000-00006F0B0000}"/>
    <cellStyle name="Normal 7 4 2 7 3 4" xfId="9926" xr:uid="{00000000-0005-0000-0000-00006F0B0000}"/>
    <cellStyle name="Normal 7 4 2 7 4" xfId="2399" xr:uid="{00000000-0005-0000-0000-000061080000}"/>
    <cellStyle name="Normal 7 4 2 7 4 2" xfId="6083" xr:uid="{00000000-0005-0000-0000-000061080000}"/>
    <cellStyle name="Normal 7 4 2 7 4 3" xfId="7524" xr:uid="{00000000-0005-0000-0000-0000700B0000}"/>
    <cellStyle name="Normal 7 4 2 7 4 4" xfId="9924" xr:uid="{00000000-0005-0000-0000-0000700B0000}"/>
    <cellStyle name="Normal 7 4 2 7 5" xfId="4067" xr:uid="{00000000-0005-0000-0000-000010030000}"/>
    <cellStyle name="Normal 7 4 2 7 5 2" xfId="8112" xr:uid="{00000000-0005-0000-0000-0000710B0000}"/>
    <cellStyle name="Normal 7 4 2 7 5 3" xfId="10509" xr:uid="{00000000-0005-0000-0000-0000710B0000}"/>
    <cellStyle name="Normal 7 4 2 7 6" xfId="5996" xr:uid="{00000000-0005-0000-0000-0000B6040000}"/>
    <cellStyle name="Normal 7 4 2 7 7" xfId="4975" xr:uid="{00000000-0005-0000-0000-000033040000}"/>
    <cellStyle name="Normal 7 4 2 7 8" xfId="6720" xr:uid="{00000000-0005-0000-0000-00006B0B0000}"/>
    <cellStyle name="Normal 7 4 2 7 9" xfId="9141" xr:uid="{00000000-0005-0000-0000-00006B0B0000}"/>
    <cellStyle name="Normal 7 4 2 8" xfId="1421" xr:uid="{00000000-0005-0000-0000-000064070000}"/>
    <cellStyle name="Normal 7 4 2 8 2" xfId="1422" xr:uid="{00000000-0005-0000-0000-000065070000}"/>
    <cellStyle name="Normal 7 4 2 8 2 2" xfId="2991" xr:uid="{00000000-0005-0000-0000-000067080000}"/>
    <cellStyle name="Normal 7 4 2 8 2 2 2" xfId="6341" xr:uid="{00000000-0005-0000-0000-000067080000}"/>
    <cellStyle name="Normal 7 4 2 8 2 2 3" xfId="7528" xr:uid="{00000000-0005-0000-0000-0000740B0000}"/>
    <cellStyle name="Normal 7 4 2 8 2 2 4" xfId="9928" xr:uid="{00000000-0005-0000-0000-0000740B0000}"/>
    <cellStyle name="Normal 7 4 2 8 2 3" xfId="4747" xr:uid="{00000000-0005-0000-0000-000009060000}"/>
    <cellStyle name="Normal 7 4 2 8 2 3 2" xfId="6133" xr:uid="{00000000-0005-0000-0000-000066080000}"/>
    <cellStyle name="Normal 7 4 2 8 2 3 3" xfId="8300" xr:uid="{00000000-0005-0000-0000-0000750B0000}"/>
    <cellStyle name="Normal 7 4 2 8 2 3 4" xfId="10697" xr:uid="{00000000-0005-0000-0000-0000750B0000}"/>
    <cellStyle name="Normal 7 4 2 8 2 4" xfId="5248" xr:uid="{00000000-0005-0000-0000-000036040000}"/>
    <cellStyle name="Normal 7 4 2 8 2 5" xfId="6882" xr:uid="{00000000-0005-0000-0000-0000730B0000}"/>
    <cellStyle name="Normal 7 4 2 8 2 6" xfId="9303" xr:uid="{00000000-0005-0000-0000-0000730B0000}"/>
    <cellStyle name="Normal 7 4 2 8 3" xfId="1423" xr:uid="{00000000-0005-0000-0000-000066070000}"/>
    <cellStyle name="Normal 7 4 2 8 3 2" xfId="6242" xr:uid="{00000000-0005-0000-0000-000068080000}"/>
    <cellStyle name="Normal 7 4 2 8 3 3" xfId="7529" xr:uid="{00000000-0005-0000-0000-0000760B0000}"/>
    <cellStyle name="Normal 7 4 2 8 3 4" xfId="9929" xr:uid="{00000000-0005-0000-0000-0000760B0000}"/>
    <cellStyle name="Normal 7 4 2 8 4" xfId="2400" xr:uid="{00000000-0005-0000-0000-000065080000}"/>
    <cellStyle name="Normal 7 4 2 8 4 2" xfId="6084" xr:uid="{00000000-0005-0000-0000-000065080000}"/>
    <cellStyle name="Normal 7 4 2 8 4 3" xfId="7527" xr:uid="{00000000-0005-0000-0000-0000770B0000}"/>
    <cellStyle name="Normal 7 4 2 8 4 4" xfId="9927" xr:uid="{00000000-0005-0000-0000-0000770B0000}"/>
    <cellStyle name="Normal 7 4 2 8 5" xfId="4068" xr:uid="{00000000-0005-0000-0000-000011030000}"/>
    <cellStyle name="Normal 7 4 2 8 5 2" xfId="8113" xr:uid="{00000000-0005-0000-0000-0000780B0000}"/>
    <cellStyle name="Normal 7 4 2 8 5 3" xfId="10510" xr:uid="{00000000-0005-0000-0000-0000780B0000}"/>
    <cellStyle name="Normal 7 4 2 8 6" xfId="5997" xr:uid="{00000000-0005-0000-0000-0000B7040000}"/>
    <cellStyle name="Normal 7 4 2 8 7" xfId="4976" xr:uid="{00000000-0005-0000-0000-000035040000}"/>
    <cellStyle name="Normal 7 4 2 8 8" xfId="6721" xr:uid="{00000000-0005-0000-0000-0000720B0000}"/>
    <cellStyle name="Normal 7 4 2 8 9" xfId="9142" xr:uid="{00000000-0005-0000-0000-0000720B0000}"/>
    <cellStyle name="Normal 7 4 2 9" xfId="1424" xr:uid="{00000000-0005-0000-0000-000067070000}"/>
    <cellStyle name="Normal 7 4 2 9 2" xfId="3444" xr:uid="{00000000-0005-0000-0000-00006A080000}"/>
    <cellStyle name="Normal 7 4 2 9 2 2" xfId="6427" xr:uid="{00000000-0005-0000-0000-00006A080000}"/>
    <cellStyle name="Normal 7 4 2 9 2 2 2" xfId="8840" xr:uid="{00000000-0005-0000-0000-00007B0B0000}"/>
    <cellStyle name="Normal 7 4 2 9 2 2 3" xfId="11237" xr:uid="{00000000-0005-0000-0000-00007B0B0000}"/>
    <cellStyle name="Normal 7 4 2 9 2 3" xfId="5249" xr:uid="{00000000-0005-0000-0000-000038040000}"/>
    <cellStyle name="Normal 7 4 2 9 2 4" xfId="7530" xr:uid="{00000000-0005-0000-0000-00007A0B0000}"/>
    <cellStyle name="Normal 7 4 2 9 2 5" xfId="9930" xr:uid="{00000000-0005-0000-0000-00007A0B0000}"/>
    <cellStyle name="Normal 7 4 2 9 3" xfId="2819" xr:uid="{00000000-0005-0000-0000-00006B080000}"/>
    <cellStyle name="Normal 7 4 2 9 3 2" xfId="6238" xr:uid="{00000000-0005-0000-0000-00006B080000}"/>
    <cellStyle name="Normal 7 4 2 9 3 3" xfId="8100" xr:uid="{00000000-0005-0000-0000-00007C0B0000}"/>
    <cellStyle name="Normal 7 4 2 9 3 4" xfId="10497" xr:uid="{00000000-0005-0000-0000-00007C0B0000}"/>
    <cellStyle name="Normal 7 4 2 9 4" xfId="2393" xr:uid="{00000000-0005-0000-0000-000069080000}"/>
    <cellStyle name="Normal 7 4 2 9 4 2" xfId="11417" xr:uid="{00000000-0005-0000-0000-00008F0A0000}"/>
    <cellStyle name="Normal 7 4 2 9 5" xfId="4097" xr:uid="{00000000-0005-0000-0000-000012030000}"/>
    <cellStyle name="Normal 7 4 2 9 6" xfId="5985" xr:uid="{00000000-0005-0000-0000-0000B8040000}"/>
    <cellStyle name="Normal 7 4 2 9 7" xfId="4969" xr:uid="{00000000-0005-0000-0000-000037040000}"/>
    <cellStyle name="Normal 7 4 2 9 8" xfId="6714" xr:uid="{00000000-0005-0000-0000-0000790B0000}"/>
    <cellStyle name="Normal 7 4 2 9 9" xfId="9135" xr:uid="{00000000-0005-0000-0000-0000790B0000}"/>
    <cellStyle name="Normal 7 4 20" xfId="8950" xr:uid="{00000000-0005-0000-0000-0000F40A0000}"/>
    <cellStyle name="Normal 7 4 3" xfId="1425" xr:uid="{00000000-0005-0000-0000-000068070000}"/>
    <cellStyle name="Normal 7 4 3 10" xfId="5363" xr:uid="{00000000-0005-0000-0000-0000B9040000}"/>
    <cellStyle name="Normal 7 4 3 11" xfId="4819" xr:uid="{00000000-0005-0000-0000-000039040000}"/>
    <cellStyle name="Normal 7 4 3 12" xfId="6565" xr:uid="{00000000-0005-0000-0000-00007D0B0000}"/>
    <cellStyle name="Normal 7 4 3 13" xfId="8986" xr:uid="{00000000-0005-0000-0000-00007D0B0000}"/>
    <cellStyle name="Normal 7 4 3 2" xfId="1426" xr:uid="{00000000-0005-0000-0000-000069070000}"/>
    <cellStyle name="Normal 7 4 3 2 10" xfId="4978" xr:uid="{00000000-0005-0000-0000-00003A040000}"/>
    <cellStyle name="Normal 7 4 3 2 11" xfId="6723" xr:uid="{00000000-0005-0000-0000-00007E0B0000}"/>
    <cellStyle name="Normal 7 4 3 2 12" xfId="9144" xr:uid="{00000000-0005-0000-0000-00007E0B0000}"/>
    <cellStyle name="Normal 7 4 3 2 2" xfId="1427" xr:uid="{00000000-0005-0000-0000-00006A070000}"/>
    <cellStyle name="Normal 7 4 3 2 2 10" xfId="6884" xr:uid="{00000000-0005-0000-0000-00007F0B0000}"/>
    <cellStyle name="Normal 7 4 3 2 2 11" xfId="9305" xr:uid="{00000000-0005-0000-0000-00007F0B0000}"/>
    <cellStyle name="Normal 7 4 3 2 2 2" xfId="2830" xr:uid="{00000000-0005-0000-0000-00006F080000}"/>
    <cellStyle name="Normal 7 4 3 2 2 2 2" xfId="3446" xr:uid="{00000000-0005-0000-0000-000070080000}"/>
    <cellStyle name="Normal 7 4 3 2 2 2 2 2" xfId="8842" xr:uid="{00000000-0005-0000-0000-0000810B0000}"/>
    <cellStyle name="Normal 7 4 3 2 2 2 2 3" xfId="11239" xr:uid="{00000000-0005-0000-0000-0000810B0000}"/>
    <cellStyle name="Normal 7 4 3 2 2 2 3" xfId="4367" xr:uid="{00000000-0005-0000-0000-00006F080000}"/>
    <cellStyle name="Normal 7 4 3 2 2 2 3 2" xfId="8116" xr:uid="{00000000-0005-0000-0000-0000820B0000}"/>
    <cellStyle name="Normal 7 4 3 2 2 2 3 3" xfId="10513" xr:uid="{00000000-0005-0000-0000-0000820B0000}"/>
    <cellStyle name="Normal 7 4 3 2 2 2 4" xfId="6000" xr:uid="{00000000-0005-0000-0000-0000BC040000}"/>
    <cellStyle name="Normal 7 4 3 2 2 2 5" xfId="7533" xr:uid="{00000000-0005-0000-0000-0000800B0000}"/>
    <cellStyle name="Normal 7 4 3 2 2 2 6" xfId="9933" xr:uid="{00000000-0005-0000-0000-0000800B0000}"/>
    <cellStyle name="Normal 7 4 3 2 2 3" xfId="3447" xr:uid="{00000000-0005-0000-0000-000071080000}"/>
    <cellStyle name="Normal 7 4 3 2 2 3 2" xfId="4583" xr:uid="{00000000-0005-0000-0000-000071080000}"/>
    <cellStyle name="Normal 7 4 3 2 2 3 3" xfId="5753" xr:uid="{00000000-0005-0000-0000-0000BD040000}"/>
    <cellStyle name="Normal 7 4 3 2 2 3 4" xfId="8843" xr:uid="{00000000-0005-0000-0000-0000830B0000}"/>
    <cellStyle name="Normal 7 4 3 2 2 3 5" xfId="11240" xr:uid="{00000000-0005-0000-0000-0000830B0000}"/>
    <cellStyle name="Normal 7 4 3 2 2 4" xfId="3445" xr:uid="{00000000-0005-0000-0000-000072080000}"/>
    <cellStyle name="Normal 7 4 3 2 2 4 2" xfId="8841" xr:uid="{00000000-0005-0000-0000-0000840B0000}"/>
    <cellStyle name="Normal 7 4 3 2 2 4 3" xfId="11238" xr:uid="{00000000-0005-0000-0000-0000840B0000}"/>
    <cellStyle name="Normal 7 4 3 2 2 5" xfId="2647" xr:uid="{00000000-0005-0000-0000-000073080000}"/>
    <cellStyle name="Normal 7 4 3 2 2 5 2" xfId="7846" xr:uid="{00000000-0005-0000-0000-0000850B0000}"/>
    <cellStyle name="Normal 7 4 3 2 2 5 3" xfId="10243" xr:uid="{00000000-0005-0000-0000-0000850B0000}"/>
    <cellStyle name="Normal 7 4 3 2 2 6" xfId="2402" xr:uid="{00000000-0005-0000-0000-00006E080000}"/>
    <cellStyle name="Normal 7 4 3 2 2 7" xfId="4102" xr:uid="{00000000-0005-0000-0000-000015030000}"/>
    <cellStyle name="Normal 7 4 3 2 2 8" xfId="5524" xr:uid="{00000000-0005-0000-0000-0000BB040000}"/>
    <cellStyle name="Normal 7 4 3 2 2 9" xfId="5251" xr:uid="{00000000-0005-0000-0000-00003B040000}"/>
    <cellStyle name="Normal 7 4 3 2 3" xfId="1428" xr:uid="{00000000-0005-0000-0000-00006B070000}"/>
    <cellStyle name="Normal 7 4 3 2 3 2" xfId="3448" xr:uid="{00000000-0005-0000-0000-000075080000}"/>
    <cellStyle name="Normal 7 4 3 2 3 2 2" xfId="8844" xr:uid="{00000000-0005-0000-0000-0000870B0000}"/>
    <cellStyle name="Normal 7 4 3 2 3 2 3" xfId="11241" xr:uid="{00000000-0005-0000-0000-0000870B0000}"/>
    <cellStyle name="Normal 7 4 3 2 3 3" xfId="2829" xr:uid="{00000000-0005-0000-0000-000076080000}"/>
    <cellStyle name="Normal 7 4 3 2 3 3 2" xfId="8115" xr:uid="{00000000-0005-0000-0000-0000880B0000}"/>
    <cellStyle name="Normal 7 4 3 2 3 3 3" xfId="10512" xr:uid="{00000000-0005-0000-0000-0000880B0000}"/>
    <cellStyle name="Normal 7 4 3 2 3 4" xfId="4220" xr:uid="{00000000-0005-0000-0000-000074080000}"/>
    <cellStyle name="Normal 7 4 3 2 3 5" xfId="5999" xr:uid="{00000000-0005-0000-0000-0000BE040000}"/>
    <cellStyle name="Normal 7 4 3 2 3 6" xfId="7534" xr:uid="{00000000-0005-0000-0000-0000860B0000}"/>
    <cellStyle name="Normal 7 4 3 2 3 7" xfId="9934" xr:uid="{00000000-0005-0000-0000-0000860B0000}"/>
    <cellStyle name="Normal 7 4 3 2 4" xfId="3449" xr:uid="{00000000-0005-0000-0000-000077080000}"/>
    <cellStyle name="Normal 7 4 3 2 4 2" xfId="4584" xr:uid="{00000000-0005-0000-0000-000077080000}"/>
    <cellStyle name="Normal 7 4 3 2 4 2 2" xfId="8845" xr:uid="{00000000-0005-0000-0000-00008A0B0000}"/>
    <cellStyle name="Normal 7 4 3 2 4 2 3" xfId="11242" xr:uid="{00000000-0005-0000-0000-00008A0B0000}"/>
    <cellStyle name="Normal 7 4 3 2 4 3" xfId="5668" xr:uid="{00000000-0005-0000-0000-0000BF040000}"/>
    <cellStyle name="Normal 7 4 3 2 4 4" xfId="7532" xr:uid="{00000000-0005-0000-0000-0000890B0000}"/>
    <cellStyle name="Normal 7 4 3 2 4 5" xfId="9932" xr:uid="{00000000-0005-0000-0000-0000890B0000}"/>
    <cellStyle name="Normal 7 4 3 2 5" xfId="2993" xr:uid="{00000000-0005-0000-0000-000078080000}"/>
    <cellStyle name="Normal 7 4 3 2 5 2" xfId="8302" xr:uid="{00000000-0005-0000-0000-00008B0B0000}"/>
    <cellStyle name="Normal 7 4 3 2 5 3" xfId="10699" xr:uid="{00000000-0005-0000-0000-00008B0B0000}"/>
    <cellStyle name="Normal 7 4 3 2 6" xfId="2545" xr:uid="{00000000-0005-0000-0000-000079080000}"/>
    <cellStyle name="Normal 7 4 3 2 6 2" xfId="7743" xr:uid="{00000000-0005-0000-0000-00008C0B0000}"/>
    <cellStyle name="Normal 7 4 3 2 6 3" xfId="10140" xr:uid="{00000000-0005-0000-0000-00008C0B0000}"/>
    <cellStyle name="Normal 7 4 3 2 7" xfId="2239" xr:uid="{00000000-0005-0000-0000-00006D080000}"/>
    <cellStyle name="Normal 7 4 3 2 8" xfId="4070" xr:uid="{00000000-0005-0000-0000-000014030000}"/>
    <cellStyle name="Normal 7 4 3 2 9" xfId="5423" xr:uid="{00000000-0005-0000-0000-0000BA040000}"/>
    <cellStyle name="Normal 7 4 3 3" xfId="1429" xr:uid="{00000000-0005-0000-0000-00006C070000}"/>
    <cellStyle name="Normal 7 4 3 3 10" xfId="6722" xr:uid="{00000000-0005-0000-0000-00008D0B0000}"/>
    <cellStyle name="Normal 7 4 3 3 11" xfId="9143" xr:uid="{00000000-0005-0000-0000-00008D0B0000}"/>
    <cellStyle name="Normal 7 4 3 3 2" xfId="2831" xr:uid="{00000000-0005-0000-0000-00007B080000}"/>
    <cellStyle name="Normal 7 4 3 3 2 2" xfId="3451" xr:uid="{00000000-0005-0000-0000-00007C080000}"/>
    <cellStyle name="Normal 7 4 3 3 2 2 2" xfId="8847" xr:uid="{00000000-0005-0000-0000-00008F0B0000}"/>
    <cellStyle name="Normal 7 4 3 3 2 2 3" xfId="11244" xr:uid="{00000000-0005-0000-0000-00008F0B0000}"/>
    <cellStyle name="Normal 7 4 3 3 2 3" xfId="4368" xr:uid="{00000000-0005-0000-0000-00007B080000}"/>
    <cellStyle name="Normal 7 4 3 3 2 3 2" xfId="8117" xr:uid="{00000000-0005-0000-0000-0000900B0000}"/>
    <cellStyle name="Normal 7 4 3 3 2 3 3" xfId="10514" xr:uid="{00000000-0005-0000-0000-0000900B0000}"/>
    <cellStyle name="Normal 7 4 3 3 2 4" xfId="6001" xr:uid="{00000000-0005-0000-0000-0000C1040000}"/>
    <cellStyle name="Normal 7 4 3 3 2 5" xfId="5252" xr:uid="{00000000-0005-0000-0000-00003D040000}"/>
    <cellStyle name="Normal 7 4 3 3 2 6" xfId="7535" xr:uid="{00000000-0005-0000-0000-00008E0B0000}"/>
    <cellStyle name="Normal 7 4 3 3 2 7" xfId="9935" xr:uid="{00000000-0005-0000-0000-00008E0B0000}"/>
    <cellStyle name="Normal 7 4 3 3 3" xfId="3452" xr:uid="{00000000-0005-0000-0000-00007D080000}"/>
    <cellStyle name="Normal 7 4 3 3 3 2" xfId="4585" xr:uid="{00000000-0005-0000-0000-00007D080000}"/>
    <cellStyle name="Normal 7 4 3 3 3 2 2" xfId="11483" xr:uid="{00000000-0005-0000-0000-0000A40A0000}"/>
    <cellStyle name="Normal 7 4 3 3 3 3" xfId="5695" xr:uid="{00000000-0005-0000-0000-0000C2040000}"/>
    <cellStyle name="Normal 7 4 3 3 3 4" xfId="8848" xr:uid="{00000000-0005-0000-0000-0000910B0000}"/>
    <cellStyle name="Normal 7 4 3 3 3 5" xfId="11245" xr:uid="{00000000-0005-0000-0000-0000910B0000}"/>
    <cellStyle name="Normal 7 4 3 3 4" xfId="3450" xr:uid="{00000000-0005-0000-0000-00007E080000}"/>
    <cellStyle name="Normal 7 4 3 3 4 2" xfId="8846" xr:uid="{00000000-0005-0000-0000-0000920B0000}"/>
    <cellStyle name="Normal 7 4 3 3 4 3" xfId="11243" xr:uid="{00000000-0005-0000-0000-0000920B0000}"/>
    <cellStyle name="Normal 7 4 3 3 5" xfId="2588" xr:uid="{00000000-0005-0000-0000-00007F080000}"/>
    <cellStyle name="Normal 7 4 3 3 5 2" xfId="7786" xr:uid="{00000000-0005-0000-0000-0000930B0000}"/>
    <cellStyle name="Normal 7 4 3 3 5 3" xfId="10183" xr:uid="{00000000-0005-0000-0000-0000930B0000}"/>
    <cellStyle name="Normal 7 4 3 3 6" xfId="2401" xr:uid="{00000000-0005-0000-0000-00007A080000}"/>
    <cellStyle name="Normal 7 4 3 3 7" xfId="4101" xr:uid="{00000000-0005-0000-0000-000016030000}"/>
    <cellStyle name="Normal 7 4 3 3 8" xfId="5464" xr:uid="{00000000-0005-0000-0000-0000C0040000}"/>
    <cellStyle name="Normal 7 4 3 3 9" xfId="4977" xr:uid="{00000000-0005-0000-0000-00003C040000}"/>
    <cellStyle name="Normal 7 4 3 4" xfId="1430" xr:uid="{00000000-0005-0000-0000-00006D070000}"/>
    <cellStyle name="Normal 7 4 3 4 2" xfId="3453" xr:uid="{00000000-0005-0000-0000-000081080000}"/>
    <cellStyle name="Normal 7 4 3 4 2 2" xfId="6428" xr:uid="{00000000-0005-0000-0000-000081080000}"/>
    <cellStyle name="Normal 7 4 3 4 2 2 2" xfId="8849" xr:uid="{00000000-0005-0000-0000-0000960B0000}"/>
    <cellStyle name="Normal 7 4 3 4 2 2 3" xfId="11246" xr:uid="{00000000-0005-0000-0000-0000960B0000}"/>
    <cellStyle name="Normal 7 4 3 4 2 3" xfId="7536" xr:uid="{00000000-0005-0000-0000-0000950B0000}"/>
    <cellStyle name="Normal 7 4 3 4 2 4" xfId="9936" xr:uid="{00000000-0005-0000-0000-0000950B0000}"/>
    <cellStyle name="Normal 7 4 3 4 3" xfId="2828" xr:uid="{00000000-0005-0000-0000-000082080000}"/>
    <cellStyle name="Normal 7 4 3 4 3 2" xfId="6243" xr:uid="{00000000-0005-0000-0000-000082080000}"/>
    <cellStyle name="Normal 7 4 3 4 3 3" xfId="8114" xr:uid="{00000000-0005-0000-0000-0000970B0000}"/>
    <cellStyle name="Normal 7 4 3 4 3 4" xfId="10511" xr:uid="{00000000-0005-0000-0000-0000970B0000}"/>
    <cellStyle name="Normal 7 4 3 4 4" xfId="4219" xr:uid="{00000000-0005-0000-0000-000080080000}"/>
    <cellStyle name="Normal 7 4 3 4 5" xfId="5998" xr:uid="{00000000-0005-0000-0000-0000C3040000}"/>
    <cellStyle name="Normal 7 4 3 4 6" xfId="5250" xr:uid="{00000000-0005-0000-0000-00003E040000}"/>
    <cellStyle name="Normal 7 4 3 4 7" xfId="6883" xr:uid="{00000000-0005-0000-0000-0000940B0000}"/>
    <cellStyle name="Normal 7 4 3 4 8" xfId="9304" xr:uid="{00000000-0005-0000-0000-0000940B0000}"/>
    <cellStyle name="Normal 7 4 3 5" xfId="1431" xr:uid="{00000000-0005-0000-0000-00006E070000}"/>
    <cellStyle name="Normal 7 4 3 5 2" xfId="4586" xr:uid="{00000000-0005-0000-0000-000083080000}"/>
    <cellStyle name="Normal 7 4 3 5 2 2" xfId="8850" xr:uid="{00000000-0005-0000-0000-0000990B0000}"/>
    <cellStyle name="Normal 7 4 3 5 2 3" xfId="11247" xr:uid="{00000000-0005-0000-0000-0000990B0000}"/>
    <cellStyle name="Normal 7 4 3 5 3" xfId="5609" xr:uid="{00000000-0005-0000-0000-0000C4040000}"/>
    <cellStyle name="Normal 7 4 3 5 4" xfId="7537" xr:uid="{00000000-0005-0000-0000-0000980B0000}"/>
    <cellStyle name="Normal 7 4 3 5 5" xfId="9937" xr:uid="{00000000-0005-0000-0000-0000980B0000}"/>
    <cellStyle name="Normal 7 4 3 6" xfId="2992" xr:uid="{00000000-0005-0000-0000-000084080000}"/>
    <cellStyle name="Normal 7 4 3 6 2" xfId="6342" xr:uid="{00000000-0005-0000-0000-000084080000}"/>
    <cellStyle name="Normal 7 4 3 6 2 2" xfId="8301" xr:uid="{00000000-0005-0000-0000-00009B0B0000}"/>
    <cellStyle name="Normal 7 4 3 6 2 3" xfId="10698" xr:uid="{00000000-0005-0000-0000-00009B0B0000}"/>
    <cellStyle name="Normal 7 4 3 6 3" xfId="7531" xr:uid="{00000000-0005-0000-0000-00009A0B0000}"/>
    <cellStyle name="Normal 7 4 3 6 4" xfId="9931" xr:uid="{00000000-0005-0000-0000-00009A0B0000}"/>
    <cellStyle name="Normal 7 4 3 7" xfId="2485" xr:uid="{00000000-0005-0000-0000-000085080000}"/>
    <cellStyle name="Normal 7 4 3 7 2" xfId="7683" xr:uid="{00000000-0005-0000-0000-00009C0B0000}"/>
    <cellStyle name="Normal 7 4 3 7 3" xfId="10080" xr:uid="{00000000-0005-0000-0000-00009C0B0000}"/>
    <cellStyle name="Normal 7 4 3 8" xfId="2179" xr:uid="{00000000-0005-0000-0000-00006C080000}"/>
    <cellStyle name="Normal 7 4 3 9" xfId="4069" xr:uid="{00000000-0005-0000-0000-000013030000}"/>
    <cellStyle name="Normal 7 4 4" xfId="1432" xr:uid="{00000000-0005-0000-0000-00006F070000}"/>
    <cellStyle name="Normal 7 4 4 10" xfId="5370" xr:uid="{00000000-0005-0000-0000-0000C5040000}"/>
    <cellStyle name="Normal 7 4 4 11" xfId="4826" xr:uid="{00000000-0005-0000-0000-00003F040000}"/>
    <cellStyle name="Normal 7 4 4 12" xfId="6572" xr:uid="{00000000-0005-0000-0000-00009D0B0000}"/>
    <cellStyle name="Normal 7 4 4 13" xfId="8993" xr:uid="{00000000-0005-0000-0000-00009D0B0000}"/>
    <cellStyle name="Normal 7 4 4 2" xfId="1433" xr:uid="{00000000-0005-0000-0000-000070070000}"/>
    <cellStyle name="Normal 7 4 4 2 10" xfId="4979" xr:uid="{00000000-0005-0000-0000-000040040000}"/>
    <cellStyle name="Normal 7 4 4 2 11" xfId="6724" xr:uid="{00000000-0005-0000-0000-00009E0B0000}"/>
    <cellStyle name="Normal 7 4 4 2 12" xfId="9145" xr:uid="{00000000-0005-0000-0000-00009E0B0000}"/>
    <cellStyle name="Normal 7 4 4 2 2" xfId="1434" xr:uid="{00000000-0005-0000-0000-000071070000}"/>
    <cellStyle name="Normal 7 4 4 2 2 2" xfId="2834" xr:uid="{00000000-0005-0000-0000-000089080000}"/>
    <cellStyle name="Normal 7 4 4 2 2 2 2" xfId="3456" xr:uid="{00000000-0005-0000-0000-00008A080000}"/>
    <cellStyle name="Normal 7 4 4 2 2 2 2 2" xfId="8853" xr:uid="{00000000-0005-0000-0000-0000A10B0000}"/>
    <cellStyle name="Normal 7 4 4 2 2 2 2 3" xfId="11250" xr:uid="{00000000-0005-0000-0000-0000A10B0000}"/>
    <cellStyle name="Normal 7 4 4 2 2 2 3" xfId="4370" xr:uid="{00000000-0005-0000-0000-000089080000}"/>
    <cellStyle name="Normal 7 4 4 2 2 2 3 2" xfId="11419" xr:uid="{00000000-0005-0000-0000-0000B30A0000}"/>
    <cellStyle name="Normal 7 4 4 2 2 2 4" xfId="8120" xr:uid="{00000000-0005-0000-0000-0000A00B0000}"/>
    <cellStyle name="Normal 7 4 4 2 2 2 5" xfId="10517" xr:uid="{00000000-0005-0000-0000-0000A00B0000}"/>
    <cellStyle name="Normal 7 4 4 2 2 3" xfId="3457" xr:uid="{00000000-0005-0000-0000-00008B080000}"/>
    <cellStyle name="Normal 7 4 4 2 2 3 2" xfId="4587" xr:uid="{00000000-0005-0000-0000-00008B080000}"/>
    <cellStyle name="Normal 7 4 4 2 2 3 3" xfId="8854" xr:uid="{00000000-0005-0000-0000-0000A20B0000}"/>
    <cellStyle name="Normal 7 4 4 2 2 3 4" xfId="11251" xr:uid="{00000000-0005-0000-0000-0000A20B0000}"/>
    <cellStyle name="Normal 7 4 4 2 2 4" xfId="3455" xr:uid="{00000000-0005-0000-0000-00008C080000}"/>
    <cellStyle name="Normal 7 4 4 2 2 4 2" xfId="8852" xr:uid="{00000000-0005-0000-0000-0000A30B0000}"/>
    <cellStyle name="Normal 7 4 4 2 2 4 3" xfId="11249" xr:uid="{00000000-0005-0000-0000-0000A30B0000}"/>
    <cellStyle name="Normal 7 4 4 2 2 5" xfId="4244" xr:uid="{00000000-0005-0000-0000-000088080000}"/>
    <cellStyle name="Normal 7 4 4 2 2 5 2" xfId="7853" xr:uid="{00000000-0005-0000-0000-0000A40B0000}"/>
    <cellStyle name="Normal 7 4 4 2 2 5 3" xfId="10250" xr:uid="{00000000-0005-0000-0000-0000A40B0000}"/>
    <cellStyle name="Normal 7 4 4 2 2 6" xfId="5531" xr:uid="{00000000-0005-0000-0000-0000C7040000}"/>
    <cellStyle name="Normal 7 4 4 2 2 7" xfId="5254" xr:uid="{00000000-0005-0000-0000-000041040000}"/>
    <cellStyle name="Normal 7 4 4 2 2 8" xfId="7540" xr:uid="{00000000-0005-0000-0000-00009F0B0000}"/>
    <cellStyle name="Normal 7 4 4 2 2 9" xfId="9940" xr:uid="{00000000-0005-0000-0000-00009F0B0000}"/>
    <cellStyle name="Normal 7 4 4 2 3" xfId="2833" xr:uid="{00000000-0005-0000-0000-00008D080000}"/>
    <cellStyle name="Normal 7 4 4 2 3 2" xfId="3458" xr:uid="{00000000-0005-0000-0000-00008E080000}"/>
    <cellStyle name="Normal 7 4 4 2 3 2 2" xfId="8855" xr:uid="{00000000-0005-0000-0000-0000A60B0000}"/>
    <cellStyle name="Normal 7 4 4 2 3 2 3" xfId="11252" xr:uid="{00000000-0005-0000-0000-0000A60B0000}"/>
    <cellStyle name="Normal 7 4 4 2 3 3" xfId="4369" xr:uid="{00000000-0005-0000-0000-00008D080000}"/>
    <cellStyle name="Normal 7 4 4 2 3 3 2" xfId="8119" xr:uid="{00000000-0005-0000-0000-0000A70B0000}"/>
    <cellStyle name="Normal 7 4 4 2 3 3 3" xfId="10516" xr:uid="{00000000-0005-0000-0000-0000A70B0000}"/>
    <cellStyle name="Normal 7 4 4 2 3 4" xfId="6003" xr:uid="{00000000-0005-0000-0000-0000CA040000}"/>
    <cellStyle name="Normal 7 4 4 2 3 5" xfId="7539" xr:uid="{00000000-0005-0000-0000-0000A50B0000}"/>
    <cellStyle name="Normal 7 4 4 2 3 6" xfId="9939" xr:uid="{00000000-0005-0000-0000-0000A50B0000}"/>
    <cellStyle name="Normal 7 4 4 2 4" xfId="3459" xr:uid="{00000000-0005-0000-0000-00008F080000}"/>
    <cellStyle name="Normal 7 4 4 2 4 2" xfId="4588" xr:uid="{00000000-0005-0000-0000-00008F080000}"/>
    <cellStyle name="Normal 7 4 4 2 4 3" xfId="8856" xr:uid="{00000000-0005-0000-0000-0000A80B0000}"/>
    <cellStyle name="Normal 7 4 4 2 4 4" xfId="11253" xr:uid="{00000000-0005-0000-0000-0000A80B0000}"/>
    <cellStyle name="Normal 7 4 4 2 5" xfId="3454" xr:uid="{00000000-0005-0000-0000-000090080000}"/>
    <cellStyle name="Normal 7 4 4 2 5 2" xfId="8851" xr:uid="{00000000-0005-0000-0000-0000A90B0000}"/>
    <cellStyle name="Normal 7 4 4 2 5 3" xfId="11248" xr:uid="{00000000-0005-0000-0000-0000A90B0000}"/>
    <cellStyle name="Normal 7 4 4 2 6" xfId="2552" xr:uid="{00000000-0005-0000-0000-000091080000}"/>
    <cellStyle name="Normal 7 4 4 2 6 2" xfId="7750" xr:uid="{00000000-0005-0000-0000-0000AA0B0000}"/>
    <cellStyle name="Normal 7 4 4 2 6 3" xfId="10147" xr:uid="{00000000-0005-0000-0000-0000AA0B0000}"/>
    <cellStyle name="Normal 7 4 4 2 7" xfId="2246" xr:uid="{00000000-0005-0000-0000-000087080000}"/>
    <cellStyle name="Normal 7 4 4 2 8" xfId="3799" xr:uid="{00000000-0005-0000-0000-000018030000}"/>
    <cellStyle name="Normal 7 4 4 2 9" xfId="5430" xr:uid="{00000000-0005-0000-0000-0000C6040000}"/>
    <cellStyle name="Normal 7 4 4 3" xfId="1435" xr:uid="{00000000-0005-0000-0000-000072070000}"/>
    <cellStyle name="Normal 7 4 4 3 10" xfId="6885" xr:uid="{00000000-0005-0000-0000-0000AB0B0000}"/>
    <cellStyle name="Normal 7 4 4 3 11" xfId="9306" xr:uid="{00000000-0005-0000-0000-0000AB0B0000}"/>
    <cellStyle name="Normal 7 4 4 3 2" xfId="2835" xr:uid="{00000000-0005-0000-0000-000093080000}"/>
    <cellStyle name="Normal 7 4 4 3 2 2" xfId="3461" xr:uid="{00000000-0005-0000-0000-000094080000}"/>
    <cellStyle name="Normal 7 4 4 3 2 2 2" xfId="8858" xr:uid="{00000000-0005-0000-0000-0000AD0B0000}"/>
    <cellStyle name="Normal 7 4 4 3 2 2 3" xfId="11255" xr:uid="{00000000-0005-0000-0000-0000AD0B0000}"/>
    <cellStyle name="Normal 7 4 4 3 2 3" xfId="4371" xr:uid="{00000000-0005-0000-0000-000093080000}"/>
    <cellStyle name="Normal 7 4 4 3 2 3 2" xfId="8121" xr:uid="{00000000-0005-0000-0000-0000AE0B0000}"/>
    <cellStyle name="Normal 7 4 4 3 2 3 3" xfId="10518" xr:uid="{00000000-0005-0000-0000-0000AE0B0000}"/>
    <cellStyle name="Normal 7 4 4 3 2 4" xfId="6004" xr:uid="{00000000-0005-0000-0000-0000CD040000}"/>
    <cellStyle name="Normal 7 4 4 3 2 5" xfId="7541" xr:uid="{00000000-0005-0000-0000-0000AC0B0000}"/>
    <cellStyle name="Normal 7 4 4 3 2 6" xfId="9941" xr:uid="{00000000-0005-0000-0000-0000AC0B0000}"/>
    <cellStyle name="Normal 7 4 4 3 3" xfId="3462" xr:uid="{00000000-0005-0000-0000-000095080000}"/>
    <cellStyle name="Normal 7 4 4 3 3 2" xfId="4589" xr:uid="{00000000-0005-0000-0000-000095080000}"/>
    <cellStyle name="Normal 7 4 4 3 3 3" xfId="5702" xr:uid="{00000000-0005-0000-0000-0000CE040000}"/>
    <cellStyle name="Normal 7 4 4 3 3 4" xfId="8859" xr:uid="{00000000-0005-0000-0000-0000AF0B0000}"/>
    <cellStyle name="Normal 7 4 4 3 3 5" xfId="11256" xr:uid="{00000000-0005-0000-0000-0000AF0B0000}"/>
    <cellStyle name="Normal 7 4 4 3 4" xfId="3460" xr:uid="{00000000-0005-0000-0000-000096080000}"/>
    <cellStyle name="Normal 7 4 4 3 4 2" xfId="8857" xr:uid="{00000000-0005-0000-0000-0000B00B0000}"/>
    <cellStyle name="Normal 7 4 4 3 4 3" xfId="11254" xr:uid="{00000000-0005-0000-0000-0000B00B0000}"/>
    <cellStyle name="Normal 7 4 4 3 5" xfId="2595" xr:uid="{00000000-0005-0000-0000-000097080000}"/>
    <cellStyle name="Normal 7 4 4 3 5 2" xfId="7793" xr:uid="{00000000-0005-0000-0000-0000B10B0000}"/>
    <cellStyle name="Normal 7 4 4 3 5 3" xfId="10190" xr:uid="{00000000-0005-0000-0000-0000B10B0000}"/>
    <cellStyle name="Normal 7 4 4 3 6" xfId="2403" xr:uid="{00000000-0005-0000-0000-000092080000}"/>
    <cellStyle name="Normal 7 4 4 3 7" xfId="4103" xr:uid="{00000000-0005-0000-0000-000019030000}"/>
    <cellStyle name="Normal 7 4 4 3 8" xfId="5471" xr:uid="{00000000-0005-0000-0000-0000CC040000}"/>
    <cellStyle name="Normal 7 4 4 3 9" xfId="5253" xr:uid="{00000000-0005-0000-0000-000042040000}"/>
    <cellStyle name="Normal 7 4 4 4" xfId="1436" xr:uid="{00000000-0005-0000-0000-000073070000}"/>
    <cellStyle name="Normal 7 4 4 4 2" xfId="3463" xr:uid="{00000000-0005-0000-0000-000099080000}"/>
    <cellStyle name="Normal 7 4 4 4 2 2" xfId="8860" xr:uid="{00000000-0005-0000-0000-0000B30B0000}"/>
    <cellStyle name="Normal 7 4 4 4 2 3" xfId="11257" xr:uid="{00000000-0005-0000-0000-0000B30B0000}"/>
    <cellStyle name="Normal 7 4 4 4 3" xfId="2832" xr:uid="{00000000-0005-0000-0000-00009A080000}"/>
    <cellStyle name="Normal 7 4 4 4 3 2" xfId="8118" xr:uid="{00000000-0005-0000-0000-0000B40B0000}"/>
    <cellStyle name="Normal 7 4 4 4 3 3" xfId="10515" xr:uid="{00000000-0005-0000-0000-0000B40B0000}"/>
    <cellStyle name="Normal 7 4 4 4 4" xfId="4221" xr:uid="{00000000-0005-0000-0000-000098080000}"/>
    <cellStyle name="Normal 7 4 4 4 5" xfId="6002" xr:uid="{00000000-0005-0000-0000-0000CF040000}"/>
    <cellStyle name="Normal 7 4 4 4 6" xfId="7542" xr:uid="{00000000-0005-0000-0000-0000B20B0000}"/>
    <cellStyle name="Normal 7 4 4 4 7" xfId="9942" xr:uid="{00000000-0005-0000-0000-0000B20B0000}"/>
    <cellStyle name="Normal 7 4 4 5" xfId="3464" xr:uid="{00000000-0005-0000-0000-00009B080000}"/>
    <cellStyle name="Normal 7 4 4 5 2" xfId="4590" xr:uid="{00000000-0005-0000-0000-00009B080000}"/>
    <cellStyle name="Normal 7 4 4 5 2 2" xfId="8861" xr:uid="{00000000-0005-0000-0000-0000B60B0000}"/>
    <cellStyle name="Normal 7 4 4 5 2 3" xfId="11258" xr:uid="{00000000-0005-0000-0000-0000B60B0000}"/>
    <cellStyle name="Normal 7 4 4 5 3" xfId="5616" xr:uid="{00000000-0005-0000-0000-0000D0040000}"/>
    <cellStyle name="Normal 7 4 4 5 4" xfId="7538" xr:uid="{00000000-0005-0000-0000-0000B50B0000}"/>
    <cellStyle name="Normal 7 4 4 5 5" xfId="9938" xr:uid="{00000000-0005-0000-0000-0000B50B0000}"/>
    <cellStyle name="Normal 7 4 4 6" xfId="2994" xr:uid="{00000000-0005-0000-0000-00009C080000}"/>
    <cellStyle name="Normal 7 4 4 6 2" xfId="8303" xr:uid="{00000000-0005-0000-0000-0000B70B0000}"/>
    <cellStyle name="Normal 7 4 4 6 3" xfId="10700" xr:uid="{00000000-0005-0000-0000-0000B70B0000}"/>
    <cellStyle name="Normal 7 4 4 7" xfId="2492" xr:uid="{00000000-0005-0000-0000-00009D080000}"/>
    <cellStyle name="Normal 7 4 4 7 2" xfId="7690" xr:uid="{00000000-0005-0000-0000-0000B80B0000}"/>
    <cellStyle name="Normal 7 4 4 7 3" xfId="10087" xr:uid="{00000000-0005-0000-0000-0000B80B0000}"/>
    <cellStyle name="Normal 7 4 4 8" xfId="2186" xr:uid="{00000000-0005-0000-0000-000086080000}"/>
    <cellStyle name="Normal 7 4 4 9" xfId="4071" xr:uid="{00000000-0005-0000-0000-000017030000}"/>
    <cellStyle name="Normal 7 4 5" xfId="1437" xr:uid="{00000000-0005-0000-0000-000074070000}"/>
    <cellStyle name="Normal 7 4 5 10" xfId="5344" xr:uid="{00000000-0005-0000-0000-0000D1040000}"/>
    <cellStyle name="Normal 7 4 5 11" xfId="4800" xr:uid="{00000000-0005-0000-0000-000043040000}"/>
    <cellStyle name="Normal 7 4 5 12" xfId="6546" xr:uid="{00000000-0005-0000-0000-0000B90B0000}"/>
    <cellStyle name="Normal 7 4 5 13" xfId="8967" xr:uid="{00000000-0005-0000-0000-0000B90B0000}"/>
    <cellStyle name="Normal 7 4 5 2" xfId="1438" xr:uid="{00000000-0005-0000-0000-000075070000}"/>
    <cellStyle name="Normal 7 4 5 2 10" xfId="6725" xr:uid="{00000000-0005-0000-0000-0000BA0B0000}"/>
    <cellStyle name="Normal 7 4 5 2 11" xfId="9146" xr:uid="{00000000-0005-0000-0000-0000BA0B0000}"/>
    <cellStyle name="Normal 7 4 5 2 2" xfId="1439" xr:uid="{00000000-0005-0000-0000-000076070000}"/>
    <cellStyle name="Normal 7 4 5 2 2 2" xfId="3466" xr:uid="{00000000-0005-0000-0000-0000A1080000}"/>
    <cellStyle name="Normal 7 4 5 2 2 2 2" xfId="8863" xr:uid="{00000000-0005-0000-0000-0000BC0B0000}"/>
    <cellStyle name="Normal 7 4 5 2 2 2 3" xfId="11260" xr:uid="{00000000-0005-0000-0000-0000BC0B0000}"/>
    <cellStyle name="Normal 7 4 5 2 2 3" xfId="4373" xr:uid="{00000000-0005-0000-0000-0000A0080000}"/>
    <cellStyle name="Normal 7 4 5 2 2 3 2" xfId="8123" xr:uid="{00000000-0005-0000-0000-0000BD0B0000}"/>
    <cellStyle name="Normal 7 4 5 2 2 3 3" xfId="10520" xr:uid="{00000000-0005-0000-0000-0000BD0B0000}"/>
    <cellStyle name="Normal 7 4 5 2 2 4" xfId="6006" xr:uid="{00000000-0005-0000-0000-0000D3040000}"/>
    <cellStyle name="Normal 7 4 5 2 2 5" xfId="5256" xr:uid="{00000000-0005-0000-0000-000045040000}"/>
    <cellStyle name="Normal 7 4 5 2 2 6" xfId="7545" xr:uid="{00000000-0005-0000-0000-0000BB0B0000}"/>
    <cellStyle name="Normal 7 4 5 2 2 7" xfId="9945" xr:uid="{00000000-0005-0000-0000-0000BB0B0000}"/>
    <cellStyle name="Normal 7 4 5 2 3" xfId="3467" xr:uid="{00000000-0005-0000-0000-0000A2080000}"/>
    <cellStyle name="Normal 7 4 5 2 3 2" xfId="4591" xr:uid="{00000000-0005-0000-0000-0000A2080000}"/>
    <cellStyle name="Normal 7 4 5 2 3 2 2" xfId="8864" xr:uid="{00000000-0005-0000-0000-0000BF0B0000}"/>
    <cellStyle name="Normal 7 4 5 2 3 2 3" xfId="11261" xr:uid="{00000000-0005-0000-0000-0000BF0B0000}"/>
    <cellStyle name="Normal 7 4 5 2 3 3" xfId="5650" xr:uid="{00000000-0005-0000-0000-0000D4040000}"/>
    <cellStyle name="Normal 7 4 5 2 3 4" xfId="7544" xr:uid="{00000000-0005-0000-0000-0000BE0B0000}"/>
    <cellStyle name="Normal 7 4 5 2 3 5" xfId="9944" xr:uid="{00000000-0005-0000-0000-0000BE0B0000}"/>
    <cellStyle name="Normal 7 4 5 2 4" xfId="3465" xr:uid="{00000000-0005-0000-0000-0000A3080000}"/>
    <cellStyle name="Normal 7 4 5 2 4 2" xfId="8862" xr:uid="{00000000-0005-0000-0000-0000C00B0000}"/>
    <cellStyle name="Normal 7 4 5 2 4 3" xfId="11259" xr:uid="{00000000-0005-0000-0000-0000C00B0000}"/>
    <cellStyle name="Normal 7 4 5 2 5" xfId="2526" xr:uid="{00000000-0005-0000-0000-0000A4080000}"/>
    <cellStyle name="Normal 7 4 5 2 5 2" xfId="7724" xr:uid="{00000000-0005-0000-0000-0000C10B0000}"/>
    <cellStyle name="Normal 7 4 5 2 5 3" xfId="10121" xr:uid="{00000000-0005-0000-0000-0000C10B0000}"/>
    <cellStyle name="Normal 7 4 5 2 6" xfId="2404" xr:uid="{00000000-0005-0000-0000-00009F080000}"/>
    <cellStyle name="Normal 7 4 5 2 7" xfId="4104" xr:uid="{00000000-0005-0000-0000-00001B030000}"/>
    <cellStyle name="Normal 7 4 5 2 8" xfId="5404" xr:uid="{00000000-0005-0000-0000-0000D2040000}"/>
    <cellStyle name="Normal 7 4 5 2 9" xfId="4980" xr:uid="{00000000-0005-0000-0000-000044040000}"/>
    <cellStyle name="Normal 7 4 5 3" xfId="1440" xr:uid="{00000000-0005-0000-0000-000077070000}"/>
    <cellStyle name="Normal 7 4 5 3 10" xfId="9307" xr:uid="{00000000-0005-0000-0000-0000C20B0000}"/>
    <cellStyle name="Normal 7 4 5 3 2" xfId="2836" xr:uid="{00000000-0005-0000-0000-0000A6080000}"/>
    <cellStyle name="Normal 7 4 5 3 2 2" xfId="3469" xr:uid="{00000000-0005-0000-0000-0000A7080000}"/>
    <cellStyle name="Normal 7 4 5 3 2 2 2" xfId="8866" xr:uid="{00000000-0005-0000-0000-0000C40B0000}"/>
    <cellStyle name="Normal 7 4 5 3 2 2 3" xfId="11263" xr:uid="{00000000-0005-0000-0000-0000C40B0000}"/>
    <cellStyle name="Normal 7 4 5 3 2 3" xfId="4374" xr:uid="{00000000-0005-0000-0000-0000A6080000}"/>
    <cellStyle name="Normal 7 4 5 3 2 3 2" xfId="8124" xr:uid="{00000000-0005-0000-0000-0000C50B0000}"/>
    <cellStyle name="Normal 7 4 5 3 2 3 3" xfId="10521" xr:uid="{00000000-0005-0000-0000-0000C50B0000}"/>
    <cellStyle name="Normal 7 4 5 3 2 4" xfId="6007" xr:uid="{00000000-0005-0000-0000-0000D6040000}"/>
    <cellStyle name="Normal 7 4 5 3 2 5" xfId="7546" xr:uid="{00000000-0005-0000-0000-0000C30B0000}"/>
    <cellStyle name="Normal 7 4 5 3 2 6" xfId="9946" xr:uid="{00000000-0005-0000-0000-0000C30B0000}"/>
    <cellStyle name="Normal 7 4 5 3 3" xfId="3470" xr:uid="{00000000-0005-0000-0000-0000A8080000}"/>
    <cellStyle name="Normal 7 4 5 3 3 2" xfId="4592" xr:uid="{00000000-0005-0000-0000-0000A8080000}"/>
    <cellStyle name="Normal 7 4 5 3 3 3" xfId="5735" xr:uid="{00000000-0005-0000-0000-0000D7040000}"/>
    <cellStyle name="Normal 7 4 5 3 3 4" xfId="8867" xr:uid="{00000000-0005-0000-0000-0000C60B0000}"/>
    <cellStyle name="Normal 7 4 5 3 3 5" xfId="11264" xr:uid="{00000000-0005-0000-0000-0000C60B0000}"/>
    <cellStyle name="Normal 7 4 5 3 4" xfId="3468" xr:uid="{00000000-0005-0000-0000-0000A9080000}"/>
    <cellStyle name="Normal 7 4 5 3 4 2" xfId="8865" xr:uid="{00000000-0005-0000-0000-0000C70B0000}"/>
    <cellStyle name="Normal 7 4 5 3 4 3" xfId="11262" xr:uid="{00000000-0005-0000-0000-0000C70B0000}"/>
    <cellStyle name="Normal 7 4 5 3 5" xfId="2629" xr:uid="{00000000-0005-0000-0000-0000AA080000}"/>
    <cellStyle name="Normal 7 4 5 3 5 2" xfId="7827" xr:uid="{00000000-0005-0000-0000-0000C80B0000}"/>
    <cellStyle name="Normal 7 4 5 3 5 3" xfId="10224" xr:uid="{00000000-0005-0000-0000-0000C80B0000}"/>
    <cellStyle name="Normal 7 4 5 3 6" xfId="4222" xr:uid="{00000000-0005-0000-0000-0000A5080000}"/>
    <cellStyle name="Normal 7 4 5 3 7" xfId="5505" xr:uid="{00000000-0005-0000-0000-0000D5040000}"/>
    <cellStyle name="Normal 7 4 5 3 8" xfId="5255" xr:uid="{00000000-0005-0000-0000-000046040000}"/>
    <cellStyle name="Normal 7 4 5 3 9" xfId="6886" xr:uid="{00000000-0005-0000-0000-0000C20B0000}"/>
    <cellStyle name="Normal 7 4 5 4" xfId="1441" xr:uid="{00000000-0005-0000-0000-000078070000}"/>
    <cellStyle name="Normal 7 4 5 4 2" xfId="3471" xr:uid="{00000000-0005-0000-0000-0000AC080000}"/>
    <cellStyle name="Normal 7 4 5 4 2 2" xfId="8868" xr:uid="{00000000-0005-0000-0000-0000CA0B0000}"/>
    <cellStyle name="Normal 7 4 5 4 2 3" xfId="11265" xr:uid="{00000000-0005-0000-0000-0000CA0B0000}"/>
    <cellStyle name="Normal 7 4 5 4 3" xfId="4372" xr:uid="{00000000-0005-0000-0000-0000AB080000}"/>
    <cellStyle name="Normal 7 4 5 4 3 2" xfId="8122" xr:uid="{00000000-0005-0000-0000-0000CB0B0000}"/>
    <cellStyle name="Normal 7 4 5 4 3 3" xfId="10519" xr:uid="{00000000-0005-0000-0000-0000CB0B0000}"/>
    <cellStyle name="Normal 7 4 5 4 4" xfId="6005" xr:uid="{00000000-0005-0000-0000-0000D8040000}"/>
    <cellStyle name="Normal 7 4 5 4 5" xfId="7547" xr:uid="{00000000-0005-0000-0000-0000C90B0000}"/>
    <cellStyle name="Normal 7 4 5 4 6" xfId="9947" xr:uid="{00000000-0005-0000-0000-0000C90B0000}"/>
    <cellStyle name="Normal 7 4 5 5" xfId="3472" xr:uid="{00000000-0005-0000-0000-0000AD080000}"/>
    <cellStyle name="Normal 7 4 5 5 2" xfId="4593" xr:uid="{00000000-0005-0000-0000-0000AD080000}"/>
    <cellStyle name="Normal 7 4 5 5 2 2" xfId="8869" xr:uid="{00000000-0005-0000-0000-0000CD0B0000}"/>
    <cellStyle name="Normal 7 4 5 5 2 3" xfId="11266" xr:uid="{00000000-0005-0000-0000-0000CD0B0000}"/>
    <cellStyle name="Normal 7 4 5 5 3" xfId="5590" xr:uid="{00000000-0005-0000-0000-0000D9040000}"/>
    <cellStyle name="Normal 7 4 5 5 4" xfId="7543" xr:uid="{00000000-0005-0000-0000-0000CC0B0000}"/>
    <cellStyle name="Normal 7 4 5 5 5" xfId="9943" xr:uid="{00000000-0005-0000-0000-0000CC0B0000}"/>
    <cellStyle name="Normal 7 4 5 6" xfId="2995" xr:uid="{00000000-0005-0000-0000-0000AE080000}"/>
    <cellStyle name="Normal 7 4 5 6 2" xfId="8304" xr:uid="{00000000-0005-0000-0000-0000CE0B0000}"/>
    <cellStyle name="Normal 7 4 5 6 3" xfId="10701" xr:uid="{00000000-0005-0000-0000-0000CE0B0000}"/>
    <cellStyle name="Normal 7 4 5 7" xfId="2466" xr:uid="{00000000-0005-0000-0000-0000AF080000}"/>
    <cellStyle name="Normal 7 4 5 7 2" xfId="7664" xr:uid="{00000000-0005-0000-0000-0000CF0B0000}"/>
    <cellStyle name="Normal 7 4 5 7 3" xfId="10061" xr:uid="{00000000-0005-0000-0000-0000CF0B0000}"/>
    <cellStyle name="Normal 7 4 5 8" xfId="2220" xr:uid="{00000000-0005-0000-0000-00009E080000}"/>
    <cellStyle name="Normal 7 4 5 9" xfId="4072" xr:uid="{00000000-0005-0000-0000-00001A030000}"/>
    <cellStyle name="Normal 7 4 6" xfId="1442" xr:uid="{00000000-0005-0000-0000-000079070000}"/>
    <cellStyle name="Normal 7 4 6 10" xfId="4783" xr:uid="{00000000-0005-0000-0000-000047040000}"/>
    <cellStyle name="Normal 7 4 6 11" xfId="6726" xr:uid="{00000000-0005-0000-0000-0000D00B0000}"/>
    <cellStyle name="Normal 7 4 6 12" xfId="9147" xr:uid="{00000000-0005-0000-0000-0000D00B0000}"/>
    <cellStyle name="Normal 7 4 6 2" xfId="1443" xr:uid="{00000000-0005-0000-0000-00007A070000}"/>
    <cellStyle name="Normal 7 4 6 2 10" xfId="6887" xr:uid="{00000000-0005-0000-0000-0000D10B0000}"/>
    <cellStyle name="Normal 7 4 6 2 11" xfId="9308" xr:uid="{00000000-0005-0000-0000-0000D10B0000}"/>
    <cellStyle name="Normal 7 4 6 2 2" xfId="1444" xr:uid="{00000000-0005-0000-0000-00007B070000}"/>
    <cellStyle name="Normal 7 4 6 2 2 2" xfId="3474" xr:uid="{00000000-0005-0000-0000-0000B3080000}"/>
    <cellStyle name="Normal 7 4 6 2 2 2 2" xfId="8871" xr:uid="{00000000-0005-0000-0000-0000D30B0000}"/>
    <cellStyle name="Normal 7 4 6 2 2 2 3" xfId="11268" xr:uid="{00000000-0005-0000-0000-0000D30B0000}"/>
    <cellStyle name="Normal 7 4 6 2 2 3" xfId="4375" xr:uid="{00000000-0005-0000-0000-0000B2080000}"/>
    <cellStyle name="Normal 7 4 6 2 2 3 2" xfId="8126" xr:uid="{00000000-0005-0000-0000-0000D40B0000}"/>
    <cellStyle name="Normal 7 4 6 2 2 3 3" xfId="10523" xr:uid="{00000000-0005-0000-0000-0000D40B0000}"/>
    <cellStyle name="Normal 7 4 6 2 2 4" xfId="6009" xr:uid="{00000000-0005-0000-0000-0000DC040000}"/>
    <cellStyle name="Normal 7 4 6 2 2 5" xfId="5258" xr:uid="{00000000-0005-0000-0000-000049040000}"/>
    <cellStyle name="Normal 7 4 6 2 2 6" xfId="7550" xr:uid="{00000000-0005-0000-0000-0000D20B0000}"/>
    <cellStyle name="Normal 7 4 6 2 2 7" xfId="9950" xr:uid="{00000000-0005-0000-0000-0000D20B0000}"/>
    <cellStyle name="Normal 7 4 6 2 3" xfId="3475" xr:uid="{00000000-0005-0000-0000-0000B4080000}"/>
    <cellStyle name="Normal 7 4 6 2 3 2" xfId="4594" xr:uid="{00000000-0005-0000-0000-0000B4080000}"/>
    <cellStyle name="Normal 7 4 6 2 3 2 2" xfId="8872" xr:uid="{00000000-0005-0000-0000-0000D60B0000}"/>
    <cellStyle name="Normal 7 4 6 2 3 2 3" xfId="11269" xr:uid="{00000000-0005-0000-0000-0000D60B0000}"/>
    <cellStyle name="Normal 7 4 6 2 3 3" xfId="5718" xr:uid="{00000000-0005-0000-0000-0000DD040000}"/>
    <cellStyle name="Normal 7 4 6 2 3 4" xfId="7549" xr:uid="{00000000-0005-0000-0000-0000D50B0000}"/>
    <cellStyle name="Normal 7 4 6 2 3 5" xfId="9949" xr:uid="{00000000-0005-0000-0000-0000D50B0000}"/>
    <cellStyle name="Normal 7 4 6 2 4" xfId="3473" xr:uid="{00000000-0005-0000-0000-0000B5080000}"/>
    <cellStyle name="Normal 7 4 6 2 4 2" xfId="8870" xr:uid="{00000000-0005-0000-0000-0000D70B0000}"/>
    <cellStyle name="Normal 7 4 6 2 4 3" xfId="11267" xr:uid="{00000000-0005-0000-0000-0000D70B0000}"/>
    <cellStyle name="Normal 7 4 6 2 5" xfId="2612" xr:uid="{00000000-0005-0000-0000-0000B6080000}"/>
    <cellStyle name="Normal 7 4 6 2 5 2" xfId="7810" xr:uid="{00000000-0005-0000-0000-0000D80B0000}"/>
    <cellStyle name="Normal 7 4 6 2 5 3" xfId="10207" xr:uid="{00000000-0005-0000-0000-0000D80B0000}"/>
    <cellStyle name="Normal 7 4 6 2 6" xfId="2405" xr:uid="{00000000-0005-0000-0000-0000B1080000}"/>
    <cellStyle name="Normal 7 4 6 2 7" xfId="4105" xr:uid="{00000000-0005-0000-0000-00001D030000}"/>
    <cellStyle name="Normal 7 4 6 2 8" xfId="5488" xr:uid="{00000000-0005-0000-0000-0000DB040000}"/>
    <cellStyle name="Normal 7 4 6 2 9" xfId="4981" xr:uid="{00000000-0005-0000-0000-000048040000}"/>
    <cellStyle name="Normal 7 4 6 3" xfId="1445" xr:uid="{00000000-0005-0000-0000-00007C070000}"/>
    <cellStyle name="Normal 7 4 6 3 2" xfId="3476" xr:uid="{00000000-0005-0000-0000-0000B8080000}"/>
    <cellStyle name="Normal 7 4 6 3 2 2" xfId="8873" xr:uid="{00000000-0005-0000-0000-0000DA0B0000}"/>
    <cellStyle name="Normal 7 4 6 3 2 3" xfId="11270" xr:uid="{00000000-0005-0000-0000-0000DA0B0000}"/>
    <cellStyle name="Normal 7 4 6 3 3" xfId="2837" xr:uid="{00000000-0005-0000-0000-0000B9080000}"/>
    <cellStyle name="Normal 7 4 6 3 3 2" xfId="8125" xr:uid="{00000000-0005-0000-0000-0000DB0B0000}"/>
    <cellStyle name="Normal 7 4 6 3 3 3" xfId="10522" xr:uid="{00000000-0005-0000-0000-0000DB0B0000}"/>
    <cellStyle name="Normal 7 4 6 3 4" xfId="4223" xr:uid="{00000000-0005-0000-0000-0000B7080000}"/>
    <cellStyle name="Normal 7 4 6 3 5" xfId="6008" xr:uid="{00000000-0005-0000-0000-0000DE040000}"/>
    <cellStyle name="Normal 7 4 6 3 6" xfId="5257" xr:uid="{00000000-0005-0000-0000-00004A040000}"/>
    <cellStyle name="Normal 7 4 6 3 7" xfId="7551" xr:uid="{00000000-0005-0000-0000-0000D90B0000}"/>
    <cellStyle name="Normal 7 4 6 3 8" xfId="9951" xr:uid="{00000000-0005-0000-0000-0000D90B0000}"/>
    <cellStyle name="Normal 7 4 6 4" xfId="1446" xr:uid="{00000000-0005-0000-0000-00007D070000}"/>
    <cellStyle name="Normal 7 4 6 4 2" xfId="4595" xr:uid="{00000000-0005-0000-0000-0000BA080000}"/>
    <cellStyle name="Normal 7 4 6 4 2 2" xfId="8874" xr:uid="{00000000-0005-0000-0000-0000DD0B0000}"/>
    <cellStyle name="Normal 7 4 6 4 2 3" xfId="11271" xr:uid="{00000000-0005-0000-0000-0000DD0B0000}"/>
    <cellStyle name="Normal 7 4 6 4 3" xfId="5573" xr:uid="{00000000-0005-0000-0000-0000DF040000}"/>
    <cellStyle name="Normal 7 4 6 4 4" xfId="7552" xr:uid="{00000000-0005-0000-0000-0000DC0B0000}"/>
    <cellStyle name="Normal 7 4 6 4 5" xfId="9952" xr:uid="{00000000-0005-0000-0000-0000DC0B0000}"/>
    <cellStyle name="Normal 7 4 6 5" xfId="2996" xr:uid="{00000000-0005-0000-0000-0000BB080000}"/>
    <cellStyle name="Normal 7 4 6 5 2" xfId="8305" xr:uid="{00000000-0005-0000-0000-0000DF0B0000}"/>
    <cellStyle name="Normal 7 4 6 5 2 2" xfId="10702" xr:uid="{00000000-0005-0000-0000-0000DF0B0000}"/>
    <cellStyle name="Normal 7 4 6 5 3" xfId="7548" xr:uid="{00000000-0005-0000-0000-0000DE0B0000}"/>
    <cellStyle name="Normal 7 4 6 5 4" xfId="9948" xr:uid="{00000000-0005-0000-0000-0000DE0B0000}"/>
    <cellStyle name="Normal 7 4 6 6" xfId="2449" xr:uid="{00000000-0005-0000-0000-0000BC080000}"/>
    <cellStyle name="Normal 7 4 6 6 2" xfId="7647" xr:uid="{00000000-0005-0000-0000-0000E00B0000}"/>
    <cellStyle name="Normal 7 4 6 6 3" xfId="10044" xr:uid="{00000000-0005-0000-0000-0000E00B0000}"/>
    <cellStyle name="Normal 7 4 6 7" xfId="2203" xr:uid="{00000000-0005-0000-0000-0000B0080000}"/>
    <cellStyle name="Normal 7 4 6 8" xfId="4073" xr:uid="{00000000-0005-0000-0000-00001C030000}"/>
    <cellStyle name="Normal 7 4 6 9" xfId="5327" xr:uid="{00000000-0005-0000-0000-0000DA040000}"/>
    <cellStyle name="Normal 7 4 7" xfId="1447" xr:uid="{00000000-0005-0000-0000-00007E070000}"/>
    <cellStyle name="Normal 7 4 7 10" xfId="4982" xr:uid="{00000000-0005-0000-0000-00004B040000}"/>
    <cellStyle name="Normal 7 4 7 11" xfId="6727" xr:uid="{00000000-0005-0000-0000-0000E10B0000}"/>
    <cellStyle name="Normal 7 4 7 12" xfId="9148" xr:uid="{00000000-0005-0000-0000-0000E10B0000}"/>
    <cellStyle name="Normal 7 4 7 2" xfId="1448" xr:uid="{00000000-0005-0000-0000-00007F070000}"/>
    <cellStyle name="Normal 7 4 7 2 10" xfId="6888" xr:uid="{00000000-0005-0000-0000-0000E20B0000}"/>
    <cellStyle name="Normal 7 4 7 2 11" xfId="9309" xr:uid="{00000000-0005-0000-0000-0000E20B0000}"/>
    <cellStyle name="Normal 7 4 7 2 2" xfId="1449" xr:uid="{00000000-0005-0000-0000-000080070000}"/>
    <cellStyle name="Normal 7 4 7 2 2 2" xfId="3478" xr:uid="{00000000-0005-0000-0000-0000C0080000}"/>
    <cellStyle name="Normal 7 4 7 2 2 2 2" xfId="8876" xr:uid="{00000000-0005-0000-0000-0000E40B0000}"/>
    <cellStyle name="Normal 7 4 7 2 2 2 3" xfId="11273" xr:uid="{00000000-0005-0000-0000-0000E40B0000}"/>
    <cellStyle name="Normal 7 4 7 2 2 3" xfId="4376" xr:uid="{00000000-0005-0000-0000-0000BF080000}"/>
    <cellStyle name="Normal 7 4 7 2 2 3 2" xfId="8128" xr:uid="{00000000-0005-0000-0000-0000E50B0000}"/>
    <cellStyle name="Normal 7 4 7 2 2 3 3" xfId="10525" xr:uid="{00000000-0005-0000-0000-0000E50B0000}"/>
    <cellStyle name="Normal 7 4 7 2 2 4" xfId="6011" xr:uid="{00000000-0005-0000-0000-0000E2040000}"/>
    <cellStyle name="Normal 7 4 7 2 2 5" xfId="7555" xr:uid="{00000000-0005-0000-0000-0000E30B0000}"/>
    <cellStyle name="Normal 7 4 7 2 2 6" xfId="9955" xr:uid="{00000000-0005-0000-0000-0000E30B0000}"/>
    <cellStyle name="Normal 7 4 7 2 3" xfId="3479" xr:uid="{00000000-0005-0000-0000-0000C1080000}"/>
    <cellStyle name="Normal 7 4 7 2 3 2" xfId="4596" xr:uid="{00000000-0005-0000-0000-0000C1080000}"/>
    <cellStyle name="Normal 7 4 7 2 3 2 2" xfId="8877" xr:uid="{00000000-0005-0000-0000-0000E70B0000}"/>
    <cellStyle name="Normal 7 4 7 2 3 2 3" xfId="11274" xr:uid="{00000000-0005-0000-0000-0000E70B0000}"/>
    <cellStyle name="Normal 7 4 7 2 3 3" xfId="5764" xr:uid="{00000000-0005-0000-0000-0000E3040000}"/>
    <cellStyle name="Normal 7 4 7 2 3 4" xfId="7554" xr:uid="{00000000-0005-0000-0000-0000E60B0000}"/>
    <cellStyle name="Normal 7 4 7 2 3 5" xfId="9954" xr:uid="{00000000-0005-0000-0000-0000E60B0000}"/>
    <cellStyle name="Normal 7 4 7 2 4" xfId="3477" xr:uid="{00000000-0005-0000-0000-0000C2080000}"/>
    <cellStyle name="Normal 7 4 7 2 4 2" xfId="8875" xr:uid="{00000000-0005-0000-0000-0000E80B0000}"/>
    <cellStyle name="Normal 7 4 7 2 4 3" xfId="11272" xr:uid="{00000000-0005-0000-0000-0000E80B0000}"/>
    <cellStyle name="Normal 7 4 7 2 5" xfId="2659" xr:uid="{00000000-0005-0000-0000-0000C3080000}"/>
    <cellStyle name="Normal 7 4 7 2 5 2" xfId="7871" xr:uid="{00000000-0005-0000-0000-0000E90B0000}"/>
    <cellStyle name="Normal 7 4 7 2 5 3" xfId="10268" xr:uid="{00000000-0005-0000-0000-0000E90B0000}"/>
    <cellStyle name="Normal 7 4 7 2 6" xfId="2406" xr:uid="{00000000-0005-0000-0000-0000BE080000}"/>
    <cellStyle name="Normal 7 4 7 2 7" xfId="4106" xr:uid="{00000000-0005-0000-0000-00001F030000}"/>
    <cellStyle name="Normal 7 4 7 2 8" xfId="5549" xr:uid="{00000000-0005-0000-0000-0000E1040000}"/>
    <cellStyle name="Normal 7 4 7 2 9" xfId="5259" xr:uid="{00000000-0005-0000-0000-00004C040000}"/>
    <cellStyle name="Normal 7 4 7 3" xfId="1450" xr:uid="{00000000-0005-0000-0000-000081070000}"/>
    <cellStyle name="Normal 7 4 7 3 2" xfId="3480" xr:uid="{00000000-0005-0000-0000-0000C5080000}"/>
    <cellStyle name="Normal 7 4 7 3 2 2" xfId="8878" xr:uid="{00000000-0005-0000-0000-0000EB0B0000}"/>
    <cellStyle name="Normal 7 4 7 3 2 3" xfId="11275" xr:uid="{00000000-0005-0000-0000-0000EB0B0000}"/>
    <cellStyle name="Normal 7 4 7 3 3" xfId="2838" xr:uid="{00000000-0005-0000-0000-0000C6080000}"/>
    <cellStyle name="Normal 7 4 7 3 3 2" xfId="8127" xr:uid="{00000000-0005-0000-0000-0000EC0B0000}"/>
    <cellStyle name="Normal 7 4 7 3 3 3" xfId="10524" xr:uid="{00000000-0005-0000-0000-0000EC0B0000}"/>
    <cellStyle name="Normal 7 4 7 3 4" xfId="4224" xr:uid="{00000000-0005-0000-0000-0000C4080000}"/>
    <cellStyle name="Normal 7 4 7 3 5" xfId="6010" xr:uid="{00000000-0005-0000-0000-0000E4040000}"/>
    <cellStyle name="Normal 7 4 7 3 6" xfId="7556" xr:uid="{00000000-0005-0000-0000-0000EA0B0000}"/>
    <cellStyle name="Normal 7 4 7 3 7" xfId="9956" xr:uid="{00000000-0005-0000-0000-0000EA0B0000}"/>
    <cellStyle name="Normal 7 4 7 4" xfId="1451" xr:uid="{00000000-0005-0000-0000-000082070000}"/>
    <cellStyle name="Normal 7 4 7 4 2" xfId="4597" xr:uid="{00000000-0005-0000-0000-0000C7080000}"/>
    <cellStyle name="Normal 7 4 7 4 2 2" xfId="8879" xr:uid="{00000000-0005-0000-0000-0000EE0B0000}"/>
    <cellStyle name="Normal 7 4 7 4 2 3" xfId="11276" xr:uid="{00000000-0005-0000-0000-0000EE0B0000}"/>
    <cellStyle name="Normal 7 4 7 4 3" xfId="5633" xr:uid="{00000000-0005-0000-0000-0000E5040000}"/>
    <cellStyle name="Normal 7 4 7 4 4" xfId="7557" xr:uid="{00000000-0005-0000-0000-0000ED0B0000}"/>
    <cellStyle name="Normal 7 4 7 4 5" xfId="9957" xr:uid="{00000000-0005-0000-0000-0000ED0B0000}"/>
    <cellStyle name="Normal 7 4 7 5" xfId="2997" xr:uid="{00000000-0005-0000-0000-0000C8080000}"/>
    <cellStyle name="Normal 7 4 7 5 2" xfId="8306" xr:uid="{00000000-0005-0000-0000-0000F00B0000}"/>
    <cellStyle name="Normal 7 4 7 5 2 2" xfId="10703" xr:uid="{00000000-0005-0000-0000-0000F00B0000}"/>
    <cellStyle name="Normal 7 4 7 5 3" xfId="7553" xr:uid="{00000000-0005-0000-0000-0000EF0B0000}"/>
    <cellStyle name="Normal 7 4 7 5 4" xfId="9953" xr:uid="{00000000-0005-0000-0000-0000EF0B0000}"/>
    <cellStyle name="Normal 7 4 7 6" xfId="2509" xr:uid="{00000000-0005-0000-0000-0000C9080000}"/>
    <cellStyle name="Normal 7 4 7 6 2" xfId="7707" xr:uid="{00000000-0005-0000-0000-0000F10B0000}"/>
    <cellStyle name="Normal 7 4 7 6 3" xfId="10104" xr:uid="{00000000-0005-0000-0000-0000F10B0000}"/>
    <cellStyle name="Normal 7 4 7 7" xfId="2264" xr:uid="{00000000-0005-0000-0000-0000BD080000}"/>
    <cellStyle name="Normal 7 4 7 8" xfId="4074" xr:uid="{00000000-0005-0000-0000-00001E030000}"/>
    <cellStyle name="Normal 7 4 7 9" xfId="5387" xr:uid="{00000000-0005-0000-0000-0000E0040000}"/>
    <cellStyle name="Normal 7 4 8" xfId="1452" xr:uid="{00000000-0005-0000-0000-000083070000}"/>
    <cellStyle name="Normal 7 4 8 10" xfId="6728" xr:uid="{00000000-0005-0000-0000-0000F20B0000}"/>
    <cellStyle name="Normal 7 4 8 11" xfId="9149" xr:uid="{00000000-0005-0000-0000-0000F20B0000}"/>
    <cellStyle name="Normal 7 4 8 2" xfId="1453" xr:uid="{00000000-0005-0000-0000-000084070000}"/>
    <cellStyle name="Normal 7 4 8 2 2" xfId="1454" xr:uid="{00000000-0005-0000-0000-000085070000}"/>
    <cellStyle name="Normal 7 4 8 2 2 2" xfId="6429" xr:uid="{00000000-0005-0000-0000-0000CC080000}"/>
    <cellStyle name="Normal 7 4 8 2 2 2 2" xfId="8880" xr:uid="{00000000-0005-0000-0000-0000F50B0000}"/>
    <cellStyle name="Normal 7 4 8 2 2 2 3" xfId="11277" xr:uid="{00000000-0005-0000-0000-0000F50B0000}"/>
    <cellStyle name="Normal 7 4 8 2 2 3" xfId="7560" xr:uid="{00000000-0005-0000-0000-0000F40B0000}"/>
    <cellStyle name="Normal 7 4 8 2 2 4" xfId="9960" xr:uid="{00000000-0005-0000-0000-0000F40B0000}"/>
    <cellStyle name="Normal 7 4 8 2 3" xfId="2839" xr:uid="{00000000-0005-0000-0000-0000CD080000}"/>
    <cellStyle name="Normal 7 4 8 2 3 2" xfId="6244" xr:uid="{00000000-0005-0000-0000-0000CD080000}"/>
    <cellStyle name="Normal 7 4 8 2 3 3" xfId="7559" xr:uid="{00000000-0005-0000-0000-0000F60B0000}"/>
    <cellStyle name="Normal 7 4 8 2 3 4" xfId="9959" xr:uid="{00000000-0005-0000-0000-0000F60B0000}"/>
    <cellStyle name="Normal 7 4 8 2 4" xfId="4225" xr:uid="{00000000-0005-0000-0000-0000CB080000}"/>
    <cellStyle name="Normal 7 4 8 2 4 2" xfId="8129" xr:uid="{00000000-0005-0000-0000-0000F70B0000}"/>
    <cellStyle name="Normal 7 4 8 2 4 3" xfId="10526" xr:uid="{00000000-0005-0000-0000-0000F70B0000}"/>
    <cellStyle name="Normal 7 4 8 2 5" xfId="6012" xr:uid="{00000000-0005-0000-0000-0000E7040000}"/>
    <cellStyle name="Normal 7 4 8 2 6" xfId="5260" xr:uid="{00000000-0005-0000-0000-00004E040000}"/>
    <cellStyle name="Normal 7 4 8 2 7" xfId="6889" xr:uid="{00000000-0005-0000-0000-0000F30B0000}"/>
    <cellStyle name="Normal 7 4 8 2 8" xfId="9310" xr:uid="{00000000-0005-0000-0000-0000F30B0000}"/>
    <cellStyle name="Normal 7 4 8 3" xfId="1455" xr:uid="{00000000-0005-0000-0000-000086070000}"/>
    <cellStyle name="Normal 7 4 8 3 2" xfId="4598" xr:uid="{00000000-0005-0000-0000-0000CE080000}"/>
    <cellStyle name="Normal 7 4 8 3 2 2" xfId="8881" xr:uid="{00000000-0005-0000-0000-0000F90B0000}"/>
    <cellStyle name="Normal 7 4 8 3 2 3" xfId="11278" xr:uid="{00000000-0005-0000-0000-0000F90B0000}"/>
    <cellStyle name="Normal 7 4 8 3 3" xfId="5678" xr:uid="{00000000-0005-0000-0000-0000E8040000}"/>
    <cellStyle name="Normal 7 4 8 3 4" xfId="7561" xr:uid="{00000000-0005-0000-0000-0000F80B0000}"/>
    <cellStyle name="Normal 7 4 8 3 5" xfId="9961" xr:uid="{00000000-0005-0000-0000-0000F80B0000}"/>
    <cellStyle name="Normal 7 4 8 4" xfId="1456" xr:uid="{00000000-0005-0000-0000-000087070000}"/>
    <cellStyle name="Normal 7 4 8 4 2" xfId="6343" xr:uid="{00000000-0005-0000-0000-0000CF080000}"/>
    <cellStyle name="Normal 7 4 8 4 2 2" xfId="8307" xr:uid="{00000000-0005-0000-0000-0000FB0B0000}"/>
    <cellStyle name="Normal 7 4 8 4 2 3" xfId="10704" xr:uid="{00000000-0005-0000-0000-0000FB0B0000}"/>
    <cellStyle name="Normal 7 4 8 4 3" xfId="7562" xr:uid="{00000000-0005-0000-0000-0000FA0B0000}"/>
    <cellStyle name="Normal 7 4 8 4 4" xfId="9962" xr:uid="{00000000-0005-0000-0000-0000FA0B0000}"/>
    <cellStyle name="Normal 7 4 8 5" xfId="2569" xr:uid="{00000000-0005-0000-0000-0000D0080000}"/>
    <cellStyle name="Normal 7 4 8 5 2" xfId="7558" xr:uid="{00000000-0005-0000-0000-0000FC0B0000}"/>
    <cellStyle name="Normal 7 4 8 5 3" xfId="9958" xr:uid="{00000000-0005-0000-0000-0000FC0B0000}"/>
    <cellStyle name="Normal 7 4 8 6" xfId="2407" xr:uid="{00000000-0005-0000-0000-0000CA080000}"/>
    <cellStyle name="Normal 7 4 8 6 2" xfId="7767" xr:uid="{00000000-0005-0000-0000-0000FD0B0000}"/>
    <cellStyle name="Normal 7 4 8 6 3" xfId="10164" xr:uid="{00000000-0005-0000-0000-0000FD0B0000}"/>
    <cellStyle name="Normal 7 4 8 7" xfId="4075" xr:uid="{00000000-0005-0000-0000-000020030000}"/>
    <cellStyle name="Normal 7 4 8 8" xfId="5447" xr:uid="{00000000-0005-0000-0000-0000E6040000}"/>
    <cellStyle name="Normal 7 4 8 9" xfId="4983" xr:uid="{00000000-0005-0000-0000-00004D040000}"/>
    <cellStyle name="Normal 7 4 9" xfId="1457" xr:uid="{00000000-0005-0000-0000-000088070000}"/>
    <cellStyle name="Normal 7 4 9 10" xfId="9150" xr:uid="{00000000-0005-0000-0000-0000FE0B0000}"/>
    <cellStyle name="Normal 7 4 9 2" xfId="1458" xr:uid="{00000000-0005-0000-0000-000089070000}"/>
    <cellStyle name="Normal 7 4 9 2 2" xfId="3481" xr:uid="{00000000-0005-0000-0000-0000D3080000}"/>
    <cellStyle name="Normal 7 4 9 2 2 2" xfId="6430" xr:uid="{00000000-0005-0000-0000-0000D3080000}"/>
    <cellStyle name="Normal 7 4 9 2 2 3" xfId="7564" xr:uid="{00000000-0005-0000-0000-0000000C0000}"/>
    <cellStyle name="Normal 7 4 9 2 2 4" xfId="9964" xr:uid="{00000000-0005-0000-0000-0000000C0000}"/>
    <cellStyle name="Normal 7 4 9 2 3" xfId="4226" xr:uid="{00000000-0005-0000-0000-0000D2080000}"/>
    <cellStyle name="Normal 7 4 9 2 3 2" xfId="6134" xr:uid="{00000000-0005-0000-0000-0000D2080000}"/>
    <cellStyle name="Normal 7 4 9 2 3 3" xfId="8882" xr:uid="{00000000-0005-0000-0000-0000010C0000}"/>
    <cellStyle name="Normal 7 4 9 2 3 4" xfId="11279" xr:uid="{00000000-0005-0000-0000-0000010C0000}"/>
    <cellStyle name="Normal 7 4 9 2 4" xfId="6013" xr:uid="{00000000-0005-0000-0000-0000EA040000}"/>
    <cellStyle name="Normal 7 4 9 2 5" xfId="5261" xr:uid="{00000000-0005-0000-0000-000050040000}"/>
    <cellStyle name="Normal 7 4 9 2 6" xfId="6890" xr:uid="{00000000-0005-0000-0000-0000FF0B0000}"/>
    <cellStyle name="Normal 7 4 9 2 7" xfId="9311" xr:uid="{00000000-0005-0000-0000-0000FF0B0000}"/>
    <cellStyle name="Normal 7 4 9 3" xfId="1459" xr:uid="{00000000-0005-0000-0000-00008A070000}"/>
    <cellStyle name="Normal 7 4 9 3 2" xfId="6520" xr:uid="{00000000-0005-0000-0000-00000A0B0000}"/>
    <cellStyle name="Normal 7 4 9 3 2 2" xfId="8308" xr:uid="{00000000-0005-0000-0000-0000030C0000}"/>
    <cellStyle name="Normal 7 4 9 3 2 3" xfId="10705" xr:uid="{00000000-0005-0000-0000-0000030C0000}"/>
    <cellStyle name="Normal 7 4 9 3 3" xfId="6344" xr:uid="{00000000-0005-0000-0000-0000D4080000}"/>
    <cellStyle name="Normal 7 4 9 3 4" xfId="7565" xr:uid="{00000000-0005-0000-0000-0000020C0000}"/>
    <cellStyle name="Normal 7 4 9 3 5" xfId="9965" xr:uid="{00000000-0005-0000-0000-0000020C0000}"/>
    <cellStyle name="Normal 7 4 9 4" xfId="2840" xr:uid="{00000000-0005-0000-0000-0000D5080000}"/>
    <cellStyle name="Normal 7 4 9 4 2" xfId="6245" xr:uid="{00000000-0005-0000-0000-0000D5080000}"/>
    <cellStyle name="Normal 7 4 9 4 3" xfId="7563" xr:uid="{00000000-0005-0000-0000-0000040C0000}"/>
    <cellStyle name="Normal 7 4 9 4 4" xfId="9963" xr:uid="{00000000-0005-0000-0000-0000040C0000}"/>
    <cellStyle name="Normal 7 4 9 5" xfId="2408" xr:uid="{00000000-0005-0000-0000-0000D1080000}"/>
    <cellStyle name="Normal 7 4 9 5 2" xfId="8130" xr:uid="{00000000-0005-0000-0000-0000050C0000}"/>
    <cellStyle name="Normal 7 4 9 5 3" xfId="10527" xr:uid="{00000000-0005-0000-0000-0000050C0000}"/>
    <cellStyle name="Normal 7 4 9 6" xfId="4076" xr:uid="{00000000-0005-0000-0000-000021030000}"/>
    <cellStyle name="Normal 7 4 9 7" xfId="5310" xr:uid="{00000000-0005-0000-0000-0000E9040000}"/>
    <cellStyle name="Normal 7 4 9 8" xfId="4984" xr:uid="{00000000-0005-0000-0000-00004F040000}"/>
    <cellStyle name="Normal 7 4 9 9" xfId="6729" xr:uid="{00000000-0005-0000-0000-0000FE0B0000}"/>
    <cellStyle name="Normal 7 5" xfId="1460" xr:uid="{00000000-0005-0000-0000-00008B070000}"/>
    <cellStyle name="Normal 7 6" xfId="1461" xr:uid="{00000000-0005-0000-0000-00008C070000}"/>
    <cellStyle name="Normal 7 6 10" xfId="1462" xr:uid="{00000000-0005-0000-0000-00008D070000}"/>
    <cellStyle name="Normal 7 6 10 2" xfId="1463" xr:uid="{00000000-0005-0000-0000-00008E070000}"/>
    <cellStyle name="Normal 7 6 10 2 2" xfId="1464" xr:uid="{00000000-0005-0000-0000-00008F070000}"/>
    <cellStyle name="Normal 7 6 10 2 2 2" xfId="11356" xr:uid="{00000000-0005-0000-0000-0000092D0000}"/>
    <cellStyle name="Normal 7 6 10 2 2 2 2" xfId="11516" xr:uid="{00000000-0005-0000-0000-000055040000}"/>
    <cellStyle name="Normal 7 6 10 2 3" xfId="1465" xr:uid="{00000000-0005-0000-0000-000090070000}"/>
    <cellStyle name="Normal 7 6 10 2 3 2" xfId="2031" xr:uid="{00000000-0005-0000-0000-000091070000}"/>
    <cellStyle name="Normal 7 6 10 2 3 3" xfId="3766" xr:uid="{00000000-0005-0000-0000-0000F0060000}"/>
    <cellStyle name="Normal 7 6 10 2 4" xfId="5025" xr:uid="{00000000-0005-0000-0000-000054040000}"/>
    <cellStyle name="Normal 7 6 10 2 4 2" xfId="11556" xr:uid="{00000000-0005-0000-0000-00005E060000}"/>
    <cellStyle name="Normal 7 6 10 3" xfId="1466" xr:uid="{00000000-0005-0000-0000-000092070000}"/>
    <cellStyle name="Normal 7 6 10 4" xfId="2998" xr:uid="{00000000-0005-0000-0000-0000DB080000}"/>
    <cellStyle name="Normal 7 6 10 5" xfId="2151" xr:uid="{00000000-0005-0000-0000-000024030000}"/>
    <cellStyle name="Normal 7 6 10 5 2" xfId="4681" xr:uid="{00000000-0005-0000-0000-0000D8080000}"/>
    <cellStyle name="Normal 7 6 10 6" xfId="4079" xr:uid="{00000000-0005-0000-0000-000024030000}"/>
    <cellStyle name="Normal 7 6 11" xfId="1467" xr:uid="{00000000-0005-0000-0000-000093070000}"/>
    <cellStyle name="Normal 7 6 11 2" xfId="2424" xr:uid="{00000000-0005-0000-0000-0000DD080000}"/>
    <cellStyle name="Normal 7 6 11 2 2" xfId="2999" xr:uid="{00000000-0005-0000-0000-0000DE080000}"/>
    <cellStyle name="Normal 7 6 11 2 2 2" xfId="6346" xr:uid="{00000000-0005-0000-0000-0000DE080000}"/>
    <cellStyle name="Normal 7 6 11 2 2 3" xfId="8309" xr:uid="{00000000-0005-0000-0000-0000100C0000}"/>
    <cellStyle name="Normal 7 6 11 2 2 4" xfId="10706" xr:uid="{00000000-0005-0000-0000-0000100C0000}"/>
    <cellStyle name="Normal 7 6 11 2 3" xfId="4748" xr:uid="{00000000-0005-0000-0000-00004F060000}"/>
    <cellStyle name="Normal 7 6 11 2 3 2" xfId="6135" xr:uid="{00000000-0005-0000-0000-0000DD080000}"/>
    <cellStyle name="Normal 7 6 11 2 4" xfId="5262" xr:uid="{00000000-0005-0000-0000-000058040000}"/>
    <cellStyle name="Normal 7 6 11 2 5" xfId="6891" xr:uid="{00000000-0005-0000-0000-00000F0C0000}"/>
    <cellStyle name="Normal 7 6 11 2 6" xfId="9312" xr:uid="{00000000-0005-0000-0000-00000F0C0000}"/>
    <cellStyle name="Normal 7 6 11 3" xfId="2841" xr:uid="{00000000-0005-0000-0000-0000DF080000}"/>
    <cellStyle name="Normal 7 6 11 3 2" xfId="6246" xr:uid="{00000000-0005-0000-0000-0000DF080000}"/>
    <cellStyle name="Normal 7 6 11 3 3" xfId="7566" xr:uid="{00000000-0005-0000-0000-0000110C0000}"/>
    <cellStyle name="Normal 7 6 11 3 4" xfId="9966" xr:uid="{00000000-0005-0000-0000-0000110C0000}"/>
    <cellStyle name="Normal 7 6 11 4" xfId="2409" xr:uid="{00000000-0005-0000-0000-0000DC080000}"/>
    <cellStyle name="Normal 7 6 11 4 2" xfId="6085" xr:uid="{00000000-0005-0000-0000-0000DC080000}"/>
    <cellStyle name="Normal 7 6 11 4 3" xfId="8131" xr:uid="{00000000-0005-0000-0000-0000120C0000}"/>
    <cellStyle name="Normal 7 6 11 4 4" xfId="10528" xr:uid="{00000000-0005-0000-0000-0000120C0000}"/>
    <cellStyle name="Normal 7 6 11 5" xfId="4080" xr:uid="{00000000-0005-0000-0000-000026030000}"/>
    <cellStyle name="Normal 7 6 11 6" xfId="6014" xr:uid="{00000000-0005-0000-0000-0000F0040000}"/>
    <cellStyle name="Normal 7 6 11 7" xfId="4985" xr:uid="{00000000-0005-0000-0000-000057040000}"/>
    <cellStyle name="Normal 7 6 11 8" xfId="6730" xr:uid="{00000000-0005-0000-0000-00000E0C0000}"/>
    <cellStyle name="Normal 7 6 11 9" xfId="9151" xr:uid="{00000000-0005-0000-0000-00000E0C0000}"/>
    <cellStyle name="Normal 7 6 12" xfId="1468" xr:uid="{00000000-0005-0000-0000-000094070000}"/>
    <cellStyle name="Normal 7 6 12 2" xfId="1469" xr:uid="{00000000-0005-0000-0000-000095070000}"/>
    <cellStyle name="Normal 7 6 12 2 2" xfId="1470" xr:uid="{00000000-0005-0000-0000-000096070000}"/>
    <cellStyle name="Normal 7 6 12 2 2 2" xfId="7568" xr:uid="{00000000-0005-0000-0000-0000150C0000}"/>
    <cellStyle name="Normal 7 6 12 2 2 3" xfId="9967" xr:uid="{00000000-0005-0000-0000-0000150C0000}"/>
    <cellStyle name="Normal 7 6 12 3" xfId="1471" xr:uid="{00000000-0005-0000-0000-000097070000}"/>
    <cellStyle name="Normal 7 6 12 3 2" xfId="4658" xr:uid="{00000000-0005-0000-0000-0000E0080000}"/>
    <cellStyle name="Normal 7 6 12 4" xfId="2032" xr:uid="{00000000-0005-0000-0000-000098070000}"/>
    <cellStyle name="Normal 7 6 12 4 2" xfId="7567" xr:uid="{00000000-0005-0000-0000-0000170C0000}"/>
    <cellStyle name="Normal 7 6 12 5" xfId="2154" xr:uid="{00000000-0005-0000-0000-000027030000}"/>
    <cellStyle name="Normal 7 6 12 6" xfId="4107" xr:uid="{00000000-0005-0000-0000-000027030000}"/>
    <cellStyle name="Normal 7 6 13" xfId="1472" xr:uid="{00000000-0005-0000-0000-000099070000}"/>
    <cellStyle name="Normal 7 6 13 2" xfId="4599" xr:uid="{00000000-0005-0000-0000-0000E2080000}"/>
    <cellStyle name="Normal 7 6 13 2 2" xfId="8883" xr:uid="{00000000-0005-0000-0000-0000190C0000}"/>
    <cellStyle name="Normal 7 6 13 2 3" xfId="11280" xr:uid="{00000000-0005-0000-0000-0000190C0000}"/>
    <cellStyle name="Normal 7 6 13 3" xfId="5564" xr:uid="{00000000-0005-0000-0000-0000F2040000}"/>
    <cellStyle name="Normal 7 6 13 4" xfId="7569" xr:uid="{00000000-0005-0000-0000-0000180C0000}"/>
    <cellStyle name="Normal 7 6 13 5" xfId="9968" xr:uid="{00000000-0005-0000-0000-0000180C0000}"/>
    <cellStyle name="Normal 7 6 14" xfId="1473" xr:uid="{00000000-0005-0000-0000-00009A070000}"/>
    <cellStyle name="Normal 7 6 14 2" xfId="1474" xr:uid="{00000000-0005-0000-0000-00009B070000}"/>
    <cellStyle name="Normal 7 6 14 3" xfId="3767" xr:uid="{00000000-0005-0000-0000-0000F9060000}"/>
    <cellStyle name="Normal 7 6 14 3 2" xfId="6345" xr:uid="{00000000-0005-0000-0000-0000E3080000}"/>
    <cellStyle name="Normal 7 6 14 4" xfId="4688" xr:uid="{00000000-0005-0000-0000-000054060000}"/>
    <cellStyle name="Normal 7 6 15" xfId="2441" xr:uid="{00000000-0005-0000-0000-0000E4080000}"/>
    <cellStyle name="Normal 7 6 15 2" xfId="7638" xr:uid="{00000000-0005-0000-0000-00001C0C0000}"/>
    <cellStyle name="Normal 7 6 15 3" xfId="10035" xr:uid="{00000000-0005-0000-0000-00001C0C0000}"/>
    <cellStyle name="Normal 7 6 16" xfId="2171" xr:uid="{00000000-0005-0000-0000-0000D7080000}"/>
    <cellStyle name="Normal 7 6 17" xfId="2150" xr:uid="{00000000-0005-0000-0000-000023030000}"/>
    <cellStyle name="Normal 7 6 18" xfId="4078" xr:uid="{00000000-0005-0000-0000-000023030000}"/>
    <cellStyle name="Normal 7 6 19" xfId="5318" xr:uid="{00000000-0005-0000-0000-0000EC040000}"/>
    <cellStyle name="Normal 7 6 2" xfId="1475" xr:uid="{00000000-0005-0000-0000-00009C070000}"/>
    <cellStyle name="Normal 7 6 2 10" xfId="6580" xr:uid="{00000000-0005-0000-0000-00001D0C0000}"/>
    <cellStyle name="Normal 7 6 2 11" xfId="9001" xr:uid="{00000000-0005-0000-0000-00001D0C0000}"/>
    <cellStyle name="Normal 7 6 2 2" xfId="1476" xr:uid="{00000000-0005-0000-0000-00009D070000}"/>
    <cellStyle name="Normal 7 6 2 2 2" xfId="1477" xr:uid="{00000000-0005-0000-0000-00009E070000}"/>
    <cellStyle name="Normal 7 6 2 2 2 10" xfId="9163" xr:uid="{00000000-0005-0000-0000-00001F0C0000}"/>
    <cellStyle name="Normal 7 6 2 2 2 2" xfId="1478" xr:uid="{00000000-0005-0000-0000-00009F070000}"/>
    <cellStyle name="Normal 7 6 2 2 2 2 2" xfId="3483" xr:uid="{00000000-0005-0000-0000-0000E9080000}"/>
    <cellStyle name="Normal 7 6 2 2 2 2 2 2" xfId="8885" xr:uid="{00000000-0005-0000-0000-0000210C0000}"/>
    <cellStyle name="Normal 7 6 2 2 2 2 2 3" xfId="11282" xr:uid="{00000000-0005-0000-0000-0000210C0000}"/>
    <cellStyle name="Normal 7 6 2 2 2 2 3" xfId="4377" xr:uid="{00000000-0005-0000-0000-0000E8080000}"/>
    <cellStyle name="Normal 7 6 2 2 2 2 3 2" xfId="8132" xr:uid="{00000000-0005-0000-0000-0000220C0000}"/>
    <cellStyle name="Normal 7 6 2 2 2 2 3 3" xfId="10529" xr:uid="{00000000-0005-0000-0000-0000220C0000}"/>
    <cellStyle name="Normal 7 6 2 2 2 2 4" xfId="6015" xr:uid="{00000000-0005-0000-0000-0000F6040000}"/>
    <cellStyle name="Normal 7 6 2 2 2 2 5" xfId="5263" xr:uid="{00000000-0005-0000-0000-00005D040000}"/>
    <cellStyle name="Normal 7 6 2 2 2 2 6" xfId="7571" xr:uid="{00000000-0005-0000-0000-0000200C0000}"/>
    <cellStyle name="Normal 7 6 2 2 2 2 7" xfId="9969" xr:uid="{00000000-0005-0000-0000-0000200C0000}"/>
    <cellStyle name="Normal 7 6 2 2 2 3" xfId="3484" xr:uid="{00000000-0005-0000-0000-0000EA080000}"/>
    <cellStyle name="Normal 7 6 2 2 2 3 2" xfId="4600" xr:uid="{00000000-0005-0000-0000-0000EA080000}"/>
    <cellStyle name="Normal 7 6 2 2 2 3 2 2" xfId="8886" xr:uid="{00000000-0005-0000-0000-0000240C0000}"/>
    <cellStyle name="Normal 7 6 2 2 2 3 2 3" xfId="11283" xr:uid="{00000000-0005-0000-0000-0000240C0000}"/>
    <cellStyle name="Normal 7 6 2 2 2 3 3" xfId="5757" xr:uid="{00000000-0005-0000-0000-0000F7040000}"/>
    <cellStyle name="Normal 7 6 2 2 2 3 4" xfId="7570" xr:uid="{00000000-0005-0000-0000-0000230C0000}"/>
    <cellStyle name="Normal 7 6 2 2 2 3 4 2" xfId="11566" xr:uid="{00000000-0005-0000-0000-000068060000}"/>
    <cellStyle name="Normal 7 6 2 2 2 4" xfId="3482" xr:uid="{00000000-0005-0000-0000-0000EB080000}"/>
    <cellStyle name="Normal 7 6 2 2 2 4 2" xfId="8884" xr:uid="{00000000-0005-0000-0000-0000250C0000}"/>
    <cellStyle name="Normal 7 6 2 2 2 4 3" xfId="11281" xr:uid="{00000000-0005-0000-0000-0000250C0000}"/>
    <cellStyle name="Normal 7 6 2 2 2 5" xfId="2651" xr:uid="{00000000-0005-0000-0000-0000EC080000}"/>
    <cellStyle name="Normal 7 6 2 2 2 5 2" xfId="7861" xr:uid="{00000000-0005-0000-0000-0000260C0000}"/>
    <cellStyle name="Normal 7 6 2 2 2 5 3" xfId="10258" xr:uid="{00000000-0005-0000-0000-0000260C0000}"/>
    <cellStyle name="Normal 7 6 2 2 2 6" xfId="4108" xr:uid="{00000000-0005-0000-0000-00002B030000}"/>
    <cellStyle name="Normal 7 6 2 2 2 7" xfId="5539" xr:uid="{00000000-0005-0000-0000-0000F5040000}"/>
    <cellStyle name="Normal 7 6 2 2 2 8" xfId="5026" xr:uid="{00000000-0005-0000-0000-00005C040000}"/>
    <cellStyle name="Normal 7 6 2 2 2 9" xfId="6742" xr:uid="{00000000-0005-0000-0000-00001F0C0000}"/>
    <cellStyle name="Normal 7 6 2 2 3" xfId="1479" xr:uid="{00000000-0005-0000-0000-0000A0070000}"/>
    <cellStyle name="Normal 7 6 2 2 3 2" xfId="3485" xr:uid="{00000000-0005-0000-0000-0000EE080000}"/>
    <cellStyle name="Normal 7 6 2 2 3 2 2" xfId="8887" xr:uid="{00000000-0005-0000-0000-0000280C0000}"/>
    <cellStyle name="Normal 7 6 2 2 3 2 3" xfId="11284" xr:uid="{00000000-0005-0000-0000-0000280C0000}"/>
    <cellStyle name="Normal 7 6 2 2 3 3" xfId="2843" xr:uid="{00000000-0005-0000-0000-0000ED080000}"/>
    <cellStyle name="Normal 7 6 2 2 3 3 2" xfId="8133" xr:uid="{00000000-0005-0000-0000-0000290C0000}"/>
    <cellStyle name="Normal 7 6 2 2 3 3 3" xfId="10530" xr:uid="{00000000-0005-0000-0000-0000290C0000}"/>
    <cellStyle name="Normal 7 6 2 2 3 4" xfId="3804" xr:uid="{00000000-0005-0000-0000-00002C030000}"/>
    <cellStyle name="Normal 7 6 2 2 3 5" xfId="7572" xr:uid="{00000000-0005-0000-0000-0000270C0000}"/>
    <cellStyle name="Normal 7 6 2 2 3 6" xfId="9970" xr:uid="{00000000-0005-0000-0000-0000270C0000}"/>
    <cellStyle name="Normal 7 6 2 2 4" xfId="2842" xr:uid="{00000000-0005-0000-0000-0000EF080000}"/>
    <cellStyle name="Normal 7 6 2 2 5" xfId="3486" xr:uid="{00000000-0005-0000-0000-0000F0080000}"/>
    <cellStyle name="Normal 7 6 2 2 5 2" xfId="4601" xr:uid="{00000000-0005-0000-0000-0000F0080000}"/>
    <cellStyle name="Normal 7 6 2 2 5 3" xfId="8888" xr:uid="{00000000-0005-0000-0000-00002B0C0000}"/>
    <cellStyle name="Normal 7 6 2 2 5 4" xfId="11285" xr:uid="{00000000-0005-0000-0000-00002B0C0000}"/>
    <cellStyle name="Normal 7 6 2 2 6" xfId="2560" xr:uid="{00000000-0005-0000-0000-0000F1080000}"/>
    <cellStyle name="Normal 7 6 2 2 6 2" xfId="7758" xr:uid="{00000000-0005-0000-0000-00002C0C0000}"/>
    <cellStyle name="Normal 7 6 2 2 6 3" xfId="10155" xr:uid="{00000000-0005-0000-0000-00002C0C0000}"/>
    <cellStyle name="Normal 7 6 2 2 7" xfId="2254" xr:uid="{00000000-0005-0000-0000-0000E6080000}"/>
    <cellStyle name="Normal 7 6 2 2 8" xfId="5438" xr:uid="{00000000-0005-0000-0000-0000F4040000}"/>
    <cellStyle name="Normal 7 6 2 3" xfId="1480" xr:uid="{00000000-0005-0000-0000-0000A1070000}"/>
    <cellStyle name="Normal 7 6 2 3 10" xfId="6731" xr:uid="{00000000-0005-0000-0000-00002D0C0000}"/>
    <cellStyle name="Normal 7 6 2 3 11" xfId="9152" xr:uid="{00000000-0005-0000-0000-00002D0C0000}"/>
    <cellStyle name="Normal 7 6 2 3 2" xfId="2425" xr:uid="{00000000-0005-0000-0000-0000F3080000}"/>
    <cellStyle name="Normal 7 6 2 3 2 2" xfId="3487" xr:uid="{00000000-0005-0000-0000-0000F4080000}"/>
    <cellStyle name="Normal 7 6 2 3 2 2 2" xfId="6431" xr:uid="{00000000-0005-0000-0000-0000F4080000}"/>
    <cellStyle name="Normal 7 6 2 3 2 2 3" xfId="8889" xr:uid="{00000000-0005-0000-0000-00002F0C0000}"/>
    <cellStyle name="Normal 7 6 2 3 2 2 4" xfId="11286" xr:uid="{00000000-0005-0000-0000-00002F0C0000}"/>
    <cellStyle name="Normal 7 6 2 3 2 3" xfId="2844" xr:uid="{00000000-0005-0000-0000-0000F5080000}"/>
    <cellStyle name="Normal 7 6 2 3 2 3 2" xfId="6247" xr:uid="{00000000-0005-0000-0000-0000F5080000}"/>
    <cellStyle name="Normal 7 6 2 3 2 3 3" xfId="8134" xr:uid="{00000000-0005-0000-0000-0000300C0000}"/>
    <cellStyle name="Normal 7 6 2 3 2 3 4" xfId="10531" xr:uid="{00000000-0005-0000-0000-0000300C0000}"/>
    <cellStyle name="Normal 7 6 2 3 2 4" xfId="4227" xr:uid="{00000000-0005-0000-0000-0000F3080000}"/>
    <cellStyle name="Normal 7 6 2 3 2 5" xfId="6016" xr:uid="{00000000-0005-0000-0000-0000FC040000}"/>
    <cellStyle name="Normal 7 6 2 3 2 6" xfId="5264" xr:uid="{00000000-0005-0000-0000-00005F040000}"/>
    <cellStyle name="Normal 7 6 2 3 2 7" xfId="6892" xr:uid="{00000000-0005-0000-0000-00002E0C0000}"/>
    <cellStyle name="Normal 7 6 2 3 2 8" xfId="9313" xr:uid="{00000000-0005-0000-0000-00002E0C0000}"/>
    <cellStyle name="Normal 7 6 2 3 3" xfId="3488" xr:uid="{00000000-0005-0000-0000-0000F6080000}"/>
    <cellStyle name="Normal 7 6 2 3 3 2" xfId="4602" xr:uid="{00000000-0005-0000-0000-0000F6080000}"/>
    <cellStyle name="Normal 7 6 2 3 3 2 2" xfId="8890" xr:uid="{00000000-0005-0000-0000-0000320C0000}"/>
    <cellStyle name="Normal 7 6 2 3 3 2 3" xfId="11287" xr:uid="{00000000-0005-0000-0000-0000320C0000}"/>
    <cellStyle name="Normal 7 6 2 3 3 3" xfId="5709" xr:uid="{00000000-0005-0000-0000-0000FD040000}"/>
    <cellStyle name="Normal 7 6 2 3 3 4" xfId="7573" xr:uid="{00000000-0005-0000-0000-0000310C0000}"/>
    <cellStyle name="Normal 7 6 2 3 3 5" xfId="9971" xr:uid="{00000000-0005-0000-0000-0000310C0000}"/>
    <cellStyle name="Normal 7 6 2 3 4" xfId="3000" xr:uid="{00000000-0005-0000-0000-0000F7080000}"/>
    <cellStyle name="Normal 7 6 2 3 4 2" xfId="6347" xr:uid="{00000000-0005-0000-0000-0000F7080000}"/>
    <cellStyle name="Normal 7 6 2 3 4 3" xfId="8310" xr:uid="{00000000-0005-0000-0000-0000330C0000}"/>
    <cellStyle name="Normal 7 6 2 3 4 4" xfId="10707" xr:uid="{00000000-0005-0000-0000-0000330C0000}"/>
    <cellStyle name="Normal 7 6 2 3 5" xfId="2603" xr:uid="{00000000-0005-0000-0000-0000F8080000}"/>
    <cellStyle name="Normal 7 6 2 3 5 2" xfId="7801" xr:uid="{00000000-0005-0000-0000-0000340C0000}"/>
    <cellStyle name="Normal 7 6 2 3 5 3" xfId="10198" xr:uid="{00000000-0005-0000-0000-0000340C0000}"/>
    <cellStyle name="Normal 7 6 2 3 6" xfId="2410" xr:uid="{00000000-0005-0000-0000-0000F2080000}"/>
    <cellStyle name="Normal 7 6 2 3 7" xfId="4081" xr:uid="{00000000-0005-0000-0000-00002D030000}"/>
    <cellStyle name="Normal 7 6 2 3 8" xfId="5479" xr:uid="{00000000-0005-0000-0000-0000FB040000}"/>
    <cellStyle name="Normal 7 6 2 3 9" xfId="4986" xr:uid="{00000000-0005-0000-0000-00005E040000}"/>
    <cellStyle name="Normal 7 6 2 4" xfId="1481" xr:uid="{00000000-0005-0000-0000-0000A2070000}"/>
    <cellStyle name="Normal 7 6 2 4 2" xfId="1482" xr:uid="{00000000-0005-0000-0000-0000A3070000}"/>
    <cellStyle name="Normal 7 6 2 4 2 2" xfId="7574" xr:uid="{00000000-0005-0000-0000-0000360C0000}"/>
    <cellStyle name="Normal 7 6 2 4 2 3" xfId="9972" xr:uid="{00000000-0005-0000-0000-0000360C0000}"/>
    <cellStyle name="Normal 7 6 2 5" xfId="1483" xr:uid="{00000000-0005-0000-0000-0000A4070000}"/>
    <cellStyle name="Normal 7 6 2 5 2" xfId="4603" xr:uid="{00000000-0005-0000-0000-0000FA080000}"/>
    <cellStyle name="Normal 7 6 2 5 2 2" xfId="8891" xr:uid="{00000000-0005-0000-0000-0000380C0000}"/>
    <cellStyle name="Normal 7 6 2 5 2 3" xfId="11288" xr:uid="{00000000-0005-0000-0000-0000380C0000}"/>
    <cellStyle name="Normal 7 6 2 5 3" xfId="5624" xr:uid="{00000000-0005-0000-0000-0000FF040000}"/>
    <cellStyle name="Normal 7 6 2 5 4" xfId="7575" xr:uid="{00000000-0005-0000-0000-0000370C0000}"/>
    <cellStyle name="Normal 7 6 2 5 5" xfId="9973" xr:uid="{00000000-0005-0000-0000-0000370C0000}"/>
    <cellStyle name="Normal 7 6 2 6" xfId="1484" xr:uid="{00000000-0005-0000-0000-0000A5070000}"/>
    <cellStyle name="Normal 7 6 2 6 2" xfId="2500" xr:uid="{00000000-0005-0000-0000-0000FB080000}"/>
    <cellStyle name="Normal 7 6 2 6 3" xfId="2047" xr:uid="{00000000-0005-0000-0000-0000A5070000}"/>
    <cellStyle name="Normal 7 6 2 6 4" xfId="6155" xr:uid="{00000000-0005-0000-0000-0000FB080000}"/>
    <cellStyle name="Normal 7 6 2 7" xfId="2194" xr:uid="{00000000-0005-0000-0000-0000E5080000}"/>
    <cellStyle name="Normal 7 6 2 7 2" xfId="7698" xr:uid="{00000000-0005-0000-0000-00003A0C0000}"/>
    <cellStyle name="Normal 7 6 2 7 3" xfId="10095" xr:uid="{00000000-0005-0000-0000-00003A0C0000}"/>
    <cellStyle name="Normal 7 6 2 8" xfId="5378" xr:uid="{00000000-0005-0000-0000-0000F3040000}"/>
    <cellStyle name="Normal 7 6 2 9" xfId="4834" xr:uid="{00000000-0005-0000-0000-00005A040000}"/>
    <cellStyle name="Normal 7 6 20" xfId="4773" xr:uid="{00000000-0005-0000-0000-000052040000}"/>
    <cellStyle name="Normal 7 6 21" xfId="6537" xr:uid="{00000000-0005-0000-0000-0000070C0000}"/>
    <cellStyle name="Normal 7 6 22" xfId="8958" xr:uid="{00000000-0005-0000-0000-0000070C0000}"/>
    <cellStyle name="Normal 7 6 3" xfId="1485" xr:uid="{00000000-0005-0000-0000-0000A6070000}"/>
    <cellStyle name="Normal 7 6 3 10" xfId="5355" xr:uid="{00000000-0005-0000-0000-000000050000}"/>
    <cellStyle name="Normal 7 6 3 11" xfId="4811" xr:uid="{00000000-0005-0000-0000-000061040000}"/>
    <cellStyle name="Normal 7 6 3 12" xfId="6557" xr:uid="{00000000-0005-0000-0000-00003B0C0000}"/>
    <cellStyle name="Normal 7 6 3 13" xfId="8978" xr:uid="{00000000-0005-0000-0000-00003B0C0000}"/>
    <cellStyle name="Normal 7 6 3 2" xfId="1486" xr:uid="{00000000-0005-0000-0000-0000A7070000}"/>
    <cellStyle name="Normal 7 6 3 2 10" xfId="6732" xr:uid="{00000000-0005-0000-0000-00003C0C0000}"/>
    <cellStyle name="Normal 7 6 3 2 11" xfId="9153" xr:uid="{00000000-0005-0000-0000-00003C0C0000}"/>
    <cellStyle name="Normal 7 6 3 2 2" xfId="1487" xr:uid="{00000000-0005-0000-0000-0000A8070000}"/>
    <cellStyle name="Normal 7 6 3 2 2 2" xfId="3490" xr:uid="{00000000-0005-0000-0000-0000FF080000}"/>
    <cellStyle name="Normal 7 6 3 2 2 2 2" xfId="6433" xr:uid="{00000000-0005-0000-0000-0000FF080000}"/>
    <cellStyle name="Normal 7 6 3 2 2 2 2 2" xfId="8893" xr:uid="{00000000-0005-0000-0000-00003F0C0000}"/>
    <cellStyle name="Normal 7 6 3 2 2 2 2 3" xfId="11290" xr:uid="{00000000-0005-0000-0000-00003F0C0000}"/>
    <cellStyle name="Normal 7 6 3 2 2 2 3" xfId="7577" xr:uid="{00000000-0005-0000-0000-00003E0C0000}"/>
    <cellStyle name="Normal 7 6 3 2 2 2 4" xfId="9975" xr:uid="{00000000-0005-0000-0000-00003E0C0000}"/>
    <cellStyle name="Normal 7 6 3 2 2 3" xfId="4378" xr:uid="{00000000-0005-0000-0000-0000FE080000}"/>
    <cellStyle name="Normal 7 6 3 2 2 3 2" xfId="6248" xr:uid="{00000000-0005-0000-0000-0000FE080000}"/>
    <cellStyle name="Normal 7 6 3 2 2 3 3" xfId="8136" xr:uid="{00000000-0005-0000-0000-0000400C0000}"/>
    <cellStyle name="Normal 7 6 3 2 2 3 4" xfId="10533" xr:uid="{00000000-0005-0000-0000-0000400C0000}"/>
    <cellStyle name="Normal 7 6 3 2 2 4" xfId="6018" xr:uid="{00000000-0005-0000-0000-000002050000}"/>
    <cellStyle name="Normal 7 6 3 2 2 5" xfId="5265" xr:uid="{00000000-0005-0000-0000-000063040000}"/>
    <cellStyle name="Normal 7 6 3 2 2 6" xfId="6893" xr:uid="{00000000-0005-0000-0000-00003D0C0000}"/>
    <cellStyle name="Normal 7 6 3 2 2 7" xfId="9314" xr:uid="{00000000-0005-0000-0000-00003D0C0000}"/>
    <cellStyle name="Normal 7 6 3 2 3" xfId="3491" xr:uid="{00000000-0005-0000-0000-000000090000}"/>
    <cellStyle name="Normal 7 6 3 2 3 2" xfId="4604" xr:uid="{00000000-0005-0000-0000-000000090000}"/>
    <cellStyle name="Normal 7 6 3 2 3 2 2" xfId="8894" xr:uid="{00000000-0005-0000-0000-0000420C0000}"/>
    <cellStyle name="Normal 7 6 3 2 3 2 3" xfId="11291" xr:uid="{00000000-0005-0000-0000-0000420C0000}"/>
    <cellStyle name="Normal 7 6 3 2 3 3" xfId="5660" xr:uid="{00000000-0005-0000-0000-000003050000}"/>
    <cellStyle name="Normal 7 6 3 2 3 4" xfId="7576" xr:uid="{00000000-0005-0000-0000-0000410C0000}"/>
    <cellStyle name="Normal 7 6 3 2 3 5" xfId="9974" xr:uid="{00000000-0005-0000-0000-0000410C0000}"/>
    <cellStyle name="Normal 7 6 3 2 4" xfId="3489" xr:uid="{00000000-0005-0000-0000-000001090000}"/>
    <cellStyle name="Normal 7 6 3 2 4 2" xfId="6432" xr:uid="{00000000-0005-0000-0000-000001090000}"/>
    <cellStyle name="Normal 7 6 3 2 4 3" xfId="8892" xr:uid="{00000000-0005-0000-0000-0000430C0000}"/>
    <cellStyle name="Normal 7 6 3 2 4 4" xfId="11289" xr:uid="{00000000-0005-0000-0000-0000430C0000}"/>
    <cellStyle name="Normal 7 6 3 2 5" xfId="2537" xr:uid="{00000000-0005-0000-0000-000002090000}"/>
    <cellStyle name="Normal 7 6 3 2 5 2" xfId="7735" xr:uid="{00000000-0005-0000-0000-0000440C0000}"/>
    <cellStyle name="Normal 7 6 3 2 5 3" xfId="10132" xr:uid="{00000000-0005-0000-0000-0000440C0000}"/>
    <cellStyle name="Normal 7 6 3 2 6" xfId="2411" xr:uid="{00000000-0005-0000-0000-0000FD080000}"/>
    <cellStyle name="Normal 7 6 3 2 7" xfId="4083" xr:uid="{00000000-0005-0000-0000-000030030000}"/>
    <cellStyle name="Normal 7 6 3 2 8" xfId="5415" xr:uid="{00000000-0005-0000-0000-000001050000}"/>
    <cellStyle name="Normal 7 6 3 2 9" xfId="4988" xr:uid="{00000000-0005-0000-0000-000062040000}"/>
    <cellStyle name="Normal 7 6 3 3" xfId="1488" xr:uid="{00000000-0005-0000-0000-0000A9070000}"/>
    <cellStyle name="Normal 7 6 3 3 2" xfId="1489" xr:uid="{00000000-0005-0000-0000-0000AA070000}"/>
    <cellStyle name="Normal 7 6 3 3 2 2" xfId="1490" xr:uid="{00000000-0005-0000-0000-0000AB070000}"/>
    <cellStyle name="Normal 7 6 3 3 2 2 2" xfId="3494" xr:uid="{00000000-0005-0000-0000-000005090000}"/>
    <cellStyle name="Normal 7 6 3 3 2 2 2 2" xfId="8896" xr:uid="{00000000-0005-0000-0000-0000480C0000}"/>
    <cellStyle name="Normal 7 6 3 3 2 2 2 3" xfId="11293" xr:uid="{00000000-0005-0000-0000-0000480C0000}"/>
    <cellStyle name="Normal 7 6 3 3 2 2 3" xfId="3624" xr:uid="{00000000-0005-0000-0000-0000AB070000}"/>
    <cellStyle name="Normal 7 6 3 3 2 2 4" xfId="6434" xr:uid="{00000000-0005-0000-0000-000005090000}"/>
    <cellStyle name="Normal 7 6 3 3 2 2 5" xfId="11568" xr:uid="{00000000-0005-0000-0000-000075060000}"/>
    <cellStyle name="Normal 7 6 3 3 2 3" xfId="3493" xr:uid="{00000000-0005-0000-0000-000006090000}"/>
    <cellStyle name="Normal 7 6 3 3 2 3 2" xfId="11345" xr:uid="{00000000-0005-0000-0000-00000A2D0000}"/>
    <cellStyle name="Normal 7 6 3 3 2 4" xfId="2846" xr:uid="{00000000-0005-0000-0000-000004090000}"/>
    <cellStyle name="Normal 7 6 3 3 2 4 2" xfId="8137" xr:uid="{00000000-0005-0000-0000-00004A0C0000}"/>
    <cellStyle name="Normal 7 6 3 3 2 4 3" xfId="10534" xr:uid="{00000000-0005-0000-0000-00004A0C0000}"/>
    <cellStyle name="Normal 7 6 3 3 2 5" xfId="3768" xr:uid="{00000000-0005-0000-0000-000009070000}"/>
    <cellStyle name="Normal 7 6 3 3 2 5 2" xfId="4095" xr:uid="{00000000-0005-0000-0000-000032030000}"/>
    <cellStyle name="Normal 7 6 3 3 2 5 2 2" xfId="6472" xr:uid="{00000000-0005-0000-0000-0000470B0000}"/>
    <cellStyle name="Normal 7 6 3 3 2 5 3" xfId="11420" xr:uid="{00000000-0005-0000-0000-0000470B0000}"/>
    <cellStyle name="Normal 7 6 3 3 2 6" xfId="6019" xr:uid="{00000000-0005-0000-0000-000005050000}"/>
    <cellStyle name="Normal 7 6 3 3 3" xfId="1491" xr:uid="{00000000-0005-0000-0000-0000AC070000}"/>
    <cellStyle name="Normal 7 6 3 3 3 2" xfId="3495" xr:uid="{00000000-0005-0000-0000-000007090000}"/>
    <cellStyle name="Normal 7 6 3 3 3 2 2" xfId="6490" xr:uid="{00000000-0005-0000-0000-0000490B0000}"/>
    <cellStyle name="Normal 7 6 3 3 3 2 3" xfId="8897" xr:uid="{00000000-0005-0000-0000-00004C0C0000}"/>
    <cellStyle name="Normal 7 6 3 3 3 2 4" xfId="11294" xr:uid="{00000000-0005-0000-0000-00004C0C0000}"/>
    <cellStyle name="Normal 7 6 3 3 3 3" xfId="3582" xr:uid="{00000000-0005-0000-0000-0000AC070000}"/>
    <cellStyle name="Normal 7 6 3 3 3 3 2" xfId="6498" xr:uid="{00000000-0005-0000-0000-00004A0B0000}"/>
    <cellStyle name="Normal 7 6 3 3 3 3 3" xfId="11485" xr:uid="{00000000-0005-0000-0000-00004A0B0000}"/>
    <cellStyle name="Normal 7 6 3 3 3 4" xfId="4605" xr:uid="{00000000-0005-0000-0000-000007090000}"/>
    <cellStyle name="Normal 7 6 3 3 3 5" xfId="5745" xr:uid="{00000000-0005-0000-0000-000006050000}"/>
    <cellStyle name="Normal 7 6 3 3 3 6" xfId="5289" xr:uid="{00000000-0005-0000-0000-000067040000}"/>
    <cellStyle name="Normal 7 6 3 3 4" xfId="3492" xr:uid="{00000000-0005-0000-0000-000008090000}"/>
    <cellStyle name="Normal 7 6 3 3 4 2" xfId="6457" xr:uid="{00000000-0005-0000-0000-00004C0B0000}"/>
    <cellStyle name="Normal 7 6 3 3 4 2 2" xfId="11484" xr:uid="{00000000-0005-0000-0000-00004C0B0000}"/>
    <cellStyle name="Normal 7 6 3 3 4 3" xfId="8895" xr:uid="{00000000-0005-0000-0000-00004D0C0000}"/>
    <cellStyle name="Normal 7 6 3 3 4 4" xfId="11292" xr:uid="{00000000-0005-0000-0000-00004D0C0000}"/>
    <cellStyle name="Normal 7 6 3 3 5" xfId="2639" xr:uid="{00000000-0005-0000-0000-000009090000}"/>
    <cellStyle name="Normal 7 6 3 3 5 2" xfId="7838" xr:uid="{00000000-0005-0000-0000-00004E0C0000}"/>
    <cellStyle name="Normal 7 6 3 3 5 3" xfId="10235" xr:uid="{00000000-0005-0000-0000-00004E0C0000}"/>
    <cellStyle name="Normal 7 6 3 3 6" xfId="2152" xr:uid="{00000000-0005-0000-0000-000031030000}"/>
    <cellStyle name="Normal 7 6 3 3 6 2" xfId="4639" xr:uid="{00000000-0005-0000-0000-000003090000}"/>
    <cellStyle name="Normal 7 6 3 3 7" xfId="4084" xr:uid="{00000000-0005-0000-0000-000031030000}"/>
    <cellStyle name="Normal 7 6 3 3 8" xfId="5516" xr:uid="{00000000-0005-0000-0000-000004050000}"/>
    <cellStyle name="Normal 7 6 3 3 9" xfId="4987" xr:uid="{00000000-0005-0000-0000-000064040000}"/>
    <cellStyle name="Normal 7 6 3 4" xfId="1492" xr:uid="{00000000-0005-0000-0000-0000AD070000}"/>
    <cellStyle name="Normal 7 6 3 4 2" xfId="3496" xr:uid="{00000000-0005-0000-0000-00000B090000}"/>
    <cellStyle name="Normal 7 6 3 4 2 2" xfId="8898" xr:uid="{00000000-0005-0000-0000-0000500C0000}"/>
    <cellStyle name="Normal 7 6 3 4 2 3" xfId="11295" xr:uid="{00000000-0005-0000-0000-0000500C0000}"/>
    <cellStyle name="Normal 7 6 3 4 3" xfId="2845" xr:uid="{00000000-0005-0000-0000-00000C090000}"/>
    <cellStyle name="Normal 7 6 3 4 3 2" xfId="8135" xr:uid="{00000000-0005-0000-0000-0000510C0000}"/>
    <cellStyle name="Normal 7 6 3 4 3 3" xfId="10532" xr:uid="{00000000-0005-0000-0000-0000510C0000}"/>
    <cellStyle name="Normal 7 6 3 4 4" xfId="4228" xr:uid="{00000000-0005-0000-0000-00000A090000}"/>
    <cellStyle name="Normal 7 6 3 4 5" xfId="6017" xr:uid="{00000000-0005-0000-0000-000007050000}"/>
    <cellStyle name="Normal 7 6 3 4 6" xfId="7578" xr:uid="{00000000-0005-0000-0000-00004F0C0000}"/>
    <cellStyle name="Normal 7 6 3 4 7" xfId="9976" xr:uid="{00000000-0005-0000-0000-00004F0C0000}"/>
    <cellStyle name="Normal 7 6 3 5" xfId="1493" xr:uid="{00000000-0005-0000-0000-0000AE070000}"/>
    <cellStyle name="Normal 7 6 3 5 2" xfId="4606" xr:uid="{00000000-0005-0000-0000-00000D090000}"/>
    <cellStyle name="Normal 7 6 3 5 2 2" xfId="8899" xr:uid="{00000000-0005-0000-0000-0000530C0000}"/>
    <cellStyle name="Normal 7 6 3 5 2 3" xfId="11296" xr:uid="{00000000-0005-0000-0000-0000530C0000}"/>
    <cellStyle name="Normal 7 6 3 5 3" xfId="5601" xr:uid="{00000000-0005-0000-0000-000008050000}"/>
    <cellStyle name="Normal 7 6 3 5 4" xfId="7579" xr:uid="{00000000-0005-0000-0000-0000520C0000}"/>
    <cellStyle name="Normal 7 6 3 5 5" xfId="9977" xr:uid="{00000000-0005-0000-0000-0000520C0000}"/>
    <cellStyle name="Normal 7 6 3 6" xfId="3001" xr:uid="{00000000-0005-0000-0000-00000E090000}"/>
    <cellStyle name="Normal 7 6 3 6 2" xfId="8311" xr:uid="{00000000-0005-0000-0000-0000540C0000}"/>
    <cellStyle name="Normal 7 6 3 6 3" xfId="10708" xr:uid="{00000000-0005-0000-0000-0000540C0000}"/>
    <cellStyle name="Normal 7 6 3 7" xfId="2477" xr:uid="{00000000-0005-0000-0000-00000F090000}"/>
    <cellStyle name="Normal 7 6 3 7 2" xfId="7675" xr:uid="{00000000-0005-0000-0000-0000550C0000}"/>
    <cellStyle name="Normal 7 6 3 7 3" xfId="10072" xr:uid="{00000000-0005-0000-0000-0000550C0000}"/>
    <cellStyle name="Normal 7 6 3 8" xfId="2231" xr:uid="{00000000-0005-0000-0000-0000FC080000}"/>
    <cellStyle name="Normal 7 6 3 9" xfId="4082" xr:uid="{00000000-0005-0000-0000-00002F030000}"/>
    <cellStyle name="Normal 7 6 4" xfId="1494" xr:uid="{00000000-0005-0000-0000-0000AF070000}"/>
    <cellStyle name="Normal 7 6 4 10" xfId="4791" xr:uid="{00000000-0005-0000-0000-000068040000}"/>
    <cellStyle name="Normal 7 6 4 11" xfId="6733" xr:uid="{00000000-0005-0000-0000-0000560C0000}"/>
    <cellStyle name="Normal 7 6 4 12" xfId="9154" xr:uid="{00000000-0005-0000-0000-0000560C0000}"/>
    <cellStyle name="Normal 7 6 4 2" xfId="1495" xr:uid="{00000000-0005-0000-0000-0000B0070000}"/>
    <cellStyle name="Normal 7 6 4 2 10" xfId="6894" xr:uid="{00000000-0005-0000-0000-0000570C0000}"/>
    <cellStyle name="Normal 7 6 4 2 11" xfId="9315" xr:uid="{00000000-0005-0000-0000-0000570C0000}"/>
    <cellStyle name="Normal 7 6 4 2 2" xfId="1496" xr:uid="{00000000-0005-0000-0000-0000B1070000}"/>
    <cellStyle name="Normal 7 6 4 2 2 2" xfId="3498" xr:uid="{00000000-0005-0000-0000-000013090000}"/>
    <cellStyle name="Normal 7 6 4 2 2 2 2" xfId="8901" xr:uid="{00000000-0005-0000-0000-0000590C0000}"/>
    <cellStyle name="Normal 7 6 4 2 2 2 3" xfId="11298" xr:uid="{00000000-0005-0000-0000-0000590C0000}"/>
    <cellStyle name="Normal 7 6 4 2 2 3" xfId="4379" xr:uid="{00000000-0005-0000-0000-000012090000}"/>
    <cellStyle name="Normal 7 6 4 2 2 3 2" xfId="8139" xr:uid="{00000000-0005-0000-0000-00005A0C0000}"/>
    <cellStyle name="Normal 7 6 4 2 2 3 3" xfId="10536" xr:uid="{00000000-0005-0000-0000-00005A0C0000}"/>
    <cellStyle name="Normal 7 6 4 2 2 4" xfId="6021" xr:uid="{00000000-0005-0000-0000-00000B050000}"/>
    <cellStyle name="Normal 7 6 4 2 2 5" xfId="5267" xr:uid="{00000000-0005-0000-0000-00006A040000}"/>
    <cellStyle name="Normal 7 6 4 2 2 6" xfId="7582" xr:uid="{00000000-0005-0000-0000-0000580C0000}"/>
    <cellStyle name="Normal 7 6 4 2 2 7" xfId="9980" xr:uid="{00000000-0005-0000-0000-0000580C0000}"/>
    <cellStyle name="Normal 7 6 4 2 3" xfId="3499" xr:uid="{00000000-0005-0000-0000-000014090000}"/>
    <cellStyle name="Normal 7 6 4 2 3 2" xfId="4607" xr:uid="{00000000-0005-0000-0000-000014090000}"/>
    <cellStyle name="Normal 7 6 4 2 3 2 2" xfId="8902" xr:uid="{00000000-0005-0000-0000-00005C0C0000}"/>
    <cellStyle name="Normal 7 6 4 2 3 2 3" xfId="11299" xr:uid="{00000000-0005-0000-0000-00005C0C0000}"/>
    <cellStyle name="Normal 7 6 4 2 3 3" xfId="5726" xr:uid="{00000000-0005-0000-0000-00000C050000}"/>
    <cellStyle name="Normal 7 6 4 2 3 4" xfId="7581" xr:uid="{00000000-0005-0000-0000-00005B0C0000}"/>
    <cellStyle name="Normal 7 6 4 2 3 5" xfId="9979" xr:uid="{00000000-0005-0000-0000-00005B0C0000}"/>
    <cellStyle name="Normal 7 6 4 2 4" xfId="3497" xr:uid="{00000000-0005-0000-0000-000015090000}"/>
    <cellStyle name="Normal 7 6 4 2 4 2" xfId="8900" xr:uid="{00000000-0005-0000-0000-00005D0C0000}"/>
    <cellStyle name="Normal 7 6 4 2 4 3" xfId="11297" xr:uid="{00000000-0005-0000-0000-00005D0C0000}"/>
    <cellStyle name="Normal 7 6 4 2 5" xfId="2620" xr:uid="{00000000-0005-0000-0000-000016090000}"/>
    <cellStyle name="Normal 7 6 4 2 5 2" xfId="7818" xr:uid="{00000000-0005-0000-0000-00005E0C0000}"/>
    <cellStyle name="Normal 7 6 4 2 5 3" xfId="10215" xr:uid="{00000000-0005-0000-0000-00005E0C0000}"/>
    <cellStyle name="Normal 7 6 4 2 6" xfId="2412" xr:uid="{00000000-0005-0000-0000-000011090000}"/>
    <cellStyle name="Normal 7 6 4 2 7" xfId="4109" xr:uid="{00000000-0005-0000-0000-000034030000}"/>
    <cellStyle name="Normal 7 6 4 2 8" xfId="5496" xr:uid="{00000000-0005-0000-0000-00000A050000}"/>
    <cellStyle name="Normal 7 6 4 2 9" xfId="4989" xr:uid="{00000000-0005-0000-0000-000069040000}"/>
    <cellStyle name="Normal 7 6 4 3" xfId="1497" xr:uid="{00000000-0005-0000-0000-0000B2070000}"/>
    <cellStyle name="Normal 7 6 4 3 2" xfId="3500" xr:uid="{00000000-0005-0000-0000-000018090000}"/>
    <cellStyle name="Normal 7 6 4 3 2 2" xfId="8903" xr:uid="{00000000-0005-0000-0000-0000600C0000}"/>
    <cellStyle name="Normal 7 6 4 3 2 3" xfId="11300" xr:uid="{00000000-0005-0000-0000-0000600C0000}"/>
    <cellStyle name="Normal 7 6 4 3 3" xfId="2847" xr:uid="{00000000-0005-0000-0000-000019090000}"/>
    <cellStyle name="Normal 7 6 4 3 3 2" xfId="8138" xr:uid="{00000000-0005-0000-0000-0000610C0000}"/>
    <cellStyle name="Normal 7 6 4 3 3 3" xfId="10535" xr:uid="{00000000-0005-0000-0000-0000610C0000}"/>
    <cellStyle name="Normal 7 6 4 3 4" xfId="4229" xr:uid="{00000000-0005-0000-0000-000017090000}"/>
    <cellStyle name="Normal 7 6 4 3 5" xfId="6020" xr:uid="{00000000-0005-0000-0000-00000D050000}"/>
    <cellStyle name="Normal 7 6 4 3 6" xfId="5266" xr:uid="{00000000-0005-0000-0000-00006B040000}"/>
    <cellStyle name="Normal 7 6 4 3 7" xfId="7583" xr:uid="{00000000-0005-0000-0000-00005F0C0000}"/>
    <cellStyle name="Normal 7 6 4 3 8" xfId="9981" xr:uid="{00000000-0005-0000-0000-00005F0C0000}"/>
    <cellStyle name="Normal 7 6 4 4" xfId="1498" xr:uid="{00000000-0005-0000-0000-0000B3070000}"/>
    <cellStyle name="Normal 7 6 4 4 2" xfId="4608" xr:uid="{00000000-0005-0000-0000-00001A090000}"/>
    <cellStyle name="Normal 7 6 4 4 2 2" xfId="8904" xr:uid="{00000000-0005-0000-0000-0000630C0000}"/>
    <cellStyle name="Normal 7 6 4 4 2 3" xfId="11301" xr:uid="{00000000-0005-0000-0000-0000630C0000}"/>
    <cellStyle name="Normal 7 6 4 4 3" xfId="5581" xr:uid="{00000000-0005-0000-0000-00000E050000}"/>
    <cellStyle name="Normal 7 6 4 4 4" xfId="7584" xr:uid="{00000000-0005-0000-0000-0000620C0000}"/>
    <cellStyle name="Normal 7 6 4 4 5" xfId="9982" xr:uid="{00000000-0005-0000-0000-0000620C0000}"/>
    <cellStyle name="Normal 7 6 4 5" xfId="3002" xr:uid="{00000000-0005-0000-0000-00001B090000}"/>
    <cellStyle name="Normal 7 6 4 5 2" xfId="8312" xr:uid="{00000000-0005-0000-0000-0000650C0000}"/>
    <cellStyle name="Normal 7 6 4 5 2 2" xfId="10709" xr:uid="{00000000-0005-0000-0000-0000650C0000}"/>
    <cellStyle name="Normal 7 6 4 5 3" xfId="7580" xr:uid="{00000000-0005-0000-0000-0000640C0000}"/>
    <cellStyle name="Normal 7 6 4 5 4" xfId="9978" xr:uid="{00000000-0005-0000-0000-0000640C0000}"/>
    <cellStyle name="Normal 7 6 4 6" xfId="2457" xr:uid="{00000000-0005-0000-0000-00001C090000}"/>
    <cellStyle name="Normal 7 6 4 6 2" xfId="7655" xr:uid="{00000000-0005-0000-0000-0000660C0000}"/>
    <cellStyle name="Normal 7 6 4 6 3" xfId="10052" xr:uid="{00000000-0005-0000-0000-0000660C0000}"/>
    <cellStyle name="Normal 7 6 4 7" xfId="2211" xr:uid="{00000000-0005-0000-0000-000010090000}"/>
    <cellStyle name="Normal 7 6 4 8" xfId="4085" xr:uid="{00000000-0005-0000-0000-000033030000}"/>
    <cellStyle name="Normal 7 6 4 9" xfId="5335" xr:uid="{00000000-0005-0000-0000-000009050000}"/>
    <cellStyle name="Normal 7 6 5" xfId="1499" xr:uid="{00000000-0005-0000-0000-0000B4070000}"/>
    <cellStyle name="Normal 7 6 5 10" xfId="6734" xr:uid="{00000000-0005-0000-0000-0000670C0000}"/>
    <cellStyle name="Normal 7 6 5 11" xfId="9155" xr:uid="{00000000-0005-0000-0000-0000670C0000}"/>
    <cellStyle name="Normal 7 6 5 2" xfId="1500" xr:uid="{00000000-0005-0000-0000-0000B5070000}"/>
    <cellStyle name="Normal 7 6 5 2 2" xfId="1501" xr:uid="{00000000-0005-0000-0000-0000B6070000}"/>
    <cellStyle name="Normal 7 6 5 2 2 2" xfId="6435" xr:uid="{00000000-0005-0000-0000-00001F090000}"/>
    <cellStyle name="Normal 7 6 5 2 2 2 2" xfId="8905" xr:uid="{00000000-0005-0000-0000-00006A0C0000}"/>
    <cellStyle name="Normal 7 6 5 2 2 2 3" xfId="11302" xr:uid="{00000000-0005-0000-0000-00006A0C0000}"/>
    <cellStyle name="Normal 7 6 5 2 2 3" xfId="7587" xr:uid="{00000000-0005-0000-0000-0000690C0000}"/>
    <cellStyle name="Normal 7 6 5 2 2 4" xfId="9985" xr:uid="{00000000-0005-0000-0000-0000690C0000}"/>
    <cellStyle name="Normal 7 6 5 2 3" xfId="2848" xr:uid="{00000000-0005-0000-0000-000020090000}"/>
    <cellStyle name="Normal 7 6 5 2 3 2" xfId="6249" xr:uid="{00000000-0005-0000-0000-000020090000}"/>
    <cellStyle name="Normal 7 6 5 2 3 3" xfId="7586" xr:uid="{00000000-0005-0000-0000-00006B0C0000}"/>
    <cellStyle name="Normal 7 6 5 2 3 4" xfId="9984" xr:uid="{00000000-0005-0000-0000-00006B0C0000}"/>
    <cellStyle name="Normal 7 6 5 2 4" xfId="4230" xr:uid="{00000000-0005-0000-0000-00001E090000}"/>
    <cellStyle name="Normal 7 6 5 2 4 2" xfId="8140" xr:uid="{00000000-0005-0000-0000-00006C0C0000}"/>
    <cellStyle name="Normal 7 6 5 2 4 3" xfId="10537" xr:uid="{00000000-0005-0000-0000-00006C0C0000}"/>
    <cellStyle name="Normal 7 6 5 2 5" xfId="6022" xr:uid="{00000000-0005-0000-0000-000010050000}"/>
    <cellStyle name="Normal 7 6 5 2 6" xfId="5268" xr:uid="{00000000-0005-0000-0000-00006D040000}"/>
    <cellStyle name="Normal 7 6 5 2 7" xfId="6895" xr:uid="{00000000-0005-0000-0000-0000680C0000}"/>
    <cellStyle name="Normal 7 6 5 2 8" xfId="9316" xr:uid="{00000000-0005-0000-0000-0000680C0000}"/>
    <cellStyle name="Normal 7 6 5 3" xfId="1502" xr:uid="{00000000-0005-0000-0000-0000B7070000}"/>
    <cellStyle name="Normal 7 6 5 3 2" xfId="4609" xr:uid="{00000000-0005-0000-0000-000021090000}"/>
    <cellStyle name="Normal 7 6 5 3 2 2" xfId="8906" xr:uid="{00000000-0005-0000-0000-00006E0C0000}"/>
    <cellStyle name="Normal 7 6 5 3 2 3" xfId="11303" xr:uid="{00000000-0005-0000-0000-00006E0C0000}"/>
    <cellStyle name="Normal 7 6 5 3 3" xfId="5641" xr:uid="{00000000-0005-0000-0000-000011050000}"/>
    <cellStyle name="Normal 7 6 5 3 4" xfId="7588" xr:uid="{00000000-0005-0000-0000-00006D0C0000}"/>
    <cellStyle name="Normal 7 6 5 3 5" xfId="9986" xr:uid="{00000000-0005-0000-0000-00006D0C0000}"/>
    <cellStyle name="Normal 7 6 5 4" xfId="1503" xr:uid="{00000000-0005-0000-0000-0000B8070000}"/>
    <cellStyle name="Normal 7 6 5 4 2" xfId="6348" xr:uid="{00000000-0005-0000-0000-000022090000}"/>
    <cellStyle name="Normal 7 6 5 4 2 2" xfId="8313" xr:uid="{00000000-0005-0000-0000-0000700C0000}"/>
    <cellStyle name="Normal 7 6 5 4 2 3" xfId="10710" xr:uid="{00000000-0005-0000-0000-0000700C0000}"/>
    <cellStyle name="Normal 7 6 5 4 3" xfId="7589" xr:uid="{00000000-0005-0000-0000-00006F0C0000}"/>
    <cellStyle name="Normal 7 6 5 4 4" xfId="9987" xr:uid="{00000000-0005-0000-0000-00006F0C0000}"/>
    <cellStyle name="Normal 7 6 5 5" xfId="2517" xr:uid="{00000000-0005-0000-0000-000023090000}"/>
    <cellStyle name="Normal 7 6 5 5 2" xfId="7585" xr:uid="{00000000-0005-0000-0000-0000710C0000}"/>
    <cellStyle name="Normal 7 6 5 5 3" xfId="9983" xr:uid="{00000000-0005-0000-0000-0000710C0000}"/>
    <cellStyle name="Normal 7 6 5 6" xfId="2413" xr:uid="{00000000-0005-0000-0000-00001D090000}"/>
    <cellStyle name="Normal 7 6 5 6 2" xfId="7715" xr:uid="{00000000-0005-0000-0000-0000720C0000}"/>
    <cellStyle name="Normal 7 6 5 6 3" xfId="10112" xr:uid="{00000000-0005-0000-0000-0000720C0000}"/>
    <cellStyle name="Normal 7 6 5 7" xfId="4086" xr:uid="{00000000-0005-0000-0000-000035030000}"/>
    <cellStyle name="Normal 7 6 5 8" xfId="5395" xr:uid="{00000000-0005-0000-0000-00000F050000}"/>
    <cellStyle name="Normal 7 6 5 9" xfId="4990" xr:uid="{00000000-0005-0000-0000-00006C040000}"/>
    <cellStyle name="Normal 7 6 6" xfId="1504" xr:uid="{00000000-0005-0000-0000-0000B9070000}"/>
    <cellStyle name="Normal 7 6 6 10" xfId="6735" xr:uid="{00000000-0005-0000-0000-0000730C0000}"/>
    <cellStyle name="Normal 7 6 6 11" xfId="9156" xr:uid="{00000000-0005-0000-0000-0000730C0000}"/>
    <cellStyle name="Normal 7 6 6 2" xfId="1505" xr:uid="{00000000-0005-0000-0000-0000BA070000}"/>
    <cellStyle name="Normal 7 6 6 2 2" xfId="1506" xr:uid="{00000000-0005-0000-0000-0000BB070000}"/>
    <cellStyle name="Normal 7 6 6 2 2 2" xfId="6436" xr:uid="{00000000-0005-0000-0000-000026090000}"/>
    <cellStyle name="Normal 7 6 6 2 2 2 2" xfId="8907" xr:uid="{00000000-0005-0000-0000-0000760C0000}"/>
    <cellStyle name="Normal 7 6 6 2 2 2 3" xfId="11304" xr:uid="{00000000-0005-0000-0000-0000760C0000}"/>
    <cellStyle name="Normal 7 6 6 2 2 3" xfId="7592" xr:uid="{00000000-0005-0000-0000-0000750C0000}"/>
    <cellStyle name="Normal 7 6 6 2 2 4" xfId="9990" xr:uid="{00000000-0005-0000-0000-0000750C0000}"/>
    <cellStyle name="Normal 7 6 6 2 3" xfId="2849" xr:uid="{00000000-0005-0000-0000-000027090000}"/>
    <cellStyle name="Normal 7 6 6 2 3 2" xfId="6250" xr:uid="{00000000-0005-0000-0000-000027090000}"/>
    <cellStyle name="Normal 7 6 6 2 3 3" xfId="7591" xr:uid="{00000000-0005-0000-0000-0000770C0000}"/>
    <cellStyle name="Normal 7 6 6 2 3 4" xfId="9989" xr:uid="{00000000-0005-0000-0000-0000770C0000}"/>
    <cellStyle name="Normal 7 6 6 2 4" xfId="4231" xr:uid="{00000000-0005-0000-0000-000025090000}"/>
    <cellStyle name="Normal 7 6 6 2 4 2" xfId="8141" xr:uid="{00000000-0005-0000-0000-0000780C0000}"/>
    <cellStyle name="Normal 7 6 6 2 4 3" xfId="10538" xr:uid="{00000000-0005-0000-0000-0000780C0000}"/>
    <cellStyle name="Normal 7 6 6 2 5" xfId="6023" xr:uid="{00000000-0005-0000-0000-000013050000}"/>
    <cellStyle name="Normal 7 6 6 2 6" xfId="5269" xr:uid="{00000000-0005-0000-0000-00006F040000}"/>
    <cellStyle name="Normal 7 6 6 2 7" xfId="6896" xr:uid="{00000000-0005-0000-0000-0000740C0000}"/>
    <cellStyle name="Normal 7 6 6 2 8" xfId="9317" xr:uid="{00000000-0005-0000-0000-0000740C0000}"/>
    <cellStyle name="Normal 7 6 6 3" xfId="1507" xr:uid="{00000000-0005-0000-0000-0000BC070000}"/>
    <cellStyle name="Normal 7 6 6 3 2" xfId="4610" xr:uid="{00000000-0005-0000-0000-000028090000}"/>
    <cellStyle name="Normal 7 6 6 3 2 2" xfId="8908" xr:uid="{00000000-0005-0000-0000-00007A0C0000}"/>
    <cellStyle name="Normal 7 6 6 3 2 3" xfId="11305" xr:uid="{00000000-0005-0000-0000-00007A0C0000}"/>
    <cellStyle name="Normal 7 6 6 3 3" xfId="5687" xr:uid="{00000000-0005-0000-0000-000014050000}"/>
    <cellStyle name="Normal 7 6 6 3 4" xfId="7593" xr:uid="{00000000-0005-0000-0000-0000790C0000}"/>
    <cellStyle name="Normal 7 6 6 3 5" xfId="9991" xr:uid="{00000000-0005-0000-0000-0000790C0000}"/>
    <cellStyle name="Normal 7 6 6 4" xfId="1508" xr:uid="{00000000-0005-0000-0000-0000BD070000}"/>
    <cellStyle name="Normal 7 6 6 4 2" xfId="6349" xr:uid="{00000000-0005-0000-0000-000029090000}"/>
    <cellStyle name="Normal 7 6 6 4 2 2" xfId="8314" xr:uid="{00000000-0005-0000-0000-00007C0C0000}"/>
    <cellStyle name="Normal 7 6 6 4 2 3" xfId="10711" xr:uid="{00000000-0005-0000-0000-00007C0C0000}"/>
    <cellStyle name="Normal 7 6 6 4 3" xfId="7594" xr:uid="{00000000-0005-0000-0000-00007B0C0000}"/>
    <cellStyle name="Normal 7 6 6 4 4" xfId="9992" xr:uid="{00000000-0005-0000-0000-00007B0C0000}"/>
    <cellStyle name="Normal 7 6 6 5" xfId="2580" xr:uid="{00000000-0005-0000-0000-00002A090000}"/>
    <cellStyle name="Normal 7 6 6 5 2" xfId="7590" xr:uid="{00000000-0005-0000-0000-00007D0C0000}"/>
    <cellStyle name="Normal 7 6 6 5 3" xfId="9988" xr:uid="{00000000-0005-0000-0000-00007D0C0000}"/>
    <cellStyle name="Normal 7 6 6 6" xfId="2414" xr:uid="{00000000-0005-0000-0000-000024090000}"/>
    <cellStyle name="Normal 7 6 6 6 2" xfId="7778" xr:uid="{00000000-0005-0000-0000-00007E0C0000}"/>
    <cellStyle name="Normal 7 6 6 6 3" xfId="10175" xr:uid="{00000000-0005-0000-0000-00007E0C0000}"/>
    <cellStyle name="Normal 7 6 6 7" xfId="4087" xr:uid="{00000000-0005-0000-0000-000036030000}"/>
    <cellStyle name="Normal 7 6 6 8" xfId="5456" xr:uid="{00000000-0005-0000-0000-000012050000}"/>
    <cellStyle name="Normal 7 6 6 9" xfId="4991" xr:uid="{00000000-0005-0000-0000-00006E040000}"/>
    <cellStyle name="Normal 7 6 7" xfId="1509" xr:uid="{00000000-0005-0000-0000-0000BE070000}"/>
    <cellStyle name="Normal 7 6 7 2" xfId="1510" xr:uid="{00000000-0005-0000-0000-0000BF070000}"/>
    <cellStyle name="Normal 7 6 7 2 2" xfId="3003" xr:uid="{00000000-0005-0000-0000-00002D090000}"/>
    <cellStyle name="Normal 7 6 7 2 2 2" xfId="6350" xr:uid="{00000000-0005-0000-0000-00002D090000}"/>
    <cellStyle name="Normal 7 6 7 2 2 3" xfId="7596" xr:uid="{00000000-0005-0000-0000-0000810C0000}"/>
    <cellStyle name="Normal 7 6 7 2 2 4" xfId="9994" xr:uid="{00000000-0005-0000-0000-0000810C0000}"/>
    <cellStyle name="Normal 7 6 7 2 3" xfId="4749" xr:uid="{00000000-0005-0000-0000-000082060000}"/>
    <cellStyle name="Normal 7 6 7 2 3 2" xfId="6136" xr:uid="{00000000-0005-0000-0000-00002C090000}"/>
    <cellStyle name="Normal 7 6 7 2 3 3" xfId="8315" xr:uid="{00000000-0005-0000-0000-0000820C0000}"/>
    <cellStyle name="Normal 7 6 7 2 3 4" xfId="10712" xr:uid="{00000000-0005-0000-0000-0000820C0000}"/>
    <cellStyle name="Normal 7 6 7 2 4" xfId="5270" xr:uid="{00000000-0005-0000-0000-000071040000}"/>
    <cellStyle name="Normal 7 6 7 2 5" xfId="6897" xr:uid="{00000000-0005-0000-0000-0000800C0000}"/>
    <cellStyle name="Normal 7 6 7 2 6" xfId="9318" xr:uid="{00000000-0005-0000-0000-0000800C0000}"/>
    <cellStyle name="Normal 7 6 7 3" xfId="1511" xr:uid="{00000000-0005-0000-0000-0000C0070000}"/>
    <cellStyle name="Normal 7 6 7 3 2" xfId="6251" xr:uid="{00000000-0005-0000-0000-00002E090000}"/>
    <cellStyle name="Normal 7 6 7 3 3" xfId="7597" xr:uid="{00000000-0005-0000-0000-0000830C0000}"/>
    <cellStyle name="Normal 7 6 7 3 4" xfId="9995" xr:uid="{00000000-0005-0000-0000-0000830C0000}"/>
    <cellStyle name="Normal 7 6 7 4" xfId="2415" xr:uid="{00000000-0005-0000-0000-00002B090000}"/>
    <cellStyle name="Normal 7 6 7 4 2" xfId="6086" xr:uid="{00000000-0005-0000-0000-00002B090000}"/>
    <cellStyle name="Normal 7 6 7 4 3" xfId="7595" xr:uid="{00000000-0005-0000-0000-0000840C0000}"/>
    <cellStyle name="Normal 7 6 7 4 4" xfId="9993" xr:uid="{00000000-0005-0000-0000-0000840C0000}"/>
    <cellStyle name="Normal 7 6 7 5" xfId="4088" xr:uid="{00000000-0005-0000-0000-000037030000}"/>
    <cellStyle name="Normal 7 6 7 5 2" xfId="8142" xr:uid="{00000000-0005-0000-0000-0000850C0000}"/>
    <cellStyle name="Normal 7 6 7 5 3" xfId="10539" xr:uid="{00000000-0005-0000-0000-0000850C0000}"/>
    <cellStyle name="Normal 7 6 7 6" xfId="6024" xr:uid="{00000000-0005-0000-0000-000015050000}"/>
    <cellStyle name="Normal 7 6 7 7" xfId="4992" xr:uid="{00000000-0005-0000-0000-000070040000}"/>
    <cellStyle name="Normal 7 6 7 8" xfId="6736" xr:uid="{00000000-0005-0000-0000-00007F0C0000}"/>
    <cellStyle name="Normal 7 6 7 9" xfId="9157" xr:uid="{00000000-0005-0000-0000-00007F0C0000}"/>
    <cellStyle name="Normal 7 6 8" xfId="1512" xr:uid="{00000000-0005-0000-0000-0000C1070000}"/>
    <cellStyle name="Normal 7 6 8 2" xfId="1513" xr:uid="{00000000-0005-0000-0000-0000C2070000}"/>
    <cellStyle name="Normal 7 6 8 2 2" xfId="3004" xr:uid="{00000000-0005-0000-0000-000031090000}"/>
    <cellStyle name="Normal 7 6 8 2 2 2" xfId="6351" xr:uid="{00000000-0005-0000-0000-000031090000}"/>
    <cellStyle name="Normal 7 6 8 2 2 3" xfId="7599" xr:uid="{00000000-0005-0000-0000-0000880C0000}"/>
    <cellStyle name="Normal 7 6 8 2 2 4" xfId="9997" xr:uid="{00000000-0005-0000-0000-0000880C0000}"/>
    <cellStyle name="Normal 7 6 8 2 3" xfId="4750" xr:uid="{00000000-0005-0000-0000-000088060000}"/>
    <cellStyle name="Normal 7 6 8 2 3 2" xfId="6137" xr:uid="{00000000-0005-0000-0000-000030090000}"/>
    <cellStyle name="Normal 7 6 8 2 3 3" xfId="8316" xr:uid="{00000000-0005-0000-0000-0000890C0000}"/>
    <cellStyle name="Normal 7 6 8 2 3 4" xfId="10713" xr:uid="{00000000-0005-0000-0000-0000890C0000}"/>
    <cellStyle name="Normal 7 6 8 2 4" xfId="5271" xr:uid="{00000000-0005-0000-0000-000073040000}"/>
    <cellStyle name="Normal 7 6 8 2 5" xfId="6898" xr:uid="{00000000-0005-0000-0000-0000870C0000}"/>
    <cellStyle name="Normal 7 6 8 2 6" xfId="9319" xr:uid="{00000000-0005-0000-0000-0000870C0000}"/>
    <cellStyle name="Normal 7 6 8 3" xfId="1514" xr:uid="{00000000-0005-0000-0000-0000C3070000}"/>
    <cellStyle name="Normal 7 6 8 3 2" xfId="6252" xr:uid="{00000000-0005-0000-0000-000032090000}"/>
    <cellStyle name="Normal 7 6 8 3 3" xfId="7600" xr:uid="{00000000-0005-0000-0000-00008A0C0000}"/>
    <cellStyle name="Normal 7 6 8 3 4" xfId="9998" xr:uid="{00000000-0005-0000-0000-00008A0C0000}"/>
    <cellStyle name="Normal 7 6 8 4" xfId="2416" xr:uid="{00000000-0005-0000-0000-00002F090000}"/>
    <cellStyle name="Normal 7 6 8 4 2" xfId="6087" xr:uid="{00000000-0005-0000-0000-00002F090000}"/>
    <cellStyle name="Normal 7 6 8 4 3" xfId="7598" xr:uid="{00000000-0005-0000-0000-00008B0C0000}"/>
    <cellStyle name="Normal 7 6 8 4 4" xfId="9996" xr:uid="{00000000-0005-0000-0000-00008B0C0000}"/>
    <cellStyle name="Normal 7 6 8 5" xfId="4089" xr:uid="{00000000-0005-0000-0000-000038030000}"/>
    <cellStyle name="Normal 7 6 8 5 2" xfId="8143" xr:uid="{00000000-0005-0000-0000-00008C0C0000}"/>
    <cellStyle name="Normal 7 6 8 5 3" xfId="10540" xr:uid="{00000000-0005-0000-0000-00008C0C0000}"/>
    <cellStyle name="Normal 7 6 8 6" xfId="6025" xr:uid="{00000000-0005-0000-0000-000016050000}"/>
    <cellStyle name="Normal 7 6 8 7" xfId="4993" xr:uid="{00000000-0005-0000-0000-000072040000}"/>
    <cellStyle name="Normal 7 6 8 8" xfId="6737" xr:uid="{00000000-0005-0000-0000-0000860C0000}"/>
    <cellStyle name="Normal 7 6 8 9" xfId="9158" xr:uid="{00000000-0005-0000-0000-0000860C0000}"/>
    <cellStyle name="Normal 7 6 9" xfId="1515" xr:uid="{00000000-0005-0000-0000-0000C4070000}"/>
    <cellStyle name="Normal 7 7" xfId="1516" xr:uid="{00000000-0005-0000-0000-0000C5070000}"/>
    <cellStyle name="Normal 7 7 10" xfId="5369" xr:uid="{00000000-0005-0000-0000-000018050000}"/>
    <cellStyle name="Normal 7 7 11" xfId="4825" xr:uid="{00000000-0005-0000-0000-000075040000}"/>
    <cellStyle name="Normal 7 7 12" xfId="6571" xr:uid="{00000000-0005-0000-0000-00008E0C0000}"/>
    <cellStyle name="Normal 7 7 13" xfId="8992" xr:uid="{00000000-0005-0000-0000-00008E0C0000}"/>
    <cellStyle name="Normal 7 7 2" xfId="1517" xr:uid="{00000000-0005-0000-0000-0000C6070000}"/>
    <cellStyle name="Normal 7 7 2 10" xfId="4994" xr:uid="{00000000-0005-0000-0000-000076040000}"/>
    <cellStyle name="Normal 7 7 2 11" xfId="6738" xr:uid="{00000000-0005-0000-0000-00008F0C0000}"/>
    <cellStyle name="Normal 7 7 2 12" xfId="9159" xr:uid="{00000000-0005-0000-0000-00008F0C0000}"/>
    <cellStyle name="Normal 7 7 2 2" xfId="1518" xr:uid="{00000000-0005-0000-0000-0000C7070000}"/>
    <cellStyle name="Normal 7 7 2 2 2" xfId="2852" xr:uid="{00000000-0005-0000-0000-000037090000}"/>
    <cellStyle name="Normal 7 7 2 2 2 2" xfId="3503" xr:uid="{00000000-0005-0000-0000-000038090000}"/>
    <cellStyle name="Normal 7 7 2 2 2 2 2" xfId="8911" xr:uid="{00000000-0005-0000-0000-0000920C0000}"/>
    <cellStyle name="Normal 7 7 2 2 2 2 3" xfId="11308" xr:uid="{00000000-0005-0000-0000-0000920C0000}"/>
    <cellStyle name="Normal 7 7 2 2 2 3" xfId="4381" xr:uid="{00000000-0005-0000-0000-000037090000}"/>
    <cellStyle name="Normal 7 7 2 2 2 3 2" xfId="11421" xr:uid="{00000000-0005-0000-0000-0000840B0000}"/>
    <cellStyle name="Normal 7 7 2 2 2 4" xfId="8146" xr:uid="{00000000-0005-0000-0000-0000910C0000}"/>
    <cellStyle name="Normal 7 7 2 2 2 5" xfId="10543" xr:uid="{00000000-0005-0000-0000-0000910C0000}"/>
    <cellStyle name="Normal 7 7 2 2 3" xfId="3504" xr:uid="{00000000-0005-0000-0000-000039090000}"/>
    <cellStyle name="Normal 7 7 2 2 3 2" xfId="4611" xr:uid="{00000000-0005-0000-0000-000039090000}"/>
    <cellStyle name="Normal 7 7 2 2 3 3" xfId="8912" xr:uid="{00000000-0005-0000-0000-0000930C0000}"/>
    <cellStyle name="Normal 7 7 2 2 3 4" xfId="11309" xr:uid="{00000000-0005-0000-0000-0000930C0000}"/>
    <cellStyle name="Normal 7 7 2 2 4" xfId="3502" xr:uid="{00000000-0005-0000-0000-00003A090000}"/>
    <cellStyle name="Normal 7 7 2 2 4 2" xfId="8910" xr:uid="{00000000-0005-0000-0000-0000940C0000}"/>
    <cellStyle name="Normal 7 7 2 2 4 3" xfId="11307" xr:uid="{00000000-0005-0000-0000-0000940C0000}"/>
    <cellStyle name="Normal 7 7 2 2 5" xfId="4243" xr:uid="{00000000-0005-0000-0000-000036090000}"/>
    <cellStyle name="Normal 7 7 2 2 5 2" xfId="7852" xr:uid="{00000000-0005-0000-0000-0000950C0000}"/>
    <cellStyle name="Normal 7 7 2 2 5 3" xfId="10249" xr:uid="{00000000-0005-0000-0000-0000950C0000}"/>
    <cellStyle name="Normal 7 7 2 2 6" xfId="5530" xr:uid="{00000000-0005-0000-0000-00001A050000}"/>
    <cellStyle name="Normal 7 7 2 2 7" xfId="5273" xr:uid="{00000000-0005-0000-0000-000077040000}"/>
    <cellStyle name="Normal 7 7 2 2 8" xfId="7603" xr:uid="{00000000-0005-0000-0000-0000900C0000}"/>
    <cellStyle name="Normal 7 7 2 2 9" xfId="10001" xr:uid="{00000000-0005-0000-0000-0000900C0000}"/>
    <cellStyle name="Normal 7 7 2 3" xfId="2851" xr:uid="{00000000-0005-0000-0000-00003B090000}"/>
    <cellStyle name="Normal 7 7 2 3 2" xfId="3505" xr:uid="{00000000-0005-0000-0000-00003C090000}"/>
    <cellStyle name="Normal 7 7 2 3 2 2" xfId="8913" xr:uid="{00000000-0005-0000-0000-0000970C0000}"/>
    <cellStyle name="Normal 7 7 2 3 2 3" xfId="11310" xr:uid="{00000000-0005-0000-0000-0000970C0000}"/>
    <cellStyle name="Normal 7 7 2 3 3" xfId="4380" xr:uid="{00000000-0005-0000-0000-00003B090000}"/>
    <cellStyle name="Normal 7 7 2 3 3 2" xfId="8145" xr:uid="{00000000-0005-0000-0000-0000980C0000}"/>
    <cellStyle name="Normal 7 7 2 3 3 3" xfId="10542" xr:uid="{00000000-0005-0000-0000-0000980C0000}"/>
    <cellStyle name="Normal 7 7 2 3 4" xfId="6027" xr:uid="{00000000-0005-0000-0000-00001D050000}"/>
    <cellStyle name="Normal 7 7 2 3 5" xfId="7602" xr:uid="{00000000-0005-0000-0000-0000960C0000}"/>
    <cellStyle name="Normal 7 7 2 3 6" xfId="10000" xr:uid="{00000000-0005-0000-0000-0000960C0000}"/>
    <cellStyle name="Normal 7 7 2 4" xfId="3506" xr:uid="{00000000-0005-0000-0000-00003D090000}"/>
    <cellStyle name="Normal 7 7 2 4 2" xfId="4612" xr:uid="{00000000-0005-0000-0000-00003D090000}"/>
    <cellStyle name="Normal 7 7 2 4 3" xfId="8914" xr:uid="{00000000-0005-0000-0000-0000990C0000}"/>
    <cellStyle name="Normal 7 7 2 4 4" xfId="11311" xr:uid="{00000000-0005-0000-0000-0000990C0000}"/>
    <cellStyle name="Normal 7 7 2 5" xfId="3501" xr:uid="{00000000-0005-0000-0000-00003E090000}"/>
    <cellStyle name="Normal 7 7 2 5 2" xfId="8909" xr:uid="{00000000-0005-0000-0000-00009A0C0000}"/>
    <cellStyle name="Normal 7 7 2 5 3" xfId="11306" xr:uid="{00000000-0005-0000-0000-00009A0C0000}"/>
    <cellStyle name="Normal 7 7 2 6" xfId="2551" xr:uid="{00000000-0005-0000-0000-00003F090000}"/>
    <cellStyle name="Normal 7 7 2 6 2" xfId="7749" xr:uid="{00000000-0005-0000-0000-00009B0C0000}"/>
    <cellStyle name="Normal 7 7 2 6 3" xfId="10146" xr:uid="{00000000-0005-0000-0000-00009B0C0000}"/>
    <cellStyle name="Normal 7 7 2 7" xfId="2245" xr:uid="{00000000-0005-0000-0000-000035090000}"/>
    <cellStyle name="Normal 7 7 2 8" xfId="3798" xr:uid="{00000000-0005-0000-0000-00003B030000}"/>
    <cellStyle name="Normal 7 7 2 9" xfId="5429" xr:uid="{00000000-0005-0000-0000-000019050000}"/>
    <cellStyle name="Normal 7 7 3" xfId="1519" xr:uid="{00000000-0005-0000-0000-0000C8070000}"/>
    <cellStyle name="Normal 7 7 3 10" xfId="6899" xr:uid="{00000000-0005-0000-0000-00009C0C0000}"/>
    <cellStyle name="Normal 7 7 3 11" xfId="9320" xr:uid="{00000000-0005-0000-0000-00009C0C0000}"/>
    <cellStyle name="Normal 7 7 3 2" xfId="2853" xr:uid="{00000000-0005-0000-0000-000041090000}"/>
    <cellStyle name="Normal 7 7 3 2 2" xfId="3508" xr:uid="{00000000-0005-0000-0000-000042090000}"/>
    <cellStyle name="Normal 7 7 3 2 2 2" xfId="8916" xr:uid="{00000000-0005-0000-0000-00009E0C0000}"/>
    <cellStyle name="Normal 7 7 3 2 2 3" xfId="11313" xr:uid="{00000000-0005-0000-0000-00009E0C0000}"/>
    <cellStyle name="Normal 7 7 3 2 3" xfId="4382" xr:uid="{00000000-0005-0000-0000-000041090000}"/>
    <cellStyle name="Normal 7 7 3 2 3 2" xfId="8147" xr:uid="{00000000-0005-0000-0000-00009F0C0000}"/>
    <cellStyle name="Normal 7 7 3 2 3 3" xfId="10544" xr:uid="{00000000-0005-0000-0000-00009F0C0000}"/>
    <cellStyle name="Normal 7 7 3 2 4" xfId="6028" xr:uid="{00000000-0005-0000-0000-000020050000}"/>
    <cellStyle name="Normal 7 7 3 2 5" xfId="7604" xr:uid="{00000000-0005-0000-0000-00009D0C0000}"/>
    <cellStyle name="Normal 7 7 3 2 6" xfId="10002" xr:uid="{00000000-0005-0000-0000-00009D0C0000}"/>
    <cellStyle name="Normal 7 7 3 3" xfId="3509" xr:uid="{00000000-0005-0000-0000-000043090000}"/>
    <cellStyle name="Normal 7 7 3 3 2" xfId="4613" xr:uid="{00000000-0005-0000-0000-000043090000}"/>
    <cellStyle name="Normal 7 7 3 3 3" xfId="5701" xr:uid="{00000000-0005-0000-0000-000021050000}"/>
    <cellStyle name="Normal 7 7 3 3 4" xfId="8917" xr:uid="{00000000-0005-0000-0000-0000A00C0000}"/>
    <cellStyle name="Normal 7 7 3 3 5" xfId="11314" xr:uid="{00000000-0005-0000-0000-0000A00C0000}"/>
    <cellStyle name="Normal 7 7 3 4" xfId="3507" xr:uid="{00000000-0005-0000-0000-000044090000}"/>
    <cellStyle name="Normal 7 7 3 4 2" xfId="8915" xr:uid="{00000000-0005-0000-0000-0000A10C0000}"/>
    <cellStyle name="Normal 7 7 3 4 3" xfId="11312" xr:uid="{00000000-0005-0000-0000-0000A10C0000}"/>
    <cellStyle name="Normal 7 7 3 5" xfId="2594" xr:uid="{00000000-0005-0000-0000-000045090000}"/>
    <cellStyle name="Normal 7 7 3 5 2" xfId="7792" xr:uid="{00000000-0005-0000-0000-0000A20C0000}"/>
    <cellStyle name="Normal 7 7 3 5 3" xfId="10189" xr:uid="{00000000-0005-0000-0000-0000A20C0000}"/>
    <cellStyle name="Normal 7 7 3 6" xfId="2417" xr:uid="{00000000-0005-0000-0000-000040090000}"/>
    <cellStyle name="Normal 7 7 3 7" xfId="4110" xr:uid="{00000000-0005-0000-0000-00003C030000}"/>
    <cellStyle name="Normal 7 7 3 8" xfId="5470" xr:uid="{00000000-0005-0000-0000-00001F050000}"/>
    <cellStyle name="Normal 7 7 3 9" xfId="5272" xr:uid="{00000000-0005-0000-0000-000078040000}"/>
    <cellStyle name="Normal 7 7 4" xfId="1520" xr:uid="{00000000-0005-0000-0000-0000C9070000}"/>
    <cellStyle name="Normal 7 7 4 2" xfId="3510" xr:uid="{00000000-0005-0000-0000-000047090000}"/>
    <cellStyle name="Normal 7 7 4 2 2" xfId="8918" xr:uid="{00000000-0005-0000-0000-0000A40C0000}"/>
    <cellStyle name="Normal 7 7 4 2 3" xfId="11315" xr:uid="{00000000-0005-0000-0000-0000A40C0000}"/>
    <cellStyle name="Normal 7 7 4 3" xfId="2850" xr:uid="{00000000-0005-0000-0000-000048090000}"/>
    <cellStyle name="Normal 7 7 4 3 2" xfId="8144" xr:uid="{00000000-0005-0000-0000-0000A50C0000}"/>
    <cellStyle name="Normal 7 7 4 3 3" xfId="10541" xr:uid="{00000000-0005-0000-0000-0000A50C0000}"/>
    <cellStyle name="Normal 7 7 4 4" xfId="4232" xr:uid="{00000000-0005-0000-0000-000046090000}"/>
    <cellStyle name="Normal 7 7 4 5" xfId="6026" xr:uid="{00000000-0005-0000-0000-000022050000}"/>
    <cellStyle name="Normal 7 7 4 6" xfId="7605" xr:uid="{00000000-0005-0000-0000-0000A30C0000}"/>
    <cellStyle name="Normal 7 7 4 7" xfId="10003" xr:uid="{00000000-0005-0000-0000-0000A30C0000}"/>
    <cellStyle name="Normal 7 7 5" xfId="3511" xr:uid="{00000000-0005-0000-0000-000049090000}"/>
    <cellStyle name="Normal 7 7 5 2" xfId="4614" xr:uid="{00000000-0005-0000-0000-000049090000}"/>
    <cellStyle name="Normal 7 7 5 2 2" xfId="8919" xr:uid="{00000000-0005-0000-0000-0000A70C0000}"/>
    <cellStyle name="Normal 7 7 5 2 3" xfId="11316" xr:uid="{00000000-0005-0000-0000-0000A70C0000}"/>
    <cellStyle name="Normal 7 7 5 3" xfId="5615" xr:uid="{00000000-0005-0000-0000-000023050000}"/>
    <cellStyle name="Normal 7 7 5 4" xfId="7601" xr:uid="{00000000-0005-0000-0000-0000A60C0000}"/>
    <cellStyle name="Normal 7 7 5 5" xfId="9999" xr:uid="{00000000-0005-0000-0000-0000A60C0000}"/>
    <cellStyle name="Normal 7 7 6" xfId="3005" xr:uid="{00000000-0005-0000-0000-00004A090000}"/>
    <cellStyle name="Normal 7 7 6 2" xfId="8317" xr:uid="{00000000-0005-0000-0000-0000A80C0000}"/>
    <cellStyle name="Normal 7 7 6 3" xfId="10714" xr:uid="{00000000-0005-0000-0000-0000A80C0000}"/>
    <cellStyle name="Normal 7 7 7" xfId="2491" xr:uid="{00000000-0005-0000-0000-00004B090000}"/>
    <cellStyle name="Normal 7 7 7 2" xfId="7689" xr:uid="{00000000-0005-0000-0000-0000A90C0000}"/>
    <cellStyle name="Normal 7 7 7 3" xfId="10086" xr:uid="{00000000-0005-0000-0000-0000A90C0000}"/>
    <cellStyle name="Normal 7 7 8" xfId="2185" xr:uid="{00000000-0005-0000-0000-000034090000}"/>
    <cellStyle name="Normal 7 7 9" xfId="4090" xr:uid="{00000000-0005-0000-0000-00003A030000}"/>
    <cellStyle name="Normal 7 8" xfId="1521" xr:uid="{00000000-0005-0000-0000-0000CA070000}"/>
    <cellStyle name="Normal 7 8 10" xfId="5343" xr:uid="{00000000-0005-0000-0000-000024050000}"/>
    <cellStyle name="Normal 7 8 11" xfId="4799" xr:uid="{00000000-0005-0000-0000-000079040000}"/>
    <cellStyle name="Normal 7 8 12" xfId="6545" xr:uid="{00000000-0005-0000-0000-0000AA0C0000}"/>
    <cellStyle name="Normal 7 8 13" xfId="8966" xr:uid="{00000000-0005-0000-0000-0000AA0C0000}"/>
    <cellStyle name="Normal 7 8 2" xfId="1522" xr:uid="{00000000-0005-0000-0000-0000CB070000}"/>
    <cellStyle name="Normal 7 8 2 10" xfId="6739" xr:uid="{00000000-0005-0000-0000-0000AB0C0000}"/>
    <cellStyle name="Normal 7 8 2 11" xfId="9160" xr:uid="{00000000-0005-0000-0000-0000AB0C0000}"/>
    <cellStyle name="Normal 7 8 2 2" xfId="1523" xr:uid="{00000000-0005-0000-0000-0000CC070000}"/>
    <cellStyle name="Normal 7 8 2 2 2" xfId="3513" xr:uid="{00000000-0005-0000-0000-00004F090000}"/>
    <cellStyle name="Normal 7 8 2 2 2 2" xfId="8921" xr:uid="{00000000-0005-0000-0000-0000AD0C0000}"/>
    <cellStyle name="Normal 7 8 2 2 2 3" xfId="11318" xr:uid="{00000000-0005-0000-0000-0000AD0C0000}"/>
    <cellStyle name="Normal 7 8 2 2 3" xfId="4384" xr:uid="{00000000-0005-0000-0000-00004E090000}"/>
    <cellStyle name="Normal 7 8 2 2 3 2" xfId="8149" xr:uid="{00000000-0005-0000-0000-0000AE0C0000}"/>
    <cellStyle name="Normal 7 8 2 2 3 3" xfId="10546" xr:uid="{00000000-0005-0000-0000-0000AE0C0000}"/>
    <cellStyle name="Normal 7 8 2 2 4" xfId="6030" xr:uid="{00000000-0005-0000-0000-000026050000}"/>
    <cellStyle name="Normal 7 8 2 2 5" xfId="5275" xr:uid="{00000000-0005-0000-0000-00007B040000}"/>
    <cellStyle name="Normal 7 8 2 2 6" xfId="7608" xr:uid="{00000000-0005-0000-0000-0000AC0C0000}"/>
    <cellStyle name="Normal 7 8 2 2 7" xfId="10006" xr:uid="{00000000-0005-0000-0000-0000AC0C0000}"/>
    <cellStyle name="Normal 7 8 2 3" xfId="3514" xr:uid="{00000000-0005-0000-0000-000050090000}"/>
    <cellStyle name="Normal 7 8 2 3 2" xfId="4615" xr:uid="{00000000-0005-0000-0000-000050090000}"/>
    <cellStyle name="Normal 7 8 2 3 2 2" xfId="8922" xr:uid="{00000000-0005-0000-0000-0000B00C0000}"/>
    <cellStyle name="Normal 7 8 2 3 2 3" xfId="11319" xr:uid="{00000000-0005-0000-0000-0000B00C0000}"/>
    <cellStyle name="Normal 7 8 2 3 3" xfId="5649" xr:uid="{00000000-0005-0000-0000-000027050000}"/>
    <cellStyle name="Normal 7 8 2 3 4" xfId="7607" xr:uid="{00000000-0005-0000-0000-0000AF0C0000}"/>
    <cellStyle name="Normal 7 8 2 3 5" xfId="10005" xr:uid="{00000000-0005-0000-0000-0000AF0C0000}"/>
    <cellStyle name="Normal 7 8 2 4" xfId="3512" xr:uid="{00000000-0005-0000-0000-000051090000}"/>
    <cellStyle name="Normal 7 8 2 4 2" xfId="8920" xr:uid="{00000000-0005-0000-0000-0000B10C0000}"/>
    <cellStyle name="Normal 7 8 2 4 3" xfId="11317" xr:uid="{00000000-0005-0000-0000-0000B10C0000}"/>
    <cellStyle name="Normal 7 8 2 5" xfId="2525" xr:uid="{00000000-0005-0000-0000-000052090000}"/>
    <cellStyle name="Normal 7 8 2 5 2" xfId="7723" xr:uid="{00000000-0005-0000-0000-0000B20C0000}"/>
    <cellStyle name="Normal 7 8 2 5 3" xfId="10120" xr:uid="{00000000-0005-0000-0000-0000B20C0000}"/>
    <cellStyle name="Normal 7 8 2 6" xfId="2418" xr:uid="{00000000-0005-0000-0000-00004D090000}"/>
    <cellStyle name="Normal 7 8 2 7" xfId="4111" xr:uid="{00000000-0005-0000-0000-00003E030000}"/>
    <cellStyle name="Normal 7 8 2 8" xfId="5403" xr:uid="{00000000-0005-0000-0000-000025050000}"/>
    <cellStyle name="Normal 7 8 2 9" xfId="4995" xr:uid="{00000000-0005-0000-0000-00007A040000}"/>
    <cellStyle name="Normal 7 8 3" xfId="1524" xr:uid="{00000000-0005-0000-0000-0000CD070000}"/>
    <cellStyle name="Normal 7 8 3 10" xfId="9321" xr:uid="{00000000-0005-0000-0000-0000B30C0000}"/>
    <cellStyle name="Normal 7 8 3 2" xfId="2854" xr:uid="{00000000-0005-0000-0000-000054090000}"/>
    <cellStyle name="Normal 7 8 3 2 2" xfId="3516" xr:uid="{00000000-0005-0000-0000-000055090000}"/>
    <cellStyle name="Normal 7 8 3 2 2 2" xfId="8924" xr:uid="{00000000-0005-0000-0000-0000B50C0000}"/>
    <cellStyle name="Normal 7 8 3 2 2 3" xfId="11321" xr:uid="{00000000-0005-0000-0000-0000B50C0000}"/>
    <cellStyle name="Normal 7 8 3 2 3" xfId="4385" xr:uid="{00000000-0005-0000-0000-000054090000}"/>
    <cellStyle name="Normal 7 8 3 2 3 2" xfId="8150" xr:uid="{00000000-0005-0000-0000-0000B60C0000}"/>
    <cellStyle name="Normal 7 8 3 2 3 3" xfId="10547" xr:uid="{00000000-0005-0000-0000-0000B60C0000}"/>
    <cellStyle name="Normal 7 8 3 2 4" xfId="6031" xr:uid="{00000000-0005-0000-0000-000029050000}"/>
    <cellStyle name="Normal 7 8 3 2 5" xfId="7609" xr:uid="{00000000-0005-0000-0000-0000B40C0000}"/>
    <cellStyle name="Normal 7 8 3 2 6" xfId="10007" xr:uid="{00000000-0005-0000-0000-0000B40C0000}"/>
    <cellStyle name="Normal 7 8 3 3" xfId="3517" xr:uid="{00000000-0005-0000-0000-000056090000}"/>
    <cellStyle name="Normal 7 8 3 3 2" xfId="4616" xr:uid="{00000000-0005-0000-0000-000056090000}"/>
    <cellStyle name="Normal 7 8 3 3 3" xfId="5734" xr:uid="{00000000-0005-0000-0000-00002A050000}"/>
    <cellStyle name="Normal 7 8 3 3 4" xfId="8925" xr:uid="{00000000-0005-0000-0000-0000B70C0000}"/>
    <cellStyle name="Normal 7 8 3 3 5" xfId="11322" xr:uid="{00000000-0005-0000-0000-0000B70C0000}"/>
    <cellStyle name="Normal 7 8 3 4" xfId="3515" xr:uid="{00000000-0005-0000-0000-000057090000}"/>
    <cellStyle name="Normal 7 8 3 4 2" xfId="8923" xr:uid="{00000000-0005-0000-0000-0000B80C0000}"/>
    <cellStyle name="Normal 7 8 3 4 3" xfId="11320" xr:uid="{00000000-0005-0000-0000-0000B80C0000}"/>
    <cellStyle name="Normal 7 8 3 5" xfId="2628" xr:uid="{00000000-0005-0000-0000-000058090000}"/>
    <cellStyle name="Normal 7 8 3 5 2" xfId="7826" xr:uid="{00000000-0005-0000-0000-0000B90C0000}"/>
    <cellStyle name="Normal 7 8 3 5 3" xfId="10223" xr:uid="{00000000-0005-0000-0000-0000B90C0000}"/>
    <cellStyle name="Normal 7 8 3 6" xfId="4233" xr:uid="{00000000-0005-0000-0000-000053090000}"/>
    <cellStyle name="Normal 7 8 3 7" xfId="5504" xr:uid="{00000000-0005-0000-0000-000028050000}"/>
    <cellStyle name="Normal 7 8 3 8" xfId="5274" xr:uid="{00000000-0005-0000-0000-00007C040000}"/>
    <cellStyle name="Normal 7 8 3 9" xfId="6900" xr:uid="{00000000-0005-0000-0000-0000B30C0000}"/>
    <cellStyle name="Normal 7 8 4" xfId="1525" xr:uid="{00000000-0005-0000-0000-0000CE070000}"/>
    <cellStyle name="Normal 7 8 4 2" xfId="3518" xr:uid="{00000000-0005-0000-0000-00005A090000}"/>
    <cellStyle name="Normal 7 8 4 2 2" xfId="8926" xr:uid="{00000000-0005-0000-0000-0000BB0C0000}"/>
    <cellStyle name="Normal 7 8 4 2 3" xfId="11323" xr:uid="{00000000-0005-0000-0000-0000BB0C0000}"/>
    <cellStyle name="Normal 7 8 4 3" xfId="4383" xr:uid="{00000000-0005-0000-0000-000059090000}"/>
    <cellStyle name="Normal 7 8 4 3 2" xfId="8148" xr:uid="{00000000-0005-0000-0000-0000BC0C0000}"/>
    <cellStyle name="Normal 7 8 4 3 3" xfId="10545" xr:uid="{00000000-0005-0000-0000-0000BC0C0000}"/>
    <cellStyle name="Normal 7 8 4 4" xfId="6029" xr:uid="{00000000-0005-0000-0000-00002B050000}"/>
    <cellStyle name="Normal 7 8 4 5" xfId="7610" xr:uid="{00000000-0005-0000-0000-0000BA0C0000}"/>
    <cellStyle name="Normal 7 8 4 6" xfId="10008" xr:uid="{00000000-0005-0000-0000-0000BA0C0000}"/>
    <cellStyle name="Normal 7 8 5" xfId="3519" xr:uid="{00000000-0005-0000-0000-00005B090000}"/>
    <cellStyle name="Normal 7 8 5 2" xfId="4617" xr:uid="{00000000-0005-0000-0000-00005B090000}"/>
    <cellStyle name="Normal 7 8 5 2 2" xfId="8927" xr:uid="{00000000-0005-0000-0000-0000BE0C0000}"/>
    <cellStyle name="Normal 7 8 5 2 3" xfId="11324" xr:uid="{00000000-0005-0000-0000-0000BE0C0000}"/>
    <cellStyle name="Normal 7 8 5 3" xfId="5589" xr:uid="{00000000-0005-0000-0000-00002C050000}"/>
    <cellStyle name="Normal 7 8 5 4" xfId="7606" xr:uid="{00000000-0005-0000-0000-0000BD0C0000}"/>
    <cellStyle name="Normal 7 8 5 5" xfId="10004" xr:uid="{00000000-0005-0000-0000-0000BD0C0000}"/>
    <cellStyle name="Normal 7 8 6" xfId="3006" xr:uid="{00000000-0005-0000-0000-00005C090000}"/>
    <cellStyle name="Normal 7 8 6 2" xfId="8318" xr:uid="{00000000-0005-0000-0000-0000BF0C0000}"/>
    <cellStyle name="Normal 7 8 6 3" xfId="10715" xr:uid="{00000000-0005-0000-0000-0000BF0C0000}"/>
    <cellStyle name="Normal 7 8 7" xfId="2465" xr:uid="{00000000-0005-0000-0000-00005D090000}"/>
    <cellStyle name="Normal 7 8 7 2" xfId="7663" xr:uid="{00000000-0005-0000-0000-0000C00C0000}"/>
    <cellStyle name="Normal 7 8 7 3" xfId="10060" xr:uid="{00000000-0005-0000-0000-0000C00C0000}"/>
    <cellStyle name="Normal 7 8 8" xfId="2219" xr:uid="{00000000-0005-0000-0000-00004C090000}"/>
    <cellStyle name="Normal 7 8 9" xfId="4091" xr:uid="{00000000-0005-0000-0000-00003D030000}"/>
    <cellStyle name="Normal 7 9" xfId="1526" xr:uid="{00000000-0005-0000-0000-0000CF070000}"/>
    <cellStyle name="Normal 7 9 10" xfId="4782" xr:uid="{00000000-0005-0000-0000-00007D040000}"/>
    <cellStyle name="Normal 7 9 11" xfId="6740" xr:uid="{00000000-0005-0000-0000-0000C10C0000}"/>
    <cellStyle name="Normal 7 9 12" xfId="9161" xr:uid="{00000000-0005-0000-0000-0000C10C0000}"/>
    <cellStyle name="Normal 7 9 2" xfId="1527" xr:uid="{00000000-0005-0000-0000-0000D0070000}"/>
    <cellStyle name="Normal 7 9 2 10" xfId="6901" xr:uid="{00000000-0005-0000-0000-0000C20C0000}"/>
    <cellStyle name="Normal 7 9 2 11" xfId="9322" xr:uid="{00000000-0005-0000-0000-0000C20C0000}"/>
    <cellStyle name="Normal 7 9 2 2" xfId="1528" xr:uid="{00000000-0005-0000-0000-0000D1070000}"/>
    <cellStyle name="Normal 7 9 2 2 2" xfId="3521" xr:uid="{00000000-0005-0000-0000-000061090000}"/>
    <cellStyle name="Normal 7 9 2 2 2 2" xfId="8929" xr:uid="{00000000-0005-0000-0000-0000C40C0000}"/>
    <cellStyle name="Normal 7 9 2 2 2 3" xfId="11326" xr:uid="{00000000-0005-0000-0000-0000C40C0000}"/>
    <cellStyle name="Normal 7 9 2 2 3" xfId="4386" xr:uid="{00000000-0005-0000-0000-000060090000}"/>
    <cellStyle name="Normal 7 9 2 2 3 2" xfId="8152" xr:uid="{00000000-0005-0000-0000-0000C50C0000}"/>
    <cellStyle name="Normal 7 9 2 2 3 3" xfId="10549" xr:uid="{00000000-0005-0000-0000-0000C50C0000}"/>
    <cellStyle name="Normal 7 9 2 2 4" xfId="6033" xr:uid="{00000000-0005-0000-0000-00002F050000}"/>
    <cellStyle name="Normal 7 9 2 2 5" xfId="5277" xr:uid="{00000000-0005-0000-0000-00007F040000}"/>
    <cellStyle name="Normal 7 9 2 2 6" xfId="7613" xr:uid="{00000000-0005-0000-0000-0000C30C0000}"/>
    <cellStyle name="Normal 7 9 2 2 7" xfId="10011" xr:uid="{00000000-0005-0000-0000-0000C30C0000}"/>
    <cellStyle name="Normal 7 9 2 3" xfId="3522" xr:uid="{00000000-0005-0000-0000-000062090000}"/>
    <cellStyle name="Normal 7 9 2 3 2" xfId="4618" xr:uid="{00000000-0005-0000-0000-000062090000}"/>
    <cellStyle name="Normal 7 9 2 3 2 2" xfId="8930" xr:uid="{00000000-0005-0000-0000-0000C70C0000}"/>
    <cellStyle name="Normal 7 9 2 3 2 3" xfId="11327" xr:uid="{00000000-0005-0000-0000-0000C70C0000}"/>
    <cellStyle name="Normal 7 9 2 3 3" xfId="5717" xr:uid="{00000000-0005-0000-0000-000030050000}"/>
    <cellStyle name="Normal 7 9 2 3 4" xfId="7612" xr:uid="{00000000-0005-0000-0000-0000C60C0000}"/>
    <cellStyle name="Normal 7 9 2 3 5" xfId="10010" xr:uid="{00000000-0005-0000-0000-0000C60C0000}"/>
    <cellStyle name="Normal 7 9 2 4" xfId="3520" xr:uid="{00000000-0005-0000-0000-000063090000}"/>
    <cellStyle name="Normal 7 9 2 4 2" xfId="8928" xr:uid="{00000000-0005-0000-0000-0000C80C0000}"/>
    <cellStyle name="Normal 7 9 2 4 3" xfId="11325" xr:uid="{00000000-0005-0000-0000-0000C80C0000}"/>
    <cellStyle name="Normal 7 9 2 5" xfId="2611" xr:uid="{00000000-0005-0000-0000-000064090000}"/>
    <cellStyle name="Normal 7 9 2 5 2" xfId="7809" xr:uid="{00000000-0005-0000-0000-0000C90C0000}"/>
    <cellStyle name="Normal 7 9 2 5 3" xfId="10206" xr:uid="{00000000-0005-0000-0000-0000C90C0000}"/>
    <cellStyle name="Normal 7 9 2 6" xfId="2419" xr:uid="{00000000-0005-0000-0000-00005F090000}"/>
    <cellStyle name="Normal 7 9 2 7" xfId="4112" xr:uid="{00000000-0005-0000-0000-000040030000}"/>
    <cellStyle name="Normal 7 9 2 8" xfId="5487" xr:uid="{00000000-0005-0000-0000-00002E050000}"/>
    <cellStyle name="Normal 7 9 2 9" xfId="4996" xr:uid="{00000000-0005-0000-0000-00007E040000}"/>
    <cellStyle name="Normal 7 9 3" xfId="1529" xr:uid="{00000000-0005-0000-0000-0000D2070000}"/>
    <cellStyle name="Normal 7 9 3 2" xfId="3523" xr:uid="{00000000-0005-0000-0000-000066090000}"/>
    <cellStyle name="Normal 7 9 3 2 2" xfId="8931" xr:uid="{00000000-0005-0000-0000-0000CB0C0000}"/>
    <cellStyle name="Normal 7 9 3 2 3" xfId="11328" xr:uid="{00000000-0005-0000-0000-0000CB0C0000}"/>
    <cellStyle name="Normal 7 9 3 3" xfId="2855" xr:uid="{00000000-0005-0000-0000-000067090000}"/>
    <cellStyle name="Normal 7 9 3 3 2" xfId="8151" xr:uid="{00000000-0005-0000-0000-0000CC0C0000}"/>
    <cellStyle name="Normal 7 9 3 3 3" xfId="10548" xr:uid="{00000000-0005-0000-0000-0000CC0C0000}"/>
    <cellStyle name="Normal 7 9 3 4" xfId="4234" xr:uid="{00000000-0005-0000-0000-000065090000}"/>
    <cellStyle name="Normal 7 9 3 5" xfId="6032" xr:uid="{00000000-0005-0000-0000-000031050000}"/>
    <cellStyle name="Normal 7 9 3 6" xfId="5276" xr:uid="{00000000-0005-0000-0000-000080040000}"/>
    <cellStyle name="Normal 7 9 3 7" xfId="7614" xr:uid="{00000000-0005-0000-0000-0000CA0C0000}"/>
    <cellStyle name="Normal 7 9 3 8" xfId="10012" xr:uid="{00000000-0005-0000-0000-0000CA0C0000}"/>
    <cellStyle name="Normal 7 9 4" xfId="1530" xr:uid="{00000000-0005-0000-0000-0000D3070000}"/>
    <cellStyle name="Normal 7 9 4 2" xfId="4619" xr:uid="{00000000-0005-0000-0000-000068090000}"/>
    <cellStyle name="Normal 7 9 4 2 2" xfId="8932" xr:uid="{00000000-0005-0000-0000-0000CE0C0000}"/>
    <cellStyle name="Normal 7 9 4 2 3" xfId="11329" xr:uid="{00000000-0005-0000-0000-0000CE0C0000}"/>
    <cellStyle name="Normal 7 9 4 3" xfId="5572" xr:uid="{00000000-0005-0000-0000-000032050000}"/>
    <cellStyle name="Normal 7 9 4 4" xfId="7615" xr:uid="{00000000-0005-0000-0000-0000CD0C0000}"/>
    <cellStyle name="Normal 7 9 4 5" xfId="10013" xr:uid="{00000000-0005-0000-0000-0000CD0C0000}"/>
    <cellStyle name="Normal 7 9 5" xfId="3007" xr:uid="{00000000-0005-0000-0000-000069090000}"/>
    <cellStyle name="Normal 7 9 5 2" xfId="8319" xr:uid="{00000000-0005-0000-0000-0000D00C0000}"/>
    <cellStyle name="Normal 7 9 5 2 2" xfId="10716" xr:uid="{00000000-0005-0000-0000-0000D00C0000}"/>
    <cellStyle name="Normal 7 9 5 3" xfId="7611" xr:uid="{00000000-0005-0000-0000-0000CF0C0000}"/>
    <cellStyle name="Normal 7 9 5 4" xfId="10009" xr:uid="{00000000-0005-0000-0000-0000CF0C0000}"/>
    <cellStyle name="Normal 7 9 6" xfId="2448" xr:uid="{00000000-0005-0000-0000-00006A090000}"/>
    <cellStyle name="Normal 7 9 6 2" xfId="7646" xr:uid="{00000000-0005-0000-0000-0000D10C0000}"/>
    <cellStyle name="Normal 7 9 6 3" xfId="10043" xr:uid="{00000000-0005-0000-0000-0000D10C0000}"/>
    <cellStyle name="Normal 7 9 7" xfId="2202" xr:uid="{00000000-0005-0000-0000-00005E090000}"/>
    <cellStyle name="Normal 7 9 8" xfId="4092" xr:uid="{00000000-0005-0000-0000-00003F030000}"/>
    <cellStyle name="Normal 7 9 9" xfId="5326" xr:uid="{00000000-0005-0000-0000-00002D050000}"/>
    <cellStyle name="Normal 8" xfId="1531" xr:uid="{00000000-0005-0000-0000-0000D4070000}"/>
    <cellStyle name="Normal 9" xfId="1532" xr:uid="{00000000-0005-0000-0000-0000D5070000}"/>
    <cellStyle name="Normal 9 2" xfId="1533" xr:uid="{00000000-0005-0000-0000-0000D6070000}"/>
    <cellStyle name="Normal 9 3" xfId="1534" xr:uid="{00000000-0005-0000-0000-0000D7070000}"/>
    <cellStyle name="Normal 9 3 10" xfId="5345" xr:uid="{00000000-0005-0000-0000-000036050000}"/>
    <cellStyle name="Normal 9 3 11" xfId="4801" xr:uid="{00000000-0005-0000-0000-000084040000}"/>
    <cellStyle name="Normal 9 3 12" xfId="6547" xr:uid="{00000000-0005-0000-0000-0000D50C0000}"/>
    <cellStyle name="Normal 9 3 13" xfId="8968" xr:uid="{00000000-0005-0000-0000-0000D50C0000}"/>
    <cellStyle name="Normal 9 3 2" xfId="1535" xr:uid="{00000000-0005-0000-0000-0000D8070000}"/>
    <cellStyle name="Normal 9 3 2 10" xfId="6741" xr:uid="{00000000-0005-0000-0000-0000D60C0000}"/>
    <cellStyle name="Normal 9 3 2 11" xfId="9162" xr:uid="{00000000-0005-0000-0000-0000D60C0000}"/>
    <cellStyle name="Normal 9 3 2 2" xfId="1536" xr:uid="{00000000-0005-0000-0000-0000D9070000}"/>
    <cellStyle name="Normal 9 3 2 2 2" xfId="3525" xr:uid="{00000000-0005-0000-0000-000071090000}"/>
    <cellStyle name="Normal 9 3 2 2 2 2" xfId="8934" xr:uid="{00000000-0005-0000-0000-0000D80C0000}"/>
    <cellStyle name="Normal 9 3 2 2 2 3" xfId="11331" xr:uid="{00000000-0005-0000-0000-0000D80C0000}"/>
    <cellStyle name="Normal 9 3 2 2 3" xfId="4388" xr:uid="{00000000-0005-0000-0000-000070090000}"/>
    <cellStyle name="Normal 9 3 2 2 3 2" xfId="8154" xr:uid="{00000000-0005-0000-0000-0000D90C0000}"/>
    <cellStyle name="Normal 9 3 2 2 3 3" xfId="10551" xr:uid="{00000000-0005-0000-0000-0000D90C0000}"/>
    <cellStyle name="Normal 9 3 2 2 4" xfId="6035" xr:uid="{00000000-0005-0000-0000-000038050000}"/>
    <cellStyle name="Normal 9 3 2 2 5" xfId="5279" xr:uid="{00000000-0005-0000-0000-000086040000}"/>
    <cellStyle name="Normal 9 3 2 2 6" xfId="7618" xr:uid="{00000000-0005-0000-0000-0000D70C0000}"/>
    <cellStyle name="Normal 9 3 2 2 7" xfId="10016" xr:uid="{00000000-0005-0000-0000-0000D70C0000}"/>
    <cellStyle name="Normal 9 3 2 3" xfId="3526" xr:uid="{00000000-0005-0000-0000-000072090000}"/>
    <cellStyle name="Normal 9 3 2 3 2" xfId="4620" xr:uid="{00000000-0005-0000-0000-000072090000}"/>
    <cellStyle name="Normal 9 3 2 3 2 2" xfId="8935" xr:uid="{00000000-0005-0000-0000-0000DB0C0000}"/>
    <cellStyle name="Normal 9 3 2 3 2 3" xfId="11332" xr:uid="{00000000-0005-0000-0000-0000DB0C0000}"/>
    <cellStyle name="Normal 9 3 2 3 3" xfId="5651" xr:uid="{00000000-0005-0000-0000-000039050000}"/>
    <cellStyle name="Normal 9 3 2 3 4" xfId="7617" xr:uid="{00000000-0005-0000-0000-0000DA0C0000}"/>
    <cellStyle name="Normal 9 3 2 3 5" xfId="10015" xr:uid="{00000000-0005-0000-0000-0000DA0C0000}"/>
    <cellStyle name="Normal 9 3 2 4" xfId="3524" xr:uid="{00000000-0005-0000-0000-000073090000}"/>
    <cellStyle name="Normal 9 3 2 4 2" xfId="8933" xr:uid="{00000000-0005-0000-0000-0000DC0C0000}"/>
    <cellStyle name="Normal 9 3 2 4 3" xfId="11330" xr:uid="{00000000-0005-0000-0000-0000DC0C0000}"/>
    <cellStyle name="Normal 9 3 2 5" xfId="2527" xr:uid="{00000000-0005-0000-0000-000074090000}"/>
    <cellStyle name="Normal 9 3 2 5 2" xfId="7725" xr:uid="{00000000-0005-0000-0000-0000DD0C0000}"/>
    <cellStyle name="Normal 9 3 2 5 3" xfId="10122" xr:uid="{00000000-0005-0000-0000-0000DD0C0000}"/>
    <cellStyle name="Normal 9 3 2 6" xfId="2420" xr:uid="{00000000-0005-0000-0000-00006F090000}"/>
    <cellStyle name="Normal 9 3 2 7" xfId="4113" xr:uid="{00000000-0005-0000-0000-000045030000}"/>
    <cellStyle name="Normal 9 3 2 8" xfId="5405" xr:uid="{00000000-0005-0000-0000-000037050000}"/>
    <cellStyle name="Normal 9 3 2 9" xfId="4997" xr:uid="{00000000-0005-0000-0000-000085040000}"/>
    <cellStyle name="Normal 9 3 3" xfId="1537" xr:uid="{00000000-0005-0000-0000-0000DA070000}"/>
    <cellStyle name="Normal 9 3 3 10" xfId="9323" xr:uid="{00000000-0005-0000-0000-0000DE0C0000}"/>
    <cellStyle name="Normal 9 3 3 2" xfId="2856" xr:uid="{00000000-0005-0000-0000-000076090000}"/>
    <cellStyle name="Normal 9 3 3 2 2" xfId="3528" xr:uid="{00000000-0005-0000-0000-000077090000}"/>
    <cellStyle name="Normal 9 3 3 2 2 2" xfId="8937" xr:uid="{00000000-0005-0000-0000-0000E00C0000}"/>
    <cellStyle name="Normal 9 3 3 2 2 3" xfId="11334" xr:uid="{00000000-0005-0000-0000-0000E00C0000}"/>
    <cellStyle name="Normal 9 3 3 2 3" xfId="4389" xr:uid="{00000000-0005-0000-0000-000076090000}"/>
    <cellStyle name="Normal 9 3 3 2 3 2" xfId="8155" xr:uid="{00000000-0005-0000-0000-0000E10C0000}"/>
    <cellStyle name="Normal 9 3 3 2 3 3" xfId="10552" xr:uid="{00000000-0005-0000-0000-0000E10C0000}"/>
    <cellStyle name="Normal 9 3 3 2 4" xfId="6036" xr:uid="{00000000-0005-0000-0000-00003B050000}"/>
    <cellStyle name="Normal 9 3 3 2 5" xfId="7619" xr:uid="{00000000-0005-0000-0000-0000DF0C0000}"/>
    <cellStyle name="Normal 9 3 3 2 6" xfId="10017" xr:uid="{00000000-0005-0000-0000-0000DF0C0000}"/>
    <cellStyle name="Normal 9 3 3 3" xfId="3529" xr:uid="{00000000-0005-0000-0000-000078090000}"/>
    <cellStyle name="Normal 9 3 3 3 2" xfId="4621" xr:uid="{00000000-0005-0000-0000-000078090000}"/>
    <cellStyle name="Normal 9 3 3 3 3" xfId="5736" xr:uid="{00000000-0005-0000-0000-00003C050000}"/>
    <cellStyle name="Normal 9 3 3 3 4" xfId="8938" xr:uid="{00000000-0005-0000-0000-0000E20C0000}"/>
    <cellStyle name="Normal 9 3 3 3 5" xfId="11335" xr:uid="{00000000-0005-0000-0000-0000E20C0000}"/>
    <cellStyle name="Normal 9 3 3 4" xfId="3527" xr:uid="{00000000-0005-0000-0000-000079090000}"/>
    <cellStyle name="Normal 9 3 3 4 2" xfId="8936" xr:uid="{00000000-0005-0000-0000-0000E30C0000}"/>
    <cellStyle name="Normal 9 3 3 4 3" xfId="11333" xr:uid="{00000000-0005-0000-0000-0000E30C0000}"/>
    <cellStyle name="Normal 9 3 3 5" xfId="2630" xr:uid="{00000000-0005-0000-0000-00007A090000}"/>
    <cellStyle name="Normal 9 3 3 5 2" xfId="7828" xr:uid="{00000000-0005-0000-0000-0000E40C0000}"/>
    <cellStyle name="Normal 9 3 3 5 3" xfId="10225" xr:uid="{00000000-0005-0000-0000-0000E40C0000}"/>
    <cellStyle name="Normal 9 3 3 6" xfId="4235" xr:uid="{00000000-0005-0000-0000-000075090000}"/>
    <cellStyle name="Normal 9 3 3 7" xfId="5506" xr:uid="{00000000-0005-0000-0000-00003A050000}"/>
    <cellStyle name="Normal 9 3 3 8" xfId="5278" xr:uid="{00000000-0005-0000-0000-000087040000}"/>
    <cellStyle name="Normal 9 3 3 9" xfId="6902" xr:uid="{00000000-0005-0000-0000-0000DE0C0000}"/>
    <cellStyle name="Normal 9 3 4" xfId="1538" xr:uid="{00000000-0005-0000-0000-0000DB070000}"/>
    <cellStyle name="Normal 9 3 4 2" xfId="3530" xr:uid="{00000000-0005-0000-0000-00007C090000}"/>
    <cellStyle name="Normal 9 3 4 2 2" xfId="8939" xr:uid="{00000000-0005-0000-0000-0000E60C0000}"/>
    <cellStyle name="Normal 9 3 4 2 3" xfId="11336" xr:uid="{00000000-0005-0000-0000-0000E60C0000}"/>
    <cellStyle name="Normal 9 3 4 3" xfId="4387" xr:uid="{00000000-0005-0000-0000-00007B090000}"/>
    <cellStyle name="Normal 9 3 4 3 2" xfId="8153" xr:uid="{00000000-0005-0000-0000-0000E70C0000}"/>
    <cellStyle name="Normal 9 3 4 3 3" xfId="10550" xr:uid="{00000000-0005-0000-0000-0000E70C0000}"/>
    <cellStyle name="Normal 9 3 4 4" xfId="6034" xr:uid="{00000000-0005-0000-0000-00003D050000}"/>
    <cellStyle name="Normal 9 3 4 5" xfId="7620" xr:uid="{00000000-0005-0000-0000-0000E50C0000}"/>
    <cellStyle name="Normal 9 3 4 6" xfId="10018" xr:uid="{00000000-0005-0000-0000-0000E50C0000}"/>
    <cellStyle name="Normal 9 3 5" xfId="3531" xr:uid="{00000000-0005-0000-0000-00007D090000}"/>
    <cellStyle name="Normal 9 3 5 2" xfId="4622" xr:uid="{00000000-0005-0000-0000-00007D090000}"/>
    <cellStyle name="Normal 9 3 5 2 2" xfId="8940" xr:uid="{00000000-0005-0000-0000-0000E90C0000}"/>
    <cellStyle name="Normal 9 3 5 2 3" xfId="11337" xr:uid="{00000000-0005-0000-0000-0000E90C0000}"/>
    <cellStyle name="Normal 9 3 5 3" xfId="5591" xr:uid="{00000000-0005-0000-0000-00003E050000}"/>
    <cellStyle name="Normal 9 3 5 4" xfId="7616" xr:uid="{00000000-0005-0000-0000-0000E80C0000}"/>
    <cellStyle name="Normal 9 3 5 5" xfId="10014" xr:uid="{00000000-0005-0000-0000-0000E80C0000}"/>
    <cellStyle name="Normal 9 3 6" xfId="3008" xr:uid="{00000000-0005-0000-0000-00007E090000}"/>
    <cellStyle name="Normal 9 3 6 2" xfId="8320" xr:uid="{00000000-0005-0000-0000-0000EA0C0000}"/>
    <cellStyle name="Normal 9 3 6 3" xfId="10717" xr:uid="{00000000-0005-0000-0000-0000EA0C0000}"/>
    <cellStyle name="Normal 9 3 7" xfId="2467" xr:uid="{00000000-0005-0000-0000-00007F090000}"/>
    <cellStyle name="Normal 9 3 7 2" xfId="7665" xr:uid="{00000000-0005-0000-0000-0000EB0C0000}"/>
    <cellStyle name="Normal 9 3 7 3" xfId="10062" xr:uid="{00000000-0005-0000-0000-0000EB0C0000}"/>
    <cellStyle name="Normal 9 3 8" xfId="2221" xr:uid="{00000000-0005-0000-0000-00006E090000}"/>
    <cellStyle name="Normal 9 3 9" xfId="4094" xr:uid="{00000000-0005-0000-0000-000044030000}"/>
    <cellStyle name="Normal 9 4" xfId="1539" xr:uid="{00000000-0005-0000-0000-0000DC070000}"/>
    <cellStyle name="Normal 9 4 2" xfId="2857" xr:uid="{00000000-0005-0000-0000-000081090000}"/>
    <cellStyle name="Normal 9 4 2 2" xfId="3533" xr:uid="{00000000-0005-0000-0000-000082090000}"/>
    <cellStyle name="Normal 9 4 2 2 2" xfId="8942" xr:uid="{00000000-0005-0000-0000-0000EE0C0000}"/>
    <cellStyle name="Normal 9 4 2 2 3" xfId="11339" xr:uid="{00000000-0005-0000-0000-0000EE0C0000}"/>
    <cellStyle name="Normal 9 4 2 3" xfId="4390" xr:uid="{00000000-0005-0000-0000-000081090000}"/>
    <cellStyle name="Normal 9 4 2 3 2" xfId="11422" xr:uid="{00000000-0005-0000-0000-0000DD0B0000}"/>
    <cellStyle name="Normal 9 4 2 4" xfId="8156" xr:uid="{00000000-0005-0000-0000-0000ED0C0000}"/>
    <cellStyle name="Normal 9 4 2 5" xfId="10553" xr:uid="{00000000-0005-0000-0000-0000ED0C0000}"/>
    <cellStyle name="Normal 9 4 3" xfId="3534" xr:uid="{00000000-0005-0000-0000-000083090000}"/>
    <cellStyle name="Normal 9 4 3 2" xfId="4623" xr:uid="{00000000-0005-0000-0000-000083090000}"/>
    <cellStyle name="Normal 9 4 3 3" xfId="8943" xr:uid="{00000000-0005-0000-0000-0000EF0C0000}"/>
    <cellStyle name="Normal 9 4 3 4" xfId="11340" xr:uid="{00000000-0005-0000-0000-0000EF0C0000}"/>
    <cellStyle name="Normal 9 4 4" xfId="3532" xr:uid="{00000000-0005-0000-0000-000084090000}"/>
    <cellStyle name="Normal 9 4 4 2" xfId="8941" xr:uid="{00000000-0005-0000-0000-0000F00C0000}"/>
    <cellStyle name="Normal 9 4 4 3" xfId="11338" xr:uid="{00000000-0005-0000-0000-0000F00C0000}"/>
    <cellStyle name="Normal 9 4 5" xfId="2570" xr:uid="{00000000-0005-0000-0000-000080090000}"/>
    <cellStyle name="Normal 9 4 5 2" xfId="7768" xr:uid="{00000000-0005-0000-0000-0000F10C0000}"/>
    <cellStyle name="Normal 9 4 5 3" xfId="10165" xr:uid="{00000000-0005-0000-0000-0000F10C0000}"/>
    <cellStyle name="Normal 9 4 6" xfId="4093" xr:uid="{00000000-0005-0000-0000-000046030000}"/>
    <cellStyle name="Normal 9 4 7" xfId="11378" xr:uid="{00000000-0005-0000-0000-0000DA0B0000}"/>
    <cellStyle name="Normal 9 4 8" xfId="11558" xr:uid="{00000000-0005-0000-0000-0000AE060000}"/>
    <cellStyle name="Normal 9 5" xfId="2161" xr:uid="{00000000-0005-0000-0000-00006C090000}"/>
    <cellStyle name="Normal 9 6" xfId="3786" xr:uid="{00000000-0005-0000-0000-000042030000}"/>
    <cellStyle name="Normal_98AFRCOU" xfId="1540" xr:uid="{00000000-0005-0000-0000-0000DD070000}"/>
    <cellStyle name="Note 2" xfId="1541" xr:uid="{00000000-0005-0000-0000-0000DE070000}"/>
    <cellStyle name="Note 3" xfId="1542" xr:uid="{00000000-0005-0000-0000-0000DF070000}"/>
    <cellStyle name="Note 4" xfId="1543" xr:uid="{00000000-0005-0000-0000-0000E0070000}"/>
    <cellStyle name="Note 4 2" xfId="1544" xr:uid="{00000000-0005-0000-0000-0000E1070000}"/>
    <cellStyle name="Note 4 2 2" xfId="3536" xr:uid="{00000000-0005-0000-0000-00008A090000}"/>
    <cellStyle name="Note 4 2 3" xfId="3535" xr:uid="{00000000-0005-0000-0000-00008B090000}"/>
    <cellStyle name="Note 4 2 4" xfId="3769" xr:uid="{00000000-0005-0000-0000-0000E60E0000}"/>
    <cellStyle name="Note 4 3" xfId="1545" xr:uid="{00000000-0005-0000-0000-0000E2070000}"/>
    <cellStyle name="Note 4 3 2" xfId="11477" xr:uid="{00000000-0005-0000-0000-00000B2D0000}"/>
    <cellStyle name="Note 4 4" xfId="2073" xr:uid="{00000000-0005-0000-0000-000049030000}"/>
    <cellStyle name="Output 2" xfId="1546" xr:uid="{00000000-0005-0000-0000-0000E3070000}"/>
    <cellStyle name="Output 3" xfId="1547" xr:uid="{00000000-0005-0000-0000-0000E4070000}"/>
    <cellStyle name="Percent 2" xfId="1548" xr:uid="{00000000-0005-0000-0000-0000E5070000}"/>
    <cellStyle name="Percent 2 2" xfId="1549" xr:uid="{00000000-0005-0000-0000-0000E6070000}"/>
    <cellStyle name="Percent 3" xfId="1550" xr:uid="{00000000-0005-0000-0000-0000E7070000}"/>
    <cellStyle name="Percent 3 2" xfId="2034" xr:uid="{00000000-0005-0000-0000-0000E8070000}"/>
    <cellStyle name="Percent 3 2 2" xfId="6509" xr:uid="{00000000-0005-0000-0000-0000EE0B0000}"/>
    <cellStyle name="Percent 3 3" xfId="2035" xr:uid="{00000000-0005-0000-0000-0000E9070000}"/>
    <cellStyle name="Percent 3 4" xfId="2033" xr:uid="{00000000-0005-0000-0000-0000EA070000}"/>
    <cellStyle name="Percent 4" xfId="1551" xr:uid="{00000000-0005-0000-0000-0000EB070000}"/>
    <cellStyle name="Percent 4 2" xfId="2037" xr:uid="{00000000-0005-0000-0000-0000EC070000}"/>
    <cellStyle name="Percent 4 2 2" xfId="6444" xr:uid="{00000000-0005-0000-0000-0000EC070000}"/>
    <cellStyle name="Percent 4 2 3" xfId="7621" xr:uid="{00000000-0005-0000-0000-0000000D0000}"/>
    <cellStyle name="Percent 4 2 4" xfId="10019" xr:uid="{00000000-0005-0000-0000-0000000D0000}"/>
    <cellStyle name="Percent 4 2 5" xfId="4695" xr:uid="{00000000-0005-0000-0000-0000B9060000}"/>
    <cellStyle name="Percent 4 3" xfId="2038" xr:uid="{00000000-0005-0000-0000-0000ED070000}"/>
    <cellStyle name="Percent 4 3 2" xfId="6053" xr:uid="{00000000-0005-0000-0000-0000ED070000}"/>
    <cellStyle name="Percent 4 3 3" xfId="4751" xr:uid="{00000000-0005-0000-0000-0000BA060000}"/>
    <cellStyle name="Percent 4 4" xfId="2036" xr:uid="{00000000-0005-0000-0000-0000EE070000}"/>
    <cellStyle name="Percent 4 5" xfId="6076" xr:uid="{00000000-0005-0000-0000-0000EB070000}"/>
    <cellStyle name="Percent 4 6" xfId="6903" xr:uid="{00000000-0005-0000-0000-0000FF0C0000}"/>
    <cellStyle name="Percent 4 7" xfId="9324" xr:uid="{00000000-0005-0000-0000-0000FF0C0000}"/>
    <cellStyle name="Sheet Title" xfId="1552" xr:uid="{00000000-0005-0000-0000-0000EF070000}"/>
    <cellStyle name="Style 1" xfId="1553" xr:uid="{00000000-0005-0000-0000-0000F0070000}"/>
    <cellStyle name="Style 1 2" xfId="1554" xr:uid="{00000000-0005-0000-0000-0000F1070000}"/>
    <cellStyle name="Style 1 2 2" xfId="2040" xr:uid="{00000000-0005-0000-0000-0000F2070000}"/>
    <cellStyle name="Style 1 2 2 2" xfId="6479" xr:uid="{00000000-0005-0000-0000-0000F30B0000}"/>
    <cellStyle name="Style 1 2 3" xfId="2041" xr:uid="{00000000-0005-0000-0000-0000F3070000}"/>
    <cellStyle name="Style 1 2 4" xfId="2039" xr:uid="{00000000-0005-0000-0000-0000F4070000}"/>
    <cellStyle name="Style 1 3" xfId="1555" xr:uid="{00000000-0005-0000-0000-0000F5070000}"/>
    <cellStyle name="Style 1 4" xfId="2042" xr:uid="{00000000-0005-0000-0000-0000F6070000}"/>
    <cellStyle name="Style 1 4 2" xfId="6518" xr:uid="{00000000-0005-0000-0000-0000F60B0000}"/>
    <cellStyle name="Total 2" xfId="1556" xr:uid="{00000000-0005-0000-0000-0000F7070000}"/>
    <cellStyle name="Total 3" xfId="1557" xr:uid="{00000000-0005-0000-0000-0000F8070000}"/>
    <cellStyle name="Warning Text 2" xfId="1558" xr:uid="{00000000-0005-0000-0000-0000F9070000}"/>
    <cellStyle name="Warning Text 3" xfId="1559" xr:uid="{00000000-0005-0000-0000-0000FA070000}"/>
  </cellStyles>
  <dxfs count="86">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numFmt numFmtId="178" formatCode=";;;"/>
    </dxf>
    <dxf>
      <numFmt numFmtId="178" formatCode=";;;"/>
    </dxf>
    <dxf>
      <numFmt numFmtId="178" formatCode=";;;"/>
    </dxf>
    <dxf>
      <numFmt numFmtId="178" formatCode=";;;"/>
    </dxf>
    <dxf>
      <numFmt numFmtId="178" formatCode=";;;"/>
    </dxf>
    <dxf>
      <font>
        <color auto="1"/>
      </font>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numFmt numFmtId="178" formatCode=";;;"/>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99"/>
        </patternFill>
      </fill>
    </dxf>
    <dxf>
      <fill>
        <patternFill>
          <bgColor theme="7" tint="0.79998168889431442"/>
        </patternFill>
      </fill>
    </dxf>
    <dxf>
      <fill>
        <patternFill>
          <bgColor theme="7" tint="0.79998168889431442"/>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ctreasurer.com/slg/lfm/financial-analysis/Pages/Analysis-by-Population.aspx" TargetMode="External"/><Relationship Id="rId2" Type="http://schemas.openxmlformats.org/officeDocument/2006/relationships/hyperlink" Target="http://www.nctreasurer.com/lgc/units/unitlistjs.htm" TargetMode="External"/><Relationship Id="rId1" Type="http://schemas.openxmlformats.org/officeDocument/2006/relationships/hyperlink" Target="https://efc.sog.unc.edu/reslib/item/north-carolina-water-and-wastewater-rates-dashboar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4"/>
  <sheetViews>
    <sheetView workbookViewId="0">
      <selection activeCell="H4" sqref="H4"/>
    </sheetView>
  </sheetViews>
  <sheetFormatPr defaultRowHeight="15" x14ac:dyDescent="0.25"/>
  <cols>
    <col min="1" max="1" width="155" customWidth="1"/>
    <col min="2" max="3" width="9.140625" hidden="1" customWidth="1"/>
  </cols>
  <sheetData>
    <row r="2" spans="1:1" ht="33" x14ac:dyDescent="0.25">
      <c r="A2" s="40" t="s">
        <v>46</v>
      </c>
    </row>
    <row r="3" spans="1:1" ht="15.75" x14ac:dyDescent="0.25">
      <c r="A3" s="41" t="s">
        <v>47</v>
      </c>
    </row>
    <row r="4" spans="1:1" ht="126" x14ac:dyDescent="0.25">
      <c r="A4" s="42" t="s">
        <v>48</v>
      </c>
    </row>
    <row r="5" spans="1:1" x14ac:dyDescent="0.25">
      <c r="A5" s="43"/>
    </row>
    <row r="6" spans="1:1" x14ac:dyDescent="0.25">
      <c r="A6" s="44" t="s">
        <v>49</v>
      </c>
    </row>
    <row r="7" spans="1:1" x14ac:dyDescent="0.25">
      <c r="A7" s="45" t="s">
        <v>806</v>
      </c>
    </row>
    <row r="8" spans="1:1" x14ac:dyDescent="0.25">
      <c r="A8" s="44"/>
    </row>
    <row r="9" spans="1:1" x14ac:dyDescent="0.25">
      <c r="A9" s="44" t="s">
        <v>791</v>
      </c>
    </row>
    <row r="10" spans="1:1" x14ac:dyDescent="0.25">
      <c r="A10" s="45" t="s">
        <v>51</v>
      </c>
    </row>
    <row r="11" spans="1:1" x14ac:dyDescent="0.25">
      <c r="A11" s="44"/>
    </row>
    <row r="12" spans="1:1" x14ac:dyDescent="0.25">
      <c r="A12" s="44" t="s">
        <v>50</v>
      </c>
    </row>
    <row r="13" spans="1:1" x14ac:dyDescent="0.25">
      <c r="A13" s="406" t="s">
        <v>792</v>
      </c>
    </row>
    <row r="14" spans="1:1" x14ac:dyDescent="0.25">
      <c r="A14" s="44"/>
    </row>
    <row r="15" spans="1:1" ht="15.75" x14ac:dyDescent="0.25">
      <c r="A15" s="41" t="s">
        <v>52</v>
      </c>
    </row>
    <row r="16" spans="1:1" ht="47.25" x14ac:dyDescent="0.25">
      <c r="A16" s="42" t="s">
        <v>53</v>
      </c>
    </row>
    <row r="17" spans="1:1" ht="15.75" x14ac:dyDescent="0.25">
      <c r="A17" s="42"/>
    </row>
    <row r="18" spans="1:1" ht="118.5" customHeight="1" x14ac:dyDescent="0.25">
      <c r="A18" s="42" t="s">
        <v>807</v>
      </c>
    </row>
    <row r="19" spans="1:1" s="218" customFormat="1" ht="15.75" x14ac:dyDescent="0.25">
      <c r="A19" s="42"/>
    </row>
    <row r="20" spans="1:1" s="218" customFormat="1" ht="132.75" customHeight="1" x14ac:dyDescent="0.25">
      <c r="A20" s="42" t="s">
        <v>793</v>
      </c>
    </row>
    <row r="21" spans="1:1" ht="15.75" x14ac:dyDescent="0.25">
      <c r="A21" s="42"/>
    </row>
    <row r="22" spans="1:1" ht="39.75" customHeight="1" x14ac:dyDescent="0.25">
      <c r="A22" s="42" t="s">
        <v>54</v>
      </c>
    </row>
    <row r="23" spans="1:1" ht="15.75" x14ac:dyDescent="0.25">
      <c r="A23" s="46"/>
    </row>
    <row r="24" spans="1:1" ht="15.75" x14ac:dyDescent="0.25">
      <c r="A24" s="46" t="s">
        <v>723</v>
      </c>
    </row>
  </sheetData>
  <sheetProtection password="CEAA" sheet="1" formatCells="0" formatColumns="0" formatRows="0"/>
  <hyperlinks>
    <hyperlink ref="A7" r:id="rId1" xr:uid="{00000000-0004-0000-0000-000000000000}"/>
    <hyperlink ref="A10" r:id="rId2" display="http://www.nctreasurer.com/lgc/units/unitlistjs.htm" xr:uid="{00000000-0004-0000-0000-000001000000}"/>
    <hyperlink ref="A13"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43"/>
  <sheetViews>
    <sheetView tabSelected="1" zoomScaleNormal="100" workbookViewId="0">
      <pane ySplit="5" topLeftCell="A24" activePane="bottomLeft" state="frozen"/>
      <selection activeCell="A2" sqref="A2"/>
      <selection pane="bottomLeft" activeCell="D2" sqref="D2"/>
    </sheetView>
  </sheetViews>
  <sheetFormatPr defaultRowHeight="15" x14ac:dyDescent="0.25"/>
  <cols>
    <col min="1" max="1" width="5.85546875" style="26" customWidth="1"/>
    <col min="2" max="2" width="16.140625" style="23" customWidth="1"/>
    <col min="3" max="3" width="17.42578125" style="23" customWidth="1"/>
    <col min="4" max="4" width="46.28515625" style="1" customWidth="1"/>
    <col min="5" max="5" width="17.5703125" style="1" customWidth="1"/>
    <col min="6" max="6" width="21.5703125" style="1" customWidth="1"/>
    <col min="7" max="7" width="26.7109375" style="10" customWidth="1"/>
    <col min="8" max="8" width="17.140625" style="3" customWidth="1"/>
    <col min="9" max="9" width="24" style="1" customWidth="1"/>
    <col min="10" max="10" width="24" style="268" hidden="1" customWidth="1"/>
    <col min="11" max="11" width="13.28515625" style="1" hidden="1" customWidth="1"/>
    <col min="12" max="12" width="6.5703125" style="1" hidden="1" customWidth="1"/>
    <col min="13" max="13" width="6" style="1" hidden="1" customWidth="1"/>
    <col min="14" max="14" width="20.5703125" style="1" customWidth="1"/>
    <col min="15" max="15" width="11.7109375" style="1" customWidth="1"/>
    <col min="16" max="16384" width="9.140625" style="1"/>
  </cols>
  <sheetData>
    <row r="1" spans="1:15" ht="29.25" thickBot="1" x14ac:dyDescent="0.5">
      <c r="B1" s="33" t="s">
        <v>15</v>
      </c>
      <c r="C1" s="33"/>
      <c r="E1" s="37" t="s">
        <v>45</v>
      </c>
      <c r="F1" s="19">
        <v>2019</v>
      </c>
      <c r="G1" s="460" t="s">
        <v>148</v>
      </c>
      <c r="H1" s="461"/>
      <c r="I1" s="462"/>
      <c r="K1" s="1" t="s">
        <v>70</v>
      </c>
      <c r="M1" s="1">
        <v>547</v>
      </c>
      <c r="N1" s="465" t="s">
        <v>990</v>
      </c>
    </row>
    <row r="2" spans="1:15" ht="44.25" customHeight="1" thickBot="1" x14ac:dyDescent="0.4">
      <c r="B2" s="686" t="s">
        <v>606</v>
      </c>
      <c r="C2" s="687"/>
      <c r="D2" s="289"/>
      <c r="E2" s="684" t="s">
        <v>647</v>
      </c>
      <c r="F2" s="684"/>
      <c r="G2" s="685"/>
      <c r="H2" s="15"/>
      <c r="K2" s="1" t="s">
        <v>71</v>
      </c>
      <c r="L2" s="361">
        <v>50</v>
      </c>
      <c r="M2" s="1">
        <v>1</v>
      </c>
    </row>
    <row r="3" spans="1:15" ht="19.5" thickBot="1" x14ac:dyDescent="0.35">
      <c r="B3" s="24" t="s">
        <v>0</v>
      </c>
      <c r="C3" s="132"/>
      <c r="D3" s="216" t="e">
        <f>VLOOKUP(D2,'Unit Names'!A1:B79,2,FALSE)</f>
        <v>#N/A</v>
      </c>
      <c r="E3" s="131"/>
      <c r="F3" s="64"/>
      <c r="G3" s="12"/>
      <c r="H3" s="15"/>
      <c r="L3" s="361">
        <v>51</v>
      </c>
      <c r="M3" s="1">
        <v>2</v>
      </c>
    </row>
    <row r="4" spans="1:15" ht="19.5" thickBot="1" x14ac:dyDescent="0.35">
      <c r="B4" s="32" t="s">
        <v>64</v>
      </c>
      <c r="C4" s="133"/>
      <c r="D4" s="31"/>
      <c r="E4" s="31"/>
      <c r="F4" s="48"/>
      <c r="G4" s="13"/>
      <c r="H4" s="15"/>
      <c r="I4" s="17"/>
      <c r="J4" s="17"/>
      <c r="K4" s="1" t="s">
        <v>722</v>
      </c>
      <c r="L4" s="361">
        <v>52</v>
      </c>
      <c r="M4" s="268">
        <v>3</v>
      </c>
    </row>
    <row r="5" spans="1:15" ht="37.5" customHeight="1" x14ac:dyDescent="0.35">
      <c r="A5" s="27" t="s">
        <v>149</v>
      </c>
      <c r="B5" s="21" t="s">
        <v>130</v>
      </c>
      <c r="C5" s="21" t="s">
        <v>151</v>
      </c>
      <c r="D5" s="5" t="s">
        <v>1</v>
      </c>
      <c r="E5" s="57">
        <v>2018</v>
      </c>
      <c r="F5" s="128">
        <v>2019</v>
      </c>
      <c r="G5" s="14" t="s">
        <v>13</v>
      </c>
      <c r="H5" s="295" t="s">
        <v>655</v>
      </c>
      <c r="I5" s="296" t="s">
        <v>17</v>
      </c>
      <c r="J5" s="296"/>
      <c r="K5" s="268" t="s">
        <v>721</v>
      </c>
      <c r="M5" s="268">
        <v>4</v>
      </c>
    </row>
    <row r="6" spans="1:15" ht="22.5" customHeight="1" x14ac:dyDescent="0.25">
      <c r="A6" s="28"/>
      <c r="B6" s="144" t="s">
        <v>150</v>
      </c>
      <c r="C6" s="136"/>
      <c r="D6" s="137"/>
      <c r="E6" s="135"/>
      <c r="F6" s="138"/>
      <c r="G6" s="139"/>
      <c r="H6" s="16"/>
      <c r="N6" s="385"/>
    </row>
    <row r="7" spans="1:15" s="4" customFormat="1" ht="57.75" customHeight="1" x14ac:dyDescent="0.25">
      <c r="A7" s="219">
        <v>333</v>
      </c>
      <c r="B7" s="177" t="s">
        <v>86</v>
      </c>
      <c r="C7" s="212" t="s">
        <v>152</v>
      </c>
      <c r="D7" s="195" t="s">
        <v>611</v>
      </c>
      <c r="E7" s="36" t="e">
        <f>HLOOKUP($D$2,'2018 Data'!$C$1:$CL$284,99,FALSE)</f>
        <v>#N/A</v>
      </c>
      <c r="F7" s="485"/>
      <c r="G7" s="8">
        <f>IF(F7&lt;0,"Note: Number is normally positive.",)</f>
        <v>0</v>
      </c>
      <c r="H7" s="20"/>
      <c r="I7" s="356"/>
      <c r="J7" s="534" t="s">
        <v>905</v>
      </c>
      <c r="K7" s="362"/>
      <c r="N7" s="453"/>
    </row>
    <row r="8" spans="1:15" s="4" customFormat="1" ht="48" customHeight="1" x14ac:dyDescent="0.25">
      <c r="A8" s="219">
        <v>500</v>
      </c>
      <c r="B8" s="177" t="s">
        <v>74</v>
      </c>
      <c r="C8" s="212" t="s">
        <v>152</v>
      </c>
      <c r="D8" s="195" t="s">
        <v>153</v>
      </c>
      <c r="E8" s="36" t="e">
        <f>HLOOKUP($D$2,'2018 Data'!$C$1:$CL$284,150,FALSE)</f>
        <v>#N/A</v>
      </c>
      <c r="F8" s="485"/>
      <c r="G8" s="79">
        <f>IF(F8&lt;0,"Note: Number is normally positive.",)</f>
        <v>0</v>
      </c>
      <c r="H8" s="20"/>
      <c r="I8" s="176"/>
      <c r="J8" s="526" t="s">
        <v>906</v>
      </c>
      <c r="K8" s="362"/>
      <c r="N8" s="454"/>
      <c r="O8" s="386"/>
    </row>
    <row r="9" spans="1:15" ht="40.5" x14ac:dyDescent="0.25">
      <c r="A9" s="219">
        <v>385</v>
      </c>
      <c r="B9" s="73" t="s">
        <v>79</v>
      </c>
      <c r="C9" s="212" t="s">
        <v>152</v>
      </c>
      <c r="D9" s="204" t="s">
        <v>154</v>
      </c>
      <c r="E9" s="36" t="e">
        <f>HLOOKUP($D$2,'2018 Data'!$C$1:$CL$284,282,FALSE)</f>
        <v>#N/A</v>
      </c>
      <c r="F9" s="485"/>
      <c r="G9" s="79">
        <f>IF((F7+F8)&gt;F9,"Error: Please review cells (F7+F8)&gt;F9",)</f>
        <v>0</v>
      </c>
      <c r="H9" s="16"/>
      <c r="I9" s="357"/>
      <c r="J9" s="526" t="s">
        <v>907</v>
      </c>
      <c r="K9" s="362"/>
      <c r="N9" s="454"/>
      <c r="O9" s="386"/>
    </row>
    <row r="10" spans="1:15" s="4" customFormat="1" ht="105" customHeight="1" x14ac:dyDescent="0.25">
      <c r="A10" s="219">
        <v>575</v>
      </c>
      <c r="B10" s="177" t="s">
        <v>89</v>
      </c>
      <c r="C10" s="212" t="s">
        <v>152</v>
      </c>
      <c r="D10" s="368" t="s">
        <v>788</v>
      </c>
      <c r="E10" s="36" t="e">
        <f>HLOOKUP($D$2,'2018 Data'!$C$1:$CL$284,225,FALSE)</f>
        <v>#N/A</v>
      </c>
      <c r="F10" s="485"/>
      <c r="G10" s="79">
        <f>IF(F10&lt;0,"Note: Number is normally positive.",)</f>
        <v>0</v>
      </c>
      <c r="H10" s="223"/>
      <c r="I10" s="358"/>
      <c r="J10" s="521" t="s">
        <v>908</v>
      </c>
      <c r="K10" s="362"/>
      <c r="N10" s="385"/>
      <c r="O10" s="386"/>
    </row>
    <row r="11" spans="1:15" s="4" customFormat="1" ht="120" customHeight="1" x14ac:dyDescent="0.25">
      <c r="A11" s="219">
        <v>576</v>
      </c>
      <c r="B11" s="177" t="s">
        <v>89</v>
      </c>
      <c r="C11" s="212" t="s">
        <v>152</v>
      </c>
      <c r="D11" s="368" t="s">
        <v>794</v>
      </c>
      <c r="E11" s="36" t="e">
        <f>HLOOKUP($D$2,'2018 Data'!$C$1:$CL$284,226,FALSE)</f>
        <v>#N/A</v>
      </c>
      <c r="F11" s="485"/>
      <c r="G11" s="79">
        <f>IF(F11&lt;0,"Error: Enter as positive.",)</f>
        <v>0</v>
      </c>
      <c r="H11" s="223"/>
      <c r="I11" s="358"/>
      <c r="J11" s="521" t="s">
        <v>909</v>
      </c>
      <c r="K11" s="362"/>
      <c r="N11" s="454"/>
      <c r="O11" s="386"/>
    </row>
    <row r="12" spans="1:15" ht="190.5" customHeight="1" x14ac:dyDescent="0.25">
      <c r="A12" s="219">
        <v>336</v>
      </c>
      <c r="B12" s="73" t="s">
        <v>75</v>
      </c>
      <c r="C12" s="212" t="s">
        <v>152</v>
      </c>
      <c r="D12" s="407" t="s">
        <v>797</v>
      </c>
      <c r="E12" s="36" t="e">
        <f>HLOOKUP($D$2,'2018 Data'!$C$1:$CL$284,283,FALSE)</f>
        <v>#N/A</v>
      </c>
      <c r="F12" s="485"/>
      <c r="G12" s="79">
        <f>IF(F12&lt;0,"Error: Enter as positive.",)</f>
        <v>0</v>
      </c>
      <c r="H12" s="16"/>
      <c r="I12" s="357"/>
      <c r="J12" s="526" t="s">
        <v>910</v>
      </c>
      <c r="K12" s="362"/>
      <c r="N12" s="454"/>
      <c r="O12" s="386"/>
    </row>
    <row r="13" spans="1:15" ht="40.5" x14ac:dyDescent="0.25">
      <c r="A13" s="219">
        <v>338</v>
      </c>
      <c r="B13" s="73" t="s">
        <v>75</v>
      </c>
      <c r="C13" s="212" t="s">
        <v>152</v>
      </c>
      <c r="D13" s="204" t="s">
        <v>155</v>
      </c>
      <c r="E13" s="36" t="e">
        <f>HLOOKUP($D$2,'2018 Data'!$C$1:$CL$284,284,FALSE)</f>
        <v>#N/A</v>
      </c>
      <c r="F13" s="485"/>
      <c r="G13" s="8">
        <f>IF(F12&gt;F13,"Error: Please review accts 336 &gt; 338",)</f>
        <v>0</v>
      </c>
      <c r="H13" s="16"/>
      <c r="I13" s="357"/>
      <c r="J13" s="533" t="s">
        <v>911</v>
      </c>
      <c r="K13" s="362"/>
      <c r="N13" s="453"/>
      <c r="O13" s="386"/>
    </row>
    <row r="14" spans="1:15" ht="102.75" customHeight="1" x14ac:dyDescent="0.25">
      <c r="A14" s="219">
        <v>335</v>
      </c>
      <c r="B14" s="73" t="s">
        <v>75</v>
      </c>
      <c r="C14" s="212" t="s">
        <v>152</v>
      </c>
      <c r="D14" s="161" t="s">
        <v>676</v>
      </c>
      <c r="E14" s="36" t="e">
        <f>HLOOKUP($D$2,'2018 Data'!$C$1:$CL$284,101,FALSE)</f>
        <v>#N/A</v>
      </c>
      <c r="F14" s="485"/>
      <c r="G14" s="8">
        <f>IF(F14&lt;0,"Error: Enter as positive.",)</f>
        <v>0</v>
      </c>
      <c r="H14" s="16"/>
      <c r="I14" s="359"/>
      <c r="J14" s="523" t="s">
        <v>912</v>
      </c>
      <c r="K14" s="362"/>
      <c r="N14" s="453"/>
      <c r="O14" s="386"/>
    </row>
    <row r="15" spans="1:15" ht="40.5" x14ac:dyDescent="0.25">
      <c r="A15" s="219">
        <v>252</v>
      </c>
      <c r="B15" s="73" t="s">
        <v>75</v>
      </c>
      <c r="C15" s="212" t="s">
        <v>152</v>
      </c>
      <c r="D15" s="204" t="s">
        <v>156</v>
      </c>
      <c r="E15" s="36" t="e">
        <f>HLOOKUP($D$2,'2018 Data'!$C$1:$CL$284,78,FALSE)</f>
        <v>#N/A</v>
      </c>
      <c r="F15" s="485"/>
      <c r="G15" s="9"/>
      <c r="H15" s="16"/>
      <c r="I15" s="35"/>
      <c r="J15" s="533" t="s">
        <v>913</v>
      </c>
      <c r="K15" s="362"/>
      <c r="N15" s="453"/>
      <c r="O15" s="386"/>
    </row>
    <row r="16" spans="1:15" ht="40.5" x14ac:dyDescent="0.25">
      <c r="A16" s="219">
        <v>253</v>
      </c>
      <c r="B16" s="73" t="s">
        <v>75</v>
      </c>
      <c r="C16" s="212" t="s">
        <v>152</v>
      </c>
      <c r="D16" s="205" t="s">
        <v>157</v>
      </c>
      <c r="E16" s="36" t="e">
        <f>HLOOKUP($D$2,'2018 Data'!$C$1:$CL$284,79,FALSE)</f>
        <v>#N/A</v>
      </c>
      <c r="F16" s="485"/>
      <c r="G16" s="8"/>
      <c r="H16" s="16"/>
      <c r="I16" s="35"/>
      <c r="J16" s="533" t="s">
        <v>914</v>
      </c>
      <c r="K16" s="362"/>
      <c r="N16" s="453"/>
      <c r="O16" s="386"/>
    </row>
    <row r="17" spans="1:15" ht="100.5" customHeight="1" x14ac:dyDescent="0.25">
      <c r="A17" s="219">
        <v>254</v>
      </c>
      <c r="B17" s="73" t="s">
        <v>75</v>
      </c>
      <c r="C17" s="212" t="s">
        <v>152</v>
      </c>
      <c r="D17" s="205" t="s">
        <v>808</v>
      </c>
      <c r="E17" s="36" t="e">
        <f>HLOOKUP($D$2,'2018 Data'!$C$1:$CL$284,80,FALSE)</f>
        <v>#N/A</v>
      </c>
      <c r="F17" s="485"/>
      <c r="G17" s="79">
        <f>IF(F9-F13-F15-F16-F17=0,,"Error: Total assets and deferred outflows less total liabilities and deferred inflows do not equal total net position. Cells F9-F13-F15-F16-F17 = 0.  The amount the formula is off is located in the cell to the right")</f>
        <v>0</v>
      </c>
      <c r="H17" s="223">
        <f>F9-F13-F15-F16-F17</f>
        <v>0</v>
      </c>
      <c r="I17" s="35"/>
      <c r="J17" s="533" t="s">
        <v>915</v>
      </c>
      <c r="K17" s="362"/>
      <c r="N17" s="453"/>
      <c r="O17" s="386"/>
    </row>
    <row r="18" spans="1:15" x14ac:dyDescent="0.25">
      <c r="A18" s="219"/>
      <c r="B18" s="191" t="s">
        <v>158</v>
      </c>
      <c r="C18" s="190"/>
      <c r="D18" s="183"/>
      <c r="E18" s="164"/>
      <c r="F18" s="495"/>
      <c r="G18" s="140"/>
      <c r="H18" s="16"/>
      <c r="I18" s="35"/>
      <c r="J18" s="533" t="s">
        <v>916</v>
      </c>
      <c r="K18" s="362"/>
      <c r="N18" s="385"/>
      <c r="O18" s="386"/>
    </row>
    <row r="19" spans="1:15" ht="52.5" customHeight="1" x14ac:dyDescent="0.25">
      <c r="A19" s="219">
        <v>502</v>
      </c>
      <c r="B19" s="73" t="s">
        <v>74</v>
      </c>
      <c r="C19" s="212" t="s">
        <v>161</v>
      </c>
      <c r="D19" s="195" t="s">
        <v>159</v>
      </c>
      <c r="E19" s="36" t="e">
        <f>HLOOKUP($D$2,'2018 Data'!$C$1:$CL$284,152,FALSE)</f>
        <v>#N/A</v>
      </c>
      <c r="F19" s="485"/>
      <c r="G19" s="8">
        <f>IF(F19&lt;0,"Note: Number is normally positive.",)</f>
        <v>0</v>
      </c>
      <c r="H19" s="16"/>
      <c r="I19" s="35"/>
      <c r="J19" s="533" t="s">
        <v>917</v>
      </c>
      <c r="K19" s="362"/>
      <c r="N19" s="385"/>
      <c r="O19" s="386"/>
    </row>
    <row r="20" spans="1:15" ht="75" customHeight="1" x14ac:dyDescent="0.25">
      <c r="A20" s="219">
        <v>503</v>
      </c>
      <c r="B20" s="73" t="s">
        <v>74</v>
      </c>
      <c r="C20" s="212" t="s">
        <v>161</v>
      </c>
      <c r="D20" s="205" t="s">
        <v>160</v>
      </c>
      <c r="E20" s="36" t="e">
        <f>HLOOKUP($D$2,'2018 Data'!$C$1:$CL$284,153,FALSE)</f>
        <v>#N/A</v>
      </c>
      <c r="F20" s="485"/>
      <c r="G20" s="8">
        <f>IF(F20&lt;0,"Note: Number is normally positive.",)</f>
        <v>0</v>
      </c>
      <c r="H20" s="16"/>
      <c r="I20" s="35"/>
      <c r="J20" s="533" t="s">
        <v>918</v>
      </c>
      <c r="K20" s="362"/>
      <c r="N20" s="385"/>
      <c r="O20" s="386"/>
    </row>
    <row r="21" spans="1:15" ht="18.75" x14ac:dyDescent="0.25">
      <c r="A21" s="219"/>
      <c r="B21" s="191" t="s">
        <v>162</v>
      </c>
      <c r="C21" s="190"/>
      <c r="D21" s="141"/>
      <c r="E21" s="164"/>
      <c r="F21" s="484"/>
      <c r="G21" s="139"/>
      <c r="H21" s="16"/>
      <c r="I21" s="35"/>
      <c r="J21" s="533" t="s">
        <v>919</v>
      </c>
      <c r="K21" s="362"/>
      <c r="N21" s="385"/>
      <c r="O21" s="386"/>
    </row>
    <row r="22" spans="1:15" ht="49.5" customHeight="1" x14ac:dyDescent="0.25">
      <c r="A22" s="219">
        <v>344</v>
      </c>
      <c r="B22" s="73" t="s">
        <v>75</v>
      </c>
      <c r="C22" s="189" t="s">
        <v>170</v>
      </c>
      <c r="D22" s="205" t="s">
        <v>163</v>
      </c>
      <c r="E22" s="36" t="e">
        <f>HLOOKUP($D$2,'2018 Data'!$C$1:$CL$284,110,FALSE)</f>
        <v>#N/A</v>
      </c>
      <c r="F22" s="485"/>
      <c r="G22" s="8">
        <f t="shared" ref="G22:G30" si="0">IF(F22&lt;0,"Error: Enter as positive.",)</f>
        <v>0</v>
      </c>
      <c r="H22" s="16"/>
      <c r="I22" s="35"/>
      <c r="J22" s="533" t="s">
        <v>920</v>
      </c>
      <c r="K22" s="362"/>
      <c r="N22" s="385"/>
      <c r="O22" s="386"/>
    </row>
    <row r="23" spans="1:15" ht="49.5" customHeight="1" x14ac:dyDescent="0.25">
      <c r="A23" s="219">
        <v>388</v>
      </c>
      <c r="B23" s="73" t="s">
        <v>79</v>
      </c>
      <c r="C23" s="189" t="s">
        <v>170</v>
      </c>
      <c r="D23" s="205" t="s">
        <v>164</v>
      </c>
      <c r="E23" s="36" t="e">
        <f>HLOOKUP($D$2,'2018 Data'!$C$1:$CL$284,147,FALSE)</f>
        <v>#N/A</v>
      </c>
      <c r="F23" s="485"/>
      <c r="G23" s="8">
        <f t="shared" si="0"/>
        <v>0</v>
      </c>
      <c r="H23" s="16"/>
      <c r="I23" s="35"/>
      <c r="J23" s="533" t="s">
        <v>921</v>
      </c>
      <c r="K23" s="362"/>
      <c r="N23" s="453"/>
      <c r="O23" s="386"/>
    </row>
    <row r="24" spans="1:15" ht="51.75" customHeight="1" x14ac:dyDescent="0.25">
      <c r="A24" s="219">
        <v>339</v>
      </c>
      <c r="B24" s="73" t="s">
        <v>75</v>
      </c>
      <c r="C24" s="189" t="s">
        <v>170</v>
      </c>
      <c r="D24" s="205" t="s">
        <v>165</v>
      </c>
      <c r="E24" s="36" t="e">
        <f>HLOOKUP($D$2,'2018 Data'!$C$1:$CL$284,105,FALSE)</f>
        <v>#N/A</v>
      </c>
      <c r="F24" s="485"/>
      <c r="G24" s="8">
        <f t="shared" si="0"/>
        <v>0</v>
      </c>
      <c r="H24" s="16"/>
      <c r="I24" s="35"/>
      <c r="J24" s="533" t="s">
        <v>922</v>
      </c>
      <c r="K24" s="362"/>
      <c r="N24" s="453"/>
      <c r="O24" s="386"/>
    </row>
    <row r="25" spans="1:15" ht="50.25" customHeight="1" x14ac:dyDescent="0.25">
      <c r="A25" s="219">
        <v>504</v>
      </c>
      <c r="B25" s="73" t="s">
        <v>75</v>
      </c>
      <c r="C25" s="189" t="s">
        <v>170</v>
      </c>
      <c r="D25" s="205" t="s">
        <v>166</v>
      </c>
      <c r="E25" s="36" t="e">
        <f>HLOOKUP($D$2,'2018 Data'!$C$1:$CL$284,154,FALSE)</f>
        <v>#N/A</v>
      </c>
      <c r="F25" s="485"/>
      <c r="G25" s="8">
        <f t="shared" si="0"/>
        <v>0</v>
      </c>
      <c r="H25" s="16"/>
      <c r="I25" s="35"/>
      <c r="J25" s="533" t="s">
        <v>923</v>
      </c>
      <c r="K25" s="362"/>
      <c r="N25" s="453"/>
      <c r="O25" s="386"/>
    </row>
    <row r="26" spans="1:15" ht="60" customHeight="1" x14ac:dyDescent="0.25">
      <c r="A26" s="219">
        <v>505</v>
      </c>
      <c r="B26" s="73" t="s">
        <v>75</v>
      </c>
      <c r="C26" s="189" t="s">
        <v>170</v>
      </c>
      <c r="D26" s="143" t="s">
        <v>167</v>
      </c>
      <c r="E26" s="36" t="e">
        <f>HLOOKUP($D$2,'2018 Data'!$C$1:$CL$284,155,FALSE)</f>
        <v>#N/A</v>
      </c>
      <c r="F26" s="485"/>
      <c r="G26" s="8">
        <f t="shared" si="0"/>
        <v>0</v>
      </c>
      <c r="H26" s="16"/>
      <c r="I26" s="35"/>
      <c r="J26" s="533" t="s">
        <v>924</v>
      </c>
      <c r="K26" s="362"/>
      <c r="N26" s="453"/>
      <c r="O26" s="386"/>
    </row>
    <row r="27" spans="1:15" ht="67.900000000000006" customHeight="1" x14ac:dyDescent="0.25">
      <c r="A27" s="219">
        <v>341</v>
      </c>
      <c r="B27" s="73" t="s">
        <v>75</v>
      </c>
      <c r="C27" s="189" t="s">
        <v>170</v>
      </c>
      <c r="D27" s="142" t="s">
        <v>628</v>
      </c>
      <c r="E27" s="36" t="e">
        <f>HLOOKUP($D$2,'2018 Data'!$C$1:$CL$284,107,FALSE)</f>
        <v>#N/A</v>
      </c>
      <c r="F27" s="485"/>
      <c r="G27" s="8">
        <f t="shared" si="0"/>
        <v>0</v>
      </c>
      <c r="H27" s="16"/>
      <c r="I27" s="35"/>
      <c r="J27" s="533" t="s">
        <v>925</v>
      </c>
      <c r="K27" s="362"/>
      <c r="N27" s="453"/>
      <c r="O27" s="386"/>
    </row>
    <row r="28" spans="1:15" ht="44.25" customHeight="1" x14ac:dyDescent="0.25">
      <c r="A28" s="219">
        <v>386</v>
      </c>
      <c r="B28" s="73" t="s">
        <v>75</v>
      </c>
      <c r="C28" s="189" t="s">
        <v>170</v>
      </c>
      <c r="D28" s="205" t="s">
        <v>171</v>
      </c>
      <c r="E28" s="36" t="e">
        <f>HLOOKUP($D$2,'2018 Data'!$C$1:$CL$284,145,FALSE)</f>
        <v>#N/A</v>
      </c>
      <c r="F28" s="485"/>
      <c r="G28" s="8">
        <f t="shared" si="0"/>
        <v>0</v>
      </c>
      <c r="H28" s="16"/>
      <c r="I28" s="35"/>
      <c r="J28" s="533" t="s">
        <v>926</v>
      </c>
      <c r="K28" s="362"/>
      <c r="N28" s="385"/>
      <c r="O28" s="386"/>
    </row>
    <row r="29" spans="1:15" ht="48.75" customHeight="1" x14ac:dyDescent="0.25">
      <c r="A29" s="219">
        <v>387</v>
      </c>
      <c r="B29" s="73" t="s">
        <v>79</v>
      </c>
      <c r="C29" s="189" t="s">
        <v>170</v>
      </c>
      <c r="D29" s="205" t="s">
        <v>172</v>
      </c>
      <c r="E29" s="36" t="e">
        <f>HLOOKUP($D$2,'2018 Data'!$C$1:$CL$284,146,FALSE)</f>
        <v>#N/A</v>
      </c>
      <c r="F29" s="485"/>
      <c r="G29" s="8">
        <f t="shared" si="0"/>
        <v>0</v>
      </c>
      <c r="H29" s="16"/>
      <c r="I29" s="35"/>
      <c r="J29" s="533" t="s">
        <v>927</v>
      </c>
      <c r="K29" s="362"/>
      <c r="N29" s="385"/>
      <c r="O29" s="386"/>
    </row>
    <row r="30" spans="1:15" ht="75" customHeight="1" x14ac:dyDescent="0.25">
      <c r="A30" s="219">
        <v>389</v>
      </c>
      <c r="B30" s="73" t="s">
        <v>79</v>
      </c>
      <c r="C30" s="189" t="s">
        <v>170</v>
      </c>
      <c r="D30" s="195" t="s">
        <v>265</v>
      </c>
      <c r="E30" s="36" t="e">
        <f>HLOOKUP($D$2,'2018 Data'!$C$1:$CL$284,148,FALSE)</f>
        <v>#N/A</v>
      </c>
      <c r="F30" s="485"/>
      <c r="G30" s="8">
        <f t="shared" si="0"/>
        <v>0</v>
      </c>
      <c r="H30" s="16"/>
      <c r="I30" s="35"/>
      <c r="J30" s="533" t="s">
        <v>928</v>
      </c>
      <c r="K30" s="362"/>
      <c r="N30" s="453"/>
      <c r="O30" s="386"/>
    </row>
    <row r="31" spans="1:15" ht="84.75" customHeight="1" x14ac:dyDescent="0.25">
      <c r="A31" s="219">
        <v>255</v>
      </c>
      <c r="B31" s="73" t="s">
        <v>75</v>
      </c>
      <c r="C31" s="189" t="s">
        <v>170</v>
      </c>
      <c r="D31" s="195" t="s">
        <v>266</v>
      </c>
      <c r="E31" s="36" t="e">
        <f>HLOOKUP($D$2,'2018 Data'!$C$1:$CL$284,81,FALSE)</f>
        <v>#N/A</v>
      </c>
      <c r="F31" s="485"/>
      <c r="G31" s="79">
        <f>IF(F24+F25+F26+F27+F28-F29+F30-F23-F31=0,,"Error: Total revenues less total expenses do not equal total change in net position. Cells F24+F25+F26+F27+F28-F29+F30-F23-F31 = 0  The amount the formula is off is located in the cell to the right")</f>
        <v>0</v>
      </c>
      <c r="H31" s="223">
        <f>F24+F25+F26+F27+F28-F29+F30-F23-F31</f>
        <v>0</v>
      </c>
      <c r="I31" s="35"/>
      <c r="J31" s="533" t="s">
        <v>929</v>
      </c>
      <c r="K31" s="362"/>
      <c r="N31" s="453"/>
      <c r="O31" s="386"/>
    </row>
    <row r="32" spans="1:15" ht="74.25" customHeight="1" x14ac:dyDescent="0.25">
      <c r="A32" s="219">
        <v>376</v>
      </c>
      <c r="B32" s="73" t="s">
        <v>75</v>
      </c>
      <c r="C32" s="189" t="s">
        <v>170</v>
      </c>
      <c r="D32" s="161" t="s">
        <v>629</v>
      </c>
      <c r="E32" s="36" t="e">
        <f>HLOOKUP($D$2,'2018 Data'!$C$1:$CL$284,135,FALSE)</f>
        <v>#N/A</v>
      </c>
      <c r="F32" s="485"/>
      <c r="G32" s="346" t="e">
        <f>IF(F15+F16+F17-F31-F32-(E15+E16+E17)=0,,"Error: Beginning Balance does not agree with our records.  Cells F15+F16+F17-F31-F32-(E15+ E16+ E17)=0  The amount the formula is off is located in the cell to the right")</f>
        <v>#N/A</v>
      </c>
      <c r="H32" s="347" t="e">
        <f>F15+F16+F17-F31-F32-(E15+E16+E17)</f>
        <v>#N/A</v>
      </c>
      <c r="I32" s="35"/>
      <c r="J32" s="533" t="s">
        <v>930</v>
      </c>
      <c r="K32" s="362"/>
      <c r="N32" s="453"/>
      <c r="O32" s="386"/>
    </row>
    <row r="33" spans="1:17" s="4" customFormat="1" ht="105" x14ac:dyDescent="0.25">
      <c r="A33" s="219">
        <v>597</v>
      </c>
      <c r="B33" s="177" t="s">
        <v>725</v>
      </c>
      <c r="C33" s="177" t="s">
        <v>786</v>
      </c>
      <c r="D33" s="409" t="s">
        <v>787</v>
      </c>
      <c r="E33" s="36" t="e">
        <f>HLOOKUP($D$2,'2018 Data'!$C$1:$CL$284,256,FALSE)</f>
        <v>#N/A</v>
      </c>
      <c r="F33" s="485"/>
      <c r="G33" s="79">
        <f>IF(F33&lt;0,"Note: Number is normally positive.",)</f>
        <v>0</v>
      </c>
      <c r="H33" s="20"/>
      <c r="I33" s="356"/>
      <c r="J33" s="534" t="s">
        <v>931</v>
      </c>
      <c r="K33" s="362"/>
      <c r="N33" s="453"/>
      <c r="O33" s="386"/>
    </row>
    <row r="34" spans="1:17" s="268" customFormat="1" ht="18.75" x14ac:dyDescent="0.25">
      <c r="A34" s="219"/>
      <c r="B34" s="191" t="s">
        <v>724</v>
      </c>
      <c r="C34" s="190"/>
      <c r="D34" s="141"/>
      <c r="E34" s="164"/>
      <c r="F34" s="484"/>
      <c r="G34" s="181"/>
      <c r="H34" s="76"/>
      <c r="I34" s="35"/>
      <c r="J34" s="533" t="s">
        <v>932</v>
      </c>
      <c r="K34" s="362"/>
      <c r="N34" s="386"/>
      <c r="O34" s="386"/>
    </row>
    <row r="35" spans="1:17" s="4" customFormat="1" ht="73.5" customHeight="1" x14ac:dyDescent="0.25">
      <c r="A35" s="219">
        <v>592</v>
      </c>
      <c r="B35" s="410" t="s">
        <v>725</v>
      </c>
      <c r="C35" s="411" t="s">
        <v>726</v>
      </c>
      <c r="D35" s="154" t="s">
        <v>728</v>
      </c>
      <c r="E35" s="36" t="e">
        <f>HLOOKUP($D$2,'2018 Data'!$C$1:$CL$284,253,FALSE)</f>
        <v>#N/A</v>
      </c>
      <c r="F35" s="483"/>
      <c r="G35" s="79"/>
      <c r="H35" s="176"/>
      <c r="J35" s="533" t="s">
        <v>933</v>
      </c>
      <c r="K35" s="362"/>
      <c r="N35" s="453"/>
      <c r="O35" s="386"/>
    </row>
    <row r="36" spans="1:17" s="4" customFormat="1" ht="71.25" customHeight="1" x14ac:dyDescent="0.25">
      <c r="A36" s="219">
        <v>591</v>
      </c>
      <c r="B36" s="410" t="s">
        <v>725</v>
      </c>
      <c r="C36" s="411" t="s">
        <v>726</v>
      </c>
      <c r="D36" s="205" t="s">
        <v>727</v>
      </c>
      <c r="E36" s="36" t="e">
        <f>HLOOKUP($D$2,'2018 Data'!$C$1:$CL$284,252,FALSE)</f>
        <v>#N/A</v>
      </c>
      <c r="F36" s="483"/>
      <c r="G36" s="79">
        <f>IF(F36&lt;0,"Error: Enter as positive.",)</f>
        <v>0</v>
      </c>
      <c r="H36" s="176"/>
      <c r="J36" s="534" t="s">
        <v>934</v>
      </c>
      <c r="K36" s="362"/>
      <c r="N36" s="454"/>
      <c r="O36" s="386"/>
    </row>
    <row r="37" spans="1:17" ht="25.5" customHeight="1" x14ac:dyDescent="0.25">
      <c r="A37" s="220"/>
      <c r="B37" s="191" t="s">
        <v>173</v>
      </c>
      <c r="C37" s="190"/>
      <c r="D37" s="145"/>
      <c r="E37" s="164"/>
      <c r="F37" s="494"/>
      <c r="G37" s="146"/>
      <c r="H37" s="16"/>
      <c r="I37" s="35"/>
      <c r="J37" s="534" t="s">
        <v>935</v>
      </c>
      <c r="K37" s="362"/>
      <c r="N37" s="386"/>
      <c r="O37" s="386"/>
    </row>
    <row r="38" spans="1:17" s="4" customFormat="1" ht="55.5" customHeight="1" x14ac:dyDescent="0.25">
      <c r="A38" s="219">
        <v>506</v>
      </c>
      <c r="B38" s="74" t="s">
        <v>74</v>
      </c>
      <c r="C38" s="147" t="s">
        <v>177</v>
      </c>
      <c r="D38" s="205" t="s">
        <v>612</v>
      </c>
      <c r="E38" s="36" t="e">
        <f>HLOOKUP($D$2,'2018 Data'!$C$1:$CL$284,156,FALSE)</f>
        <v>#N/A</v>
      </c>
      <c r="F38" s="485"/>
      <c r="G38" s="79">
        <f>IF(F38&lt;0,"Note: Number is normally positive.",)</f>
        <v>0</v>
      </c>
      <c r="H38" s="20"/>
      <c r="I38" s="35"/>
      <c r="J38" s="533" t="s">
        <v>936</v>
      </c>
      <c r="K38" s="362"/>
      <c r="N38" s="453"/>
      <c r="O38" s="386"/>
    </row>
    <row r="39" spans="1:17" s="4" customFormat="1" ht="45.75" customHeight="1" x14ac:dyDescent="0.25">
      <c r="A39" s="219">
        <v>536</v>
      </c>
      <c r="B39" s="74" t="s">
        <v>74</v>
      </c>
      <c r="C39" s="147" t="s">
        <v>177</v>
      </c>
      <c r="D39" s="205" t="s">
        <v>174</v>
      </c>
      <c r="E39" s="36" t="e">
        <f>HLOOKUP($D$2,'2018 Data'!$C$1:$CL$284,186,FALSE)</f>
        <v>#N/A</v>
      </c>
      <c r="F39" s="485"/>
      <c r="G39" s="79">
        <f>IF(F39&lt;0,"Note: Number is normally positive.",)</f>
        <v>0</v>
      </c>
      <c r="H39" s="20"/>
      <c r="I39" s="356"/>
      <c r="J39" s="526" t="s">
        <v>937</v>
      </c>
      <c r="K39" s="362"/>
      <c r="N39" s="454"/>
      <c r="O39" s="386"/>
    </row>
    <row r="40" spans="1:17" s="4" customFormat="1" ht="51.75" customHeight="1" x14ac:dyDescent="0.25">
      <c r="A40" s="219">
        <v>586</v>
      </c>
      <c r="B40" s="74" t="s">
        <v>78</v>
      </c>
      <c r="C40" s="147" t="s">
        <v>177</v>
      </c>
      <c r="D40" s="370" t="s">
        <v>680</v>
      </c>
      <c r="E40" s="36" t="e">
        <f>HLOOKUP($D$2,'2018 Data'!$C$1:$CL$284,236,FALSE)</f>
        <v>#N/A</v>
      </c>
      <c r="F40" s="485"/>
      <c r="G40" s="79">
        <f>IF(F40&lt;0,"Note: Number is normally positive.",)</f>
        <v>0</v>
      </c>
      <c r="H40" s="176"/>
      <c r="I40" s="356"/>
      <c r="J40" s="533" t="s">
        <v>938</v>
      </c>
      <c r="K40" s="362"/>
      <c r="N40" s="386"/>
      <c r="O40" s="386"/>
    </row>
    <row r="41" spans="1:17" ht="37.5" customHeight="1" x14ac:dyDescent="0.25">
      <c r="A41" s="219">
        <v>379</v>
      </c>
      <c r="B41" s="74" t="s">
        <v>79</v>
      </c>
      <c r="C41" s="147" t="s">
        <v>177</v>
      </c>
      <c r="D41" s="204" t="s">
        <v>154</v>
      </c>
      <c r="E41" s="36" t="e">
        <f>HLOOKUP($D$2,'2018 Data'!$C$1:$CL$284,138,FALSE)</f>
        <v>#N/A</v>
      </c>
      <c r="F41" s="485"/>
      <c r="G41" s="79">
        <f>IF((F38+F39)&gt;F41,"Error: Please review cells (F38+F39)&gt;F41",)</f>
        <v>0</v>
      </c>
      <c r="H41" s="16"/>
      <c r="I41" s="35"/>
      <c r="J41" s="533" t="s">
        <v>939</v>
      </c>
      <c r="K41" s="362"/>
      <c r="N41" s="454"/>
      <c r="O41" s="386"/>
    </row>
    <row r="42" spans="1:17" ht="93" customHeight="1" x14ac:dyDescent="0.25">
      <c r="A42" s="219">
        <v>368</v>
      </c>
      <c r="B42" s="74" t="s">
        <v>88</v>
      </c>
      <c r="C42" s="147" t="s">
        <v>177</v>
      </c>
      <c r="D42" s="195" t="s">
        <v>630</v>
      </c>
      <c r="E42" s="36" t="e">
        <f>HLOOKUP($D$2,'2018 Data'!$C$1:$CL$284,129,FALSE)</f>
        <v>#N/A</v>
      </c>
      <c r="F42" s="485"/>
      <c r="G42" s="8">
        <f t="shared" ref="G42:G48" si="1">IF(F42&lt;0,"Error: Enter as positive.",)</f>
        <v>0</v>
      </c>
      <c r="H42" s="16"/>
      <c r="I42" s="176"/>
      <c r="J42" s="534" t="s">
        <v>940</v>
      </c>
      <c r="K42" s="362"/>
      <c r="L42" s="4"/>
      <c r="M42" s="4"/>
      <c r="N42" s="453"/>
      <c r="O42" s="386"/>
      <c r="P42" s="4"/>
      <c r="Q42" s="4"/>
    </row>
    <row r="43" spans="1:17" ht="99.75" customHeight="1" x14ac:dyDescent="0.25">
      <c r="A43" s="219">
        <v>4</v>
      </c>
      <c r="B43" s="74" t="s">
        <v>74</v>
      </c>
      <c r="C43" s="147" t="s">
        <v>177</v>
      </c>
      <c r="D43" s="161" t="s">
        <v>679</v>
      </c>
      <c r="E43" s="36" t="e">
        <f>HLOOKUP($D$2,'2018 Data'!$C$1:$CL$284,3,FALSE)</f>
        <v>#N/A</v>
      </c>
      <c r="F43" s="485"/>
      <c r="G43" s="8">
        <f t="shared" si="1"/>
        <v>0</v>
      </c>
      <c r="H43" s="16"/>
      <c r="I43" s="35"/>
      <c r="J43" s="533" t="s">
        <v>941</v>
      </c>
      <c r="K43" s="362"/>
      <c r="N43" s="454"/>
      <c r="O43" s="386"/>
    </row>
    <row r="44" spans="1:17" ht="117.75" customHeight="1" x14ac:dyDescent="0.25">
      <c r="A44" s="219">
        <v>5</v>
      </c>
      <c r="B44" s="74" t="s">
        <v>74</v>
      </c>
      <c r="C44" s="147" t="s">
        <v>177</v>
      </c>
      <c r="D44" s="134" t="s">
        <v>184</v>
      </c>
      <c r="E44" s="36" t="e">
        <f>HLOOKUP($D$2,'2018 Data'!$C$1:$CL$284,4,FALSE)</f>
        <v>#N/A</v>
      </c>
      <c r="F44" s="485"/>
      <c r="G44" s="8">
        <f t="shared" si="1"/>
        <v>0</v>
      </c>
      <c r="H44" s="16"/>
      <c r="I44" s="35"/>
      <c r="J44" s="533" t="s">
        <v>942</v>
      </c>
      <c r="K44" s="362"/>
      <c r="N44" s="453"/>
      <c r="O44" s="386"/>
    </row>
    <row r="45" spans="1:17" ht="93.75" customHeight="1" x14ac:dyDescent="0.25">
      <c r="A45" s="219">
        <v>380</v>
      </c>
      <c r="B45" s="74" t="s">
        <v>79</v>
      </c>
      <c r="C45" s="147" t="s">
        <v>177</v>
      </c>
      <c r="D45" s="134" t="s">
        <v>185</v>
      </c>
      <c r="E45" s="36" t="e">
        <f>HLOOKUP($D$2,'2018 Data'!$C$1:$CL$284,139,FALSE)</f>
        <v>#N/A</v>
      </c>
      <c r="F45" s="485"/>
      <c r="G45" s="8">
        <f t="shared" si="1"/>
        <v>0</v>
      </c>
      <c r="H45" s="16"/>
      <c r="I45" s="35"/>
      <c r="J45" s="533" t="s">
        <v>943</v>
      </c>
      <c r="K45" s="362"/>
      <c r="N45" s="453"/>
      <c r="O45" s="386"/>
    </row>
    <row r="46" spans="1:17" ht="48.75" customHeight="1" x14ac:dyDescent="0.25">
      <c r="A46" s="219">
        <v>391</v>
      </c>
      <c r="B46" s="74" t="s">
        <v>88</v>
      </c>
      <c r="C46" s="147" t="s">
        <v>177</v>
      </c>
      <c r="D46" s="205" t="s">
        <v>175</v>
      </c>
      <c r="E46" s="36" t="e">
        <f>HLOOKUP($D$2,'2018 Data'!$C$1:$CL$284,149,FALSE)</f>
        <v>#N/A</v>
      </c>
      <c r="F46" s="485"/>
      <c r="G46" s="8">
        <f t="shared" si="1"/>
        <v>0</v>
      </c>
      <c r="H46" s="16"/>
      <c r="I46" s="35"/>
      <c r="J46" s="533" t="s">
        <v>944</v>
      </c>
      <c r="K46" s="362"/>
      <c r="N46" s="453"/>
      <c r="O46" s="386"/>
    </row>
    <row r="47" spans="1:17" ht="51.75" customHeight="1" x14ac:dyDescent="0.25">
      <c r="A47" s="219">
        <v>7</v>
      </c>
      <c r="B47" s="74" t="s">
        <v>88</v>
      </c>
      <c r="C47" s="147" t="s">
        <v>177</v>
      </c>
      <c r="D47" s="205" t="s">
        <v>176</v>
      </c>
      <c r="E47" s="36" t="e">
        <f>HLOOKUP($D$2,'2018 Data'!$C$1:$CL$284,6,FALSE)</f>
        <v>#N/A</v>
      </c>
      <c r="F47" s="485"/>
      <c r="G47" s="8">
        <f t="shared" si="1"/>
        <v>0</v>
      </c>
      <c r="H47" s="16"/>
      <c r="I47" s="35"/>
      <c r="J47" s="534" t="s">
        <v>945</v>
      </c>
      <c r="K47" s="362"/>
      <c r="N47" s="453"/>
      <c r="O47" s="386"/>
    </row>
    <row r="48" spans="1:17" ht="78.75" customHeight="1" x14ac:dyDescent="0.25">
      <c r="A48" s="219">
        <v>11</v>
      </c>
      <c r="B48" s="74" t="s">
        <v>88</v>
      </c>
      <c r="C48" s="147" t="s">
        <v>177</v>
      </c>
      <c r="D48" s="195" t="s">
        <v>186</v>
      </c>
      <c r="E48" s="36" t="e">
        <f>HLOOKUP($D$2,'2018 Data'!$C$1:$CL$284,8,FALSE)</f>
        <v>#N/A</v>
      </c>
      <c r="F48" s="485"/>
      <c r="G48" s="8">
        <f t="shared" si="1"/>
        <v>0</v>
      </c>
      <c r="H48" s="16"/>
      <c r="I48" s="35"/>
      <c r="J48" s="533" t="s">
        <v>946</v>
      </c>
      <c r="K48" s="362"/>
      <c r="N48" s="453"/>
      <c r="O48" s="386"/>
    </row>
    <row r="49" spans="1:15" ht="69" customHeight="1" x14ac:dyDescent="0.25">
      <c r="A49" s="219">
        <v>9</v>
      </c>
      <c r="B49" s="74" t="s">
        <v>79</v>
      </c>
      <c r="C49" s="147" t="s">
        <v>177</v>
      </c>
      <c r="D49" s="195" t="s">
        <v>631</v>
      </c>
      <c r="E49" s="36" t="e">
        <f>HLOOKUP($D$2,'2018 Data'!$C$1:$CL$284,7,FALSE)</f>
        <v>#N/A</v>
      </c>
      <c r="F49" s="485"/>
      <c r="G49" s="79">
        <f>IF(F41-F43-F44-F45-F49=0,,"Error: Total assets less total liabilities do not equal total fund balance. Cells F41-F43-F44-F45-F49= 0  The amount of the formula is in the cell to the right")</f>
        <v>0</v>
      </c>
      <c r="H49" s="223">
        <f>F41-F43-F44-F45-F49</f>
        <v>0</v>
      </c>
      <c r="I49" s="35"/>
      <c r="J49" s="533" t="s">
        <v>947</v>
      </c>
      <c r="K49" s="362"/>
      <c r="N49" s="453"/>
      <c r="O49" s="386"/>
    </row>
    <row r="50" spans="1:15" s="4" customFormat="1" ht="57" customHeight="1" x14ac:dyDescent="0.25">
      <c r="A50" s="219">
        <v>540</v>
      </c>
      <c r="B50" s="177" t="s">
        <v>78</v>
      </c>
      <c r="C50" s="212" t="s">
        <v>240</v>
      </c>
      <c r="D50" s="205" t="s">
        <v>239</v>
      </c>
      <c r="E50" s="36" t="e">
        <f>HLOOKUP($D$2,'2018 Data'!$C$1:$CL$284,190,FALSE)</f>
        <v>#N/A</v>
      </c>
      <c r="F50" s="485"/>
      <c r="G50" s="79"/>
      <c r="H50" s="20"/>
      <c r="I50" s="356"/>
      <c r="J50" s="533" t="s">
        <v>948</v>
      </c>
      <c r="K50" s="362"/>
      <c r="N50" s="453"/>
      <c r="O50" s="386"/>
    </row>
    <row r="51" spans="1:15" x14ac:dyDescent="0.25">
      <c r="A51" s="220"/>
      <c r="B51" s="151" t="s">
        <v>182</v>
      </c>
      <c r="C51" s="155"/>
      <c r="D51" s="183"/>
      <c r="E51" s="164"/>
      <c r="F51" s="484"/>
      <c r="G51" s="150"/>
      <c r="H51" s="16"/>
      <c r="I51" s="35"/>
      <c r="J51" s="533" t="s">
        <v>949</v>
      </c>
      <c r="K51" s="362"/>
      <c r="N51" s="386"/>
      <c r="O51" s="386"/>
    </row>
    <row r="52" spans="1:15" ht="52.5" customHeight="1" x14ac:dyDescent="0.25">
      <c r="A52" s="219">
        <v>369</v>
      </c>
      <c r="B52" s="73" t="s">
        <v>75</v>
      </c>
      <c r="C52" s="189" t="s">
        <v>183</v>
      </c>
      <c r="D52" s="195" t="s">
        <v>178</v>
      </c>
      <c r="E52" s="36" t="e">
        <f>HLOOKUP($D$2,'2018 Data'!$C$1:$CL$284,130,FALSE)</f>
        <v>#N/A</v>
      </c>
      <c r="F52" s="485"/>
      <c r="G52" s="79"/>
      <c r="H52" s="16"/>
      <c r="I52" s="35"/>
      <c r="J52" s="533" t="s">
        <v>950</v>
      </c>
      <c r="K52" s="362"/>
      <c r="N52" s="453"/>
      <c r="O52" s="386"/>
    </row>
    <row r="53" spans="1:15" ht="57.75" customHeight="1" x14ac:dyDescent="0.25">
      <c r="A53" s="219">
        <v>16</v>
      </c>
      <c r="B53" s="73" t="s">
        <v>85</v>
      </c>
      <c r="C53" s="189" t="s">
        <v>183</v>
      </c>
      <c r="D53" s="205" t="s">
        <v>179</v>
      </c>
      <c r="E53" s="36" t="e">
        <f>HLOOKUP($D$2,'2018 Data'!$C$1:$CL$284,12,FALSE)</f>
        <v>#N/A</v>
      </c>
      <c r="F53" s="485"/>
      <c r="G53" s="79"/>
      <c r="H53" s="16"/>
      <c r="I53" s="35"/>
      <c r="J53" s="533" t="s">
        <v>951</v>
      </c>
      <c r="K53" s="362"/>
      <c r="N53" s="453"/>
      <c r="O53" s="386"/>
    </row>
    <row r="54" spans="1:15" ht="65.25" customHeight="1" x14ac:dyDescent="0.25">
      <c r="A54" s="219">
        <v>370</v>
      </c>
      <c r="B54" s="73" t="s">
        <v>75</v>
      </c>
      <c r="C54" s="189" t="s">
        <v>183</v>
      </c>
      <c r="D54" s="195" t="s">
        <v>622</v>
      </c>
      <c r="E54" s="36" t="e">
        <f>HLOOKUP($D$2,'2018 Data'!$C$1:$CL$284,131,FALSE)</f>
        <v>#N/A</v>
      </c>
      <c r="F54" s="485"/>
      <c r="G54" s="8">
        <f>IF(F54&lt;0,"Error: Enter as positive.",)</f>
        <v>0</v>
      </c>
      <c r="H54" s="16"/>
      <c r="I54" s="35"/>
      <c r="J54" s="533" t="s">
        <v>952</v>
      </c>
      <c r="K54" s="362"/>
      <c r="N54" s="453"/>
      <c r="O54" s="386"/>
    </row>
    <row r="55" spans="1:15" ht="69.75" customHeight="1" x14ac:dyDescent="0.25">
      <c r="A55" s="219">
        <v>532</v>
      </c>
      <c r="B55" s="73" t="s">
        <v>74</v>
      </c>
      <c r="C55" s="189" t="s">
        <v>183</v>
      </c>
      <c r="D55" s="148" t="s">
        <v>187</v>
      </c>
      <c r="E55" s="36" t="e">
        <f>HLOOKUP($D$2,'2018 Data'!$C$1:$CL$284,182,FALSE)</f>
        <v>#N/A</v>
      </c>
      <c r="F55" s="485"/>
      <c r="G55" s="8">
        <f>IF(F55&lt;0,"Error: Enter as positive.",)</f>
        <v>0</v>
      </c>
      <c r="H55" s="16"/>
      <c r="I55" s="35"/>
      <c r="J55" s="533" t="s">
        <v>953</v>
      </c>
      <c r="K55" s="362"/>
      <c r="N55" s="453"/>
      <c r="O55" s="386"/>
    </row>
    <row r="56" spans="1:15" ht="54" customHeight="1" x14ac:dyDescent="0.25">
      <c r="A56" s="219">
        <v>17</v>
      </c>
      <c r="B56" s="73" t="s">
        <v>79</v>
      </c>
      <c r="C56" s="189" t="s">
        <v>183</v>
      </c>
      <c r="D56" s="205" t="s">
        <v>613</v>
      </c>
      <c r="E56" s="36" t="e">
        <f>HLOOKUP($D$2,'2018 Data'!$C$1:$CL$284,13,FALSE)</f>
        <v>#N/A</v>
      </c>
      <c r="F56" s="485"/>
      <c r="G56" s="8"/>
      <c r="H56" s="16"/>
      <c r="I56" s="35"/>
      <c r="J56" s="534" t="s">
        <v>954</v>
      </c>
      <c r="K56" s="362"/>
      <c r="N56" s="385"/>
      <c r="O56" s="386"/>
    </row>
    <row r="57" spans="1:15" ht="58.5" customHeight="1" x14ac:dyDescent="0.25">
      <c r="A57" s="219">
        <v>20</v>
      </c>
      <c r="B57" s="73" t="s">
        <v>74</v>
      </c>
      <c r="C57" s="189" t="s">
        <v>183</v>
      </c>
      <c r="D57" s="205" t="s">
        <v>614</v>
      </c>
      <c r="E57" s="36" t="e">
        <f>HLOOKUP($D$2,'2018 Data'!$C$1:$CL$284,15,FALSE)</f>
        <v>#N/A</v>
      </c>
      <c r="F57" s="485"/>
      <c r="G57" s="8">
        <f>IF(F57&lt;0,"Error: Enter as positive.",)</f>
        <v>0</v>
      </c>
      <c r="H57" s="16"/>
      <c r="I57" s="35"/>
      <c r="J57" s="534" t="s">
        <v>955</v>
      </c>
      <c r="K57" s="362"/>
      <c r="N57" s="385"/>
      <c r="O57" s="386"/>
    </row>
    <row r="58" spans="1:15" ht="54" customHeight="1" x14ac:dyDescent="0.25">
      <c r="A58" s="219">
        <v>533</v>
      </c>
      <c r="B58" s="73" t="s">
        <v>74</v>
      </c>
      <c r="C58" s="189" t="s">
        <v>183</v>
      </c>
      <c r="D58" s="149" t="s">
        <v>180</v>
      </c>
      <c r="E58" s="36" t="e">
        <f>HLOOKUP($D$2,'2018 Data'!$C$1:$CL$284,183,FALSE)</f>
        <v>#N/A</v>
      </c>
      <c r="F58" s="485"/>
      <c r="G58" s="7"/>
      <c r="H58" s="16"/>
      <c r="I58" s="35"/>
      <c r="J58" s="533" t="s">
        <v>956</v>
      </c>
      <c r="K58" s="362"/>
      <c r="N58" s="385"/>
      <c r="O58" s="386"/>
    </row>
    <row r="59" spans="1:15" s="4" customFormat="1" ht="62.25" customHeight="1" x14ac:dyDescent="0.25">
      <c r="A59" s="219">
        <v>508</v>
      </c>
      <c r="B59" s="73" t="s">
        <v>74</v>
      </c>
      <c r="C59" s="189" t="s">
        <v>183</v>
      </c>
      <c r="D59" s="205" t="s">
        <v>643</v>
      </c>
      <c r="E59" s="36" t="e">
        <f>HLOOKUP($D$2,'2018 Data'!$C$1:$CL$284,158,FALSE)</f>
        <v>#N/A</v>
      </c>
      <c r="F59" s="485"/>
      <c r="G59" s="8"/>
      <c r="H59" s="20"/>
      <c r="I59" s="356"/>
      <c r="J59" s="533" t="s">
        <v>957</v>
      </c>
      <c r="K59" s="362"/>
      <c r="N59" s="385"/>
      <c r="O59" s="386"/>
    </row>
    <row r="60" spans="1:15" s="4" customFormat="1" ht="81.75" customHeight="1" x14ac:dyDescent="0.25">
      <c r="A60" s="219">
        <v>509</v>
      </c>
      <c r="B60" s="73" t="s">
        <v>74</v>
      </c>
      <c r="C60" s="189" t="s">
        <v>183</v>
      </c>
      <c r="D60" s="205" t="s">
        <v>641</v>
      </c>
      <c r="E60" s="36" t="e">
        <f>HLOOKUP($D$2,'2018 Data'!$C$1:$CL$284,159,FALSE)</f>
        <v>#N/A</v>
      </c>
      <c r="F60" s="485"/>
      <c r="G60" s="79">
        <f>IF(F60&lt;0,"Error: Enter as positive.",)</f>
        <v>0</v>
      </c>
      <c r="H60" s="20"/>
      <c r="I60" s="356"/>
      <c r="J60" s="533" t="s">
        <v>958</v>
      </c>
      <c r="K60" s="362"/>
      <c r="N60" s="386"/>
      <c r="O60" s="386"/>
    </row>
    <row r="61" spans="1:15" ht="61.5" customHeight="1" x14ac:dyDescent="0.25">
      <c r="A61" s="219">
        <v>22</v>
      </c>
      <c r="B61" s="73" t="s">
        <v>79</v>
      </c>
      <c r="C61" s="189" t="s">
        <v>183</v>
      </c>
      <c r="D61" s="205" t="s">
        <v>642</v>
      </c>
      <c r="E61" s="36" t="e">
        <f>HLOOKUP($D$2,'2018 Data'!$C$1:$CL$284,17,FALSE)</f>
        <v>#N/A</v>
      </c>
      <c r="F61" s="485"/>
      <c r="G61" s="7"/>
      <c r="H61" s="16"/>
      <c r="I61" s="35"/>
      <c r="J61" s="533" t="s">
        <v>959</v>
      </c>
      <c r="K61" s="362"/>
      <c r="N61" s="454"/>
      <c r="O61" s="386"/>
    </row>
    <row r="62" spans="1:15" ht="81.75" customHeight="1" x14ac:dyDescent="0.25">
      <c r="A62" s="219">
        <v>23</v>
      </c>
      <c r="B62" s="73" t="s">
        <v>79</v>
      </c>
      <c r="C62" s="189" t="s">
        <v>183</v>
      </c>
      <c r="D62" s="195" t="s">
        <v>181</v>
      </c>
      <c r="E62" s="36" t="e">
        <f>HLOOKUP($D$2,'2018 Data'!$C$1:$CL$284,18,FALSE)</f>
        <v>#N/A</v>
      </c>
      <c r="F62" s="485"/>
      <c r="G62" s="79">
        <f>IF(F53-F55+F56-F57+F58+F61+F59-F60-F62=0,,"Error: Total revenues less total expenditures do not equal total change in fund balance.  Cells F53-F55+F56-F57+F58+F61+F59-F60-F62=0  The amount of the formula is located in the cell to the right")</f>
        <v>0</v>
      </c>
      <c r="H62" s="223">
        <f>+F53-F55+F56-F57+F58+F61+F59-F60-F62</f>
        <v>0</v>
      </c>
      <c r="I62" s="35"/>
      <c r="J62" s="533" t="s">
        <v>960</v>
      </c>
      <c r="K62" s="362"/>
      <c r="N62" s="453"/>
      <c r="O62" s="386"/>
    </row>
    <row r="63" spans="1:15" s="268" customFormat="1" ht="140.25" customHeight="1" x14ac:dyDescent="0.25">
      <c r="A63" s="219">
        <v>590</v>
      </c>
      <c r="B63" s="73" t="s">
        <v>720</v>
      </c>
      <c r="C63" s="189"/>
      <c r="D63" s="195" t="s">
        <v>834</v>
      </c>
      <c r="E63" s="375"/>
      <c r="F63" s="498"/>
      <c r="G63" s="376"/>
      <c r="H63" s="223"/>
      <c r="I63" s="35"/>
      <c r="J63" s="533" t="s">
        <v>961</v>
      </c>
      <c r="K63" s="362"/>
      <c r="N63" s="385"/>
      <c r="O63" s="386"/>
    </row>
    <row r="64" spans="1:15" ht="115.5" customHeight="1" x14ac:dyDescent="0.25">
      <c r="A64" s="219">
        <v>507</v>
      </c>
      <c r="B64" s="73" t="s">
        <v>79</v>
      </c>
      <c r="C64" s="189" t="s">
        <v>183</v>
      </c>
      <c r="D64" s="408" t="s">
        <v>799</v>
      </c>
      <c r="E64" s="36" t="e">
        <f>HLOOKUP($D$2,'2018 Data'!$C$1:$CL$284,157,FALSE)</f>
        <v>#N/A</v>
      </c>
      <c r="F64" s="488"/>
      <c r="G64" s="79" t="e">
        <f>IF(F49-F62-F64=E49,,"Error: Beginning Balance does not agree with our records.  Cell F49-F62-F64=E49  The amount of the formula is in the cell to the right")</f>
        <v>#N/A</v>
      </c>
      <c r="H64" s="223" t="e">
        <f>+F49-F62-F64-E49</f>
        <v>#N/A</v>
      </c>
      <c r="I64" s="35"/>
      <c r="J64" s="533" t="s">
        <v>962</v>
      </c>
      <c r="K64" s="362"/>
      <c r="N64" s="385"/>
      <c r="O64" s="386"/>
    </row>
    <row r="65" spans="1:17" ht="18.75" x14ac:dyDescent="0.3">
      <c r="A65" s="220"/>
      <c r="B65" s="151" t="s">
        <v>14</v>
      </c>
      <c r="C65" s="155"/>
      <c r="D65" s="152"/>
      <c r="E65" s="152"/>
      <c r="F65" s="482"/>
      <c r="G65" s="153"/>
      <c r="H65" s="16"/>
      <c r="I65" s="35"/>
      <c r="J65" s="533" t="s">
        <v>963</v>
      </c>
      <c r="K65" s="362"/>
      <c r="N65" s="385"/>
      <c r="O65" s="386"/>
    </row>
    <row r="66" spans="1:17" s="26" customFormat="1" ht="63" customHeight="1" x14ac:dyDescent="0.25">
      <c r="A66" s="219">
        <v>171</v>
      </c>
      <c r="B66" s="73" t="s">
        <v>646</v>
      </c>
      <c r="C66" s="73" t="s">
        <v>645</v>
      </c>
      <c r="D66" s="154" t="s">
        <v>621</v>
      </c>
      <c r="E66" s="36" t="e">
        <f>HLOOKUP($D$2,'2018 Data'!$C$1:$CL$284,71,FALSE)</f>
        <v>#N/A</v>
      </c>
      <c r="F66" s="488"/>
      <c r="G66" s="79">
        <f>IF(F66&lt;0,"Error: Enter as positive.",)</f>
        <v>0</v>
      </c>
      <c r="H66" s="71"/>
      <c r="I66" s="360"/>
      <c r="J66" s="533" t="s">
        <v>964</v>
      </c>
      <c r="K66" s="362"/>
      <c r="N66" s="453"/>
      <c r="O66" s="386"/>
    </row>
    <row r="67" spans="1:17" ht="18.75" x14ac:dyDescent="0.3">
      <c r="A67" s="220"/>
      <c r="B67" s="155" t="s">
        <v>188</v>
      </c>
      <c r="C67" s="155"/>
      <c r="D67" s="184"/>
      <c r="E67" s="184"/>
      <c r="F67" s="492"/>
      <c r="G67" s="156"/>
      <c r="H67" s="16"/>
      <c r="I67" s="35"/>
      <c r="J67" s="533" t="s">
        <v>965</v>
      </c>
      <c r="K67" s="362"/>
      <c r="N67" s="26"/>
      <c r="O67" s="386"/>
    </row>
    <row r="68" spans="1:17" ht="18.75" x14ac:dyDescent="0.3">
      <c r="A68" s="220"/>
      <c r="B68" s="155" t="s">
        <v>29</v>
      </c>
      <c r="C68" s="155"/>
      <c r="D68" s="166"/>
      <c r="E68" s="167"/>
      <c r="F68" s="493"/>
      <c r="G68" s="157"/>
      <c r="H68" s="16"/>
      <c r="I68" s="35"/>
      <c r="J68" s="526" t="s">
        <v>966</v>
      </c>
      <c r="K68" s="362"/>
      <c r="N68" s="385"/>
      <c r="O68" s="386"/>
    </row>
    <row r="69" spans="1:17" ht="18.75" x14ac:dyDescent="0.3">
      <c r="A69" s="220"/>
      <c r="B69" s="155" t="s">
        <v>26</v>
      </c>
      <c r="C69" s="155"/>
      <c r="D69" s="166"/>
      <c r="E69" s="167"/>
      <c r="F69" s="493"/>
      <c r="G69" s="157"/>
      <c r="H69" s="61"/>
      <c r="I69" s="35"/>
      <c r="J69" s="533" t="s">
        <v>967</v>
      </c>
      <c r="K69" s="362"/>
      <c r="N69" s="385"/>
      <c r="O69" s="386"/>
    </row>
    <row r="70" spans="1:17" s="268" customFormat="1" ht="78" customHeight="1" x14ac:dyDescent="0.3">
      <c r="A70" s="219">
        <v>596</v>
      </c>
      <c r="B70" s="177" t="s">
        <v>76</v>
      </c>
      <c r="C70" s="412"/>
      <c r="D70" s="393" t="s">
        <v>732</v>
      </c>
      <c r="E70" s="36" t="e">
        <f>HLOOKUP($D$2,'2018 Data'!$C$1:$CL$284,255,FALSE)</f>
        <v>#N/A</v>
      </c>
      <c r="F70" s="485"/>
      <c r="G70" s="377"/>
      <c r="H70" s="61"/>
      <c r="I70" s="35"/>
      <c r="J70" s="533" t="s">
        <v>968</v>
      </c>
      <c r="K70" s="362"/>
      <c r="N70" s="385"/>
      <c r="O70" s="386"/>
    </row>
    <row r="71" spans="1:17" ht="79.5" customHeight="1" x14ac:dyDescent="0.25">
      <c r="A71" s="219">
        <v>80</v>
      </c>
      <c r="B71" s="73" t="s">
        <v>80</v>
      </c>
      <c r="C71" s="189" t="s">
        <v>202</v>
      </c>
      <c r="D71" s="195" t="s">
        <v>189</v>
      </c>
      <c r="E71" s="36" t="e">
        <f>HLOOKUP($D$2,'2018 Data'!$C$1:$CL$284,44,FALSE)</f>
        <v>#N/A</v>
      </c>
      <c r="F71" s="485"/>
      <c r="G71" s="36" t="e">
        <f>HLOOKUP($D$2,'2018 Data'!$C$1:$CF$256,249,FALSE)</f>
        <v>#N/A</v>
      </c>
      <c r="H71" s="70"/>
      <c r="I71" s="35"/>
      <c r="J71" s="533" t="s">
        <v>969</v>
      </c>
      <c r="K71" s="362"/>
      <c r="N71" s="385"/>
      <c r="O71" s="386"/>
    </row>
    <row r="72" spans="1:17" ht="53.25" customHeight="1" x14ac:dyDescent="0.25">
      <c r="A72" s="219">
        <v>81</v>
      </c>
      <c r="B72" s="73" t="s">
        <v>81</v>
      </c>
      <c r="C72" s="189" t="s">
        <v>202</v>
      </c>
      <c r="D72" s="195" t="s">
        <v>190</v>
      </c>
      <c r="E72" s="36" t="e">
        <f>HLOOKUP($D$2,'2018 Data'!$C$1:$CL$284,45,FALSE)</f>
        <v>#N/A</v>
      </c>
      <c r="F72" s="485"/>
      <c r="G72" s="7"/>
      <c r="H72" s="16"/>
      <c r="I72" s="35"/>
      <c r="J72" s="533" t="s">
        <v>970</v>
      </c>
      <c r="K72" s="362"/>
      <c r="N72" s="385"/>
      <c r="O72" s="386"/>
    </row>
    <row r="73" spans="1:17" s="268" customFormat="1" ht="84" customHeight="1" x14ac:dyDescent="0.25">
      <c r="A73" s="219">
        <v>579</v>
      </c>
      <c r="B73" s="74" t="s">
        <v>672</v>
      </c>
      <c r="C73" s="212" t="s">
        <v>202</v>
      </c>
      <c r="D73" s="374" t="s">
        <v>681</v>
      </c>
      <c r="E73" s="36" t="e">
        <f>HLOOKUP($D$2,'2018 Data'!$C$1:$CL$284,229,FALSE)</f>
        <v>#N/A</v>
      </c>
      <c r="F73" s="485"/>
      <c r="G73" s="79"/>
      <c r="H73" s="76"/>
      <c r="I73" s="176"/>
      <c r="J73" s="533" t="s">
        <v>971</v>
      </c>
      <c r="K73" s="362"/>
      <c r="L73" s="4"/>
      <c r="M73" s="4"/>
      <c r="N73" s="385"/>
      <c r="O73" s="386"/>
      <c r="P73" s="4"/>
      <c r="Q73" s="4"/>
    </row>
    <row r="74" spans="1:17" ht="48.75" customHeight="1" x14ac:dyDescent="0.25">
      <c r="A74" s="219">
        <v>510</v>
      </c>
      <c r="B74" s="73" t="s">
        <v>49</v>
      </c>
      <c r="C74" s="189" t="s">
        <v>202</v>
      </c>
      <c r="D74" s="205" t="s">
        <v>632</v>
      </c>
      <c r="E74" s="36" t="e">
        <f>HLOOKUP($D$2,'2018 Data'!$C$1:$CL$284,160,FALSE)</f>
        <v>#N/A</v>
      </c>
      <c r="F74" s="485"/>
      <c r="G74" s="7"/>
      <c r="H74" s="16"/>
      <c r="I74" s="35"/>
      <c r="J74" s="533" t="s">
        <v>972</v>
      </c>
      <c r="N74" s="386"/>
      <c r="O74" s="386"/>
    </row>
    <row r="75" spans="1:17" ht="80.25" customHeight="1" x14ac:dyDescent="0.25">
      <c r="A75" s="219">
        <v>44</v>
      </c>
      <c r="B75" s="73" t="s">
        <v>49</v>
      </c>
      <c r="C75" s="189" t="s">
        <v>202</v>
      </c>
      <c r="D75" s="162" t="s">
        <v>809</v>
      </c>
      <c r="E75" s="36" t="e">
        <f>HLOOKUP($D$2,'2018 Data'!$C$1:$CL$284,31,FALSE)</f>
        <v>#N/A</v>
      </c>
      <c r="F75" s="485"/>
      <c r="G75" s="8">
        <f>IF((F71+F72+F74)&gt;F75,"Error: Please review components of current assets above.  Cells (F71+F72+F74)&gt;F75",)</f>
        <v>0</v>
      </c>
      <c r="H75" s="16"/>
      <c r="I75" s="35"/>
      <c r="J75" s="533" t="s">
        <v>973</v>
      </c>
      <c r="N75" s="385"/>
      <c r="O75" s="386"/>
    </row>
    <row r="76" spans="1:17" ht="48" customHeight="1" x14ac:dyDescent="0.25">
      <c r="A76" s="219">
        <v>381</v>
      </c>
      <c r="B76" s="73" t="s">
        <v>49</v>
      </c>
      <c r="C76" s="189" t="s">
        <v>202</v>
      </c>
      <c r="D76" s="143" t="s">
        <v>154</v>
      </c>
      <c r="E76" s="36" t="e">
        <f>HLOOKUP($D$2,'2018 Data'!$C$1:$CL$284,140,FALSE)</f>
        <v>#N/A</v>
      </c>
      <c r="F76" s="485"/>
      <c r="G76" s="8">
        <f>IF(F75&gt;F76,"Error: Please review components of current assets above. Cells F75&gt;F76",)</f>
        <v>0</v>
      </c>
      <c r="H76" s="16"/>
      <c r="I76" s="35"/>
      <c r="J76" s="533" t="s">
        <v>974</v>
      </c>
      <c r="N76" s="385"/>
      <c r="O76" s="386"/>
    </row>
    <row r="77" spans="1:17" s="268" customFormat="1" ht="63" customHeight="1" x14ac:dyDescent="0.25">
      <c r="A77" s="219">
        <v>578</v>
      </c>
      <c r="B77" s="177" t="s">
        <v>78</v>
      </c>
      <c r="C77" s="212" t="s">
        <v>202</v>
      </c>
      <c r="D77" s="374" t="s">
        <v>682</v>
      </c>
      <c r="E77" s="36" t="e">
        <f>HLOOKUP($D$2,'2018 Data'!$C$1:$CL$284,228,FALSE)</f>
        <v>#N/A</v>
      </c>
      <c r="F77" s="485"/>
      <c r="G77" s="79"/>
      <c r="H77" s="76"/>
      <c r="I77" s="35"/>
      <c r="J77" s="533" t="s">
        <v>975</v>
      </c>
      <c r="N77" s="385"/>
      <c r="O77" s="386"/>
    </row>
    <row r="78" spans="1:17" ht="228" x14ac:dyDescent="0.25">
      <c r="A78" s="219">
        <v>45</v>
      </c>
      <c r="B78" s="73" t="s">
        <v>80</v>
      </c>
      <c r="C78" s="189" t="s">
        <v>202</v>
      </c>
      <c r="D78" s="348" t="s">
        <v>810</v>
      </c>
      <c r="E78" s="36" t="e">
        <f>HLOOKUP($D$2,'2018 Data'!$C$1:$CL$284,32,FALSE)</f>
        <v>#N/A</v>
      </c>
      <c r="F78" s="485"/>
      <c r="G78" s="8">
        <f>IF(F78&lt;0,"Error: Enter as positive.",)</f>
        <v>0</v>
      </c>
      <c r="H78" s="16"/>
      <c r="I78" s="35"/>
      <c r="J78" s="533" t="s">
        <v>976</v>
      </c>
      <c r="N78" s="385"/>
      <c r="O78" s="386"/>
    </row>
    <row r="79" spans="1:17" ht="57.75" customHeight="1" x14ac:dyDescent="0.25">
      <c r="A79" s="219">
        <v>383</v>
      </c>
      <c r="B79" s="73" t="s">
        <v>81</v>
      </c>
      <c r="C79" s="189" t="s">
        <v>202</v>
      </c>
      <c r="D79" s="205" t="s">
        <v>635</v>
      </c>
      <c r="E79" s="36" t="e">
        <f>HLOOKUP($D$2,'2018 Data'!$C$1:$CL$284,142,FALSE)</f>
        <v>#N/A</v>
      </c>
      <c r="F79" s="485"/>
      <c r="G79" s="8">
        <f>IF(F79&gt;F78,"Error: Please review. Cell F79 &gt; F78",)</f>
        <v>0</v>
      </c>
      <c r="H79" s="16"/>
      <c r="I79" s="35"/>
      <c r="J79" s="533" t="s">
        <v>977</v>
      </c>
      <c r="N79" s="385"/>
      <c r="O79" s="386"/>
    </row>
    <row r="80" spans="1:17" ht="52.5" customHeight="1" x14ac:dyDescent="0.25">
      <c r="A80" s="219">
        <v>349</v>
      </c>
      <c r="B80" s="73" t="s">
        <v>81</v>
      </c>
      <c r="C80" s="189" t="s">
        <v>202</v>
      </c>
      <c r="D80" s="204" t="s">
        <v>191</v>
      </c>
      <c r="E80" s="36" t="e">
        <f>HLOOKUP($D$2,'2018 Data'!$C$1:$CL$284,113,FALSE)</f>
        <v>#N/A</v>
      </c>
      <c r="F80" s="485"/>
      <c r="G80" s="8">
        <f>IF(F80&lt;0,"Error: Enter as positive.",)</f>
        <v>0</v>
      </c>
      <c r="H80" s="16"/>
      <c r="I80" s="35"/>
      <c r="J80" s="533" t="s">
        <v>978</v>
      </c>
      <c r="N80" s="385"/>
      <c r="O80" s="386"/>
    </row>
    <row r="81" spans="1:15" ht="57.75" customHeight="1" x14ac:dyDescent="0.25">
      <c r="A81" s="219">
        <v>375</v>
      </c>
      <c r="B81" s="73" t="s">
        <v>81</v>
      </c>
      <c r="C81" s="189" t="s">
        <v>202</v>
      </c>
      <c r="D81" s="161" t="s">
        <v>633</v>
      </c>
      <c r="E81" s="36" t="e">
        <f>HLOOKUP($D$2,'2018 Data'!$C$1:$CL$284,134,FALSE)</f>
        <v>#N/A</v>
      </c>
      <c r="F81" s="485"/>
      <c r="G81" s="7"/>
      <c r="H81" s="16"/>
      <c r="I81" s="35"/>
      <c r="J81" s="533" t="s">
        <v>979</v>
      </c>
      <c r="N81" s="385"/>
      <c r="O81" s="386"/>
    </row>
    <row r="82" spans="1:15" ht="77.25" customHeight="1" x14ac:dyDescent="0.25">
      <c r="A82" s="219">
        <v>83</v>
      </c>
      <c r="B82" s="73" t="s">
        <v>80</v>
      </c>
      <c r="C82" s="189" t="s">
        <v>202</v>
      </c>
      <c r="D82" s="204" t="s">
        <v>192</v>
      </c>
      <c r="E82" s="36" t="e">
        <f>HLOOKUP($D$2,'2018 Data'!$C$1:$CL$284,47,FALSE)</f>
        <v>#N/A</v>
      </c>
      <c r="F82" s="485"/>
      <c r="G82" s="79">
        <f>IF(F76-F80-F82=0,,"Error: Total assets less total liabilities do not equal total net assets.  Cell F76-F80-F82=0  The amount of the formula is in the cell to the right")</f>
        <v>0</v>
      </c>
      <c r="H82" s="223">
        <f>F76-F80-F82</f>
        <v>0</v>
      </c>
      <c r="I82" s="35"/>
      <c r="J82" s="533" t="s">
        <v>980</v>
      </c>
      <c r="N82" s="385"/>
      <c r="O82" s="386"/>
    </row>
    <row r="83" spans="1:15" ht="18.75" x14ac:dyDescent="0.3">
      <c r="A83" s="220"/>
      <c r="B83" s="191" t="s">
        <v>193</v>
      </c>
      <c r="C83" s="190"/>
      <c r="D83" s="184"/>
      <c r="E83" s="184"/>
      <c r="F83" s="492"/>
      <c r="G83" s="158"/>
      <c r="H83" s="61"/>
      <c r="I83" s="35"/>
      <c r="J83" s="533" t="s">
        <v>981</v>
      </c>
      <c r="N83" s="385"/>
      <c r="O83" s="386"/>
    </row>
    <row r="84" spans="1:15" ht="67.5" customHeight="1" x14ac:dyDescent="0.25">
      <c r="A84" s="219">
        <v>90</v>
      </c>
      <c r="B84" s="73" t="s">
        <v>82</v>
      </c>
      <c r="C84" s="189" t="s">
        <v>201</v>
      </c>
      <c r="D84" s="195" t="s">
        <v>194</v>
      </c>
      <c r="E84" s="36" t="e">
        <f>HLOOKUP($D$2,'2018 Data'!$C$1:$CL$284,52,FALSE)</f>
        <v>#N/A</v>
      </c>
      <c r="F84" s="485"/>
      <c r="G84" s="79">
        <f>IF(F84&lt;0,"Note: Number is normally positive.",)</f>
        <v>0</v>
      </c>
      <c r="H84" s="224"/>
      <c r="I84" s="35"/>
      <c r="J84" s="533" t="s">
        <v>982</v>
      </c>
      <c r="N84" s="385"/>
      <c r="O84" s="386"/>
    </row>
    <row r="85" spans="1:15" ht="60.75" customHeight="1" x14ac:dyDescent="0.25">
      <c r="A85" s="219">
        <v>91</v>
      </c>
      <c r="B85" s="73" t="s">
        <v>77</v>
      </c>
      <c r="C85" s="189" t="s">
        <v>201</v>
      </c>
      <c r="D85" s="195" t="s">
        <v>195</v>
      </c>
      <c r="E85" s="36" t="e">
        <f>HLOOKUP($D$2,'2018 Data'!$C$1:$CL$284,53,FALSE)</f>
        <v>#N/A</v>
      </c>
      <c r="F85" s="485"/>
      <c r="G85" s="79">
        <f>IF(F85&lt;0,"Note: Number is normally positive.",)</f>
        <v>0</v>
      </c>
      <c r="H85" s="16"/>
      <c r="I85" s="35"/>
      <c r="J85" s="533" t="s">
        <v>983</v>
      </c>
      <c r="N85" s="385"/>
      <c r="O85" s="386"/>
    </row>
    <row r="86" spans="1:15" s="268" customFormat="1" ht="71.25" customHeight="1" x14ac:dyDescent="0.25">
      <c r="A86" s="219">
        <v>581</v>
      </c>
      <c r="B86" s="177" t="s">
        <v>673</v>
      </c>
      <c r="C86" s="212" t="s">
        <v>201</v>
      </c>
      <c r="D86" s="374" t="s">
        <v>683</v>
      </c>
      <c r="E86" s="36" t="e">
        <f>HLOOKUP($D$2,'2018 Data'!$C$1:$CL$284,231,FALSE)</f>
        <v>#N/A</v>
      </c>
      <c r="F86" s="485"/>
      <c r="G86" s="79"/>
      <c r="H86" s="76"/>
      <c r="I86" s="35"/>
      <c r="J86" s="519"/>
      <c r="N86" s="385"/>
      <c r="O86" s="386"/>
    </row>
    <row r="87" spans="1:15" ht="48" customHeight="1" x14ac:dyDescent="0.25">
      <c r="A87" s="219">
        <v>511</v>
      </c>
      <c r="B87" s="73" t="s">
        <v>77</v>
      </c>
      <c r="C87" s="189" t="s">
        <v>201</v>
      </c>
      <c r="D87" s="159" t="s">
        <v>196</v>
      </c>
      <c r="E87" s="36" t="e">
        <f>HLOOKUP($D$2,'2018 Data'!$C$1:$CL$284,161,FALSE)</f>
        <v>#N/A</v>
      </c>
      <c r="F87" s="485"/>
      <c r="G87" s="79">
        <f>IF(F87&lt;0,"Note: Number is normally positive.",)</f>
        <v>0</v>
      </c>
      <c r="H87" s="16"/>
      <c r="I87" s="35"/>
      <c r="J87" s="519"/>
      <c r="N87" s="385"/>
      <c r="O87" s="386"/>
    </row>
    <row r="88" spans="1:15" ht="105" customHeight="1" x14ac:dyDescent="0.25">
      <c r="A88" s="219">
        <v>47</v>
      </c>
      <c r="B88" s="73" t="s">
        <v>77</v>
      </c>
      <c r="C88" s="189" t="s">
        <v>201</v>
      </c>
      <c r="D88" s="142" t="s">
        <v>675</v>
      </c>
      <c r="E88" s="36" t="e">
        <f>HLOOKUP($D$2,'2018 Data'!$C$1:$CL$284,34,FALSE)</f>
        <v>#N/A</v>
      </c>
      <c r="F88" s="485"/>
      <c r="G88" s="8">
        <f>IF((F84+F85+F87)&gt;F88,"Error: Please review components of current assets above. Cell F84+F85+F87&gt;F88",)</f>
        <v>0</v>
      </c>
      <c r="H88" s="16"/>
      <c r="I88" s="35"/>
      <c r="J88" s="519"/>
      <c r="N88" s="385"/>
      <c r="O88" s="386"/>
    </row>
    <row r="89" spans="1:15" ht="47.25" customHeight="1" x14ac:dyDescent="0.25">
      <c r="A89" s="219">
        <v>382</v>
      </c>
      <c r="B89" s="73" t="s">
        <v>79</v>
      </c>
      <c r="C89" s="189" t="s">
        <v>201</v>
      </c>
      <c r="D89" s="143" t="s">
        <v>154</v>
      </c>
      <c r="E89" s="36" t="e">
        <f>HLOOKUP($D$2,'2018 Data'!$C$1:$CL$284,141,FALSE)</f>
        <v>#N/A</v>
      </c>
      <c r="F89" s="485"/>
      <c r="G89" s="8">
        <f>IF(F88&gt;F89,"Error: Please review components of current assets above. Cell F88&gt;F89",)</f>
        <v>0</v>
      </c>
      <c r="H89" s="16"/>
      <c r="I89" s="35"/>
      <c r="J89" s="519"/>
      <c r="N89" s="385"/>
      <c r="O89" s="386"/>
    </row>
    <row r="90" spans="1:15" ht="54.75" customHeight="1" x14ac:dyDescent="0.25">
      <c r="A90" s="219">
        <v>360</v>
      </c>
      <c r="B90" s="73" t="s">
        <v>75</v>
      </c>
      <c r="C90" s="189" t="s">
        <v>201</v>
      </c>
      <c r="D90" s="204" t="s">
        <v>197</v>
      </c>
      <c r="E90" s="36" t="e">
        <f>HLOOKUP($D$2,'2018 Data'!$C$1:$CL$284,121,FALSE)</f>
        <v>#N/A</v>
      </c>
      <c r="F90" s="485"/>
      <c r="G90" s="8">
        <f>IF(F90&lt;0,"Error: Enter as positive.",)</f>
        <v>0</v>
      </c>
      <c r="H90" s="16"/>
      <c r="I90" s="35"/>
      <c r="J90" s="519"/>
      <c r="N90" s="385"/>
      <c r="O90" s="386"/>
    </row>
    <row r="91" spans="1:15" s="268" customFormat="1" ht="59.25" customHeight="1" x14ac:dyDescent="0.25">
      <c r="A91" s="219">
        <v>580</v>
      </c>
      <c r="B91" s="177" t="s">
        <v>673</v>
      </c>
      <c r="C91" s="212" t="s">
        <v>201</v>
      </c>
      <c r="D91" s="374" t="s">
        <v>684</v>
      </c>
      <c r="E91" s="36" t="e">
        <f>HLOOKUP($D$2,'2018 Data'!$C$1:$CL$284,230,FALSE)</f>
        <v>#N/A</v>
      </c>
      <c r="F91" s="485"/>
      <c r="G91" s="79"/>
      <c r="H91" s="76"/>
      <c r="I91" s="35"/>
      <c r="J91" s="519"/>
      <c r="N91" s="385"/>
      <c r="O91" s="386"/>
    </row>
    <row r="92" spans="1:15" ht="212.25" x14ac:dyDescent="0.25">
      <c r="A92" s="219">
        <v>48</v>
      </c>
      <c r="B92" s="73" t="s">
        <v>75</v>
      </c>
      <c r="C92" s="189" t="s">
        <v>201</v>
      </c>
      <c r="D92" s="348" t="s">
        <v>811</v>
      </c>
      <c r="E92" s="36" t="e">
        <f>HLOOKUP($D$2,'2018 Data'!$C$1:$CL$284,35,FALSE)</f>
        <v>#N/A</v>
      </c>
      <c r="F92" s="485"/>
      <c r="G92" s="8">
        <f>IF(F92&lt;0,"Error: Enter as positive.",)</f>
        <v>0</v>
      </c>
      <c r="H92" s="16"/>
      <c r="I92" s="35"/>
      <c r="J92" s="519"/>
      <c r="N92" s="385"/>
      <c r="O92" s="386"/>
    </row>
    <row r="93" spans="1:15" ht="66.75" customHeight="1" x14ac:dyDescent="0.25">
      <c r="A93" s="219">
        <v>384</v>
      </c>
      <c r="B93" s="73" t="s">
        <v>82</v>
      </c>
      <c r="C93" s="189" t="s">
        <v>201</v>
      </c>
      <c r="D93" s="205" t="s">
        <v>634</v>
      </c>
      <c r="E93" s="36" t="e">
        <f>HLOOKUP($D$2,'2018 Data'!$C$1:$CL$284,143,FALSE)</f>
        <v>#N/A</v>
      </c>
      <c r="F93" s="483"/>
      <c r="G93" s="8">
        <f>IF(F93&gt;F92,"Error: Please review. Cell F93&gt;F92",)</f>
        <v>0</v>
      </c>
      <c r="I93" s="35"/>
      <c r="N93" s="385"/>
      <c r="O93" s="386"/>
    </row>
    <row r="94" spans="1:15" ht="87.75" customHeight="1" x14ac:dyDescent="0.25">
      <c r="A94" s="219">
        <v>361</v>
      </c>
      <c r="B94" s="73" t="s">
        <v>75</v>
      </c>
      <c r="C94" s="189" t="s">
        <v>201</v>
      </c>
      <c r="D94" s="161" t="s">
        <v>198</v>
      </c>
      <c r="E94" s="36" t="e">
        <f>HLOOKUP($D$2,'2018 Data'!$C$1:$CL$284,122,FALSE)</f>
        <v>#N/A</v>
      </c>
      <c r="F94" s="485"/>
      <c r="G94" s="7"/>
      <c r="H94" s="16"/>
      <c r="I94" s="35"/>
      <c r="N94" s="385"/>
      <c r="O94" s="386"/>
    </row>
    <row r="95" spans="1:15" ht="81" customHeight="1" x14ac:dyDescent="0.25">
      <c r="A95" s="219">
        <v>362</v>
      </c>
      <c r="B95" s="73" t="s">
        <v>75</v>
      </c>
      <c r="C95" s="189" t="s">
        <v>201</v>
      </c>
      <c r="D95" s="204" t="s">
        <v>199</v>
      </c>
      <c r="E95" s="36" t="e">
        <f>HLOOKUP($D$2,'2018 Data'!$C$1:$CL$284,123,FALSE)</f>
        <v>#N/A</v>
      </c>
      <c r="F95" s="485"/>
      <c r="G95" s="79">
        <f>IF(F89-F90-F95=0,,"Error: Total assets less total liabilities do not equal total net position. Cell F89-F90-F95=0  The amount of the formula is in the cell to the right")</f>
        <v>0</v>
      </c>
      <c r="H95" s="223">
        <f>+F89-F90-F95</f>
        <v>0</v>
      </c>
      <c r="I95" s="35"/>
      <c r="N95" s="385"/>
      <c r="O95" s="386"/>
    </row>
    <row r="96" spans="1:15" x14ac:dyDescent="0.25">
      <c r="A96" s="220"/>
      <c r="B96" s="136" t="s">
        <v>267</v>
      </c>
      <c r="C96" s="136"/>
      <c r="D96" s="145"/>
      <c r="E96" s="164"/>
      <c r="F96" s="494"/>
      <c r="G96" s="146"/>
      <c r="H96" s="16"/>
      <c r="I96" s="35"/>
      <c r="N96" s="385"/>
      <c r="O96" s="386"/>
    </row>
    <row r="97" spans="1:15" ht="18.75" x14ac:dyDescent="0.3">
      <c r="A97" s="220"/>
      <c r="B97" s="190" t="s">
        <v>35</v>
      </c>
      <c r="C97" s="190"/>
      <c r="D97" s="184"/>
      <c r="E97" s="184"/>
      <c r="F97" s="492"/>
      <c r="G97" s="192"/>
      <c r="H97" s="16"/>
      <c r="I97" s="35"/>
      <c r="N97" s="385"/>
      <c r="O97" s="386"/>
    </row>
    <row r="98" spans="1:15" ht="18.75" x14ac:dyDescent="0.3">
      <c r="A98" s="220"/>
      <c r="B98" s="190" t="s">
        <v>29</v>
      </c>
      <c r="C98" s="190"/>
      <c r="D98" s="166"/>
      <c r="E98" s="167"/>
      <c r="F98" s="493"/>
      <c r="G98" s="168"/>
      <c r="H98" s="16"/>
      <c r="I98" s="35"/>
      <c r="N98" s="385"/>
      <c r="O98" s="386"/>
    </row>
    <row r="99" spans="1:15" ht="18.75" x14ac:dyDescent="0.3">
      <c r="A99" s="220"/>
      <c r="B99" s="190" t="s">
        <v>27</v>
      </c>
      <c r="C99" s="190"/>
      <c r="D99" s="166"/>
      <c r="E99" s="167"/>
      <c r="F99" s="493"/>
      <c r="G99" s="168"/>
      <c r="H99" s="16"/>
      <c r="I99" s="35"/>
      <c r="N99" s="385"/>
      <c r="O99" s="386"/>
    </row>
    <row r="100" spans="1:15" ht="75" customHeight="1" x14ac:dyDescent="0.25">
      <c r="A100" s="219">
        <v>88</v>
      </c>
      <c r="B100" s="73" t="s">
        <v>80</v>
      </c>
      <c r="C100" s="189" t="s">
        <v>200</v>
      </c>
      <c r="D100" s="195" t="s">
        <v>653</v>
      </c>
      <c r="E100" s="36" t="e">
        <f>HLOOKUP($D$2,'2018 Data'!$C$1:$CL$284,50,FALSE)</f>
        <v>#N/A</v>
      </c>
      <c r="F100" s="485"/>
      <c r="G100" s="7"/>
      <c r="H100" s="16"/>
      <c r="I100" s="35"/>
      <c r="N100" s="385"/>
      <c r="O100" s="386"/>
    </row>
    <row r="101" spans="1:15" ht="77.25" customHeight="1" x14ac:dyDescent="0.25">
      <c r="A101" s="219">
        <v>84</v>
      </c>
      <c r="B101" s="73" t="s">
        <v>80</v>
      </c>
      <c r="C101" s="189" t="s">
        <v>200</v>
      </c>
      <c r="D101" s="205" t="s">
        <v>203</v>
      </c>
      <c r="E101" s="36" t="e">
        <f>HLOOKUP($D$2,'2018 Data'!$C$1:$CL$284,48,FALSE)</f>
        <v>#N/A</v>
      </c>
      <c r="F101" s="485"/>
      <c r="G101" s="8">
        <f>IF(F101&gt;=F100,,"Error: Charges for services exceed total operating revenues. Cell F101&lt;F100")</f>
        <v>0</v>
      </c>
      <c r="H101" s="16"/>
      <c r="I101" s="35"/>
      <c r="N101" s="385"/>
      <c r="O101" s="386"/>
    </row>
    <row r="102" spans="1:15" ht="72" customHeight="1" x14ac:dyDescent="0.25">
      <c r="A102" s="219">
        <v>49</v>
      </c>
      <c r="B102" s="73" t="s">
        <v>76</v>
      </c>
      <c r="C102" s="189" t="s">
        <v>200</v>
      </c>
      <c r="D102" s="205" t="s">
        <v>204</v>
      </c>
      <c r="E102" s="36" t="e">
        <f>HLOOKUP($D$2,'2018 Data'!$C$1:$CL$284,36,FALSE)</f>
        <v>#N/A</v>
      </c>
      <c r="F102" s="485"/>
      <c r="G102" s="8">
        <f>IF(F102&lt;0,"Error: Enter as positive.",)</f>
        <v>0</v>
      </c>
      <c r="H102" s="16"/>
      <c r="I102" s="35"/>
      <c r="N102" s="385"/>
      <c r="O102" s="386"/>
    </row>
    <row r="103" spans="1:15" ht="63.75" customHeight="1" x14ac:dyDescent="0.25">
      <c r="A103" s="219">
        <v>85</v>
      </c>
      <c r="B103" s="73" t="s">
        <v>87</v>
      </c>
      <c r="C103" s="189" t="s">
        <v>200</v>
      </c>
      <c r="D103" s="205" t="s">
        <v>205</v>
      </c>
      <c r="E103" s="36" t="e">
        <f>HLOOKUP($D$2,'2018 Data'!$C$1:$CL$284,49,FALSE)</f>
        <v>#N/A</v>
      </c>
      <c r="F103" s="485"/>
      <c r="G103" s="8">
        <f>IF(F103&lt;0,"Error: Enter as positive.",)</f>
        <v>0</v>
      </c>
      <c r="H103" s="16"/>
      <c r="I103" s="35"/>
      <c r="N103" s="385"/>
      <c r="O103" s="386"/>
    </row>
    <row r="104" spans="1:15" ht="66.75" customHeight="1" x14ac:dyDescent="0.25">
      <c r="A104" s="219">
        <v>89</v>
      </c>
      <c r="B104" s="73" t="s">
        <v>75</v>
      </c>
      <c r="C104" s="189" t="s">
        <v>200</v>
      </c>
      <c r="D104" s="205" t="s">
        <v>206</v>
      </c>
      <c r="E104" s="36" t="e">
        <f>HLOOKUP($D$2,'2018 Data'!$C$1:$CL$284,51,FALSE)</f>
        <v>#N/A</v>
      </c>
      <c r="F104" s="485"/>
      <c r="G104" s="8">
        <f>IF(F104&lt;0,"Error: Enter as positive.",)</f>
        <v>0</v>
      </c>
      <c r="H104" s="16"/>
      <c r="I104" s="35"/>
      <c r="J104" s="4"/>
      <c r="N104" s="385"/>
      <c r="O104" s="386"/>
    </row>
    <row r="105" spans="1:15" ht="66.75" customHeight="1" x14ac:dyDescent="0.25">
      <c r="A105" s="219">
        <v>350</v>
      </c>
      <c r="B105" s="73" t="s">
        <v>75</v>
      </c>
      <c r="C105" s="189" t="s">
        <v>200</v>
      </c>
      <c r="D105" s="195" t="s">
        <v>207</v>
      </c>
      <c r="E105" s="36" t="e">
        <f>HLOOKUP($D$2,'2018 Data'!$C$1:$CL$284,114,FALSE)</f>
        <v>#N/A</v>
      </c>
      <c r="F105" s="485"/>
      <c r="G105" s="7"/>
      <c r="H105" s="16"/>
      <c r="I105" s="35"/>
      <c r="J105" s="4"/>
      <c r="N105" s="385"/>
      <c r="O105" s="386"/>
    </row>
    <row r="106" spans="1:15" ht="67.5" customHeight="1" x14ac:dyDescent="0.25">
      <c r="A106" s="219">
        <v>351</v>
      </c>
      <c r="B106" s="73" t="s">
        <v>75</v>
      </c>
      <c r="C106" s="189" t="s">
        <v>200</v>
      </c>
      <c r="D106" s="195" t="s">
        <v>636</v>
      </c>
      <c r="E106" s="36" t="e">
        <f>HLOOKUP($D$2,'2018 Data'!$C$1:$CL$284,115,FALSE)</f>
        <v>#N/A</v>
      </c>
      <c r="F106" s="485"/>
      <c r="G106" s="8">
        <f>IF(F106&lt;0,"Error: Enter as positive.",)</f>
        <v>0</v>
      </c>
      <c r="H106" s="16"/>
      <c r="I106" s="35"/>
      <c r="N106" s="385"/>
      <c r="O106" s="386"/>
    </row>
    <row r="107" spans="1:15" ht="82.5" customHeight="1" x14ac:dyDescent="0.25">
      <c r="A107" s="219">
        <v>191</v>
      </c>
      <c r="B107" s="73" t="s">
        <v>76</v>
      </c>
      <c r="C107" s="189" t="s">
        <v>200</v>
      </c>
      <c r="D107" s="195" t="s">
        <v>208</v>
      </c>
      <c r="E107" s="36" t="e">
        <f>HLOOKUP($D$2,'2018 Data'!$C$1:$CL$284,72,FALSE)</f>
        <v>#N/A</v>
      </c>
      <c r="F107" s="485"/>
      <c r="G107" s="8">
        <f>IF(F107&lt;0,"Error: Enter as positive.",)</f>
        <v>0</v>
      </c>
      <c r="H107" s="16"/>
      <c r="I107" s="35"/>
      <c r="N107" s="385"/>
      <c r="O107" s="386"/>
    </row>
    <row r="108" spans="1:15" ht="73.5" customHeight="1" x14ac:dyDescent="0.25">
      <c r="A108" s="219">
        <v>352</v>
      </c>
      <c r="B108" s="73" t="s">
        <v>87</v>
      </c>
      <c r="C108" s="189" t="s">
        <v>200</v>
      </c>
      <c r="D108" s="205" t="s">
        <v>168</v>
      </c>
      <c r="E108" s="36" t="e">
        <f>HLOOKUP($D$2,'2018 Data'!$C$1:$CL$284,116,FALSE)</f>
        <v>#N/A</v>
      </c>
      <c r="F108" s="485"/>
      <c r="G108" s="8">
        <f>IF(F108&lt;0,"Error: Enter as positive.",)</f>
        <v>0</v>
      </c>
      <c r="H108" s="16"/>
      <c r="I108" s="35"/>
      <c r="N108" s="385"/>
      <c r="O108" s="386"/>
    </row>
    <row r="109" spans="1:15" ht="69.75" customHeight="1" x14ac:dyDescent="0.25">
      <c r="A109" s="219">
        <v>353</v>
      </c>
      <c r="B109" s="73" t="s">
        <v>87</v>
      </c>
      <c r="C109" s="189" t="s">
        <v>200</v>
      </c>
      <c r="D109" s="205" t="s">
        <v>169</v>
      </c>
      <c r="E109" s="36" t="e">
        <f>HLOOKUP($D$2,'2018 Data'!$C$1:$CL$284,117,FALSE)</f>
        <v>#N/A</v>
      </c>
      <c r="F109" s="485"/>
      <c r="G109" s="8">
        <f>IF(F109&lt;0,"Error: Enter as positive.",)</f>
        <v>0</v>
      </c>
      <c r="H109" s="16"/>
      <c r="I109" s="35"/>
      <c r="N109" s="385"/>
      <c r="O109" s="386"/>
    </row>
    <row r="110" spans="1:15" ht="90" customHeight="1" x14ac:dyDescent="0.25">
      <c r="A110" s="219">
        <v>50</v>
      </c>
      <c r="B110" s="73" t="s">
        <v>83</v>
      </c>
      <c r="C110" s="189" t="s">
        <v>200</v>
      </c>
      <c r="D110" s="161" t="s">
        <v>209</v>
      </c>
      <c r="E110" s="36" t="e">
        <f>HLOOKUP($D$2,'2018 Data'!$C$1:$CL$284,37,FALSE)</f>
        <v>#N/A</v>
      </c>
      <c r="F110" s="485"/>
      <c r="G110" s="79">
        <f>IF(F101-F103+F105-F106+F107+F108-F109-F110=0,,"Error: Total revenues less total expenses do not equal total change in net position. Cell F101-F103+F105-F106+F107+F108-F109-F110=0  The amount of the formula is in the cell to the right")</f>
        <v>0</v>
      </c>
      <c r="H110" s="223">
        <f>+F101-F103+F105-F106+F107+F108-F109-F110</f>
        <v>0</v>
      </c>
      <c r="I110" s="35"/>
      <c r="N110" s="385"/>
      <c r="O110" s="386"/>
    </row>
    <row r="111" spans="1:15" ht="106.5" customHeight="1" x14ac:dyDescent="0.25">
      <c r="A111" s="219">
        <v>377</v>
      </c>
      <c r="B111" s="73" t="s">
        <v>87</v>
      </c>
      <c r="C111" s="189" t="s">
        <v>200</v>
      </c>
      <c r="D111" s="161" t="s">
        <v>212</v>
      </c>
      <c r="E111" s="36" t="e">
        <f>HLOOKUP($D$2,'2018 Data'!$C$1:$CL$284,136,FALSE)</f>
        <v>#N/A</v>
      </c>
      <c r="F111" s="485"/>
      <c r="G111" s="79" t="e">
        <f>IF(F82-F110-F111=E82,,"Error: Beginning Balance does not agree with our records.  Cell F82-F110-F111=E82  The amount of the formula is in the cell to the right")</f>
        <v>#N/A</v>
      </c>
      <c r="H111" s="223" t="e">
        <f>+F82-F110-F111-E82</f>
        <v>#N/A</v>
      </c>
      <c r="I111" s="35"/>
      <c r="N111" s="385"/>
      <c r="O111" s="386"/>
    </row>
    <row r="112" spans="1:15" s="4" customFormat="1" ht="64.900000000000006" customHeight="1" x14ac:dyDescent="0.25">
      <c r="A112" s="219">
        <v>537</v>
      </c>
      <c r="B112" s="177" t="s">
        <v>78</v>
      </c>
      <c r="C112" s="212" t="s">
        <v>200</v>
      </c>
      <c r="D112" s="287" t="s">
        <v>210</v>
      </c>
      <c r="E112" s="292" t="e">
        <f>HLOOKUP($D$2,'2018 Data'!$C$1:$CL$284,250,FALSE)</f>
        <v>#N/A</v>
      </c>
      <c r="F112" s="485"/>
      <c r="G112" s="79"/>
      <c r="H112" s="20"/>
      <c r="I112" s="356"/>
      <c r="J112" s="268"/>
      <c r="N112" s="385"/>
      <c r="O112" s="386"/>
    </row>
    <row r="113" spans="1:15" s="4" customFormat="1" ht="68.45" customHeight="1" x14ac:dyDescent="0.25">
      <c r="A113" s="219">
        <v>538</v>
      </c>
      <c r="B113" s="177" t="s">
        <v>78</v>
      </c>
      <c r="C113" s="212" t="s">
        <v>200</v>
      </c>
      <c r="D113" s="287" t="s">
        <v>211</v>
      </c>
      <c r="E113" s="36" t="e">
        <f>HLOOKUP($D$2,'2018 Data'!$C$1:$CL$284,251,FALSE)</f>
        <v>#N/A</v>
      </c>
      <c r="F113" s="485"/>
      <c r="G113" s="79"/>
      <c r="H113" s="20"/>
      <c r="I113" s="356"/>
      <c r="J113" s="268"/>
      <c r="N113" s="386"/>
      <c r="O113" s="386"/>
    </row>
    <row r="114" spans="1:15" ht="18.75" x14ac:dyDescent="0.3">
      <c r="A114" s="220"/>
      <c r="B114" s="191" t="s">
        <v>7</v>
      </c>
      <c r="C114" s="190"/>
      <c r="D114" s="184"/>
      <c r="E114" s="184"/>
      <c r="F114" s="492"/>
      <c r="G114" s="160"/>
      <c r="H114" s="16"/>
      <c r="I114" s="35"/>
      <c r="N114" s="386"/>
      <c r="O114" s="386"/>
    </row>
    <row r="115" spans="1:15" ht="69.75" customHeight="1" x14ac:dyDescent="0.25">
      <c r="A115" s="219">
        <v>97</v>
      </c>
      <c r="B115" s="73" t="s">
        <v>87</v>
      </c>
      <c r="C115" s="189" t="s">
        <v>213</v>
      </c>
      <c r="D115" s="205" t="s">
        <v>214</v>
      </c>
      <c r="E115" s="36" t="e">
        <f>HLOOKUP($D$2,'2018 Data'!$C$1:$CL$284,57,FALSE)</f>
        <v>#N/A</v>
      </c>
      <c r="F115" s="489"/>
      <c r="G115" s="7"/>
      <c r="H115" s="16"/>
      <c r="I115" s="35"/>
      <c r="N115" s="385"/>
      <c r="O115" s="386"/>
    </row>
    <row r="116" spans="1:15" ht="68.25" customHeight="1" x14ac:dyDescent="0.25">
      <c r="A116" s="219">
        <v>93</v>
      </c>
      <c r="B116" s="73" t="s">
        <v>85</v>
      </c>
      <c r="C116" s="189" t="s">
        <v>213</v>
      </c>
      <c r="D116" s="205" t="s">
        <v>203</v>
      </c>
      <c r="E116" s="36" t="e">
        <f>HLOOKUP($D$2,'2018 Data'!$C$1:$CL$284,55,FALSE)</f>
        <v>#N/A</v>
      </c>
      <c r="F116" s="489"/>
      <c r="G116" s="79">
        <f>IF(F116&lt;F115,"Error: Charges for services exceed total operating revenues. Cell F116&lt;F115",)</f>
        <v>0</v>
      </c>
      <c r="H116" s="16"/>
      <c r="I116" s="35"/>
      <c r="N116" s="385"/>
      <c r="O116" s="386"/>
    </row>
    <row r="117" spans="1:15" ht="72" customHeight="1" x14ac:dyDescent="0.25">
      <c r="A117" s="219">
        <v>99</v>
      </c>
      <c r="B117" s="73" t="s">
        <v>77</v>
      </c>
      <c r="C117" s="189" t="s">
        <v>213</v>
      </c>
      <c r="D117" s="205" t="s">
        <v>215</v>
      </c>
      <c r="E117" s="36" t="e">
        <f>HLOOKUP($D$2,'2018 Data'!$C$1:$CL$284,59,FALSE)</f>
        <v>#N/A</v>
      </c>
      <c r="F117" s="489"/>
      <c r="G117" s="8">
        <f t="shared" ref="G117:G125" si="2">IF(F117&lt;0,"Error: Enter as positive.",)</f>
        <v>0</v>
      </c>
      <c r="H117" s="16"/>
      <c r="I117" s="35"/>
      <c r="N117" s="385"/>
      <c r="O117" s="386"/>
    </row>
    <row r="118" spans="1:15" ht="72" customHeight="1" x14ac:dyDescent="0.25">
      <c r="A118" s="219">
        <v>52</v>
      </c>
      <c r="B118" s="73" t="s">
        <v>77</v>
      </c>
      <c r="C118" s="189" t="s">
        <v>213</v>
      </c>
      <c r="D118" s="205" t="s">
        <v>204</v>
      </c>
      <c r="E118" s="36" t="e">
        <f>HLOOKUP($D$2,'2018 Data'!$C$1:$CL$284,39,FALSE)</f>
        <v>#N/A</v>
      </c>
      <c r="F118" s="489"/>
      <c r="G118" s="8">
        <f t="shared" si="2"/>
        <v>0</v>
      </c>
      <c r="H118" s="16"/>
      <c r="I118" s="35"/>
      <c r="N118" s="385"/>
      <c r="O118" s="386"/>
    </row>
    <row r="119" spans="1:15" ht="69.75" customHeight="1" x14ac:dyDescent="0.25">
      <c r="A119" s="219">
        <v>94</v>
      </c>
      <c r="B119" s="73" t="s">
        <v>85</v>
      </c>
      <c r="C119" s="189" t="s">
        <v>213</v>
      </c>
      <c r="D119" s="205" t="s">
        <v>205</v>
      </c>
      <c r="E119" s="36" t="e">
        <f>HLOOKUP($D$2,'2018 Data'!$C$1:$CL$284,56,FALSE)</f>
        <v>#N/A</v>
      </c>
      <c r="F119" s="489"/>
      <c r="G119" s="8">
        <f t="shared" si="2"/>
        <v>0</v>
      </c>
      <c r="H119" s="16"/>
      <c r="I119" s="35"/>
      <c r="N119" s="385"/>
      <c r="O119" s="386"/>
    </row>
    <row r="120" spans="1:15" ht="68.25" customHeight="1" x14ac:dyDescent="0.25">
      <c r="A120" s="219">
        <v>98</v>
      </c>
      <c r="B120" s="73" t="s">
        <v>85</v>
      </c>
      <c r="C120" s="189" t="s">
        <v>213</v>
      </c>
      <c r="D120" s="205" t="s">
        <v>206</v>
      </c>
      <c r="E120" s="36" t="e">
        <f>HLOOKUP($D$2,'2018 Data'!$C$1:$CL$284,58,FALSE)</f>
        <v>#N/A</v>
      </c>
      <c r="F120" s="489"/>
      <c r="G120" s="8">
        <f t="shared" si="2"/>
        <v>0</v>
      </c>
      <c r="H120" s="16"/>
      <c r="I120" s="35"/>
      <c r="N120" s="385"/>
      <c r="O120" s="386"/>
    </row>
    <row r="121" spans="1:15" ht="66" customHeight="1" x14ac:dyDescent="0.25">
      <c r="A121" s="219">
        <v>363</v>
      </c>
      <c r="B121" s="73" t="s">
        <v>75</v>
      </c>
      <c r="C121" s="189" t="s">
        <v>213</v>
      </c>
      <c r="D121" s="195" t="s">
        <v>615</v>
      </c>
      <c r="E121" s="36" t="e">
        <f>HLOOKUP($D$2,'2018 Data'!$C$1:$CL$284,124,FALSE)</f>
        <v>#N/A</v>
      </c>
      <c r="F121" s="489"/>
      <c r="G121" s="8">
        <f t="shared" si="2"/>
        <v>0</v>
      </c>
      <c r="H121" s="16"/>
      <c r="I121" s="35"/>
      <c r="N121" s="385"/>
      <c r="O121" s="386"/>
    </row>
    <row r="122" spans="1:15" ht="64.5" customHeight="1" x14ac:dyDescent="0.25">
      <c r="A122" s="219">
        <v>364</v>
      </c>
      <c r="B122" s="73" t="s">
        <v>75</v>
      </c>
      <c r="C122" s="189" t="s">
        <v>213</v>
      </c>
      <c r="D122" s="195" t="s">
        <v>637</v>
      </c>
      <c r="E122" s="36" t="e">
        <f>HLOOKUP($D$2,'2018 Data'!$C$1:$CL$284,125,FALSE)</f>
        <v>#N/A</v>
      </c>
      <c r="F122" s="489"/>
      <c r="G122" s="8">
        <f t="shared" si="2"/>
        <v>0</v>
      </c>
      <c r="H122" s="16"/>
      <c r="I122" s="35"/>
      <c r="N122" s="385"/>
      <c r="O122" s="386"/>
    </row>
    <row r="123" spans="1:15" ht="75" customHeight="1" x14ac:dyDescent="0.25">
      <c r="A123" s="219">
        <v>192</v>
      </c>
      <c r="B123" s="73" t="s">
        <v>77</v>
      </c>
      <c r="C123" s="189" t="s">
        <v>213</v>
      </c>
      <c r="D123" s="195" t="s">
        <v>216</v>
      </c>
      <c r="E123" s="36" t="e">
        <f>HLOOKUP($D$2,'2018 Data'!$C$1:$CL$284,73,FALSE)</f>
        <v>#N/A</v>
      </c>
      <c r="F123" s="489"/>
      <c r="G123" s="8">
        <f t="shared" si="2"/>
        <v>0</v>
      </c>
      <c r="H123" s="16"/>
      <c r="I123" s="35"/>
      <c r="N123" s="385"/>
      <c r="O123" s="386"/>
    </row>
    <row r="124" spans="1:15" ht="69" customHeight="1" x14ac:dyDescent="0.25">
      <c r="A124" s="219">
        <v>365</v>
      </c>
      <c r="B124" s="73" t="s">
        <v>85</v>
      </c>
      <c r="C124" s="189" t="s">
        <v>213</v>
      </c>
      <c r="D124" s="195" t="s">
        <v>218</v>
      </c>
      <c r="E124" s="36" t="e">
        <f>HLOOKUP($D$2,'2018 Data'!$C$1:$CL$284,126,FALSE)</f>
        <v>#N/A</v>
      </c>
      <c r="F124" s="489"/>
      <c r="G124" s="8">
        <f t="shared" si="2"/>
        <v>0</v>
      </c>
      <c r="H124" s="16"/>
      <c r="I124" s="35"/>
      <c r="N124" s="385"/>
      <c r="O124" s="386"/>
    </row>
    <row r="125" spans="1:15" ht="69" customHeight="1" x14ac:dyDescent="0.25">
      <c r="A125" s="219">
        <v>366</v>
      </c>
      <c r="B125" s="73" t="s">
        <v>85</v>
      </c>
      <c r="C125" s="189" t="s">
        <v>213</v>
      </c>
      <c r="D125" s="195" t="s">
        <v>219</v>
      </c>
      <c r="E125" s="36" t="e">
        <f>HLOOKUP($D$2,'2018 Data'!$C$1:$CL$284,127,FALSE)</f>
        <v>#N/A</v>
      </c>
      <c r="F125" s="489"/>
      <c r="G125" s="8">
        <f t="shared" si="2"/>
        <v>0</v>
      </c>
      <c r="H125" s="16"/>
      <c r="I125" s="35"/>
      <c r="N125" s="385"/>
      <c r="O125" s="386"/>
    </row>
    <row r="126" spans="1:15" ht="79.5" customHeight="1" x14ac:dyDescent="0.25">
      <c r="A126" s="219">
        <v>53</v>
      </c>
      <c r="B126" s="177" t="s">
        <v>85</v>
      </c>
      <c r="C126" s="212" t="s">
        <v>213</v>
      </c>
      <c r="D126" s="161" t="s">
        <v>217</v>
      </c>
      <c r="E126" s="36" t="e">
        <f>HLOOKUP($D$2,'2018 Data'!$C$1:$CL$284,40,FALSE)</f>
        <v>#N/A</v>
      </c>
      <c r="F126" s="489"/>
      <c r="G126" s="79">
        <f>IF(F116-F119+F121-F122+F123+F124-F125-F126=0,,"Error: Total revenues less total expenses do not equal total change in net position. Cell F116-F119+F121-F122+F123+F124-F125-F126=0  The amount of the formula is in the cell to the right")</f>
        <v>0</v>
      </c>
      <c r="H126" s="223">
        <f>+F116-F119+F121-F122+F123+F124-F125-F126</f>
        <v>0</v>
      </c>
      <c r="I126" s="35"/>
      <c r="N126" s="385"/>
      <c r="O126" s="386"/>
    </row>
    <row r="127" spans="1:15" ht="101.25" customHeight="1" x14ac:dyDescent="0.25">
      <c r="A127" s="219">
        <v>378</v>
      </c>
      <c r="B127" s="75" t="s">
        <v>75</v>
      </c>
      <c r="C127" s="189" t="s">
        <v>213</v>
      </c>
      <c r="D127" s="162" t="s">
        <v>220</v>
      </c>
      <c r="E127" s="36" t="e">
        <f>HLOOKUP($D$2,'2018 Data'!$C$1:$CL$284,137,FALSE)</f>
        <v>#N/A</v>
      </c>
      <c r="F127" s="489"/>
      <c r="G127" s="79" t="e">
        <f>IF(F95-F126-F127=E95,,"Error: Beginning Balance does not agree with our records.  Cell F95-F126-F127= E95  The amount of the formula is in the cell to the right")</f>
        <v>#N/A</v>
      </c>
      <c r="H127" s="223" t="e">
        <f>+F95-F126-F127-E95</f>
        <v>#N/A</v>
      </c>
      <c r="I127" s="35"/>
      <c r="N127" s="385"/>
      <c r="O127" s="386"/>
    </row>
    <row r="128" spans="1:15" x14ac:dyDescent="0.25">
      <c r="A128" s="220"/>
      <c r="B128" s="191" t="s">
        <v>2</v>
      </c>
      <c r="C128" s="190"/>
      <c r="D128" s="183"/>
      <c r="E128" s="164"/>
      <c r="F128" s="481"/>
      <c r="G128" s="163"/>
      <c r="H128" s="16"/>
      <c r="I128" s="35"/>
      <c r="N128" s="385"/>
      <c r="O128" s="386"/>
    </row>
    <row r="129" spans="1:15" ht="18.75" x14ac:dyDescent="0.3">
      <c r="A129" s="220"/>
      <c r="B129" s="190" t="s">
        <v>221</v>
      </c>
      <c r="C129" s="190"/>
      <c r="D129" s="184"/>
      <c r="E129" s="184"/>
      <c r="F129" s="480"/>
      <c r="G129" s="165"/>
      <c r="H129" s="16"/>
      <c r="I129" s="35"/>
      <c r="N129" s="385"/>
      <c r="O129" s="386"/>
    </row>
    <row r="130" spans="1:15" ht="18.75" x14ac:dyDescent="0.3">
      <c r="A130" s="220"/>
      <c r="B130" s="190" t="s">
        <v>222</v>
      </c>
      <c r="C130" s="190"/>
      <c r="D130" s="166"/>
      <c r="E130" s="167"/>
      <c r="F130" s="479"/>
      <c r="G130" s="168"/>
      <c r="H130" s="16"/>
      <c r="I130" s="35"/>
      <c r="N130" s="385"/>
      <c r="O130" s="386"/>
    </row>
    <row r="131" spans="1:15" ht="18.75" x14ac:dyDescent="0.3">
      <c r="A131" s="220"/>
      <c r="B131" s="190" t="s">
        <v>28</v>
      </c>
      <c r="C131" s="190"/>
      <c r="D131" s="166"/>
      <c r="E131" s="167"/>
      <c r="F131" s="479"/>
      <c r="G131" s="168"/>
      <c r="H131" s="16"/>
      <c r="I131" s="35"/>
      <c r="N131" s="385"/>
      <c r="O131" s="386"/>
    </row>
    <row r="132" spans="1:15" ht="82.5" customHeight="1" x14ac:dyDescent="0.25">
      <c r="A132" s="219">
        <v>51</v>
      </c>
      <c r="B132" s="73" t="s">
        <v>610</v>
      </c>
      <c r="C132" s="173" t="s">
        <v>223</v>
      </c>
      <c r="D132" s="195" t="s">
        <v>638</v>
      </c>
      <c r="E132" s="36" t="e">
        <f>HLOOKUP($D$2,'2018 Data'!$C$1:$CL$284,38,FALSE)</f>
        <v>#N/A</v>
      </c>
      <c r="F132" s="489"/>
      <c r="G132" s="7"/>
      <c r="H132" s="16"/>
      <c r="I132" s="35"/>
      <c r="N132" s="385"/>
      <c r="O132" s="386"/>
    </row>
    <row r="133" spans="1:15" ht="59.25" customHeight="1" x14ac:dyDescent="0.25">
      <c r="A133" s="219">
        <v>332</v>
      </c>
      <c r="B133" s="73" t="s">
        <v>49</v>
      </c>
      <c r="C133" s="173" t="s">
        <v>223</v>
      </c>
      <c r="D133" s="195" t="s">
        <v>224</v>
      </c>
      <c r="E133" s="36" t="e">
        <f>HLOOKUP($D$2,'2018 Data'!$C$1:$CL$284,98,FALSE)</f>
        <v>#N/A</v>
      </c>
      <c r="F133" s="489"/>
      <c r="G133" s="8">
        <f>IF(F133&lt;0,"Error: Enter as positive.",)</f>
        <v>0</v>
      </c>
      <c r="H133" s="16"/>
      <c r="I133" s="35"/>
      <c r="J133" s="4"/>
      <c r="N133" s="385"/>
      <c r="O133" s="386"/>
    </row>
    <row r="134" spans="1:15" ht="67.5" customHeight="1" x14ac:dyDescent="0.25">
      <c r="A134" s="219">
        <v>331</v>
      </c>
      <c r="B134" s="73" t="s">
        <v>610</v>
      </c>
      <c r="C134" s="173" t="s">
        <v>223</v>
      </c>
      <c r="D134" s="195" t="s">
        <v>225</v>
      </c>
      <c r="E134" s="36" t="e">
        <f>HLOOKUP($D$2,'2018 Data'!$C$1:$CL$284,97,FALSE)</f>
        <v>#N/A</v>
      </c>
      <c r="F134" s="489"/>
      <c r="G134" s="8">
        <f>IF(F134&lt;0,"Error: Enter as positive.",)</f>
        <v>0</v>
      </c>
      <c r="H134" s="16"/>
      <c r="I134" s="35"/>
      <c r="J134" s="4"/>
      <c r="N134" s="385"/>
      <c r="O134" s="386"/>
    </row>
    <row r="135" spans="1:15" ht="18.75" x14ac:dyDescent="0.25">
      <c r="A135" s="220"/>
      <c r="B135" s="191" t="s">
        <v>7</v>
      </c>
      <c r="C135" s="190"/>
      <c r="D135" s="190"/>
      <c r="E135" s="184"/>
      <c r="F135" s="480"/>
      <c r="G135" s="169"/>
      <c r="H135" s="16"/>
      <c r="I135" s="35"/>
      <c r="N135" s="385"/>
      <c r="O135" s="386"/>
    </row>
    <row r="136" spans="1:15" ht="73.5" customHeight="1" x14ac:dyDescent="0.25">
      <c r="A136" s="219">
        <v>55</v>
      </c>
      <c r="B136" s="189" t="s">
        <v>78</v>
      </c>
      <c r="C136" s="173" t="s">
        <v>226</v>
      </c>
      <c r="D136" s="195" t="s">
        <v>639</v>
      </c>
      <c r="E136" s="36" t="e">
        <f>HLOOKUP($D$2,'2018 Data'!$C$1:$CL$284,42,FALSE)</f>
        <v>#N/A</v>
      </c>
      <c r="F136" s="489"/>
      <c r="G136" s="7"/>
      <c r="H136" s="16"/>
      <c r="I136" s="35"/>
      <c r="N136" s="385"/>
      <c r="O136" s="386"/>
    </row>
    <row r="137" spans="1:15" ht="60.75" customHeight="1" x14ac:dyDescent="0.25">
      <c r="A137" s="219">
        <v>101</v>
      </c>
      <c r="B137" s="189" t="s">
        <v>84</v>
      </c>
      <c r="C137" s="173" t="s">
        <v>226</v>
      </c>
      <c r="D137" s="195" t="s">
        <v>227</v>
      </c>
      <c r="E137" s="36" t="e">
        <f>HLOOKUP($D$2,'2018 Data'!$C$1:$CL$284,61,FALSE)</f>
        <v>#N/A</v>
      </c>
      <c r="F137" s="489"/>
      <c r="G137" s="8">
        <f>IF(F137&lt;0,"Error: Enter as positive.",)</f>
        <v>0</v>
      </c>
      <c r="H137" s="16"/>
      <c r="I137" s="35"/>
      <c r="N137" s="385"/>
      <c r="O137" s="386"/>
    </row>
    <row r="138" spans="1:15" ht="53.25" customHeight="1" x14ac:dyDescent="0.25">
      <c r="A138" s="219">
        <v>100</v>
      </c>
      <c r="B138" s="189" t="s">
        <v>85</v>
      </c>
      <c r="C138" s="173" t="s">
        <v>226</v>
      </c>
      <c r="D138" s="195" t="s">
        <v>225</v>
      </c>
      <c r="E138" s="36" t="e">
        <f>HLOOKUP($D$2,'2018 Data'!$C$1:$CL$284,60,FALSE)</f>
        <v>#N/A</v>
      </c>
      <c r="F138" s="489"/>
      <c r="G138" s="8">
        <f>IF(F138&lt;0,"Error: Enter as positive.",)</f>
        <v>0</v>
      </c>
      <c r="H138" s="16"/>
      <c r="I138" s="35"/>
      <c r="N138" s="385"/>
      <c r="O138" s="386"/>
    </row>
    <row r="139" spans="1:15" ht="18.75" x14ac:dyDescent="0.25">
      <c r="A139" s="220"/>
      <c r="B139" s="151" t="s">
        <v>90</v>
      </c>
      <c r="C139" s="155"/>
      <c r="D139" s="184"/>
      <c r="E139" s="184"/>
      <c r="F139" s="478"/>
      <c r="G139" s="140"/>
      <c r="H139" s="76"/>
      <c r="I139" s="35"/>
      <c r="N139" s="385"/>
      <c r="O139" s="386"/>
    </row>
    <row r="140" spans="1:15" ht="60" x14ac:dyDescent="0.25">
      <c r="A140" s="219">
        <v>512</v>
      </c>
      <c r="B140" s="209"/>
      <c r="C140" s="173" t="s">
        <v>229</v>
      </c>
      <c r="D140" s="195" t="s">
        <v>228</v>
      </c>
      <c r="E140" s="36" t="e">
        <f>HLOOKUP($D$2,'2018 Data'!$C$1:$CL$284,162,FALSE)</f>
        <v>#N/A</v>
      </c>
      <c r="F140" s="489"/>
      <c r="G140" s="79">
        <f>IF(F140&lt;0,"Error: This number is normally positive.",)</f>
        <v>0</v>
      </c>
      <c r="H140" s="76"/>
      <c r="I140" s="35"/>
      <c r="N140" s="385"/>
      <c r="O140" s="386"/>
    </row>
    <row r="141" spans="1:15" s="4" customFormat="1" x14ac:dyDescent="0.25">
      <c r="A141" s="219"/>
      <c r="B141" s="191" t="s">
        <v>623</v>
      </c>
      <c r="C141" s="190"/>
      <c r="D141" s="183"/>
      <c r="E141" s="170"/>
      <c r="F141" s="478"/>
      <c r="G141" s="171"/>
      <c r="H141" s="20"/>
      <c r="I141" s="356"/>
      <c r="J141" s="268"/>
      <c r="N141" s="385"/>
      <c r="O141" s="386"/>
    </row>
    <row r="142" spans="1:15" s="4" customFormat="1" ht="96" customHeight="1" x14ac:dyDescent="0.25">
      <c r="A142" s="219">
        <v>535</v>
      </c>
      <c r="B142" s="212" t="s">
        <v>74</v>
      </c>
      <c r="C142" s="212" t="s">
        <v>230</v>
      </c>
      <c r="D142" s="154" t="s">
        <v>674</v>
      </c>
      <c r="E142" s="36" t="e">
        <f>HLOOKUP($D$2,'2018 Data'!$C$1:$CL$284,185,FALSE)</f>
        <v>#N/A</v>
      </c>
      <c r="F142" s="489"/>
      <c r="G142" s="79" t="str">
        <f>IF(F142&lt;1,"Reminder: Please make sure you have entered all cash and investments from bond/Debt proceeds, if applicable.",)</f>
        <v>Reminder: Please make sure you have entered all cash and investments from bond/Debt proceeds, if applicable.</v>
      </c>
      <c r="H142" s="20"/>
      <c r="I142" s="356"/>
      <c r="J142" s="268"/>
      <c r="N142" s="386"/>
      <c r="O142" s="386"/>
    </row>
    <row r="143" spans="1:15" ht="18.75" x14ac:dyDescent="0.3">
      <c r="A143" s="220"/>
      <c r="B143" s="191" t="s">
        <v>34</v>
      </c>
      <c r="C143" s="190"/>
      <c r="D143" s="192"/>
      <c r="E143" s="192"/>
      <c r="F143" s="480"/>
      <c r="G143" s="192"/>
      <c r="H143" s="16"/>
      <c r="I143" s="35"/>
      <c r="J143" s="4"/>
      <c r="N143" s="386"/>
      <c r="O143" s="386"/>
    </row>
    <row r="144" spans="1:15" ht="37.5" x14ac:dyDescent="0.3">
      <c r="A144" s="220"/>
      <c r="B144" s="209"/>
      <c r="C144" s="209"/>
      <c r="D144" s="196" t="s">
        <v>3</v>
      </c>
      <c r="E144" s="6"/>
      <c r="F144" s="477"/>
      <c r="G144" s="7"/>
      <c r="H144" s="16"/>
      <c r="I144" s="35"/>
      <c r="J144" s="4"/>
      <c r="N144" s="385"/>
      <c r="O144" s="386"/>
    </row>
    <row r="145" spans="1:15" ht="30" x14ac:dyDescent="0.25">
      <c r="A145" s="220"/>
      <c r="B145" s="209"/>
      <c r="C145" s="209"/>
      <c r="D145" s="193" t="s">
        <v>8</v>
      </c>
      <c r="E145" s="6"/>
      <c r="F145" s="477"/>
      <c r="G145" s="7"/>
      <c r="H145" s="16"/>
      <c r="I145" s="35"/>
      <c r="N145" s="385"/>
      <c r="O145" s="386"/>
    </row>
    <row r="146" spans="1:15" ht="30" x14ac:dyDescent="0.25">
      <c r="A146" s="219">
        <v>334</v>
      </c>
      <c r="B146" s="73" t="s">
        <v>75</v>
      </c>
      <c r="C146" s="194" t="s">
        <v>246</v>
      </c>
      <c r="D146" s="195" t="s">
        <v>244</v>
      </c>
      <c r="E146" s="36" t="e">
        <f>HLOOKUP($D$2,'2018 Data'!$C$1:$CL$284,100,FALSE)</f>
        <v>#N/A</v>
      </c>
      <c r="F146" s="489"/>
      <c r="G146" s="7"/>
      <c r="H146" s="16"/>
      <c r="I146" s="35"/>
      <c r="N146" s="453"/>
      <c r="O146" s="386"/>
    </row>
    <row r="147" spans="1:15" ht="25.5" x14ac:dyDescent="0.25">
      <c r="A147" s="219">
        <v>373</v>
      </c>
      <c r="B147" s="73" t="s">
        <v>75</v>
      </c>
      <c r="C147" s="194" t="s">
        <v>246</v>
      </c>
      <c r="D147" s="205" t="s">
        <v>245</v>
      </c>
      <c r="E147" s="36" t="e">
        <f>HLOOKUP($D$2,'2018 Data'!$C$1:$CL$284,133,FALSE)</f>
        <v>#N/A</v>
      </c>
      <c r="F147" s="489"/>
      <c r="G147" s="8">
        <f>IF(F147&lt;0,"Error: Enter as positive.",)</f>
        <v>0</v>
      </c>
      <c r="H147" s="16"/>
      <c r="I147" s="35"/>
      <c r="N147" s="453"/>
      <c r="O147" s="386"/>
    </row>
    <row r="148" spans="1:15" ht="18.75" x14ac:dyDescent="0.3">
      <c r="A148" s="220"/>
      <c r="B148" s="210"/>
      <c r="C148" s="210"/>
      <c r="D148" s="197"/>
      <c r="E148" s="11"/>
      <c r="F148" s="476"/>
      <c r="G148" s="7"/>
      <c r="H148" s="16"/>
      <c r="I148" s="35"/>
      <c r="N148" s="385"/>
      <c r="O148" s="386"/>
    </row>
    <row r="149" spans="1:15" ht="93" customHeight="1" x14ac:dyDescent="0.25">
      <c r="A149" s="220"/>
      <c r="B149" s="209"/>
      <c r="C149" s="215"/>
      <c r="D149" s="203" t="s">
        <v>263</v>
      </c>
      <c r="E149" s="6"/>
      <c r="F149" s="477"/>
      <c r="G149" s="7"/>
      <c r="H149" s="16"/>
      <c r="I149" s="35"/>
      <c r="N149" s="385"/>
      <c r="O149" s="386"/>
    </row>
    <row r="150" spans="1:15" ht="30" x14ac:dyDescent="0.25">
      <c r="A150" s="220"/>
      <c r="B150" s="209"/>
      <c r="C150" s="215"/>
      <c r="D150" s="195" t="s">
        <v>36</v>
      </c>
      <c r="E150" s="6"/>
      <c r="F150" s="477"/>
      <c r="G150" s="7"/>
      <c r="H150" s="16"/>
      <c r="I150" s="35"/>
      <c r="N150" s="385"/>
      <c r="O150" s="386"/>
    </row>
    <row r="151" spans="1:15" ht="45" x14ac:dyDescent="0.25">
      <c r="A151" s="219">
        <v>327</v>
      </c>
      <c r="B151" s="177" t="s">
        <v>49</v>
      </c>
      <c r="C151" s="214" t="s">
        <v>250</v>
      </c>
      <c r="D151" s="198" t="s">
        <v>247</v>
      </c>
      <c r="E151" s="36" t="e">
        <f>HLOOKUP($D$2,'2018 Data'!$C$1:$CL$284,94,FALSE)</f>
        <v>#N/A</v>
      </c>
      <c r="F151" s="489"/>
      <c r="G151" s="7"/>
      <c r="H151" s="16"/>
      <c r="I151" s="356"/>
      <c r="N151" s="385"/>
      <c r="O151" s="386"/>
    </row>
    <row r="152" spans="1:15" ht="25.5" x14ac:dyDescent="0.25">
      <c r="A152" s="219">
        <v>328</v>
      </c>
      <c r="B152" s="177" t="s">
        <v>49</v>
      </c>
      <c r="C152" s="214" t="s">
        <v>250</v>
      </c>
      <c r="D152" s="206" t="s">
        <v>9</v>
      </c>
      <c r="E152" s="36" t="e">
        <f>HLOOKUP($D$2,'2018 Data'!$C$1:$CL$284,95,FALSE)</f>
        <v>#N/A</v>
      </c>
      <c r="F152" s="489"/>
      <c r="G152" s="7"/>
      <c r="H152" s="16"/>
      <c r="I152" s="356"/>
      <c r="N152" s="385"/>
      <c r="O152" s="386"/>
    </row>
    <row r="153" spans="1:15" ht="39" customHeight="1" x14ac:dyDescent="0.25">
      <c r="A153" s="220"/>
      <c r="B153" s="209"/>
      <c r="C153" s="215"/>
      <c r="D153" s="207" t="s">
        <v>248</v>
      </c>
      <c r="E153" s="499" t="e">
        <f>SUM(E151:E152)</f>
        <v>#N/A</v>
      </c>
      <c r="F153" s="499">
        <f>SUM(F151:F152)</f>
        <v>0</v>
      </c>
      <c r="G153" s="7"/>
      <c r="H153" s="16"/>
      <c r="I153" s="35"/>
      <c r="N153" s="385"/>
      <c r="O153" s="386"/>
    </row>
    <row r="154" spans="1:15" ht="30" x14ac:dyDescent="0.25">
      <c r="A154" s="220"/>
      <c r="B154" s="209"/>
      <c r="C154" s="215"/>
      <c r="D154" s="195" t="s">
        <v>37</v>
      </c>
      <c r="E154" s="6"/>
      <c r="F154" s="477"/>
      <c r="G154" s="7"/>
      <c r="H154" s="16"/>
      <c r="I154" s="35"/>
      <c r="N154" s="385"/>
      <c r="O154" s="386"/>
    </row>
    <row r="155" spans="1:15" x14ac:dyDescent="0.25">
      <c r="A155" s="220"/>
      <c r="B155" s="209"/>
      <c r="C155" s="215"/>
      <c r="D155" s="202" t="s">
        <v>11</v>
      </c>
      <c r="E155" s="78"/>
      <c r="F155" s="475"/>
      <c r="G155" s="7"/>
      <c r="H155" s="16"/>
      <c r="I155" s="35"/>
      <c r="N155" s="385"/>
      <c r="O155" s="386"/>
    </row>
    <row r="156" spans="1:15" ht="38.25" x14ac:dyDescent="0.25">
      <c r="A156" s="219">
        <v>515</v>
      </c>
      <c r="B156" s="177" t="s">
        <v>609</v>
      </c>
      <c r="C156" s="214" t="s">
        <v>251</v>
      </c>
      <c r="D156" s="208" t="s">
        <v>4</v>
      </c>
      <c r="E156" s="36" t="e">
        <f>HLOOKUP($D$2,'2018 Data'!$C$1:$CL$284,165,FALSE)</f>
        <v>#N/A</v>
      </c>
      <c r="F156" s="489"/>
      <c r="G156" s="8"/>
      <c r="H156" s="16"/>
      <c r="I156" s="35"/>
      <c r="N156" s="385"/>
      <c r="O156" s="386"/>
    </row>
    <row r="157" spans="1:15" ht="38.25" x14ac:dyDescent="0.25">
      <c r="A157" s="219">
        <v>516</v>
      </c>
      <c r="B157" s="177" t="s">
        <v>609</v>
      </c>
      <c r="C157" s="214" t="s">
        <v>251</v>
      </c>
      <c r="D157" s="208" t="s">
        <v>5</v>
      </c>
      <c r="E157" s="36" t="e">
        <f>HLOOKUP($D$2,'2018 Data'!$C$1:$CL$284,166,FALSE)</f>
        <v>#N/A</v>
      </c>
      <c r="F157" s="489"/>
      <c r="G157" s="8"/>
      <c r="H157" s="16"/>
      <c r="I157" s="35"/>
      <c r="N157" s="385"/>
      <c r="O157" s="386"/>
    </row>
    <row r="158" spans="1:15" ht="38.25" x14ac:dyDescent="0.25">
      <c r="A158" s="219">
        <v>517</v>
      </c>
      <c r="B158" s="177" t="s">
        <v>609</v>
      </c>
      <c r="C158" s="214" t="s">
        <v>251</v>
      </c>
      <c r="D158" s="208" t="s">
        <v>6</v>
      </c>
      <c r="E158" s="36" t="e">
        <f>HLOOKUP($D$2,'2018 Data'!$C$1:$CL$284,167,FALSE)</f>
        <v>#N/A</v>
      </c>
      <c r="F158" s="489"/>
      <c r="G158" s="8"/>
      <c r="H158" s="16"/>
      <c r="I158" s="35"/>
      <c r="N158" s="385"/>
      <c r="O158" s="386"/>
    </row>
    <row r="159" spans="1:15" ht="38.25" x14ac:dyDescent="0.25">
      <c r="A159" s="219">
        <v>518</v>
      </c>
      <c r="B159" s="177" t="s">
        <v>609</v>
      </c>
      <c r="C159" s="214" t="s">
        <v>251</v>
      </c>
      <c r="D159" s="208" t="s">
        <v>56</v>
      </c>
      <c r="E159" s="36" t="e">
        <f>HLOOKUP($D$2,'2018 Data'!$C$1:$CL$284,168,FALSE)</f>
        <v>#N/A</v>
      </c>
      <c r="F159" s="489"/>
      <c r="G159" s="8"/>
      <c r="H159" s="16"/>
      <c r="I159" s="35"/>
      <c r="N159" s="385"/>
      <c r="O159" s="386"/>
    </row>
    <row r="160" spans="1:15" ht="36" customHeight="1" x14ac:dyDescent="0.25">
      <c r="A160"/>
      <c r="B160" s="209"/>
      <c r="C160" s="213"/>
      <c r="D160" s="201" t="s">
        <v>38</v>
      </c>
      <c r="E160" s="499" t="e">
        <f>SUM(E156:E159)</f>
        <v>#N/A</v>
      </c>
      <c r="F160" s="499">
        <f>SUM(F156:F159)</f>
        <v>0</v>
      </c>
      <c r="G160" s="7"/>
      <c r="H160" s="16"/>
      <c r="I160" s="35"/>
      <c r="N160" s="385"/>
      <c r="O160" s="386"/>
    </row>
    <row r="161" spans="1:15" x14ac:dyDescent="0.25">
      <c r="A161" s="220"/>
      <c r="B161" s="209"/>
      <c r="C161" s="213"/>
      <c r="D161" s="202" t="s">
        <v>67</v>
      </c>
      <c r="E161" s="6"/>
      <c r="F161" s="477"/>
      <c r="G161" s="7"/>
      <c r="H161" s="16"/>
      <c r="I161" s="35"/>
      <c r="N161" s="385"/>
      <c r="O161" s="386"/>
    </row>
    <row r="162" spans="1:15" ht="38.25" x14ac:dyDescent="0.25">
      <c r="A162" s="219">
        <v>519</v>
      </c>
      <c r="B162" s="177" t="s">
        <v>49</v>
      </c>
      <c r="C162" s="214" t="s">
        <v>252</v>
      </c>
      <c r="D162" s="208" t="s">
        <v>18</v>
      </c>
      <c r="E162" s="36" t="e">
        <f>HLOOKUP($D$2,'2018 Data'!$C$1:$CL$284,169,FALSE)</f>
        <v>#N/A</v>
      </c>
      <c r="F162" s="489"/>
      <c r="G162" s="8">
        <f>IF(F162&lt;0,"Error: Enter as positive.",)</f>
        <v>0</v>
      </c>
      <c r="H162" s="16"/>
      <c r="I162" s="35"/>
      <c r="N162" s="385"/>
      <c r="O162" s="386"/>
    </row>
    <row r="163" spans="1:15" ht="38.25" x14ac:dyDescent="0.25">
      <c r="A163" s="219">
        <v>520</v>
      </c>
      <c r="B163" s="177" t="s">
        <v>49</v>
      </c>
      <c r="C163" s="214" t="s">
        <v>252</v>
      </c>
      <c r="D163" s="208" t="s">
        <v>20</v>
      </c>
      <c r="E163" s="36" t="e">
        <f>HLOOKUP($D$2,'2018 Data'!$C$1:$CL$284,170,FALSE)</f>
        <v>#N/A</v>
      </c>
      <c r="F163" s="489"/>
      <c r="G163" s="8">
        <f>IF(F163&lt;0,"Error: Enter as positive.",)</f>
        <v>0</v>
      </c>
      <c r="H163" s="16"/>
      <c r="I163" s="35"/>
      <c r="N163" s="385"/>
      <c r="O163" s="386"/>
    </row>
    <row r="164" spans="1:15" ht="38.25" x14ac:dyDescent="0.25">
      <c r="A164" s="219">
        <v>521</v>
      </c>
      <c r="B164" s="177" t="s">
        <v>49</v>
      </c>
      <c r="C164" s="214" t="s">
        <v>252</v>
      </c>
      <c r="D164" s="208" t="s">
        <v>22</v>
      </c>
      <c r="E164" s="36" t="e">
        <f>HLOOKUP($D$2,'2018 Data'!$C$1:$CL$284,171,FALSE)</f>
        <v>#N/A</v>
      </c>
      <c r="F164" s="489"/>
      <c r="G164" s="8">
        <f>IF(F164&lt;0,"Error: Enter as positive.",)</f>
        <v>0</v>
      </c>
      <c r="H164" s="16"/>
      <c r="I164" s="35"/>
      <c r="N164" s="385"/>
      <c r="O164" s="386"/>
    </row>
    <row r="165" spans="1:15" ht="38.25" x14ac:dyDescent="0.25">
      <c r="A165" s="219">
        <v>522</v>
      </c>
      <c r="B165" s="177" t="s">
        <v>49</v>
      </c>
      <c r="C165" s="214" t="s">
        <v>252</v>
      </c>
      <c r="D165" s="208" t="s">
        <v>57</v>
      </c>
      <c r="E165" s="36" t="e">
        <f>HLOOKUP($D$2,'2018 Data'!$C$1:$CL$284,172,FALSE)</f>
        <v>#N/A</v>
      </c>
      <c r="F165" s="489"/>
      <c r="G165" s="8">
        <f>IF(F165&lt;0,"Error: Enter as positive.",)</f>
        <v>0</v>
      </c>
      <c r="H165" s="16"/>
      <c r="I165" s="35"/>
      <c r="N165" s="385"/>
      <c r="O165" s="386"/>
    </row>
    <row r="166" spans="1:15" x14ac:dyDescent="0.25">
      <c r="A166" s="29"/>
      <c r="B166" s="209"/>
      <c r="C166" s="213"/>
      <c r="D166" s="199" t="s">
        <v>43</v>
      </c>
      <c r="E166" s="499" t="e">
        <f>SUM(E162:E165)</f>
        <v>#N/A</v>
      </c>
      <c r="F166" s="499">
        <f>SUM(F162:F165)</f>
        <v>0</v>
      </c>
      <c r="G166" s="25"/>
      <c r="H166" s="16"/>
      <c r="I166" s="35"/>
      <c r="N166" s="385"/>
      <c r="O166" s="386"/>
    </row>
    <row r="167" spans="1:15" x14ac:dyDescent="0.25">
      <c r="A167" s="29"/>
      <c r="B167" s="209"/>
      <c r="C167" s="213"/>
      <c r="D167" s="202" t="s">
        <v>41</v>
      </c>
      <c r="E167" s="25"/>
      <c r="F167" s="474"/>
      <c r="G167" s="25"/>
      <c r="H167" s="16"/>
      <c r="I167" s="35"/>
      <c r="N167" s="385"/>
      <c r="O167" s="386"/>
    </row>
    <row r="168" spans="1:15" ht="51" x14ac:dyDescent="0.25">
      <c r="A168" s="219">
        <v>523</v>
      </c>
      <c r="B168" s="177" t="s">
        <v>609</v>
      </c>
      <c r="C168" s="214" t="s">
        <v>253</v>
      </c>
      <c r="D168" s="208" t="s">
        <v>19</v>
      </c>
      <c r="E168" s="36" t="e">
        <f>HLOOKUP($D$2,'2018 Data'!$C$1:$CL$284,173,FALSE)</f>
        <v>#N/A</v>
      </c>
      <c r="F168" s="489"/>
      <c r="G168" s="8">
        <f>IF(F168&lt;0,"Error: Enter as positive.",)</f>
        <v>0</v>
      </c>
      <c r="H168" s="16"/>
      <c r="I168" s="35"/>
      <c r="J168" s="4"/>
      <c r="N168" s="385"/>
      <c r="O168" s="386"/>
    </row>
    <row r="169" spans="1:15" ht="51" x14ac:dyDescent="0.25">
      <c r="A169" s="219">
        <v>524</v>
      </c>
      <c r="B169" s="177" t="s">
        <v>609</v>
      </c>
      <c r="C169" s="214" t="s">
        <v>253</v>
      </c>
      <c r="D169" s="208" t="s">
        <v>21</v>
      </c>
      <c r="E169" s="36" t="e">
        <f>HLOOKUP($D$2,'2018 Data'!$C$1:$CL$284,174,FALSE)</f>
        <v>#N/A</v>
      </c>
      <c r="F169" s="489"/>
      <c r="G169" s="8">
        <f>IF(F169&lt;0,"Error: Enter as positive.",)</f>
        <v>0</v>
      </c>
      <c r="H169" s="16"/>
      <c r="I169" s="35"/>
      <c r="J169" s="4"/>
      <c r="N169" s="385"/>
      <c r="O169" s="386"/>
    </row>
    <row r="170" spans="1:15" ht="51" x14ac:dyDescent="0.25">
      <c r="A170" s="219">
        <v>525</v>
      </c>
      <c r="B170" s="177" t="s">
        <v>609</v>
      </c>
      <c r="C170" s="214" t="s">
        <v>253</v>
      </c>
      <c r="D170" s="208" t="s">
        <v>23</v>
      </c>
      <c r="E170" s="36" t="e">
        <f>HLOOKUP($D$2,'2018 Data'!$C$1:$CL$284,175,FALSE)</f>
        <v>#N/A</v>
      </c>
      <c r="F170" s="489"/>
      <c r="G170" s="8">
        <f>IF(F170&lt;0,"Error: Enter as positive.",)</f>
        <v>0</v>
      </c>
      <c r="H170" s="16"/>
      <c r="I170" s="35"/>
      <c r="J170" s="4"/>
      <c r="N170" s="385"/>
      <c r="O170" s="386"/>
    </row>
    <row r="171" spans="1:15" ht="51" x14ac:dyDescent="0.25">
      <c r="A171" s="219">
        <v>526</v>
      </c>
      <c r="B171" s="177" t="s">
        <v>609</v>
      </c>
      <c r="C171" s="214" t="s">
        <v>253</v>
      </c>
      <c r="D171" s="208" t="s">
        <v>58</v>
      </c>
      <c r="E171" s="36" t="e">
        <f>HLOOKUP($D$2,'2018 Data'!$C$1:$CL$284,176,FALSE)</f>
        <v>#N/A</v>
      </c>
      <c r="F171" s="489"/>
      <c r="G171" s="8">
        <f>IF(F171&lt;0,"Error: Enter as positive.",)</f>
        <v>0</v>
      </c>
      <c r="H171" s="16"/>
      <c r="I171" s="35"/>
      <c r="N171" s="385"/>
      <c r="O171" s="386"/>
    </row>
    <row r="172" spans="1:15" x14ac:dyDescent="0.25">
      <c r="A172" s="219"/>
      <c r="B172" s="211"/>
      <c r="C172" s="211"/>
      <c r="D172" s="199" t="s">
        <v>42</v>
      </c>
      <c r="E172" s="499" t="e">
        <f>SUM(E168:E171)</f>
        <v>#N/A</v>
      </c>
      <c r="F172" s="499">
        <f>SUM(F168:F171)</f>
        <v>0</v>
      </c>
      <c r="G172" s="7"/>
      <c r="H172" s="16"/>
      <c r="I172" s="35"/>
      <c r="N172" s="385"/>
      <c r="O172" s="386"/>
    </row>
    <row r="173" spans="1:15" x14ac:dyDescent="0.25">
      <c r="A173" s="220"/>
      <c r="B173" s="211"/>
      <c r="C173" s="211"/>
      <c r="D173" s="200" t="s">
        <v>44</v>
      </c>
      <c r="E173" s="499" t="e">
        <f>E153+E160-E172</f>
        <v>#N/A</v>
      </c>
      <c r="F173" s="499">
        <f>F153+F160-F172</f>
        <v>0</v>
      </c>
      <c r="G173" s="7"/>
      <c r="H173" s="16"/>
      <c r="I173" s="35"/>
      <c r="N173" s="385"/>
      <c r="O173" s="386"/>
    </row>
    <row r="174" spans="1:15" ht="18.75" x14ac:dyDescent="0.3">
      <c r="A174" s="220"/>
      <c r="B174" s="210"/>
      <c r="C174" s="210"/>
      <c r="D174" s="197"/>
      <c r="E174" s="11"/>
      <c r="F174" s="476"/>
      <c r="G174" s="7"/>
      <c r="H174" s="16"/>
      <c r="I174" s="35"/>
      <c r="J174" s="18"/>
      <c r="N174" s="385"/>
      <c r="O174" s="386"/>
    </row>
    <row r="175" spans="1:15" ht="18.75" x14ac:dyDescent="0.25">
      <c r="A175" s="220"/>
      <c r="B175" s="209"/>
      <c r="C175" s="209"/>
      <c r="D175" s="203" t="s">
        <v>10</v>
      </c>
      <c r="E175" s="6"/>
      <c r="F175" s="477"/>
      <c r="G175" s="7"/>
      <c r="H175" s="16"/>
      <c r="I175" s="35"/>
      <c r="J175" s="18"/>
      <c r="N175" s="385"/>
      <c r="O175" s="386"/>
    </row>
    <row r="176" spans="1:15" ht="39.75" customHeight="1" x14ac:dyDescent="0.25">
      <c r="A176" s="219">
        <v>527</v>
      </c>
      <c r="B176" s="177" t="s">
        <v>77</v>
      </c>
      <c r="C176" s="212" t="s">
        <v>254</v>
      </c>
      <c r="D176" s="205" t="s">
        <v>249</v>
      </c>
      <c r="E176" s="36" t="e">
        <f>HLOOKUP($D$2,'2018 Data'!$C$1:$CL$284,177,FALSE)</f>
        <v>#N/A</v>
      </c>
      <c r="F176" s="489"/>
      <c r="G176" s="7"/>
      <c r="H176" s="16"/>
      <c r="I176" s="356"/>
      <c r="N176" s="385"/>
      <c r="O176" s="386"/>
    </row>
    <row r="177" spans="1:15" ht="39.75" customHeight="1" x14ac:dyDescent="0.25">
      <c r="A177" s="219">
        <v>356</v>
      </c>
      <c r="B177" s="177" t="s">
        <v>85</v>
      </c>
      <c r="C177" s="212" t="s">
        <v>254</v>
      </c>
      <c r="D177" s="204" t="s">
        <v>24</v>
      </c>
      <c r="E177" s="36" t="e">
        <f>HLOOKUP($D$2,'2018 Data'!$C$1:$CL$284,118,FALSE)</f>
        <v>#N/A</v>
      </c>
      <c r="F177" s="489"/>
      <c r="G177" s="7"/>
      <c r="H177" s="16"/>
      <c r="I177" s="356"/>
      <c r="J177" s="18"/>
      <c r="N177" s="385"/>
      <c r="O177" s="386"/>
    </row>
    <row r="178" spans="1:15" ht="40.5" x14ac:dyDescent="0.25">
      <c r="A178" s="219">
        <v>357</v>
      </c>
      <c r="B178" s="177" t="s">
        <v>75</v>
      </c>
      <c r="C178" s="212" t="s">
        <v>255</v>
      </c>
      <c r="D178" s="204" t="s">
        <v>25</v>
      </c>
      <c r="E178" s="36" t="e">
        <f>HLOOKUP($D$2,'2018 Data'!$C$1:$CL$284,119,FALSE)</f>
        <v>#N/A</v>
      </c>
      <c r="F178" s="489"/>
      <c r="G178" s="8">
        <f>IF(F178&lt;0,"Error: Enter as positive.",)</f>
        <v>0</v>
      </c>
      <c r="H178" s="16"/>
      <c r="I178" s="356"/>
      <c r="N178" s="385"/>
      <c r="O178" s="386"/>
    </row>
    <row r="179" spans="1:15" ht="18.75" x14ac:dyDescent="0.3">
      <c r="A179" s="220"/>
      <c r="B179" s="191" t="s">
        <v>12</v>
      </c>
      <c r="C179" s="190"/>
      <c r="D179" s="184"/>
      <c r="E179" s="192"/>
      <c r="F179" s="480"/>
      <c r="G179" s="172"/>
      <c r="H179" s="16"/>
      <c r="I179" s="35"/>
      <c r="N179" s="385"/>
      <c r="O179" s="386"/>
    </row>
    <row r="180" spans="1:15" ht="249" customHeight="1" x14ac:dyDescent="0.25">
      <c r="A180" s="219">
        <v>337</v>
      </c>
      <c r="B180" s="73" t="s">
        <v>75</v>
      </c>
      <c r="C180" s="189" t="s">
        <v>795</v>
      </c>
      <c r="D180" s="195" t="s">
        <v>617</v>
      </c>
      <c r="E180" s="36" t="e">
        <f>HLOOKUP($D$2,'2018 Data'!$C$1:$CL$284,103,FALSE)</f>
        <v>#N/A</v>
      </c>
      <c r="F180" s="489"/>
      <c r="G180" s="8">
        <f>IF(F180&lt;0,"Error: Enter as positive.",)</f>
        <v>0</v>
      </c>
      <c r="H180" s="16"/>
      <c r="I180" s="35"/>
      <c r="N180" s="453"/>
      <c r="O180" s="386"/>
    </row>
    <row r="181" spans="1:15" ht="54" x14ac:dyDescent="0.25">
      <c r="A181" s="219">
        <v>343</v>
      </c>
      <c r="B181" s="73" t="s">
        <v>75</v>
      </c>
      <c r="C181" s="189" t="s">
        <v>798</v>
      </c>
      <c r="D181" s="205" t="s">
        <v>231</v>
      </c>
      <c r="E181" s="36" t="e">
        <f>HLOOKUP($D$2,'2018 Data'!$C$1:$CL$284,109,FALSE)</f>
        <v>#N/A</v>
      </c>
      <c r="F181" s="489"/>
      <c r="G181" s="8">
        <f>IF(F181&lt;0,"Error: Enter as positive.",)</f>
        <v>0</v>
      </c>
      <c r="H181" s="16"/>
      <c r="I181" s="35"/>
      <c r="J181" s="385"/>
      <c r="N181" s="453"/>
      <c r="O181" s="386"/>
    </row>
    <row r="182" spans="1:15" ht="240" x14ac:dyDescent="0.25">
      <c r="A182" s="219">
        <v>82</v>
      </c>
      <c r="B182" s="73" t="s">
        <v>80</v>
      </c>
      <c r="C182" s="189" t="s">
        <v>607</v>
      </c>
      <c r="D182" s="195" t="s">
        <v>618</v>
      </c>
      <c r="E182" s="36" t="e">
        <f>HLOOKUP($D$2,'2018 Data'!$C$1:$CL$284,46,FALSE)</f>
        <v>#N/A</v>
      </c>
      <c r="F182" s="489"/>
      <c r="G182" s="8">
        <f>IF(F182&lt;0,"Error: Enter as positive.",)</f>
        <v>0</v>
      </c>
      <c r="H182" s="16"/>
      <c r="I182" s="18"/>
      <c r="J182" s="385"/>
      <c r="N182" s="385"/>
      <c r="O182" s="386"/>
    </row>
    <row r="183" spans="1:15" ht="240" x14ac:dyDescent="0.25">
      <c r="A183" s="219">
        <v>359</v>
      </c>
      <c r="B183" s="73" t="s">
        <v>75</v>
      </c>
      <c r="C183" s="189" t="s">
        <v>608</v>
      </c>
      <c r="D183" s="195" t="s">
        <v>616</v>
      </c>
      <c r="E183" s="36" t="e">
        <f>HLOOKUP($D$2,'2018 Data'!$C$1:$CL$284,120,FALSE)</f>
        <v>#N/A</v>
      </c>
      <c r="F183" s="489"/>
      <c r="G183" s="8">
        <f>IF(F183&lt;0,"Error: Enter as positive.",)</f>
        <v>0</v>
      </c>
      <c r="H183" s="16"/>
      <c r="I183" s="18"/>
      <c r="J183" s="385"/>
      <c r="N183" s="385"/>
      <c r="O183" s="386"/>
    </row>
    <row r="184" spans="1:15" s="385" customFormat="1" x14ac:dyDescent="0.25">
      <c r="A184" s="219"/>
      <c r="B184" s="191" t="s">
        <v>850</v>
      </c>
      <c r="C184" s="190"/>
      <c r="D184" s="183"/>
      <c r="E184" s="174"/>
      <c r="F184" s="481"/>
      <c r="G184" s="181"/>
      <c r="H184" s="76"/>
      <c r="I184" s="18"/>
      <c r="O184" s="386"/>
    </row>
    <row r="185" spans="1:15" s="385" customFormat="1" ht="164.25" customHeight="1" x14ac:dyDescent="0.25">
      <c r="A185" s="464">
        <v>622</v>
      </c>
      <c r="B185" s="459" t="s">
        <v>725</v>
      </c>
      <c r="C185" s="464" t="s">
        <v>849</v>
      </c>
      <c r="D185" s="463" t="s">
        <v>855</v>
      </c>
      <c r="E185" s="466" t="s">
        <v>856</v>
      </c>
      <c r="F185" s="489"/>
      <c r="G185" s="451"/>
      <c r="H185" s="76"/>
      <c r="I185" s="18"/>
      <c r="J185" s="4"/>
      <c r="O185" s="386"/>
    </row>
    <row r="186" spans="1:15" s="385" customFormat="1" ht="69" customHeight="1" x14ac:dyDescent="0.25">
      <c r="A186" s="464">
        <v>623</v>
      </c>
      <c r="B186" s="466" t="s">
        <v>858</v>
      </c>
      <c r="C186" s="464"/>
      <c r="D186" s="464" t="s">
        <v>862</v>
      </c>
      <c r="E186" s="466" t="s">
        <v>861</v>
      </c>
      <c r="F186" s="473"/>
      <c r="G186" s="451"/>
      <c r="H186" s="76"/>
      <c r="I186" s="18"/>
      <c r="J186" s="4"/>
      <c r="O186" s="386"/>
    </row>
    <row r="187" spans="1:15" s="385" customFormat="1" ht="180" x14ac:dyDescent="0.25">
      <c r="A187" s="219">
        <v>577</v>
      </c>
      <c r="B187" s="177"/>
      <c r="C187" s="177" t="s">
        <v>652</v>
      </c>
      <c r="D187" s="413" t="s">
        <v>789</v>
      </c>
      <c r="E187" s="371"/>
      <c r="F187" s="489"/>
      <c r="G187" s="369" t="str">
        <f>IF(F187="Yes","In this cell - Please include the name of the plan, a brief description of the benefit and the population group that received the benefits.
that received the benefit"," ")</f>
        <v xml:space="preserve"> </v>
      </c>
      <c r="H187" s="76"/>
      <c r="I187" s="18"/>
      <c r="J187" s="72"/>
      <c r="O187" s="386"/>
    </row>
    <row r="188" spans="1:15" s="78" customFormat="1" x14ac:dyDescent="0.25">
      <c r="A188" s="220"/>
      <c r="B188" s="191" t="s">
        <v>619</v>
      </c>
      <c r="C188" s="190"/>
      <c r="D188" s="183"/>
      <c r="E188" s="174"/>
      <c r="F188" s="481"/>
      <c r="G188" s="181"/>
      <c r="H188" s="76"/>
      <c r="I188" s="35"/>
      <c r="J188" s="268"/>
      <c r="N188" s="385"/>
      <c r="O188" s="386"/>
    </row>
    <row r="189" spans="1:15" s="78" customFormat="1" ht="70.5" customHeight="1" x14ac:dyDescent="0.25">
      <c r="A189" s="219">
        <v>598</v>
      </c>
      <c r="B189" s="177" t="s">
        <v>78</v>
      </c>
      <c r="C189" s="212" t="s">
        <v>620</v>
      </c>
      <c r="D189" s="276" t="s">
        <v>800</v>
      </c>
      <c r="E189" s="36" t="e">
        <f>HLOOKUP($D$2,'2018 Data'!$C$1:$CL$284,258,FALSE)</f>
        <v>#N/A</v>
      </c>
      <c r="F189" s="489"/>
      <c r="G189" s="79">
        <f>IF(F189&lt;0,"Error: Enter as positive.",)</f>
        <v>0</v>
      </c>
      <c r="H189" s="79"/>
      <c r="I189" s="18"/>
      <c r="J189" s="432"/>
      <c r="N189" s="385"/>
      <c r="O189" s="386"/>
    </row>
    <row r="190" spans="1:15" s="78" customFormat="1" ht="48.75" customHeight="1" x14ac:dyDescent="0.25">
      <c r="A190" s="219">
        <v>599</v>
      </c>
      <c r="B190" s="177" t="s">
        <v>78</v>
      </c>
      <c r="C190" s="177" t="s">
        <v>620</v>
      </c>
      <c r="D190" s="205" t="s">
        <v>801</v>
      </c>
      <c r="E190" s="36" t="e">
        <f>HLOOKUP($D$2,'2018 Data'!$C$1:$CL$284,259,FALSE)</f>
        <v>#N/A</v>
      </c>
      <c r="F190" s="489"/>
      <c r="G190" s="434" t="str">
        <f>IF(ISBLANK(F190),"Please do not leave blank","")</f>
        <v>Please do not leave blank</v>
      </c>
      <c r="H190" s="79">
        <f>IF(F190&lt;0,"Error: Enter as positive.",)</f>
        <v>0</v>
      </c>
      <c r="I190" s="35"/>
      <c r="J190" s="268"/>
      <c r="N190" s="453"/>
      <c r="O190" s="386"/>
    </row>
    <row r="191" spans="1:15" s="268" customFormat="1" ht="84.75" customHeight="1" x14ac:dyDescent="0.25">
      <c r="A191" s="219">
        <v>602</v>
      </c>
      <c r="B191" s="177" t="s">
        <v>78</v>
      </c>
      <c r="C191" s="177" t="s">
        <v>620</v>
      </c>
      <c r="D191" s="293" t="s">
        <v>812</v>
      </c>
      <c r="E191" s="36" t="e">
        <f>HLOOKUP($D$2,'2018 Data'!$C$1:$CL$284,262,FALSE)</f>
        <v>#N/A</v>
      </c>
      <c r="F191" s="489"/>
      <c r="G191" s="434" t="str">
        <f>IF(ISBLANK(F191),"Please do not leave blank","")</f>
        <v>Please do not leave blank</v>
      </c>
      <c r="H191" s="451">
        <f>IF(F191&lt;0,"Note: Number is normally positive.",)</f>
        <v>0</v>
      </c>
      <c r="I191" s="35"/>
      <c r="J191" s="386"/>
      <c r="N191" s="385"/>
      <c r="O191" s="386"/>
    </row>
    <row r="192" spans="1:15" s="385" customFormat="1" ht="84.75" customHeight="1" x14ac:dyDescent="0.25">
      <c r="A192" s="219">
        <v>619</v>
      </c>
      <c r="B192" s="177" t="s">
        <v>78</v>
      </c>
      <c r="C192" s="177" t="s">
        <v>833</v>
      </c>
      <c r="D192" s="458" t="s">
        <v>845</v>
      </c>
      <c r="E192" s="36" t="e">
        <f>HLOOKUP($D$2,'2018 Data'!$C$1:$CL$284,279,FALSE)</f>
        <v>#N/A</v>
      </c>
      <c r="F192" s="491"/>
      <c r="G192" s="434" t="str">
        <f>IF(ISBLANK(F192),"Please do not leave blank ",IF(F192=H192,"","Please review percentage"))</f>
        <v xml:space="preserve">Please do not leave blank </v>
      </c>
      <c r="H192" s="446">
        <f>ROUND(IFERROR((F191/F190)*100,0),1)</f>
        <v>0</v>
      </c>
      <c r="I192" s="387"/>
      <c r="J192" s="268"/>
      <c r="O192" s="386"/>
    </row>
    <row r="193" spans="1:17" x14ac:dyDescent="0.25">
      <c r="A193" s="220"/>
      <c r="B193" s="191" t="s">
        <v>30</v>
      </c>
      <c r="C193" s="190"/>
      <c r="D193" s="183"/>
      <c r="E193" s="174"/>
      <c r="F193" s="494"/>
      <c r="G193" s="175"/>
      <c r="H193" s="16"/>
      <c r="I193" s="35"/>
      <c r="N193" s="453"/>
      <c r="O193" s="386"/>
    </row>
    <row r="194" spans="1:17" s="386" customFormat="1" ht="108.75" customHeight="1" x14ac:dyDescent="0.25">
      <c r="A194" s="466">
        <v>621</v>
      </c>
      <c r="B194" s="466" t="s">
        <v>725</v>
      </c>
      <c r="C194" s="464" t="s">
        <v>857</v>
      </c>
      <c r="D194" s="464" t="s">
        <v>860</v>
      </c>
      <c r="E194" s="36" t="e">
        <f>HLOOKUP($D$2,'2018 Data'!$C$1:$CL$284,281,FALSE)</f>
        <v>#N/A</v>
      </c>
      <c r="F194" s="485"/>
      <c r="G194" s="447"/>
      <c r="H194" s="176"/>
      <c r="I194" s="356"/>
      <c r="J194" s="268"/>
      <c r="N194" s="454"/>
    </row>
    <row r="195" spans="1:17" s="4" customFormat="1" ht="144.75" customHeight="1" x14ac:dyDescent="0.25">
      <c r="A195" s="219">
        <v>547</v>
      </c>
      <c r="B195" s="177"/>
      <c r="C195" s="177" t="s">
        <v>232</v>
      </c>
      <c r="D195" s="287" t="s">
        <v>640</v>
      </c>
      <c r="E195" s="36" t="e">
        <f>HLOOKUP($D$2,'2018 Data'!$C$1:$CL$284,197,FALSE)</f>
        <v>#N/A</v>
      </c>
      <c r="F195" s="483"/>
      <c r="G195" s="227" t="str">
        <f>IF(F195&lt;1,"Please answer this question","")</f>
        <v>Please answer this question</v>
      </c>
      <c r="H195" s="176"/>
      <c r="I195" s="356"/>
      <c r="J195" s="385"/>
      <c r="N195" s="385"/>
      <c r="O195" s="386"/>
    </row>
    <row r="196" spans="1:17" s="72" customFormat="1" ht="42" customHeight="1" x14ac:dyDescent="0.25">
      <c r="A196" s="219">
        <v>607</v>
      </c>
      <c r="B196" s="177" t="s">
        <v>78</v>
      </c>
      <c r="C196" s="177" t="s">
        <v>824</v>
      </c>
      <c r="D196" s="457" t="s">
        <v>839</v>
      </c>
      <c r="E196" s="36" t="e">
        <f>HLOOKUP($D$2,'2018 Data'!$C$1:$CL$284,267,FALSE)</f>
        <v>#N/A</v>
      </c>
      <c r="F196" s="485"/>
      <c r="G196" s="447" t="str">
        <f>IF(ISBLANK(F196),"Please do not leave blank","")</f>
        <v>Please do not leave blank</v>
      </c>
      <c r="H196" s="451">
        <f>IF(F196&lt;0,"Error: Enter as positive.",)</f>
        <v>0</v>
      </c>
      <c r="I196" s="76"/>
      <c r="J196" s="268"/>
      <c r="N196" s="454"/>
      <c r="O196" s="386"/>
      <c r="Q196" s="449"/>
    </row>
    <row r="197" spans="1:17" ht="54.75" customHeight="1" x14ac:dyDescent="0.25">
      <c r="A197" s="219">
        <v>608</v>
      </c>
      <c r="B197" s="177" t="s">
        <v>78</v>
      </c>
      <c r="C197" s="177" t="s">
        <v>824</v>
      </c>
      <c r="D197" s="457" t="s">
        <v>840</v>
      </c>
      <c r="E197" s="36" t="e">
        <f>HLOOKUP($D$2,'2018 Data'!$C$1:$CL$284,268,FALSE)</f>
        <v>#N/A</v>
      </c>
      <c r="F197" s="485"/>
      <c r="G197" s="447" t="str">
        <f>IF(ISBLANK(F197),"Please do not leave blank","")</f>
        <v>Please do not leave blank</v>
      </c>
      <c r="H197" s="451">
        <f>IF(F197&lt;0,"Note: Number is normally positive.",)</f>
        <v>0</v>
      </c>
      <c r="I197" s="76"/>
      <c r="N197" s="447"/>
      <c r="O197" s="386"/>
    </row>
    <row r="198" spans="1:17" s="385" customFormat="1" ht="93" customHeight="1" x14ac:dyDescent="0.25">
      <c r="A198" s="219">
        <v>609</v>
      </c>
      <c r="B198" s="177" t="s">
        <v>78</v>
      </c>
      <c r="C198" s="177" t="s">
        <v>832</v>
      </c>
      <c r="D198" s="458" t="s">
        <v>829</v>
      </c>
      <c r="E198" s="36" t="e">
        <f>HLOOKUP($D$2,'2018 Data'!$C$1:$CL$284,269,FALSE)</f>
        <v>#N/A</v>
      </c>
      <c r="F198" s="491"/>
      <c r="G198" s="447" t="str">
        <f>IF(ISBLANK(F198),"Please do not leave blank ",IF(F198=H198,"","Please review percentage"))</f>
        <v xml:space="preserve">Please do not leave blank </v>
      </c>
      <c r="H198" s="448">
        <f>ROUND(IFERROR((F197/F196)*100,0),1)</f>
        <v>0</v>
      </c>
      <c r="I198" s="448"/>
      <c r="N198" s="453"/>
      <c r="O198" s="386"/>
      <c r="P198" s="447" t="str">
        <f>IF(ISBLANK(O196),"",IF(ISBLANK(O197),"",IF(O198=Q198,"","Please review percentage")))</f>
        <v/>
      </c>
    </row>
    <row r="199" spans="1:17" ht="59.25" customHeight="1" x14ac:dyDescent="0.25">
      <c r="A199" s="219">
        <v>610</v>
      </c>
      <c r="B199" s="177" t="s">
        <v>78</v>
      </c>
      <c r="C199" s="177" t="s">
        <v>824</v>
      </c>
      <c r="D199" s="457" t="s">
        <v>815</v>
      </c>
      <c r="E199" s="36" t="e">
        <f>HLOOKUP($D$2,'2018 Data'!$C$1:$CL$284,270,FALSE)</f>
        <v>#N/A</v>
      </c>
      <c r="F199" s="485"/>
      <c r="G199" s="447" t="str">
        <f>IF(ISBLANK(F199),"Please do not leave blank","")</f>
        <v>Please do not leave blank</v>
      </c>
      <c r="H199" s="451">
        <f>IF(F199&lt;0,"Error: Enter as positive.",)</f>
        <v>0</v>
      </c>
      <c r="I199" s="76"/>
      <c r="N199" s="385"/>
      <c r="O199" s="386"/>
    </row>
    <row r="200" spans="1:17" ht="33.75" customHeight="1" x14ac:dyDescent="0.25">
      <c r="A200" s="219">
        <v>611</v>
      </c>
      <c r="B200" s="177" t="s">
        <v>78</v>
      </c>
      <c r="C200" s="177" t="s">
        <v>824</v>
      </c>
      <c r="D200" s="457" t="s">
        <v>816</v>
      </c>
      <c r="E200" s="36" t="e">
        <f>HLOOKUP($D$2,'2018 Data'!$C$1:$CL$284,271,FALSE)</f>
        <v>#N/A</v>
      </c>
      <c r="F200" s="485"/>
      <c r="G200" s="447" t="str">
        <f>IF(ISBLANK(F200),"Please do not leave blank","")</f>
        <v>Please do not leave blank</v>
      </c>
      <c r="H200" s="451">
        <f>IF(F200&lt;0,"Note: Number is normally positive.",)</f>
        <v>0</v>
      </c>
      <c r="I200" s="76"/>
      <c r="J200" s="4"/>
      <c r="N200" s="453"/>
      <c r="O200" s="386"/>
    </row>
    <row r="201" spans="1:17" s="385" customFormat="1" ht="92.25" customHeight="1" x14ac:dyDescent="0.25">
      <c r="A201" s="219">
        <v>612</v>
      </c>
      <c r="B201" s="177" t="s">
        <v>78</v>
      </c>
      <c r="C201" s="177" t="s">
        <v>832</v>
      </c>
      <c r="D201" s="458" t="s">
        <v>826</v>
      </c>
      <c r="E201" s="36" t="e">
        <f>HLOOKUP($D$2,'2018 Data'!$C$1:$CL$284,272,FALSE)</f>
        <v>#N/A</v>
      </c>
      <c r="F201" s="491"/>
      <c r="G201" s="447" t="str">
        <f>IF(ISBLANK(F201),"Please do not leave blank ",IF(F201=H201,"","Please review percentage"))</f>
        <v xml:space="preserve">Please do not leave blank </v>
      </c>
      <c r="H201" s="448">
        <f>ROUND(IFERROR((F200/F199)*100,0),1)</f>
        <v>0</v>
      </c>
      <c r="I201" s="433"/>
      <c r="J201" s="386"/>
      <c r="O201" s="386"/>
    </row>
    <row r="202" spans="1:17" ht="50.25" customHeight="1" x14ac:dyDescent="0.25">
      <c r="A202" s="219">
        <v>613</v>
      </c>
      <c r="B202" s="177" t="s">
        <v>78</v>
      </c>
      <c r="C202" s="177" t="s">
        <v>824</v>
      </c>
      <c r="D202" s="457" t="s">
        <v>830</v>
      </c>
      <c r="E202" s="36" t="e">
        <f>HLOOKUP($D$2,'2018 Data'!$C$1:$CL$284,273,FALSE)</f>
        <v>#N/A</v>
      </c>
      <c r="F202" s="485"/>
      <c r="G202" s="447" t="str">
        <f>IF(ISBLANK(F202),"Please do not leave blank","")</f>
        <v>Please do not leave blank</v>
      </c>
      <c r="H202" s="451">
        <f>IF(F202&lt;0,"Error: Enter as positive.",)</f>
        <v>0</v>
      </c>
      <c r="I202" s="76"/>
      <c r="J202" s="386"/>
      <c r="N202" s="385"/>
      <c r="O202" s="386"/>
    </row>
    <row r="203" spans="1:17" ht="53.25" customHeight="1" x14ac:dyDescent="0.25">
      <c r="A203" s="219">
        <v>614</v>
      </c>
      <c r="B203" s="177" t="s">
        <v>78</v>
      </c>
      <c r="C203" s="177" t="s">
        <v>824</v>
      </c>
      <c r="D203" s="457" t="s">
        <v>817</v>
      </c>
      <c r="E203" s="36" t="e">
        <f>HLOOKUP($D$2,'2018 Data'!$C$1:$CL$284,274,FALSE)</f>
        <v>#N/A</v>
      </c>
      <c r="F203" s="485"/>
      <c r="G203" s="447" t="str">
        <f>IF(ISBLANK(F203),"Please do not leave blank","")</f>
        <v>Please do not leave blank</v>
      </c>
      <c r="H203" s="451">
        <f>IF(F203&lt;0,"Note: Number is normally positive.",)</f>
        <v>0</v>
      </c>
      <c r="I203" s="76"/>
      <c r="J203" s="386"/>
      <c r="N203" s="385"/>
      <c r="O203" s="386"/>
    </row>
    <row r="204" spans="1:17" s="385" customFormat="1" ht="81.75" customHeight="1" x14ac:dyDescent="0.25">
      <c r="A204" s="219">
        <v>615</v>
      </c>
      <c r="B204" s="177" t="s">
        <v>78</v>
      </c>
      <c r="C204" s="177" t="s">
        <v>832</v>
      </c>
      <c r="D204" s="458" t="s">
        <v>827</v>
      </c>
      <c r="E204" s="36" t="e">
        <f>HLOOKUP($D$2,'2018 Data'!$C$1:$CL$284,275,FALSE)</f>
        <v>#N/A</v>
      </c>
      <c r="F204" s="491"/>
      <c r="G204" s="447" t="str">
        <f>IF(ISBLANK(F204),"Please do not leave blank ",IF(F204=H204,"","Please review percentage"))</f>
        <v xml:space="preserve">Please do not leave blank </v>
      </c>
      <c r="H204" s="448">
        <f>ROUND(IFERROR((F203/F202)*100,0),1)</f>
        <v>0</v>
      </c>
      <c r="I204" s="433"/>
      <c r="J204" s="386"/>
      <c r="O204" s="386"/>
    </row>
    <row r="205" spans="1:17" s="385" customFormat="1" ht="53.25" customHeight="1" x14ac:dyDescent="0.25">
      <c r="A205" s="219">
        <v>616</v>
      </c>
      <c r="B205" s="177" t="s">
        <v>78</v>
      </c>
      <c r="C205" s="177" t="s">
        <v>824</v>
      </c>
      <c r="D205" s="457" t="s">
        <v>818</v>
      </c>
      <c r="E205" s="36" t="e">
        <f>HLOOKUP($D$2,'2018 Data'!$C$1:$CL$284,276,FALSE)</f>
        <v>#N/A</v>
      </c>
      <c r="F205" s="485"/>
      <c r="G205" s="447" t="str">
        <f>IF(ISBLANK(F205),"Please do not leave blank","")</f>
        <v>Please do not leave blank</v>
      </c>
      <c r="H205" s="451">
        <f>IF(F205&lt;0,"Error: Enter as positive.",)</f>
        <v>0</v>
      </c>
      <c r="I205" s="76"/>
      <c r="J205" s="386"/>
      <c r="O205" s="386"/>
    </row>
    <row r="206" spans="1:17" s="385" customFormat="1" ht="53.25" customHeight="1" x14ac:dyDescent="0.25">
      <c r="A206" s="219">
        <v>617</v>
      </c>
      <c r="B206" s="177" t="s">
        <v>78</v>
      </c>
      <c r="C206" s="177" t="s">
        <v>824</v>
      </c>
      <c r="D206" s="457" t="s">
        <v>819</v>
      </c>
      <c r="E206" s="36" t="e">
        <f>HLOOKUP($D$2,'2018 Data'!$C$1:$CL$284,277,FALSE)</f>
        <v>#N/A</v>
      </c>
      <c r="F206" s="485"/>
      <c r="G206" s="447" t="str">
        <f>IF(ISBLANK(F206),"Please do not leave blank","")</f>
        <v>Please do not leave blank</v>
      </c>
      <c r="H206" s="451">
        <f>IF(F206&lt;0,"Note: Number is normally positive.",)</f>
        <v>0</v>
      </c>
      <c r="I206" s="76"/>
      <c r="J206" s="268"/>
      <c r="O206" s="386"/>
    </row>
    <row r="207" spans="1:17" s="385" customFormat="1" ht="95.25" customHeight="1" x14ac:dyDescent="0.25">
      <c r="A207" s="219">
        <v>618</v>
      </c>
      <c r="B207" s="177" t="s">
        <v>78</v>
      </c>
      <c r="C207" s="177" t="s">
        <v>832</v>
      </c>
      <c r="D207" s="457" t="s">
        <v>828</v>
      </c>
      <c r="E207" s="36" t="e">
        <f>HLOOKUP($D$2,'2018 Data'!$C$1:$CL$284,278,FALSE)</f>
        <v>#N/A</v>
      </c>
      <c r="F207" s="491"/>
      <c r="G207" s="447" t="str">
        <f>IF(ISBLANK(F207),"Please do not leave blank ",IF(F207=H207,"","Please review percentage"))</f>
        <v xml:space="preserve">Please do not leave blank </v>
      </c>
      <c r="H207" s="448">
        <f>ROUND(IFERROR((F206/F205)*100,0),1)</f>
        <v>0</v>
      </c>
      <c r="I207" s="433"/>
      <c r="J207" s="4"/>
      <c r="O207" s="386"/>
    </row>
    <row r="208" spans="1:17" s="385" customFormat="1" ht="77.25" customHeight="1" x14ac:dyDescent="0.25">
      <c r="A208" s="220"/>
      <c r="B208" s="177"/>
      <c r="C208" s="177"/>
      <c r="D208" s="178" t="s">
        <v>31</v>
      </c>
      <c r="E208" s="58"/>
      <c r="F208" s="490"/>
      <c r="G208" s="447"/>
      <c r="H208" s="448"/>
      <c r="I208" s="433"/>
      <c r="J208" s="4"/>
      <c r="O208" s="386"/>
    </row>
    <row r="209" spans="1:15" x14ac:dyDescent="0.25">
      <c r="A209" s="220"/>
      <c r="B209" s="191" t="s">
        <v>32</v>
      </c>
      <c r="C209" s="190"/>
      <c r="D209" s="183"/>
      <c r="E209" s="174"/>
      <c r="F209" s="494"/>
      <c r="G209" s="179"/>
      <c r="H209" s="16"/>
      <c r="I209" s="35"/>
      <c r="J209" s="4"/>
      <c r="N209" s="385"/>
      <c r="O209" s="386"/>
    </row>
    <row r="210" spans="1:15" ht="51.75" customHeight="1" x14ac:dyDescent="0.25">
      <c r="A210" s="221">
        <v>371</v>
      </c>
      <c r="B210" s="73" t="s">
        <v>75</v>
      </c>
      <c r="C210" s="189" t="s">
        <v>235</v>
      </c>
      <c r="D210" s="195" t="s">
        <v>233</v>
      </c>
      <c r="E210" s="36" t="e">
        <f>HLOOKUP($D$2,'2018 Data'!$C$1:$CL$284,132,FALSE)</f>
        <v>#N/A</v>
      </c>
      <c r="F210" s="485"/>
      <c r="G210" s="8">
        <f>IF(F210&lt;0,"Error: Enter as positive.",)</f>
        <v>0</v>
      </c>
      <c r="H210" s="16"/>
      <c r="I210" s="35"/>
      <c r="J210" s="4"/>
      <c r="N210" s="385"/>
      <c r="O210" s="386"/>
    </row>
    <row r="211" spans="1:15" s="4" customFormat="1" ht="54.75" customHeight="1" x14ac:dyDescent="0.25">
      <c r="A211" s="219">
        <v>513</v>
      </c>
      <c r="B211" s="74" t="s">
        <v>77</v>
      </c>
      <c r="C211" s="189" t="s">
        <v>235</v>
      </c>
      <c r="D211" s="195" t="s">
        <v>234</v>
      </c>
      <c r="E211" s="36" t="e">
        <f>HLOOKUP($D$2,'2018 Data'!$C$1:$CL$284,163,FALSE)</f>
        <v>#N/A</v>
      </c>
      <c r="F211" s="485"/>
      <c r="G211" s="8">
        <f>IF(F211&lt;0,"Error: Enter as positive.",)</f>
        <v>0</v>
      </c>
      <c r="H211" s="20"/>
      <c r="I211" s="356"/>
      <c r="J211" s="268"/>
      <c r="N211" s="385"/>
      <c r="O211" s="386"/>
    </row>
    <row r="212" spans="1:15" ht="65.25" customHeight="1" x14ac:dyDescent="0.25">
      <c r="A212" s="219">
        <v>514</v>
      </c>
      <c r="B212" s="74" t="s">
        <v>77</v>
      </c>
      <c r="C212" s="189" t="s">
        <v>235</v>
      </c>
      <c r="D212" s="195" t="s">
        <v>650</v>
      </c>
      <c r="E212" s="36" t="e">
        <f>HLOOKUP($D$2,'2018 Data'!$C$1:$CL$284,164,FALSE)</f>
        <v>#N/A</v>
      </c>
      <c r="F212" s="485"/>
      <c r="G212" s="8">
        <f>IF(F212&lt;0,"Error: Enter as positive.",)</f>
        <v>0</v>
      </c>
      <c r="H212" s="16"/>
      <c r="I212" s="356"/>
      <c r="N212" s="386"/>
      <c r="O212" s="386"/>
    </row>
    <row r="213" spans="1:15" x14ac:dyDescent="0.25">
      <c r="A213" s="219"/>
      <c r="B213" s="191" t="s">
        <v>33</v>
      </c>
      <c r="C213" s="190"/>
      <c r="D213" s="183"/>
      <c r="E213" s="174"/>
      <c r="F213" s="484"/>
      <c r="G213" s="181"/>
      <c r="H213" s="16"/>
      <c r="I213" s="35"/>
      <c r="N213" s="386"/>
      <c r="O213" s="386"/>
    </row>
    <row r="214" spans="1:15" ht="53.25" customHeight="1" x14ac:dyDescent="0.25">
      <c r="A214" s="219">
        <v>6</v>
      </c>
      <c r="B214" s="73" t="s">
        <v>74</v>
      </c>
      <c r="C214" s="189" t="s">
        <v>237</v>
      </c>
      <c r="D214" s="195" t="s">
        <v>236</v>
      </c>
      <c r="E214" s="36" t="e">
        <f>HLOOKUP($D$2,'2018 Data'!$C$1:$CL$284,5,FALSE)</f>
        <v>#N/A</v>
      </c>
      <c r="F214" s="485"/>
      <c r="G214" s="8">
        <f>IF(F214&lt;0,"Error: Enter as positive.",)</f>
        <v>0</v>
      </c>
      <c r="H214" s="16"/>
      <c r="I214" s="35"/>
      <c r="N214" s="386"/>
      <c r="O214" s="386"/>
    </row>
    <row r="215" spans="1:15" s="4" customFormat="1" x14ac:dyDescent="0.25">
      <c r="A215" s="219"/>
      <c r="B215" s="191" t="s">
        <v>256</v>
      </c>
      <c r="C215" s="190"/>
      <c r="D215" s="183"/>
      <c r="E215" s="180"/>
      <c r="F215" s="472"/>
      <c r="G215" s="182"/>
      <c r="H215" s="20"/>
      <c r="I215" s="356"/>
      <c r="J215" s="268"/>
      <c r="N215" s="386"/>
      <c r="O215" s="386"/>
    </row>
    <row r="216" spans="1:15" s="4" customFormat="1" ht="135" x14ac:dyDescent="0.25">
      <c r="A216" s="219">
        <v>541</v>
      </c>
      <c r="B216" s="177" t="s">
        <v>78</v>
      </c>
      <c r="C216" s="212" t="s">
        <v>241</v>
      </c>
      <c r="D216" s="294" t="s">
        <v>853</v>
      </c>
      <c r="E216" s="36" t="e">
        <f>HLOOKUP($D$2,'2018 Data'!$C$1:$CL$284,191,FALSE)</f>
        <v>#N/A</v>
      </c>
      <c r="F216" s="485"/>
      <c r="G216" s="79"/>
      <c r="H216" s="20"/>
      <c r="I216" s="356"/>
      <c r="J216" s="268"/>
      <c r="N216" s="386"/>
      <c r="O216" s="386"/>
    </row>
    <row r="217" spans="1:15" s="4" customFormat="1" x14ac:dyDescent="0.25">
      <c r="A217" s="219"/>
      <c r="B217" s="190" t="s">
        <v>69</v>
      </c>
      <c r="C217" s="190"/>
      <c r="D217" s="437"/>
      <c r="E217" s="180"/>
      <c r="F217" s="484"/>
      <c r="G217" s="438"/>
      <c r="H217" s="20"/>
      <c r="I217" s="356"/>
      <c r="J217" s="268"/>
      <c r="N217" s="386"/>
      <c r="O217" s="386"/>
    </row>
    <row r="218" spans="1:15" s="4" customFormat="1" ht="54" customHeight="1" x14ac:dyDescent="0.25">
      <c r="A218" s="219">
        <v>542</v>
      </c>
      <c r="B218" s="177" t="s">
        <v>78</v>
      </c>
      <c r="C218" s="212" t="s">
        <v>241</v>
      </c>
      <c r="D218" s="205" t="s">
        <v>238</v>
      </c>
      <c r="E218" s="36" t="e">
        <f>HLOOKUP($D$2,'2018 Data'!$C$1:$CL$284,192,FALSE)</f>
        <v>#N/A</v>
      </c>
      <c r="F218" s="485"/>
      <c r="G218" s="79"/>
      <c r="H218" s="20"/>
      <c r="I218" s="356"/>
      <c r="J218" s="268"/>
      <c r="N218" s="386"/>
      <c r="O218" s="386"/>
    </row>
    <row r="219" spans="1:15" ht="18.75" x14ac:dyDescent="0.3">
      <c r="A219" s="220"/>
      <c r="B219" s="191" t="s">
        <v>242</v>
      </c>
      <c r="C219" s="191"/>
      <c r="D219" s="184"/>
      <c r="E219" s="192"/>
      <c r="F219" s="492"/>
      <c r="G219" s="185"/>
      <c r="H219" s="16"/>
      <c r="I219" s="35"/>
      <c r="N219" s="385"/>
      <c r="O219" s="386"/>
    </row>
    <row r="220" spans="1:15" ht="18.75" x14ac:dyDescent="0.3">
      <c r="A220" s="220"/>
      <c r="B220" s="186" t="s">
        <v>16</v>
      </c>
      <c r="C220" s="186"/>
      <c r="D220" s="184"/>
      <c r="E220" s="192"/>
      <c r="F220" s="492"/>
      <c r="G220" s="185"/>
      <c r="H220" s="16"/>
      <c r="I220" s="35"/>
      <c r="N220" s="385"/>
      <c r="O220" s="386"/>
    </row>
    <row r="221" spans="1:15" ht="53.25" customHeight="1" x14ac:dyDescent="0.25">
      <c r="A221" s="222">
        <v>528</v>
      </c>
      <c r="B221" s="177" t="s">
        <v>74</v>
      </c>
      <c r="C221" s="189" t="s">
        <v>243</v>
      </c>
      <c r="D221" s="187" t="s">
        <v>257</v>
      </c>
      <c r="E221" s="36" t="e">
        <f>HLOOKUP($D$2,'2018 Data'!$C$1:$CL$284,178,FALSE)</f>
        <v>#N/A</v>
      </c>
      <c r="F221" s="489"/>
      <c r="G221" s="79" t="str">
        <f t="shared" ref="G221:G229" si="3">IF(F221="","Error: Unit must enter this information if they levy taxes.",)</f>
        <v>Error: Unit must enter this information if they levy taxes.</v>
      </c>
      <c r="H221" s="127"/>
      <c r="I221" s="35"/>
      <c r="N221" s="453"/>
      <c r="O221" s="386"/>
    </row>
    <row r="222" spans="1:15" ht="75.75" customHeight="1" x14ac:dyDescent="0.25">
      <c r="A222" s="222">
        <v>529</v>
      </c>
      <c r="B222" s="177" t="s">
        <v>74</v>
      </c>
      <c r="C222" s="189" t="s">
        <v>243</v>
      </c>
      <c r="D222" s="187" t="s">
        <v>258</v>
      </c>
      <c r="E222" s="36" t="e">
        <f>HLOOKUP($D$2,'2018 Data'!$C$1:$CL$284,179,FALSE)</f>
        <v>#N/A</v>
      </c>
      <c r="F222" s="489"/>
      <c r="G222" s="79" t="str">
        <f t="shared" si="3"/>
        <v>Error: Unit must enter this information if they levy taxes.</v>
      </c>
      <c r="H222" s="16"/>
      <c r="I222" s="35"/>
      <c r="N222" s="454"/>
      <c r="O222" s="386"/>
    </row>
    <row r="223" spans="1:15" ht="57.75" customHeight="1" x14ac:dyDescent="0.25">
      <c r="A223" s="222">
        <v>530</v>
      </c>
      <c r="B223" s="177" t="s">
        <v>74</v>
      </c>
      <c r="C223" s="189" t="s">
        <v>243</v>
      </c>
      <c r="D223" s="188" t="s">
        <v>259</v>
      </c>
      <c r="E223" s="36" t="e">
        <f>HLOOKUP($D$2,'2018 Data'!$C$1:$CL$284,180,FALSE)</f>
        <v>#N/A</v>
      </c>
      <c r="F223" s="489"/>
      <c r="G223" s="79" t="str">
        <f t="shared" si="3"/>
        <v>Error: Unit must enter this information if they levy taxes.</v>
      </c>
      <c r="H223" s="16"/>
      <c r="I223" s="35"/>
      <c r="N223" s="454"/>
      <c r="O223" s="386"/>
    </row>
    <row r="224" spans="1:15" ht="47.25" customHeight="1" x14ac:dyDescent="0.25">
      <c r="A224" s="222">
        <v>531</v>
      </c>
      <c r="B224" s="177" t="s">
        <v>74</v>
      </c>
      <c r="C224" s="189" t="s">
        <v>243</v>
      </c>
      <c r="D224" s="188" t="s">
        <v>260</v>
      </c>
      <c r="E224" s="36" t="e">
        <f>HLOOKUP($D$2,'2018 Data'!$C$1:$CL$284,181,FALSE)</f>
        <v>#N/A</v>
      </c>
      <c r="F224" s="489"/>
      <c r="G224" s="79" t="str">
        <f t="shared" si="3"/>
        <v>Error: Unit must enter this information if they levy taxes.</v>
      </c>
      <c r="H224" s="16"/>
      <c r="I224" s="35"/>
      <c r="N224" s="386"/>
      <c r="O224" s="386"/>
    </row>
    <row r="225" spans="1:15" ht="73.5" customHeight="1" x14ac:dyDescent="0.25">
      <c r="A225" s="219">
        <v>61</v>
      </c>
      <c r="B225" s="73" t="s">
        <v>78</v>
      </c>
      <c r="C225" s="189" t="s">
        <v>243</v>
      </c>
      <c r="D225" s="205" t="s">
        <v>656</v>
      </c>
      <c r="E225" s="225" t="e">
        <f>HLOOKUP($D$2,'2018 Data'!$C$1:$CL$284,43,FALSE)</f>
        <v>#N/A</v>
      </c>
      <c r="F225" s="488"/>
      <c r="G225" s="79" t="str">
        <f t="shared" si="3"/>
        <v>Error: Unit must enter this information if they levy taxes.</v>
      </c>
      <c r="H225" s="16"/>
      <c r="I225" s="35"/>
      <c r="J225" s="177"/>
      <c r="N225" s="386"/>
      <c r="O225" s="386"/>
    </row>
    <row r="226" spans="1:15" ht="89.25" customHeight="1" x14ac:dyDescent="0.25">
      <c r="A226" s="219">
        <v>102</v>
      </c>
      <c r="B226" s="73" t="s">
        <v>78</v>
      </c>
      <c r="C226" s="189" t="s">
        <v>243</v>
      </c>
      <c r="D226" s="297" t="s">
        <v>657</v>
      </c>
      <c r="E226" s="225" t="e">
        <f>HLOOKUP($D$2,'2018 Data'!$C$1:$CL$284,62,FALSE)</f>
        <v>#N/A</v>
      </c>
      <c r="F226" s="488"/>
      <c r="G226" s="79" t="str">
        <f t="shared" si="3"/>
        <v>Error: Unit must enter this information if they levy taxes.</v>
      </c>
      <c r="H226" s="16"/>
      <c r="I226" s="35"/>
      <c r="J226" s="177"/>
      <c r="N226" s="385"/>
      <c r="O226" s="386"/>
    </row>
    <row r="227" spans="1:15" ht="80.25" customHeight="1" x14ac:dyDescent="0.25">
      <c r="A227" s="219">
        <v>103</v>
      </c>
      <c r="B227" s="73" t="s">
        <v>78</v>
      </c>
      <c r="C227" s="189" t="s">
        <v>243</v>
      </c>
      <c r="D227" s="205" t="s">
        <v>658</v>
      </c>
      <c r="E227" s="225" t="e">
        <f>HLOOKUP($D$2,'2018 Data'!$C$1:$CL$284,63,FALSE)</f>
        <v>#N/A</v>
      </c>
      <c r="F227" s="488"/>
      <c r="G227" s="79" t="str">
        <f t="shared" si="3"/>
        <v>Error: Unit must enter this information if they levy taxes.</v>
      </c>
      <c r="H227" s="16"/>
      <c r="I227" s="35"/>
      <c r="J227" s="177"/>
      <c r="N227" s="385"/>
      <c r="O227" s="386"/>
    </row>
    <row r="228" spans="1:15" ht="69.75" customHeight="1" x14ac:dyDescent="0.25">
      <c r="A228" s="219">
        <v>544</v>
      </c>
      <c r="B228" s="177" t="s">
        <v>78</v>
      </c>
      <c r="C228" s="212" t="s">
        <v>243</v>
      </c>
      <c r="D228" s="195" t="s">
        <v>261</v>
      </c>
      <c r="E228" s="226" t="e">
        <f>HLOOKUP($D$2,'2018 Data'!$C$1:$CL$284,194,FALSE)</f>
        <v>#N/A</v>
      </c>
      <c r="F228" s="471"/>
      <c r="G228" s="79" t="str">
        <f t="shared" si="3"/>
        <v>Error: Unit must enter this information if they levy taxes.</v>
      </c>
      <c r="H228" s="16"/>
      <c r="I228" s="219"/>
      <c r="J228" s="177"/>
      <c r="K228" s="212"/>
      <c r="L228" s="195"/>
      <c r="N228" s="432"/>
      <c r="O228" s="386"/>
    </row>
    <row r="229" spans="1:15" ht="68.25" customHeight="1" x14ac:dyDescent="0.25">
      <c r="A229" s="219">
        <v>545</v>
      </c>
      <c r="B229" s="177" t="s">
        <v>78</v>
      </c>
      <c r="C229" s="212" t="s">
        <v>243</v>
      </c>
      <c r="D229" s="195" t="s">
        <v>262</v>
      </c>
      <c r="E229" s="226" t="e">
        <f>HLOOKUP($D$2,'2018 Data'!$C$1:$CL$284,195,FALSE)</f>
        <v>#N/A</v>
      </c>
      <c r="F229" s="471"/>
      <c r="G229" s="79" t="str">
        <f t="shared" si="3"/>
        <v>Error: Unit must enter this information if they levy taxes.</v>
      </c>
      <c r="H229" s="16"/>
      <c r="I229" s="219"/>
      <c r="J229" s="177"/>
      <c r="K229" s="212"/>
      <c r="L229" s="195"/>
      <c r="N229" s="385"/>
      <c r="O229" s="386"/>
    </row>
    <row r="230" spans="1:15" s="531" customFormat="1" ht="68.25" customHeight="1" x14ac:dyDescent="0.25">
      <c r="A230" s="642">
        <v>624</v>
      </c>
      <c r="B230" s="642" t="s">
        <v>985</v>
      </c>
      <c r="C230" s="643"/>
      <c r="D230" s="643" t="s">
        <v>859</v>
      </c>
      <c r="E230" s="683"/>
      <c r="F230" s="644"/>
      <c r="G230" s="681" t="str">
        <f>IF(F230&lt;1,"Please answer this question","")</f>
        <v>Please answer this question</v>
      </c>
      <c r="H230" s="76"/>
      <c r="I230" s="219"/>
      <c r="J230" s="177"/>
      <c r="K230" s="212"/>
      <c r="L230" s="408"/>
      <c r="O230" s="386"/>
    </row>
    <row r="231" spans="1:15" s="385" customFormat="1" ht="19.5" customHeight="1" x14ac:dyDescent="0.25">
      <c r="A231" s="219"/>
      <c r="B231" s="191" t="s">
        <v>837</v>
      </c>
      <c r="C231" s="191"/>
      <c r="D231" s="191"/>
      <c r="E231" s="191"/>
      <c r="F231" s="487"/>
      <c r="G231" s="191"/>
      <c r="H231" s="76"/>
      <c r="I231" s="219"/>
      <c r="J231" s="177"/>
      <c r="K231" s="212"/>
      <c r="L231" s="408"/>
      <c r="N231" s="1"/>
      <c r="O231" s="386"/>
    </row>
    <row r="232" spans="1:15" s="385" customFormat="1" ht="68.25" customHeight="1" x14ac:dyDescent="0.25">
      <c r="A232" s="219">
        <v>620</v>
      </c>
      <c r="B232" s="177" t="s">
        <v>78</v>
      </c>
      <c r="C232" s="212"/>
      <c r="D232" s="408" t="s">
        <v>836</v>
      </c>
      <c r="E232" s="36" t="e">
        <f>HLOOKUP($D$2,'2018 Data'!$C$1:$CL$284,280,FALSE)</f>
        <v>#N/A</v>
      </c>
      <c r="F232" s="486"/>
      <c r="G232" s="227" t="str">
        <f>IF(F232&lt;1,"Please answer this question","")</f>
        <v>Please answer this question</v>
      </c>
      <c r="H232" s="76"/>
      <c r="I232" s="219"/>
      <c r="J232" s="177"/>
      <c r="K232" s="212"/>
      <c r="L232" s="408"/>
      <c r="N232" s="1"/>
      <c r="O232" s="386"/>
    </row>
    <row r="233" spans="1:15" ht="59.25" x14ac:dyDescent="0.25">
      <c r="A233" s="220"/>
      <c r="B233" s="50" t="s">
        <v>59</v>
      </c>
      <c r="C233" s="50"/>
      <c r="D233" s="60" t="s">
        <v>65</v>
      </c>
      <c r="E233" s="59"/>
      <c r="F233" s="59"/>
      <c r="G233" s="59"/>
      <c r="H233" s="63"/>
      <c r="I233" s="219"/>
      <c r="J233" s="73"/>
      <c r="K233" s="212"/>
      <c r="L233" s="204"/>
      <c r="O233" s="386"/>
    </row>
    <row r="234" spans="1:15" x14ac:dyDescent="0.25">
      <c r="A234" s="28"/>
      <c r="B234" s="49"/>
      <c r="C234" s="49"/>
      <c r="D234" s="2"/>
      <c r="E234" s="4"/>
      <c r="F234" s="4"/>
      <c r="G234" s="7"/>
      <c r="H234" s="16"/>
      <c r="I234" s="219"/>
      <c r="J234" s="73"/>
      <c r="K234" s="212"/>
      <c r="L234" s="368"/>
      <c r="O234" s="386"/>
    </row>
    <row r="235" spans="1:15" x14ac:dyDescent="0.25">
      <c r="A235" s="28"/>
      <c r="B235" s="22"/>
      <c r="C235" s="80"/>
      <c r="D235" s="2"/>
      <c r="E235" s="4"/>
      <c r="F235" s="4"/>
      <c r="G235" s="7"/>
      <c r="H235" s="16"/>
      <c r="I235" s="219"/>
      <c r="J235"/>
      <c r="K235" s="212"/>
      <c r="L235" s="368"/>
      <c r="O235" s="386"/>
    </row>
    <row r="236" spans="1:15" x14ac:dyDescent="0.25">
      <c r="A236" s="28"/>
      <c r="B236" s="22"/>
      <c r="C236" s="80"/>
      <c r="D236"/>
      <c r="E236"/>
      <c r="F236"/>
      <c r="G236" s="7"/>
      <c r="H236" s="16"/>
      <c r="I236" s="219"/>
      <c r="J236"/>
      <c r="K236" s="212"/>
      <c r="L236" s="378"/>
      <c r="O236" s="386"/>
    </row>
    <row r="237" spans="1:15" x14ac:dyDescent="0.25">
      <c r="A237" s="28"/>
      <c r="B237" s="22"/>
      <c r="C237" s="80"/>
      <c r="D237"/>
      <c r="E237"/>
      <c r="F237"/>
      <c r="G237" s="7"/>
      <c r="H237" s="16"/>
      <c r="I237" s="219"/>
      <c r="J237"/>
      <c r="K237" s="212"/>
      <c r="L237" s="204"/>
      <c r="O237" s="386"/>
    </row>
    <row r="238" spans="1:15" x14ac:dyDescent="0.25">
      <c r="A238" s="28"/>
      <c r="B238" s="22"/>
      <c r="C238" s="80"/>
      <c r="D238"/>
      <c r="E238"/>
      <c r="F238"/>
      <c r="G238" s="7"/>
      <c r="H238" s="16"/>
      <c r="I238" s="219"/>
      <c r="J238"/>
      <c r="K238"/>
      <c r="L238"/>
      <c r="N238"/>
      <c r="O238" s="386"/>
    </row>
    <row r="239" spans="1:15" x14ac:dyDescent="0.25">
      <c r="A239" s="28"/>
      <c r="B239" s="22"/>
      <c r="C239" s="80"/>
      <c r="D239"/>
      <c r="E239"/>
      <c r="F239"/>
      <c r="G239" s="7"/>
      <c r="H239" s="16"/>
      <c r="I239" s="219"/>
      <c r="J239"/>
      <c r="K239"/>
      <c r="L239"/>
      <c r="N239" s="385"/>
      <c r="O239" s="386"/>
    </row>
    <row r="240" spans="1:15" x14ac:dyDescent="0.25">
      <c r="D240"/>
      <c r="E240"/>
      <c r="F240"/>
      <c r="H240" s="16"/>
      <c r="I240" s="219"/>
      <c r="J240"/>
      <c r="K240"/>
      <c r="L240"/>
      <c r="O240" s="386"/>
    </row>
    <row r="241" spans="4:15" x14ac:dyDescent="0.25">
      <c r="D241"/>
      <c r="E241"/>
      <c r="F241"/>
      <c r="H241" s="16"/>
      <c r="I241" s="219"/>
      <c r="J241"/>
      <c r="K241"/>
      <c r="L241"/>
      <c r="O241" s="386"/>
    </row>
    <row r="242" spans="4:15" x14ac:dyDescent="0.25">
      <c r="D242"/>
      <c r="E242"/>
      <c r="F242"/>
      <c r="H242" s="16"/>
      <c r="I242" s="219"/>
      <c r="J242"/>
      <c r="K242"/>
      <c r="L242"/>
      <c r="O242" s="386"/>
    </row>
    <row r="243" spans="4:15" x14ac:dyDescent="0.25">
      <c r="D243"/>
      <c r="E243"/>
      <c r="F243"/>
      <c r="H243" s="16"/>
      <c r="I243" s="219"/>
      <c r="J243"/>
      <c r="K243"/>
      <c r="L243"/>
      <c r="O243" s="386"/>
    </row>
    <row r="244" spans="4:15" x14ac:dyDescent="0.25">
      <c r="D244"/>
      <c r="E244"/>
      <c r="F244"/>
      <c r="I244" s="219"/>
      <c r="J244"/>
      <c r="K244"/>
      <c r="L244"/>
      <c r="O244" s="386"/>
    </row>
    <row r="245" spans="4:15" x14ac:dyDescent="0.25">
      <c r="D245"/>
      <c r="E245"/>
      <c r="F245"/>
      <c r="G245" s="503"/>
      <c r="I245" s="219"/>
      <c r="J245"/>
      <c r="K245"/>
      <c r="L245"/>
      <c r="O245" s="386"/>
    </row>
    <row r="246" spans="4:15" x14ac:dyDescent="0.25">
      <c r="I246" s="219"/>
      <c r="J246"/>
      <c r="K246"/>
      <c r="L246"/>
      <c r="O246" s="386"/>
    </row>
    <row r="247" spans="4:15" x14ac:dyDescent="0.25">
      <c r="I247" s="219"/>
      <c r="J247"/>
      <c r="K247"/>
      <c r="L247"/>
      <c r="O247" s="386"/>
    </row>
    <row r="248" spans="4:15" x14ac:dyDescent="0.25">
      <c r="I248" s="219"/>
      <c r="J248"/>
      <c r="K248"/>
      <c r="L248"/>
      <c r="O248" s="386"/>
    </row>
    <row r="249" spans="4:15" x14ac:dyDescent="0.25">
      <c r="I249" s="219"/>
      <c r="J249"/>
      <c r="K249"/>
      <c r="L249"/>
      <c r="O249" s="386"/>
    </row>
    <row r="250" spans="4:15" x14ac:dyDescent="0.25">
      <c r="I250" s="219"/>
      <c r="J250"/>
      <c r="K250"/>
      <c r="L250"/>
      <c r="O250" s="386"/>
    </row>
    <row r="251" spans="4:15" x14ac:dyDescent="0.25">
      <c r="I251" s="219"/>
      <c r="J251"/>
      <c r="K251"/>
      <c r="L251"/>
      <c r="O251" s="386"/>
    </row>
    <row r="252" spans="4:15" x14ac:dyDescent="0.25">
      <c r="I252" s="219"/>
      <c r="J252"/>
      <c r="K252"/>
      <c r="L252"/>
      <c r="O252" s="386"/>
    </row>
    <row r="253" spans="4:15" x14ac:dyDescent="0.25">
      <c r="I253" s="219"/>
      <c r="J253"/>
      <c r="K253"/>
      <c r="L253"/>
      <c r="O253" s="386"/>
    </row>
    <row r="254" spans="4:15" x14ac:dyDescent="0.25">
      <c r="I254" s="219"/>
      <c r="J254"/>
      <c r="K254"/>
      <c r="L254"/>
      <c r="O254" s="386"/>
    </row>
    <row r="255" spans="4:15" x14ac:dyDescent="0.25">
      <c r="I255" s="219"/>
      <c r="J255"/>
      <c r="K255"/>
      <c r="L255"/>
      <c r="O255" s="386"/>
    </row>
    <row r="256" spans="4:15" x14ac:dyDescent="0.25">
      <c r="I256"/>
      <c r="J256"/>
      <c r="K256"/>
      <c r="L256"/>
      <c r="O256" s="386"/>
    </row>
    <row r="257" spans="9:16" x14ac:dyDescent="0.25">
      <c r="I257"/>
      <c r="J257"/>
      <c r="K257"/>
      <c r="L257"/>
      <c r="O257" s="386"/>
    </row>
    <row r="258" spans="9:16" x14ac:dyDescent="0.25">
      <c r="I258"/>
      <c r="J258"/>
      <c r="K258"/>
      <c r="L258"/>
      <c r="O258" s="386"/>
    </row>
    <row r="259" spans="9:16" x14ac:dyDescent="0.25">
      <c r="I259"/>
      <c r="J259"/>
      <c r="K259"/>
      <c r="L259"/>
      <c r="O259" s="386"/>
    </row>
    <row r="260" spans="9:16" x14ac:dyDescent="0.25">
      <c r="I260"/>
      <c r="J260"/>
      <c r="K260"/>
      <c r="L260"/>
      <c r="O260" s="386"/>
    </row>
    <row r="261" spans="9:16" x14ac:dyDescent="0.25">
      <c r="I261"/>
      <c r="J261" s="74"/>
      <c r="K261"/>
      <c r="L261"/>
      <c r="O261" s="386"/>
    </row>
    <row r="262" spans="9:16" x14ac:dyDescent="0.25">
      <c r="I262"/>
      <c r="J262" s="74"/>
      <c r="K262"/>
      <c r="L262"/>
      <c r="O262" s="386"/>
    </row>
    <row r="263" spans="9:16" x14ac:dyDescent="0.25">
      <c r="I263" s="219"/>
      <c r="J263" s="74"/>
      <c r="K263"/>
      <c r="L263"/>
      <c r="O263" s="386"/>
    </row>
    <row r="264" spans="9:16" x14ac:dyDescent="0.25">
      <c r="I264" s="219"/>
      <c r="J264" s="74"/>
      <c r="K264" s="147"/>
      <c r="L264" s="370"/>
      <c r="O264" s="386"/>
    </row>
    <row r="265" spans="9:16" x14ac:dyDescent="0.25">
      <c r="I265" s="219"/>
      <c r="J265" s="74"/>
      <c r="K265" s="147"/>
      <c r="L265" s="204"/>
      <c r="O265" s="386"/>
    </row>
    <row r="266" spans="9:16" x14ac:dyDescent="0.25">
      <c r="I266" s="219"/>
      <c r="J266" s="74"/>
      <c r="K266" s="147"/>
      <c r="L266" s="195"/>
      <c r="O266" s="386"/>
    </row>
    <row r="267" spans="9:16" x14ac:dyDescent="0.25">
      <c r="I267" s="219"/>
      <c r="J267" s="74"/>
      <c r="K267" s="147"/>
      <c r="L267" s="161"/>
      <c r="O267" s="386"/>
    </row>
    <row r="268" spans="9:16" x14ac:dyDescent="0.25">
      <c r="I268" s="219"/>
      <c r="J268" s="74"/>
      <c r="K268" s="147"/>
      <c r="L268" s="134"/>
      <c r="O268" s="386"/>
    </row>
    <row r="269" spans="9:16" x14ac:dyDescent="0.25">
      <c r="I269" s="219"/>
      <c r="J269"/>
      <c r="K269" s="147"/>
      <c r="L269" s="134"/>
      <c r="O269" s="386"/>
    </row>
    <row r="270" spans="9:16" x14ac:dyDescent="0.25">
      <c r="I270" s="219"/>
      <c r="J270"/>
      <c r="K270" s="147"/>
      <c r="L270" s="205"/>
      <c r="O270" s="386"/>
    </row>
    <row r="271" spans="9:16" x14ac:dyDescent="0.25">
      <c r="I271" s="219"/>
      <c r="J271"/>
      <c r="K271" s="147"/>
      <c r="L271" s="205"/>
      <c r="O271" s="386"/>
    </row>
    <row r="272" spans="9:16" x14ac:dyDescent="0.25">
      <c r="I272"/>
      <c r="J272"/>
      <c r="K272"/>
      <c r="L272"/>
      <c r="M272"/>
      <c r="N272"/>
      <c r="O272"/>
      <c r="P272"/>
    </row>
    <row r="273" spans="9:16" x14ac:dyDescent="0.25">
      <c r="I273"/>
      <c r="J273"/>
      <c r="K273"/>
      <c r="L273"/>
      <c r="M273"/>
      <c r="N273"/>
      <c r="O273"/>
      <c r="P273"/>
    </row>
    <row r="274" spans="9:16" x14ac:dyDescent="0.25">
      <c r="I274"/>
      <c r="J274"/>
      <c r="K274"/>
      <c r="L274"/>
      <c r="M274"/>
      <c r="N274"/>
      <c r="O274"/>
      <c r="P274"/>
    </row>
    <row r="275" spans="9:16" x14ac:dyDescent="0.25">
      <c r="I275"/>
      <c r="J275"/>
      <c r="K275"/>
      <c r="L275"/>
      <c r="M275"/>
      <c r="N275"/>
      <c r="O275"/>
      <c r="P275"/>
    </row>
    <row r="276" spans="9:16" x14ac:dyDescent="0.25">
      <c r="I276"/>
      <c r="J276"/>
      <c r="K276"/>
      <c r="L276"/>
      <c r="M276"/>
      <c r="N276"/>
      <c r="O276"/>
      <c r="P276"/>
    </row>
    <row r="277" spans="9:16" x14ac:dyDescent="0.25">
      <c r="I277"/>
      <c r="J277"/>
      <c r="K277"/>
      <c r="L277"/>
      <c r="M277"/>
      <c r="N277"/>
      <c r="O277"/>
      <c r="P277"/>
    </row>
    <row r="278" spans="9:16" x14ac:dyDescent="0.25">
      <c r="I278"/>
      <c r="J278"/>
      <c r="K278"/>
      <c r="L278"/>
      <c r="M278"/>
      <c r="N278"/>
      <c r="O278"/>
      <c r="P278"/>
    </row>
    <row r="279" spans="9:16" x14ac:dyDescent="0.25">
      <c r="I279"/>
      <c r="J279"/>
      <c r="K279"/>
      <c r="L279"/>
      <c r="M279"/>
      <c r="N279"/>
      <c r="O279"/>
      <c r="P279"/>
    </row>
    <row r="280" spans="9:16" x14ac:dyDescent="0.25">
      <c r="I280"/>
      <c r="J280"/>
      <c r="K280"/>
      <c r="L280"/>
      <c r="M280"/>
      <c r="N280"/>
      <c r="O280"/>
      <c r="P280"/>
    </row>
    <row r="281" spans="9:16" x14ac:dyDescent="0.25">
      <c r="I281"/>
      <c r="J281"/>
      <c r="K281"/>
      <c r="L281"/>
      <c r="M281"/>
      <c r="N281"/>
      <c r="O281"/>
      <c r="P281"/>
    </row>
    <row r="282" spans="9:16" x14ac:dyDescent="0.25">
      <c r="I282"/>
      <c r="J282"/>
      <c r="K282"/>
      <c r="L282"/>
      <c r="M282"/>
      <c r="N282"/>
      <c r="O282"/>
      <c r="P282"/>
    </row>
    <row r="283" spans="9:16" x14ac:dyDescent="0.25">
      <c r="I283"/>
      <c r="J283"/>
      <c r="K283"/>
      <c r="L283"/>
      <c r="M283"/>
      <c r="N283"/>
      <c r="O283"/>
      <c r="P283"/>
    </row>
    <row r="284" spans="9:16" x14ac:dyDescent="0.25">
      <c r="I284"/>
      <c r="J284"/>
      <c r="K284"/>
      <c r="L284"/>
      <c r="M284"/>
      <c r="N284"/>
      <c r="O284"/>
      <c r="P284"/>
    </row>
    <row r="285" spans="9:16" x14ac:dyDescent="0.25">
      <c r="I285"/>
      <c r="J285"/>
      <c r="K285"/>
      <c r="L285"/>
      <c r="M285"/>
      <c r="N285"/>
      <c r="O285"/>
      <c r="P285"/>
    </row>
    <row r="286" spans="9:16" x14ac:dyDescent="0.25">
      <c r="I286"/>
      <c r="J286"/>
      <c r="K286"/>
      <c r="L286"/>
      <c r="M286"/>
      <c r="N286"/>
      <c r="O286"/>
      <c r="P286"/>
    </row>
    <row r="287" spans="9:16" x14ac:dyDescent="0.25">
      <c r="I287"/>
      <c r="J287"/>
      <c r="K287"/>
      <c r="L287"/>
      <c r="M287"/>
      <c r="N287"/>
      <c r="O287"/>
      <c r="P287"/>
    </row>
    <row r="288" spans="9:16" x14ac:dyDescent="0.25">
      <c r="I288"/>
      <c r="J288"/>
      <c r="K288"/>
      <c r="L288"/>
      <c r="M288"/>
      <c r="N288"/>
      <c r="O288"/>
      <c r="P288"/>
    </row>
    <row r="289" spans="9:16" x14ac:dyDescent="0.25">
      <c r="I289"/>
      <c r="J289"/>
      <c r="K289"/>
      <c r="L289"/>
      <c r="M289"/>
      <c r="N289"/>
      <c r="O289"/>
      <c r="P289"/>
    </row>
    <row r="290" spans="9:16" x14ac:dyDescent="0.25">
      <c r="I290"/>
      <c r="J290"/>
      <c r="K290"/>
      <c r="L290"/>
      <c r="M290"/>
      <c r="N290"/>
      <c r="O290"/>
      <c r="P290"/>
    </row>
    <row r="291" spans="9:16" x14ac:dyDescent="0.25">
      <c r="I291"/>
      <c r="J291"/>
      <c r="K291"/>
      <c r="L291"/>
      <c r="M291"/>
      <c r="N291"/>
      <c r="O291"/>
      <c r="P291"/>
    </row>
    <row r="292" spans="9:16" x14ac:dyDescent="0.25">
      <c r="I292"/>
      <c r="J292"/>
      <c r="K292"/>
      <c r="L292"/>
      <c r="M292"/>
      <c r="N292"/>
      <c r="O292"/>
      <c r="P292"/>
    </row>
    <row r="293" spans="9:16" x14ac:dyDescent="0.25">
      <c r="I293"/>
      <c r="J293"/>
      <c r="K293"/>
      <c r="L293"/>
      <c r="M293"/>
      <c r="N293"/>
      <c r="O293"/>
      <c r="P293"/>
    </row>
    <row r="294" spans="9:16" x14ac:dyDescent="0.25">
      <c r="I294"/>
      <c r="J294"/>
      <c r="K294"/>
      <c r="L294"/>
      <c r="M294"/>
      <c r="N294"/>
      <c r="O294"/>
      <c r="P294"/>
    </row>
    <row r="295" spans="9:16" x14ac:dyDescent="0.25">
      <c r="I295"/>
      <c r="J295"/>
      <c r="K295"/>
      <c r="L295"/>
      <c r="M295"/>
      <c r="N295"/>
      <c r="O295"/>
      <c r="P295"/>
    </row>
    <row r="296" spans="9:16" x14ac:dyDescent="0.25">
      <c r="I296"/>
      <c r="J296"/>
      <c r="K296"/>
      <c r="L296"/>
      <c r="M296"/>
      <c r="N296"/>
      <c r="O296"/>
      <c r="P296"/>
    </row>
    <row r="297" spans="9:16" x14ac:dyDescent="0.25">
      <c r="I297"/>
      <c r="J297"/>
      <c r="K297"/>
      <c r="L297"/>
      <c r="M297"/>
      <c r="N297"/>
      <c r="O297"/>
      <c r="P297"/>
    </row>
    <row r="298" spans="9:16" x14ac:dyDescent="0.25">
      <c r="I298"/>
      <c r="J298"/>
      <c r="K298"/>
      <c r="L298"/>
      <c r="M298"/>
      <c r="N298"/>
      <c r="O298"/>
      <c r="P298"/>
    </row>
    <row r="299" spans="9:16" x14ac:dyDescent="0.25">
      <c r="I299"/>
      <c r="J299"/>
      <c r="K299"/>
      <c r="L299"/>
      <c r="M299"/>
      <c r="N299"/>
      <c r="O299"/>
      <c r="P299"/>
    </row>
    <row r="300" spans="9:16" x14ac:dyDescent="0.25">
      <c r="I300"/>
      <c r="J300"/>
      <c r="K300"/>
      <c r="L300"/>
      <c r="M300"/>
      <c r="N300"/>
      <c r="O300"/>
      <c r="P300"/>
    </row>
    <row r="301" spans="9:16" x14ac:dyDescent="0.25">
      <c r="I301"/>
      <c r="J301"/>
      <c r="K301"/>
      <c r="L301"/>
      <c r="M301"/>
      <c r="N301"/>
      <c r="O301"/>
      <c r="P301"/>
    </row>
    <row r="302" spans="9:16" x14ac:dyDescent="0.25">
      <c r="I302"/>
      <c r="J302"/>
      <c r="K302"/>
      <c r="L302"/>
      <c r="M302"/>
      <c r="N302"/>
      <c r="O302"/>
      <c r="P302"/>
    </row>
    <row r="303" spans="9:16" x14ac:dyDescent="0.25">
      <c r="I303"/>
      <c r="J303"/>
      <c r="K303"/>
      <c r="L303"/>
      <c r="M303"/>
      <c r="N303"/>
      <c r="O303"/>
      <c r="P303"/>
    </row>
    <row r="304" spans="9:16" x14ac:dyDescent="0.25">
      <c r="I304"/>
      <c r="J304"/>
      <c r="K304"/>
      <c r="L304"/>
      <c r="M304"/>
      <c r="N304"/>
      <c r="O304"/>
      <c r="P304"/>
    </row>
    <row r="305" spans="9:16" x14ac:dyDescent="0.25">
      <c r="I305"/>
      <c r="J305"/>
      <c r="K305"/>
      <c r="L305"/>
      <c r="M305"/>
      <c r="N305"/>
      <c r="O305"/>
      <c r="P305"/>
    </row>
    <row r="306" spans="9:16" x14ac:dyDescent="0.25">
      <c r="I306"/>
      <c r="J306"/>
      <c r="K306"/>
      <c r="L306"/>
      <c r="M306"/>
      <c r="N306"/>
      <c r="O306"/>
      <c r="P306"/>
    </row>
    <row r="307" spans="9:16" x14ac:dyDescent="0.25">
      <c r="I307"/>
      <c r="J307"/>
      <c r="K307"/>
      <c r="L307"/>
      <c r="M307"/>
      <c r="N307"/>
      <c r="O307"/>
      <c r="P307"/>
    </row>
    <row r="308" spans="9:16" x14ac:dyDescent="0.25">
      <c r="I308"/>
      <c r="J308"/>
      <c r="K308"/>
      <c r="L308"/>
      <c r="M308"/>
      <c r="N308"/>
      <c r="O308"/>
      <c r="P308"/>
    </row>
    <row r="309" spans="9:16" x14ac:dyDescent="0.25">
      <c r="I309"/>
      <c r="J309"/>
      <c r="K309"/>
      <c r="L309"/>
      <c r="M309"/>
      <c r="N309"/>
      <c r="O309"/>
      <c r="P309"/>
    </row>
    <row r="310" spans="9:16" x14ac:dyDescent="0.25">
      <c r="I310"/>
      <c r="J310"/>
      <c r="K310"/>
      <c r="L310"/>
      <c r="M310"/>
      <c r="N310"/>
      <c r="O310"/>
      <c r="P310"/>
    </row>
    <row r="311" spans="9:16" x14ac:dyDescent="0.25">
      <c r="I311"/>
      <c r="J311"/>
      <c r="K311"/>
      <c r="L311"/>
      <c r="M311"/>
      <c r="N311"/>
      <c r="O311"/>
      <c r="P311"/>
    </row>
    <row r="312" spans="9:16" x14ac:dyDescent="0.25">
      <c r="I312"/>
      <c r="J312"/>
      <c r="K312"/>
      <c r="L312"/>
      <c r="M312"/>
      <c r="N312"/>
      <c r="O312"/>
      <c r="P312"/>
    </row>
    <row r="313" spans="9:16" x14ac:dyDescent="0.25">
      <c r="I313"/>
      <c r="J313"/>
      <c r="K313"/>
      <c r="L313"/>
      <c r="M313"/>
      <c r="N313"/>
      <c r="O313"/>
      <c r="P313"/>
    </row>
    <row r="314" spans="9:16" x14ac:dyDescent="0.25">
      <c r="I314"/>
      <c r="J314"/>
      <c r="K314"/>
      <c r="L314"/>
      <c r="M314"/>
      <c r="N314"/>
      <c r="O314"/>
      <c r="P314"/>
    </row>
    <row r="315" spans="9:16" x14ac:dyDescent="0.25">
      <c r="I315"/>
      <c r="J315"/>
      <c r="K315"/>
      <c r="L315"/>
      <c r="M315"/>
      <c r="N315"/>
      <c r="O315"/>
      <c r="P315"/>
    </row>
    <row r="316" spans="9:16" x14ac:dyDescent="0.25">
      <c r="I316"/>
      <c r="J316"/>
      <c r="K316"/>
      <c r="L316"/>
      <c r="M316"/>
      <c r="N316"/>
      <c r="O316"/>
      <c r="P316"/>
    </row>
    <row r="317" spans="9:16" x14ac:dyDescent="0.25">
      <c r="I317"/>
      <c r="J317"/>
      <c r="K317"/>
      <c r="L317"/>
      <c r="M317"/>
      <c r="N317"/>
      <c r="O317"/>
      <c r="P317"/>
    </row>
    <row r="318" spans="9:16" x14ac:dyDescent="0.25">
      <c r="I318"/>
      <c r="J318"/>
      <c r="K318"/>
      <c r="L318"/>
      <c r="M318"/>
      <c r="N318"/>
      <c r="O318"/>
      <c r="P318"/>
    </row>
    <row r="319" spans="9:16" x14ac:dyDescent="0.25">
      <c r="I319"/>
      <c r="J319"/>
      <c r="K319"/>
      <c r="L319"/>
      <c r="M319"/>
      <c r="N319"/>
      <c r="O319"/>
      <c r="P319"/>
    </row>
    <row r="320" spans="9:16" x14ac:dyDescent="0.25">
      <c r="I320"/>
      <c r="J320"/>
      <c r="K320"/>
      <c r="L320"/>
      <c r="M320"/>
      <c r="N320"/>
      <c r="O320"/>
      <c r="P320"/>
    </row>
    <row r="321" spans="9:16" x14ac:dyDescent="0.25">
      <c r="I321"/>
      <c r="J321"/>
      <c r="K321"/>
      <c r="L321"/>
      <c r="M321"/>
      <c r="N321"/>
      <c r="O321"/>
      <c r="P321"/>
    </row>
    <row r="322" spans="9:16" x14ac:dyDescent="0.25">
      <c r="I322"/>
      <c r="J322"/>
      <c r="K322"/>
      <c r="L322"/>
      <c r="M322"/>
      <c r="N322"/>
      <c r="O322"/>
      <c r="P322"/>
    </row>
    <row r="323" spans="9:16" x14ac:dyDescent="0.25">
      <c r="I323"/>
      <c r="J323"/>
      <c r="K323"/>
      <c r="L323"/>
      <c r="M323"/>
      <c r="N323"/>
      <c r="O323"/>
      <c r="P323"/>
    </row>
    <row r="324" spans="9:16" x14ac:dyDescent="0.25">
      <c r="I324"/>
      <c r="J324"/>
      <c r="K324"/>
      <c r="L324"/>
      <c r="M324"/>
      <c r="N324"/>
      <c r="O324"/>
      <c r="P324"/>
    </row>
    <row r="325" spans="9:16" x14ac:dyDescent="0.25">
      <c r="I325"/>
      <c r="J325"/>
      <c r="K325"/>
      <c r="L325"/>
      <c r="M325"/>
      <c r="N325"/>
      <c r="O325"/>
      <c r="P325"/>
    </row>
    <row r="326" spans="9:16" x14ac:dyDescent="0.25">
      <c r="I326"/>
      <c r="J326"/>
      <c r="K326"/>
      <c r="L326"/>
      <c r="M326"/>
      <c r="N326"/>
      <c r="O326"/>
      <c r="P326"/>
    </row>
    <row r="327" spans="9:16" x14ac:dyDescent="0.25">
      <c r="I327"/>
      <c r="J327"/>
      <c r="K327"/>
      <c r="L327"/>
      <c r="M327"/>
      <c r="N327"/>
      <c r="O327"/>
      <c r="P327"/>
    </row>
    <row r="328" spans="9:16" x14ac:dyDescent="0.25">
      <c r="I328"/>
      <c r="J328"/>
      <c r="K328"/>
      <c r="L328"/>
      <c r="M328"/>
      <c r="N328"/>
      <c r="O328"/>
      <c r="P328"/>
    </row>
    <row r="329" spans="9:16" x14ac:dyDescent="0.25">
      <c r="I329"/>
      <c r="J329"/>
      <c r="K329"/>
      <c r="L329"/>
      <c r="M329"/>
      <c r="N329"/>
      <c r="O329"/>
      <c r="P329"/>
    </row>
    <row r="330" spans="9:16" x14ac:dyDescent="0.25">
      <c r="I330"/>
      <c r="J330"/>
      <c r="K330"/>
      <c r="L330"/>
      <c r="M330"/>
      <c r="N330"/>
      <c r="O330"/>
      <c r="P330"/>
    </row>
    <row r="331" spans="9:16" x14ac:dyDescent="0.25">
      <c r="I331"/>
      <c r="J331"/>
      <c r="K331"/>
      <c r="L331"/>
      <c r="M331"/>
      <c r="N331"/>
      <c r="O331"/>
      <c r="P331"/>
    </row>
    <row r="332" spans="9:16" x14ac:dyDescent="0.25">
      <c r="I332"/>
      <c r="J332"/>
      <c r="K332"/>
      <c r="L332"/>
      <c r="M332"/>
      <c r="N332"/>
      <c r="O332"/>
      <c r="P332"/>
    </row>
    <row r="333" spans="9:16" x14ac:dyDescent="0.25">
      <c r="I333"/>
      <c r="J333"/>
      <c r="K333"/>
      <c r="L333"/>
      <c r="M333"/>
      <c r="N333"/>
      <c r="O333"/>
      <c r="P333"/>
    </row>
    <row r="334" spans="9:16" x14ac:dyDescent="0.25">
      <c r="I334"/>
      <c r="J334"/>
      <c r="K334"/>
      <c r="L334"/>
      <c r="M334"/>
      <c r="N334"/>
      <c r="O334"/>
      <c r="P334"/>
    </row>
    <row r="335" spans="9:16" x14ac:dyDescent="0.25">
      <c r="I335"/>
      <c r="J335"/>
      <c r="K335"/>
      <c r="L335"/>
      <c r="M335"/>
      <c r="N335"/>
      <c r="O335"/>
      <c r="P335"/>
    </row>
    <row r="336" spans="9:16" x14ac:dyDescent="0.25">
      <c r="I336"/>
      <c r="J336"/>
      <c r="K336"/>
      <c r="L336"/>
      <c r="M336"/>
      <c r="N336"/>
      <c r="O336"/>
      <c r="P336"/>
    </row>
    <row r="337" spans="9:16" x14ac:dyDescent="0.25">
      <c r="I337"/>
      <c r="J337"/>
      <c r="K337"/>
      <c r="L337"/>
      <c r="M337"/>
      <c r="N337"/>
      <c r="O337"/>
      <c r="P337"/>
    </row>
    <row r="338" spans="9:16" x14ac:dyDescent="0.25">
      <c r="I338"/>
      <c r="J338" s="73"/>
      <c r="K338"/>
      <c r="L338"/>
      <c r="M338"/>
      <c r="N338"/>
      <c r="O338"/>
      <c r="P338"/>
    </row>
    <row r="339" spans="9:16" x14ac:dyDescent="0.25">
      <c r="I339"/>
      <c r="J339" s="73"/>
      <c r="K339"/>
      <c r="L339"/>
      <c r="M339"/>
      <c r="N339"/>
      <c r="O339"/>
      <c r="P339"/>
    </row>
    <row r="340" spans="9:16" x14ac:dyDescent="0.25">
      <c r="I340"/>
      <c r="J340" s="73"/>
      <c r="K340"/>
      <c r="L340"/>
      <c r="M340"/>
      <c r="N340"/>
      <c r="O340"/>
      <c r="P340"/>
    </row>
    <row r="341" spans="9:16" x14ac:dyDescent="0.25">
      <c r="I341" s="219"/>
      <c r="J341" s="73"/>
      <c r="K341" s="189"/>
      <c r="L341" s="205"/>
      <c r="O341" s="386"/>
    </row>
    <row r="342" spans="9:16" x14ac:dyDescent="0.25">
      <c r="I342" s="219"/>
      <c r="J342" s="73"/>
      <c r="K342" s="189"/>
      <c r="L342" s="205"/>
      <c r="O342" s="386"/>
    </row>
    <row r="343" spans="9:16" x14ac:dyDescent="0.25">
      <c r="I343" s="219"/>
      <c r="J343" s="73"/>
      <c r="K343" s="189"/>
      <c r="L343" s="205"/>
      <c r="O343" s="386"/>
    </row>
    <row r="344" spans="9:16" x14ac:dyDescent="0.25">
      <c r="I344" s="219"/>
      <c r="J344" s="73"/>
      <c r="K344" s="189"/>
      <c r="L344" s="205"/>
      <c r="O344" s="386"/>
    </row>
    <row r="345" spans="9:16" x14ac:dyDescent="0.25">
      <c r="I345" s="219"/>
      <c r="J345" s="73"/>
      <c r="K345" s="189"/>
      <c r="L345" s="195"/>
      <c r="O345" s="386"/>
    </row>
    <row r="346" spans="9:16" x14ac:dyDescent="0.25">
      <c r="I346" s="219"/>
      <c r="J346" s="73"/>
      <c r="K346" s="189"/>
      <c r="L346" s="195"/>
      <c r="O346" s="386"/>
    </row>
    <row r="347" spans="9:16" x14ac:dyDescent="0.25">
      <c r="I347" s="219"/>
      <c r="J347" s="177"/>
      <c r="K347" s="189"/>
      <c r="L347" s="195"/>
      <c r="O347" s="386"/>
    </row>
    <row r="348" spans="9:16" x14ac:dyDescent="0.25">
      <c r="I348"/>
      <c r="J348"/>
      <c r="K348"/>
      <c r="L348"/>
      <c r="M348"/>
      <c r="N348"/>
      <c r="O348" s="386"/>
    </row>
    <row r="349" spans="9:16" x14ac:dyDescent="0.25">
      <c r="I349"/>
      <c r="J349"/>
      <c r="K349"/>
      <c r="L349"/>
      <c r="M349"/>
      <c r="N349"/>
      <c r="O349" s="386"/>
    </row>
    <row r="350" spans="9:16" x14ac:dyDescent="0.25">
      <c r="I350"/>
      <c r="J350"/>
      <c r="K350"/>
      <c r="L350"/>
      <c r="M350"/>
      <c r="N350"/>
      <c r="O350" s="386"/>
    </row>
    <row r="351" spans="9:16" x14ac:dyDescent="0.25">
      <c r="I351"/>
      <c r="J351"/>
      <c r="K351"/>
      <c r="L351"/>
      <c r="M351"/>
      <c r="N351"/>
      <c r="O351" s="386"/>
    </row>
    <row r="352" spans="9:16" x14ac:dyDescent="0.25">
      <c r="I352"/>
      <c r="J352"/>
      <c r="K352"/>
      <c r="L352"/>
      <c r="M352"/>
      <c r="N352"/>
      <c r="O352" s="386"/>
    </row>
    <row r="353" spans="9:15" x14ac:dyDescent="0.25">
      <c r="I353"/>
      <c r="J353"/>
      <c r="K353"/>
      <c r="L353"/>
      <c r="M353"/>
      <c r="N353"/>
      <c r="O353" s="386"/>
    </row>
    <row r="354" spans="9:15" x14ac:dyDescent="0.25">
      <c r="I354"/>
      <c r="J354"/>
      <c r="K354"/>
      <c r="L354"/>
      <c r="M354"/>
      <c r="N354"/>
      <c r="O354" s="386"/>
    </row>
    <row r="355" spans="9:15" x14ac:dyDescent="0.25">
      <c r="I355"/>
      <c r="J355"/>
      <c r="K355"/>
      <c r="L355"/>
      <c r="M355"/>
      <c r="N355"/>
      <c r="O355" s="386"/>
    </row>
    <row r="356" spans="9:15" x14ac:dyDescent="0.25">
      <c r="I356"/>
      <c r="J356"/>
      <c r="K356"/>
      <c r="L356"/>
      <c r="M356"/>
      <c r="N356"/>
      <c r="O356" s="386"/>
    </row>
    <row r="357" spans="9:15" x14ac:dyDescent="0.25">
      <c r="I357"/>
      <c r="J357"/>
      <c r="K357"/>
      <c r="L357"/>
      <c r="M357"/>
      <c r="N357"/>
      <c r="O357" s="386"/>
    </row>
    <row r="358" spans="9:15" x14ac:dyDescent="0.25">
      <c r="I358"/>
      <c r="J358"/>
      <c r="K358"/>
      <c r="L358"/>
      <c r="M358"/>
      <c r="N358"/>
      <c r="O358" s="386"/>
    </row>
    <row r="359" spans="9:15" x14ac:dyDescent="0.25">
      <c r="I359"/>
      <c r="J359"/>
      <c r="K359"/>
      <c r="L359"/>
      <c r="M359"/>
      <c r="N359"/>
      <c r="O359" s="386"/>
    </row>
    <row r="360" spans="9:15" x14ac:dyDescent="0.25">
      <c r="I360"/>
      <c r="J360"/>
      <c r="K360"/>
      <c r="L360"/>
      <c r="M360"/>
      <c r="N360"/>
      <c r="O360" s="386"/>
    </row>
    <row r="361" spans="9:15" x14ac:dyDescent="0.25">
      <c r="I361"/>
      <c r="J361"/>
      <c r="K361"/>
      <c r="L361"/>
      <c r="M361"/>
      <c r="N361"/>
      <c r="O361" s="386"/>
    </row>
    <row r="362" spans="9:15" x14ac:dyDescent="0.25">
      <c r="I362"/>
      <c r="J362"/>
      <c r="K362"/>
      <c r="L362"/>
      <c r="M362"/>
      <c r="N362"/>
      <c r="O362" s="386"/>
    </row>
    <row r="363" spans="9:15" x14ac:dyDescent="0.25">
      <c r="I363"/>
      <c r="J363"/>
      <c r="K363"/>
      <c r="L363"/>
      <c r="M363"/>
      <c r="N363"/>
      <c r="O363" s="386"/>
    </row>
    <row r="364" spans="9:15" x14ac:dyDescent="0.25">
      <c r="I364"/>
      <c r="J364"/>
      <c r="K364"/>
      <c r="L364"/>
      <c r="M364"/>
      <c r="N364"/>
      <c r="O364" s="386"/>
    </row>
    <row r="365" spans="9:15" x14ac:dyDescent="0.25">
      <c r="I365"/>
      <c r="J365"/>
      <c r="K365"/>
      <c r="L365"/>
      <c r="M365"/>
      <c r="N365"/>
      <c r="O365" s="386"/>
    </row>
    <row r="366" spans="9:15" x14ac:dyDescent="0.25">
      <c r="I366"/>
      <c r="J366"/>
      <c r="K366"/>
      <c r="L366"/>
      <c r="M366"/>
      <c r="N366"/>
      <c r="O366" s="386"/>
    </row>
    <row r="367" spans="9:15" x14ac:dyDescent="0.25">
      <c r="I367"/>
      <c r="J367"/>
      <c r="K367"/>
      <c r="L367"/>
      <c r="M367"/>
      <c r="N367"/>
      <c r="O367" s="386"/>
    </row>
    <row r="368" spans="9:15" x14ac:dyDescent="0.25">
      <c r="I368"/>
      <c r="J368"/>
      <c r="K368"/>
      <c r="L368"/>
      <c r="M368"/>
      <c r="N368"/>
      <c r="O368" s="386"/>
    </row>
    <row r="369" spans="9:15" x14ac:dyDescent="0.25">
      <c r="I369"/>
      <c r="J369"/>
      <c r="K369"/>
      <c r="L369"/>
      <c r="M369"/>
      <c r="N369"/>
      <c r="O369" s="386"/>
    </row>
    <row r="370" spans="9:15" x14ac:dyDescent="0.25">
      <c r="I370"/>
      <c r="J370"/>
      <c r="K370"/>
      <c r="L370"/>
      <c r="M370"/>
      <c r="N370"/>
      <c r="O370" s="386"/>
    </row>
    <row r="371" spans="9:15" x14ac:dyDescent="0.25">
      <c r="I371"/>
      <c r="J371"/>
      <c r="K371"/>
      <c r="L371"/>
      <c r="M371"/>
      <c r="N371"/>
      <c r="O371" s="386"/>
    </row>
    <row r="372" spans="9:15" x14ac:dyDescent="0.25">
      <c r="I372"/>
      <c r="J372"/>
      <c r="K372"/>
      <c r="L372"/>
      <c r="M372"/>
      <c r="N372"/>
      <c r="O372" s="386"/>
    </row>
    <row r="373" spans="9:15" x14ac:dyDescent="0.25">
      <c r="I373"/>
      <c r="J373"/>
      <c r="K373"/>
      <c r="L373"/>
      <c r="M373"/>
      <c r="N373"/>
      <c r="O373" s="386"/>
    </row>
    <row r="374" spans="9:15" x14ac:dyDescent="0.25">
      <c r="I374"/>
      <c r="J374"/>
      <c r="K374"/>
      <c r="L374"/>
      <c r="M374"/>
      <c r="N374"/>
      <c r="O374" s="386"/>
    </row>
    <row r="375" spans="9:15" x14ac:dyDescent="0.25">
      <c r="I375"/>
      <c r="J375"/>
      <c r="K375"/>
      <c r="L375"/>
      <c r="M375"/>
      <c r="N375"/>
      <c r="O375" s="386"/>
    </row>
    <row r="376" spans="9:15" x14ac:dyDescent="0.25">
      <c r="I376"/>
      <c r="J376"/>
      <c r="K376"/>
      <c r="L376"/>
      <c r="M376"/>
      <c r="N376"/>
      <c r="O376" s="386"/>
    </row>
    <row r="377" spans="9:15" x14ac:dyDescent="0.25">
      <c r="I377"/>
      <c r="J377"/>
      <c r="K377"/>
      <c r="L377"/>
      <c r="M377"/>
      <c r="N377"/>
      <c r="O377" s="386"/>
    </row>
    <row r="378" spans="9:15" x14ac:dyDescent="0.25">
      <c r="I378"/>
      <c r="J378"/>
      <c r="K378"/>
      <c r="L378"/>
      <c r="M378"/>
      <c r="N378"/>
      <c r="O378" s="386"/>
    </row>
    <row r="379" spans="9:15" x14ac:dyDescent="0.25">
      <c r="I379"/>
      <c r="J379"/>
      <c r="K379"/>
      <c r="L379"/>
      <c r="M379"/>
      <c r="N379"/>
      <c r="O379" s="386"/>
    </row>
    <row r="380" spans="9:15" x14ac:dyDescent="0.25">
      <c r="I380"/>
      <c r="J380"/>
      <c r="K380"/>
      <c r="L380"/>
      <c r="M380"/>
      <c r="N380"/>
      <c r="O380" s="386"/>
    </row>
    <row r="381" spans="9:15" x14ac:dyDescent="0.25">
      <c r="I381"/>
      <c r="J381"/>
      <c r="K381"/>
      <c r="L381"/>
      <c r="M381"/>
      <c r="N381"/>
      <c r="O381" s="386"/>
    </row>
    <row r="382" spans="9:15" x14ac:dyDescent="0.25">
      <c r="I382"/>
      <c r="J382"/>
      <c r="K382"/>
      <c r="L382"/>
      <c r="M382"/>
      <c r="N382"/>
      <c r="O382" s="386"/>
    </row>
    <row r="383" spans="9:15" x14ac:dyDescent="0.25">
      <c r="I383"/>
      <c r="J383"/>
      <c r="K383"/>
      <c r="L383"/>
      <c r="M383"/>
      <c r="N383"/>
      <c r="O383" s="386"/>
    </row>
    <row r="384" spans="9:15" x14ac:dyDescent="0.25">
      <c r="I384"/>
      <c r="J384"/>
      <c r="K384"/>
      <c r="L384"/>
      <c r="M384"/>
      <c r="N384"/>
      <c r="O384" s="386"/>
    </row>
    <row r="385" spans="9:15" x14ac:dyDescent="0.25">
      <c r="I385"/>
      <c r="J385"/>
      <c r="K385"/>
      <c r="L385"/>
      <c r="M385"/>
      <c r="N385"/>
      <c r="O385" s="386"/>
    </row>
    <row r="386" spans="9:15" x14ac:dyDescent="0.25">
      <c r="I386"/>
      <c r="J386"/>
      <c r="K386"/>
      <c r="L386"/>
      <c r="M386"/>
      <c r="N386"/>
      <c r="O386" s="386"/>
    </row>
    <row r="387" spans="9:15" x14ac:dyDescent="0.25">
      <c r="I387"/>
      <c r="J387"/>
      <c r="K387"/>
      <c r="L387"/>
      <c r="M387"/>
      <c r="N387"/>
      <c r="O387" s="386"/>
    </row>
    <row r="388" spans="9:15" x14ac:dyDescent="0.25">
      <c r="I388"/>
      <c r="J388"/>
      <c r="K388"/>
      <c r="L388"/>
      <c r="M388"/>
      <c r="N388"/>
      <c r="O388" s="386"/>
    </row>
    <row r="389" spans="9:15" x14ac:dyDescent="0.25">
      <c r="I389"/>
      <c r="J389"/>
      <c r="K389"/>
      <c r="L389"/>
      <c r="M389"/>
      <c r="N389"/>
      <c r="O389" s="386"/>
    </row>
    <row r="390" spans="9:15" x14ac:dyDescent="0.25">
      <c r="I390"/>
      <c r="J390"/>
      <c r="K390"/>
      <c r="L390"/>
      <c r="M390"/>
      <c r="N390"/>
      <c r="O390" s="386"/>
    </row>
    <row r="391" spans="9:15" x14ac:dyDescent="0.25">
      <c r="I391"/>
      <c r="J391"/>
      <c r="K391"/>
      <c r="L391"/>
      <c r="M391"/>
      <c r="N391"/>
      <c r="O391" s="386"/>
    </row>
    <row r="392" spans="9:15" x14ac:dyDescent="0.25">
      <c r="I392"/>
      <c r="J392"/>
      <c r="K392"/>
      <c r="L392"/>
      <c r="M392"/>
      <c r="N392"/>
      <c r="O392" s="386"/>
    </row>
    <row r="393" spans="9:15" x14ac:dyDescent="0.25">
      <c r="I393"/>
      <c r="J393"/>
      <c r="K393"/>
      <c r="L393"/>
      <c r="M393"/>
      <c r="N393"/>
      <c r="O393" s="386"/>
    </row>
    <row r="394" spans="9:15" x14ac:dyDescent="0.25">
      <c r="I394"/>
      <c r="J394"/>
      <c r="K394"/>
      <c r="L394"/>
      <c r="M394"/>
      <c r="N394"/>
      <c r="O394" s="386"/>
    </row>
    <row r="395" spans="9:15" x14ac:dyDescent="0.25">
      <c r="I395"/>
      <c r="J395"/>
      <c r="K395"/>
      <c r="L395"/>
      <c r="M395"/>
      <c r="N395"/>
      <c r="O395" s="386"/>
    </row>
    <row r="396" spans="9:15" x14ac:dyDescent="0.25">
      <c r="I396"/>
      <c r="J396"/>
      <c r="K396"/>
      <c r="L396"/>
      <c r="M396"/>
      <c r="N396"/>
      <c r="O396" s="386"/>
    </row>
    <row r="397" spans="9:15" x14ac:dyDescent="0.25">
      <c r="I397"/>
      <c r="J397"/>
      <c r="K397"/>
      <c r="L397"/>
      <c r="M397"/>
      <c r="N397"/>
      <c r="O397" s="386"/>
    </row>
    <row r="398" spans="9:15" x14ac:dyDescent="0.25">
      <c r="I398"/>
      <c r="J398"/>
      <c r="K398"/>
      <c r="L398"/>
      <c r="M398"/>
      <c r="N398"/>
      <c r="O398" s="386"/>
    </row>
    <row r="399" spans="9:15" x14ac:dyDescent="0.25">
      <c r="I399"/>
      <c r="J399"/>
      <c r="K399"/>
      <c r="L399"/>
      <c r="M399"/>
      <c r="N399"/>
      <c r="O399" s="386"/>
    </row>
    <row r="400" spans="9:15" x14ac:dyDescent="0.25">
      <c r="I400"/>
      <c r="J400"/>
      <c r="K400"/>
      <c r="L400"/>
      <c r="M400"/>
      <c r="N400"/>
      <c r="O400" s="386"/>
    </row>
    <row r="401" spans="9:15" x14ac:dyDescent="0.25">
      <c r="I401"/>
      <c r="J401"/>
      <c r="K401"/>
      <c r="L401"/>
      <c r="M401"/>
      <c r="N401"/>
      <c r="O401" s="386"/>
    </row>
    <row r="402" spans="9:15" x14ac:dyDescent="0.25">
      <c r="I402"/>
      <c r="J402"/>
      <c r="K402"/>
      <c r="L402"/>
      <c r="M402"/>
      <c r="N402"/>
      <c r="O402" s="386"/>
    </row>
    <row r="403" spans="9:15" x14ac:dyDescent="0.25">
      <c r="I403"/>
      <c r="J403"/>
      <c r="K403"/>
      <c r="L403"/>
      <c r="M403"/>
      <c r="N403"/>
    </row>
    <row r="404" spans="9:15" x14ac:dyDescent="0.25">
      <c r="I404"/>
      <c r="J404"/>
      <c r="K404"/>
      <c r="L404"/>
      <c r="M404"/>
      <c r="N404"/>
    </row>
    <row r="405" spans="9:15" x14ac:dyDescent="0.25">
      <c r="I405"/>
      <c r="J405"/>
      <c r="K405"/>
      <c r="L405"/>
      <c r="M405"/>
      <c r="N405"/>
    </row>
    <row r="406" spans="9:15" x14ac:dyDescent="0.25">
      <c r="I406"/>
      <c r="J406"/>
      <c r="K406"/>
      <c r="L406"/>
      <c r="M406"/>
      <c r="N406"/>
    </row>
    <row r="407" spans="9:15" x14ac:dyDescent="0.25">
      <c r="I407"/>
      <c r="J407"/>
      <c r="K407"/>
      <c r="L407"/>
      <c r="M407"/>
      <c r="N407"/>
    </row>
    <row r="408" spans="9:15" x14ac:dyDescent="0.25">
      <c r="I408"/>
      <c r="J408"/>
      <c r="K408"/>
      <c r="L408"/>
      <c r="M408"/>
      <c r="N408"/>
    </row>
    <row r="409" spans="9:15" x14ac:dyDescent="0.25">
      <c r="I409"/>
      <c r="J409"/>
      <c r="K409"/>
      <c r="L409"/>
      <c r="M409"/>
      <c r="N409"/>
    </row>
    <row r="410" spans="9:15" x14ac:dyDescent="0.25">
      <c r="I410"/>
      <c r="J410"/>
      <c r="K410"/>
      <c r="L410"/>
      <c r="M410"/>
      <c r="N410"/>
    </row>
    <row r="411" spans="9:15" x14ac:dyDescent="0.25">
      <c r="I411"/>
      <c r="J411"/>
      <c r="K411"/>
      <c r="L411"/>
      <c r="M411"/>
      <c r="N411"/>
    </row>
    <row r="412" spans="9:15" x14ac:dyDescent="0.25">
      <c r="I412"/>
      <c r="J412"/>
      <c r="K412"/>
      <c r="L412"/>
      <c r="M412"/>
      <c r="N412"/>
    </row>
    <row r="413" spans="9:15" x14ac:dyDescent="0.25">
      <c r="I413"/>
      <c r="J413"/>
      <c r="K413"/>
      <c r="L413"/>
      <c r="M413"/>
      <c r="N413"/>
    </row>
    <row r="414" spans="9:15" x14ac:dyDescent="0.25">
      <c r="I414"/>
      <c r="J414"/>
      <c r="K414"/>
      <c r="L414"/>
      <c r="M414"/>
      <c r="N414"/>
    </row>
    <row r="415" spans="9:15" x14ac:dyDescent="0.25">
      <c r="I415"/>
      <c r="J415"/>
      <c r="K415"/>
      <c r="L415"/>
      <c r="M415"/>
      <c r="N415"/>
    </row>
    <row r="416" spans="9:15" x14ac:dyDescent="0.25">
      <c r="I416"/>
      <c r="J416"/>
      <c r="K416"/>
      <c r="L416"/>
      <c r="M416"/>
      <c r="N416"/>
    </row>
    <row r="417" spans="9:14" x14ac:dyDescent="0.25">
      <c r="I417"/>
      <c r="J417"/>
      <c r="K417"/>
      <c r="L417"/>
      <c r="M417"/>
      <c r="N417"/>
    </row>
    <row r="418" spans="9:14" x14ac:dyDescent="0.25">
      <c r="I418"/>
      <c r="J418"/>
      <c r="K418"/>
      <c r="L418"/>
      <c r="M418"/>
      <c r="N418"/>
    </row>
    <row r="419" spans="9:14" x14ac:dyDescent="0.25">
      <c r="I419"/>
      <c r="J419"/>
      <c r="K419"/>
      <c r="L419"/>
      <c r="M419"/>
      <c r="N419"/>
    </row>
    <row r="420" spans="9:14" x14ac:dyDescent="0.25">
      <c r="I420"/>
      <c r="J420"/>
      <c r="K420"/>
      <c r="L420"/>
      <c r="M420"/>
      <c r="N420"/>
    </row>
    <row r="421" spans="9:14" x14ac:dyDescent="0.25">
      <c r="I421"/>
      <c r="J421"/>
      <c r="K421"/>
      <c r="L421"/>
      <c r="M421"/>
      <c r="N421"/>
    </row>
    <row r="422" spans="9:14" x14ac:dyDescent="0.25">
      <c r="I422"/>
      <c r="J422"/>
      <c r="K422"/>
      <c r="L422"/>
      <c r="M422"/>
      <c r="N422"/>
    </row>
    <row r="423" spans="9:14" x14ac:dyDescent="0.25">
      <c r="I423"/>
      <c r="J423"/>
      <c r="K423"/>
      <c r="L423"/>
      <c r="M423"/>
      <c r="N423"/>
    </row>
    <row r="424" spans="9:14" x14ac:dyDescent="0.25">
      <c r="I424"/>
      <c r="J424"/>
      <c r="K424"/>
      <c r="L424"/>
      <c r="M424"/>
      <c r="N424"/>
    </row>
    <row r="425" spans="9:14" x14ac:dyDescent="0.25">
      <c r="I425"/>
      <c r="J425"/>
      <c r="K425"/>
      <c r="L425"/>
      <c r="M425"/>
      <c r="N425"/>
    </row>
    <row r="426" spans="9:14" x14ac:dyDescent="0.25">
      <c r="I426"/>
      <c r="J426"/>
      <c r="K426"/>
      <c r="L426"/>
      <c r="M426"/>
      <c r="N426"/>
    </row>
    <row r="427" spans="9:14" x14ac:dyDescent="0.25">
      <c r="I427"/>
      <c r="J427"/>
      <c r="K427"/>
      <c r="L427"/>
      <c r="M427"/>
      <c r="N427"/>
    </row>
    <row r="428" spans="9:14" x14ac:dyDescent="0.25">
      <c r="I428"/>
      <c r="J428"/>
      <c r="K428"/>
      <c r="L428"/>
      <c r="M428"/>
      <c r="N428"/>
    </row>
    <row r="429" spans="9:14" x14ac:dyDescent="0.25">
      <c r="I429"/>
      <c r="J429"/>
      <c r="K429"/>
      <c r="L429"/>
      <c r="M429"/>
      <c r="N429"/>
    </row>
    <row r="430" spans="9:14" x14ac:dyDescent="0.25">
      <c r="I430"/>
      <c r="J430"/>
      <c r="K430"/>
      <c r="L430"/>
      <c r="M430"/>
      <c r="N430"/>
    </row>
    <row r="431" spans="9:14" x14ac:dyDescent="0.25">
      <c r="I431"/>
      <c r="J431"/>
      <c r="K431"/>
      <c r="L431"/>
      <c r="M431"/>
      <c r="N431"/>
    </row>
    <row r="432" spans="9:14" x14ac:dyDescent="0.25">
      <c r="I432"/>
      <c r="J432"/>
      <c r="K432"/>
      <c r="L432"/>
      <c r="M432"/>
      <c r="N432"/>
    </row>
    <row r="433" spans="9:14" x14ac:dyDescent="0.25">
      <c r="I433"/>
      <c r="J433"/>
      <c r="K433"/>
      <c r="L433"/>
      <c r="M433"/>
      <c r="N433"/>
    </row>
    <row r="434" spans="9:14" x14ac:dyDescent="0.25">
      <c r="I434"/>
      <c r="J434"/>
      <c r="K434"/>
      <c r="L434"/>
      <c r="M434"/>
      <c r="N434"/>
    </row>
    <row r="435" spans="9:14" x14ac:dyDescent="0.25">
      <c r="I435"/>
      <c r="J435"/>
      <c r="K435"/>
      <c r="L435"/>
      <c r="M435"/>
      <c r="N435"/>
    </row>
    <row r="436" spans="9:14" x14ac:dyDescent="0.25">
      <c r="I436"/>
      <c r="J436"/>
      <c r="K436"/>
      <c r="L436"/>
      <c r="M436"/>
      <c r="N436"/>
    </row>
    <row r="437" spans="9:14" x14ac:dyDescent="0.25">
      <c r="I437"/>
      <c r="J437"/>
      <c r="K437"/>
      <c r="L437"/>
      <c r="M437"/>
      <c r="N437"/>
    </row>
    <row r="438" spans="9:14" x14ac:dyDescent="0.25">
      <c r="I438"/>
      <c r="J438"/>
      <c r="K438"/>
      <c r="L438"/>
      <c r="M438"/>
      <c r="N438"/>
    </row>
    <row r="439" spans="9:14" x14ac:dyDescent="0.25">
      <c r="I439"/>
      <c r="J439"/>
      <c r="K439"/>
      <c r="L439"/>
      <c r="M439"/>
      <c r="N439"/>
    </row>
    <row r="440" spans="9:14" x14ac:dyDescent="0.25">
      <c r="I440"/>
      <c r="J440"/>
      <c r="K440"/>
      <c r="L440"/>
      <c r="M440"/>
      <c r="N440"/>
    </row>
    <row r="441" spans="9:14" x14ac:dyDescent="0.25">
      <c r="I441"/>
      <c r="J441"/>
      <c r="K441"/>
      <c r="L441"/>
      <c r="M441"/>
      <c r="N441"/>
    </row>
    <row r="442" spans="9:14" x14ac:dyDescent="0.25">
      <c r="I442"/>
      <c r="J442"/>
      <c r="K442"/>
      <c r="L442"/>
      <c r="M442"/>
      <c r="N442"/>
    </row>
    <row r="443" spans="9:14" x14ac:dyDescent="0.25">
      <c r="I443" s="219"/>
      <c r="K443" s="212"/>
      <c r="L443" s="195"/>
    </row>
  </sheetData>
  <sheetProtection algorithmName="SHA-512" hashValue="w9vKhf3mtvfVc9eYTF3E0ya2gQk3dh1SM/cz4LOsNjOVaSK4pe1y/ocsq15Tmo8sQwHjxrCmedb0D1x5P2KMLQ==" saltValue="zEgg6VZqeHBmHmWEA+GzIA==" spinCount="100000" sheet="1" formatCells="0" formatColumns="0" formatRows="0"/>
  <dataConsolidate/>
  <mergeCells count="2">
    <mergeCell ref="E2:G2"/>
    <mergeCell ref="B2:C2"/>
  </mergeCells>
  <conditionalFormatting sqref="H126">
    <cfRule type="cellIs" dxfId="85" priority="103" stopIfTrue="1" operator="notEqual">
      <formula>0</formula>
    </cfRule>
  </conditionalFormatting>
  <conditionalFormatting sqref="H127">
    <cfRule type="cellIs" dxfId="84" priority="101" stopIfTrue="1" operator="notEqual">
      <formula>0</formula>
    </cfRule>
  </conditionalFormatting>
  <conditionalFormatting sqref="G221:G227">
    <cfRule type="cellIs" dxfId="83" priority="100" stopIfTrue="1" operator="notEqual">
      <formula>0</formula>
    </cfRule>
  </conditionalFormatting>
  <conditionalFormatting sqref="H17">
    <cfRule type="cellIs" dxfId="82" priority="99" stopIfTrue="1" operator="notEqual">
      <formula>0</formula>
    </cfRule>
  </conditionalFormatting>
  <conditionalFormatting sqref="H31:H32">
    <cfRule type="cellIs" dxfId="81" priority="98" stopIfTrue="1" operator="notEqual">
      <formula>0</formula>
    </cfRule>
  </conditionalFormatting>
  <conditionalFormatting sqref="H49">
    <cfRule type="cellIs" dxfId="80" priority="97" stopIfTrue="1" operator="notEqual">
      <formula>0</formula>
    </cfRule>
  </conditionalFormatting>
  <conditionalFormatting sqref="H62:H64">
    <cfRule type="cellIs" dxfId="79" priority="96" stopIfTrue="1" operator="notEqual">
      <formula>0</formula>
    </cfRule>
  </conditionalFormatting>
  <conditionalFormatting sqref="H82">
    <cfRule type="cellIs" dxfId="78" priority="95" stopIfTrue="1" operator="notEqual">
      <formula>0</formula>
    </cfRule>
  </conditionalFormatting>
  <conditionalFormatting sqref="H95">
    <cfRule type="cellIs" dxfId="77" priority="94" stopIfTrue="1" operator="notEqual">
      <formula>0</formula>
    </cfRule>
  </conditionalFormatting>
  <conditionalFormatting sqref="H110">
    <cfRule type="cellIs" dxfId="76" priority="93" stopIfTrue="1" operator="notEqual">
      <formula>0</formula>
    </cfRule>
  </conditionalFormatting>
  <conditionalFormatting sqref="H111">
    <cfRule type="cellIs" dxfId="75" priority="92" stopIfTrue="1" operator="notEqual">
      <formula>0</formula>
    </cfRule>
  </conditionalFormatting>
  <conditionalFormatting sqref="P198 G207:G208">
    <cfRule type="cellIs" priority="64" stopIfTrue="1" operator="equal">
      <formula>";;;"</formula>
    </cfRule>
  </conditionalFormatting>
  <conditionalFormatting sqref="P198 G207:G208">
    <cfRule type="cellIs" dxfId="74" priority="63" stopIfTrue="1" operator="equal">
      <formula>0</formula>
    </cfRule>
  </conditionalFormatting>
  <conditionalFormatting sqref="P198">
    <cfRule type="cellIs" dxfId="73" priority="62" stopIfTrue="1" operator="equal">
      <formula>0</formula>
    </cfRule>
  </conditionalFormatting>
  <conditionalFormatting sqref="G198">
    <cfRule type="cellIs" priority="61" stopIfTrue="1" operator="equal">
      <formula>";;;"</formula>
    </cfRule>
  </conditionalFormatting>
  <conditionalFormatting sqref="G198">
    <cfRule type="cellIs" dxfId="72" priority="60" stopIfTrue="1" operator="equal">
      <formula>0</formula>
    </cfRule>
  </conditionalFormatting>
  <conditionalFormatting sqref="G198">
    <cfRule type="cellIs" dxfId="71" priority="59" stopIfTrue="1" operator="equal">
      <formula>0</formula>
    </cfRule>
  </conditionalFormatting>
  <conditionalFormatting sqref="G196">
    <cfRule type="cellIs" priority="55" stopIfTrue="1" operator="equal">
      <formula>";;;"</formula>
    </cfRule>
  </conditionalFormatting>
  <conditionalFormatting sqref="G196">
    <cfRule type="cellIs" dxfId="70" priority="54" stopIfTrue="1" operator="equal">
      <formula>0</formula>
    </cfRule>
  </conditionalFormatting>
  <conditionalFormatting sqref="G196">
    <cfRule type="cellIs" dxfId="69" priority="53" stopIfTrue="1" operator="equal">
      <formula>0</formula>
    </cfRule>
  </conditionalFormatting>
  <conditionalFormatting sqref="G197">
    <cfRule type="cellIs" priority="49" stopIfTrue="1" operator="equal">
      <formula>";;;"</formula>
    </cfRule>
  </conditionalFormatting>
  <conditionalFormatting sqref="G197">
    <cfRule type="cellIs" dxfId="68" priority="48" stopIfTrue="1" operator="equal">
      <formula>0</formula>
    </cfRule>
  </conditionalFormatting>
  <conditionalFormatting sqref="G197">
    <cfRule type="cellIs" dxfId="67" priority="47" stopIfTrue="1" operator="equal">
      <formula>0</formula>
    </cfRule>
  </conditionalFormatting>
  <conditionalFormatting sqref="N197">
    <cfRule type="cellIs" priority="46" stopIfTrue="1" operator="equal">
      <formula>";;;"</formula>
    </cfRule>
  </conditionalFormatting>
  <conditionalFormatting sqref="N197">
    <cfRule type="cellIs" dxfId="66" priority="45" stopIfTrue="1" operator="equal">
      <formula>0</formula>
    </cfRule>
  </conditionalFormatting>
  <conditionalFormatting sqref="N197">
    <cfRule type="cellIs" dxfId="65" priority="44" stopIfTrue="1" operator="equal">
      <formula>0</formula>
    </cfRule>
  </conditionalFormatting>
  <conditionalFormatting sqref="G201">
    <cfRule type="cellIs" priority="43" stopIfTrue="1" operator="equal">
      <formula>";;;"</formula>
    </cfRule>
  </conditionalFormatting>
  <conditionalFormatting sqref="G201">
    <cfRule type="cellIs" dxfId="64" priority="42" stopIfTrue="1" operator="equal">
      <formula>0</formula>
    </cfRule>
  </conditionalFormatting>
  <conditionalFormatting sqref="G201">
    <cfRule type="cellIs" dxfId="63" priority="41" stopIfTrue="1" operator="equal">
      <formula>0</formula>
    </cfRule>
  </conditionalFormatting>
  <conditionalFormatting sqref="G199">
    <cfRule type="cellIs" priority="40" stopIfTrue="1" operator="equal">
      <formula>";;;"</formula>
    </cfRule>
  </conditionalFormatting>
  <conditionalFormatting sqref="G199">
    <cfRule type="cellIs" dxfId="62" priority="39" stopIfTrue="1" operator="equal">
      <formula>0</formula>
    </cfRule>
  </conditionalFormatting>
  <conditionalFormatting sqref="G199">
    <cfRule type="cellIs" dxfId="61" priority="38" stopIfTrue="1" operator="equal">
      <formula>0</formula>
    </cfRule>
  </conditionalFormatting>
  <conditionalFormatting sqref="G200">
    <cfRule type="cellIs" priority="37" stopIfTrue="1" operator="equal">
      <formula>";;;"</formula>
    </cfRule>
  </conditionalFormatting>
  <conditionalFormatting sqref="G200">
    <cfRule type="cellIs" dxfId="60" priority="36" stopIfTrue="1" operator="equal">
      <formula>0</formula>
    </cfRule>
  </conditionalFormatting>
  <conditionalFormatting sqref="G200">
    <cfRule type="cellIs" dxfId="59" priority="35" stopIfTrue="1" operator="equal">
      <formula>0</formula>
    </cfRule>
  </conditionalFormatting>
  <conditionalFormatting sqref="G204">
    <cfRule type="cellIs" priority="34" stopIfTrue="1" operator="equal">
      <formula>";;;"</formula>
    </cfRule>
  </conditionalFormatting>
  <conditionalFormatting sqref="G204">
    <cfRule type="cellIs" dxfId="58" priority="33" stopIfTrue="1" operator="equal">
      <formula>0</formula>
    </cfRule>
  </conditionalFormatting>
  <conditionalFormatting sqref="G204">
    <cfRule type="cellIs" dxfId="57" priority="32" stopIfTrue="1" operator="equal">
      <formula>0</formula>
    </cfRule>
  </conditionalFormatting>
  <conditionalFormatting sqref="G202">
    <cfRule type="cellIs" priority="31" stopIfTrue="1" operator="equal">
      <formula>";;;"</formula>
    </cfRule>
  </conditionalFormatting>
  <conditionalFormatting sqref="G202">
    <cfRule type="cellIs" dxfId="56" priority="30" stopIfTrue="1" operator="equal">
      <formula>0</formula>
    </cfRule>
  </conditionalFormatting>
  <conditionalFormatting sqref="G202">
    <cfRule type="cellIs" dxfId="55" priority="29" stopIfTrue="1" operator="equal">
      <formula>0</formula>
    </cfRule>
  </conditionalFormatting>
  <conditionalFormatting sqref="G203">
    <cfRule type="cellIs" priority="28" stopIfTrue="1" operator="equal">
      <formula>";;;"</formula>
    </cfRule>
  </conditionalFormatting>
  <conditionalFormatting sqref="G203">
    <cfRule type="cellIs" dxfId="54" priority="27" stopIfTrue="1" operator="equal">
      <formula>0</formula>
    </cfRule>
  </conditionalFormatting>
  <conditionalFormatting sqref="G203">
    <cfRule type="cellIs" dxfId="53" priority="26" stopIfTrue="1" operator="equal">
      <formula>0</formula>
    </cfRule>
  </conditionalFormatting>
  <conditionalFormatting sqref="G205">
    <cfRule type="cellIs" priority="22" stopIfTrue="1" operator="equal">
      <formula>";;;"</formula>
    </cfRule>
  </conditionalFormatting>
  <conditionalFormatting sqref="G205">
    <cfRule type="cellIs" dxfId="52" priority="21" stopIfTrue="1" operator="equal">
      <formula>0</formula>
    </cfRule>
  </conditionalFormatting>
  <conditionalFormatting sqref="G205">
    <cfRule type="cellIs" dxfId="51" priority="20" stopIfTrue="1" operator="equal">
      <formula>0</formula>
    </cfRule>
  </conditionalFormatting>
  <conditionalFormatting sqref="G206">
    <cfRule type="cellIs" priority="19" stopIfTrue="1" operator="equal">
      <formula>";;;"</formula>
    </cfRule>
  </conditionalFormatting>
  <conditionalFormatting sqref="G206">
    <cfRule type="cellIs" dxfId="50" priority="18" stopIfTrue="1" operator="equal">
      <formula>0</formula>
    </cfRule>
  </conditionalFormatting>
  <conditionalFormatting sqref="G206">
    <cfRule type="cellIs" dxfId="49" priority="17" stopIfTrue="1" operator="equal">
      <formula>0</formula>
    </cfRule>
  </conditionalFormatting>
  <conditionalFormatting sqref="G192">
    <cfRule type="cellIs" priority="16" stopIfTrue="1" operator="equal">
      <formula>";;;"</formula>
    </cfRule>
  </conditionalFormatting>
  <conditionalFormatting sqref="G192">
    <cfRule type="cellIs" dxfId="48" priority="15" stopIfTrue="1" operator="equal">
      <formula>0</formula>
    </cfRule>
  </conditionalFormatting>
  <conditionalFormatting sqref="G192">
    <cfRule type="cellIs" dxfId="47" priority="14" stopIfTrue="1" operator="equal">
      <formula>0</formula>
    </cfRule>
  </conditionalFormatting>
  <conditionalFormatting sqref="G190">
    <cfRule type="cellIs" priority="13" stopIfTrue="1" operator="equal">
      <formula>";;;"</formula>
    </cfRule>
  </conditionalFormatting>
  <conditionalFormatting sqref="G190">
    <cfRule type="cellIs" dxfId="46" priority="12" stopIfTrue="1" operator="equal">
      <formula>0</formula>
    </cfRule>
  </conditionalFormatting>
  <conditionalFormatting sqref="G190">
    <cfRule type="cellIs" dxfId="45" priority="11" stopIfTrue="1" operator="equal">
      <formula>0</formula>
    </cfRule>
  </conditionalFormatting>
  <conditionalFormatting sqref="G191">
    <cfRule type="cellIs" priority="10" stopIfTrue="1" operator="equal">
      <formula>";;;"</formula>
    </cfRule>
  </conditionalFormatting>
  <conditionalFormatting sqref="G191">
    <cfRule type="cellIs" dxfId="44" priority="9" stopIfTrue="1" operator="equal">
      <formula>0</formula>
    </cfRule>
  </conditionalFormatting>
  <conditionalFormatting sqref="G191">
    <cfRule type="cellIs" dxfId="43" priority="8" stopIfTrue="1" operator="equal">
      <formula>0</formula>
    </cfRule>
  </conditionalFormatting>
  <conditionalFormatting sqref="G194">
    <cfRule type="cellIs" priority="7" stopIfTrue="1" operator="equal">
      <formula>";;;"</formula>
    </cfRule>
  </conditionalFormatting>
  <conditionalFormatting sqref="G194">
    <cfRule type="cellIs" dxfId="42" priority="6" stopIfTrue="1" operator="equal">
      <formula>0</formula>
    </cfRule>
  </conditionalFormatting>
  <conditionalFormatting sqref="G194">
    <cfRule type="cellIs" dxfId="41" priority="5" stopIfTrue="1" operator="equal">
      <formula>0</formula>
    </cfRule>
  </conditionalFormatting>
  <dataValidations xWindow="854" yWindow="655" count="8">
    <dataValidation type="list" allowBlank="1" showInputMessage="1" showErrorMessage="1" promptTitle="Please Select from the drop down" prompt="Please select Yes if you have increased rates" sqref="F112:F113" xr:uid="{00000000-0002-0000-0100-000000000000}">
      <formula1>$K$1:$K$2</formula1>
    </dataValidation>
    <dataValidation type="list" allowBlank="1" showInputMessage="1" showErrorMessage="1" error="Please select from the drop down list" prompt="Please select from the drop down list" sqref="F195" xr:uid="{00000000-0002-0000-0100-000001000000}">
      <formula1>$M$2:$M$5</formula1>
    </dataValidation>
    <dataValidation type="list" allowBlank="1" showInputMessage="1" showErrorMessage="1" prompt="Please select Yes or No from the drop down list" sqref="F187" xr:uid="{00000000-0002-0000-0100-000002000000}">
      <formula1>$K$1:$K$2</formula1>
    </dataValidation>
    <dataValidation type="list" allowBlank="1" showInputMessage="1" showErrorMessage="1" prompt="Please select from the drop down box the most appropriate answer" sqref="F63" xr:uid="{00000000-0002-0000-0100-000003000000}">
      <formula1>$K$4:$K$5</formula1>
    </dataValidation>
    <dataValidation type="list" allowBlank="1" showInputMessage="1" showErrorMessage="1" prompt="Please select the appropriate number value from the drop-down box." sqref="F70" xr:uid="{00000000-0002-0000-0100-000005000000}">
      <formula1>$L$2:$L$4</formula1>
    </dataValidation>
    <dataValidation type="list" allowBlank="1" showInputMessage="1" showErrorMessage="1" prompt="Please select from the drop down box the most appropriate answer" sqref="F232" xr:uid="{00000000-0002-0000-0100-000006000000}">
      <formula1>$M$2:$M$3</formula1>
    </dataValidation>
    <dataValidation type="list" allowBlank="1" showInputMessage="1" showErrorMessage="1" prompt="Please select &quot;1&quot; for Yes or &quot;2&quot;  for No from drop down box." sqref="F230" xr:uid="{CD42375A-F259-475D-BB86-AB0C18F74654}">
      <formula1>$M$2:$M$3</formula1>
    </dataValidation>
    <dataValidation type="list" allowBlank="1" showInputMessage="1" showErrorMessage="1" prompt="Click on cell D2 and select the unit name from the drop down list" sqref="D2" xr:uid="{00000000-0002-0000-0100-000004000000}">
      <formula1>$J$6:$J$86</formula1>
    </dataValidation>
  </dataValidations>
  <printOptions headings="1" gridLines="1"/>
  <pageMargins left="0.25" right="0.25" top="0.25" bottom="0.75" header="0.3" footer="0.3"/>
  <pageSetup fitToHeight="0" orientation="portrait" r:id="rId1"/>
  <headerFooter>
    <oddFooter>&amp;LPage &amp;P&amp;R&amp;Z&amp;F</oddFooter>
  </headerFooter>
  <ignoredErrors>
    <ignoredError sqref="G9 H198 H201 G204" formula="1"/>
    <ignoredError sqref="H95 H82 H126:H127 H11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36"/>
  <sheetViews>
    <sheetView zoomScaleNormal="100" workbookViewId="0">
      <pane xSplit="3" ySplit="3" topLeftCell="D4" activePane="bottomRight" state="frozen"/>
      <selection activeCell="A2" sqref="A2"/>
      <selection pane="topRight" activeCell="A2" sqref="A2"/>
      <selection pane="bottomLeft" activeCell="A2" sqref="A2"/>
      <selection pane="bottomRight" activeCell="D5" sqref="D5"/>
    </sheetView>
  </sheetViews>
  <sheetFormatPr defaultRowHeight="15" x14ac:dyDescent="0.25"/>
  <cols>
    <col min="1" max="1" width="10.85546875" style="1" customWidth="1"/>
    <col min="2" max="2" width="11.28515625" style="277" customWidth="1"/>
    <col min="3" max="3" width="41.5703125" style="271" customWidth="1"/>
    <col min="4" max="4" width="18.140625" style="1" customWidth="1"/>
    <col min="5" max="5" width="15.85546875" style="1" customWidth="1"/>
    <col min="6" max="6" width="23.7109375" style="1" customWidth="1"/>
    <col min="7" max="7" width="20.85546875" style="333" customWidth="1"/>
    <col min="8" max="8" width="11.5703125" style="1" customWidth="1"/>
    <col min="9" max="9" width="1" style="232" customWidth="1"/>
    <col min="10" max="10" width="15.28515625" style="272" customWidth="1"/>
    <col min="11" max="11" width="30.42578125" style="53" customWidth="1"/>
    <col min="12" max="12" width="17.5703125" style="316" customWidth="1"/>
    <col min="13" max="13" width="1.42578125" style="1" customWidth="1"/>
    <col min="14" max="14" width="13.42578125" style="1" customWidth="1"/>
    <col min="15" max="15" width="16.140625" style="1" customWidth="1"/>
    <col min="16" max="16" width="6.42578125" style="1" customWidth="1"/>
    <col min="17" max="17" width="11.7109375" style="395" customWidth="1"/>
    <col min="18" max="18" width="9.140625" style="1"/>
    <col min="19" max="20" width="9.140625" style="1" hidden="1" customWidth="1"/>
    <col min="21" max="21" width="7.5703125" style="1" hidden="1" customWidth="1"/>
    <col min="22" max="23" width="9.140625" style="1" hidden="1" customWidth="1"/>
    <col min="24" max="16384" width="9.140625" style="1"/>
  </cols>
  <sheetData>
    <row r="1" spans="1:24" ht="18.75" x14ac:dyDescent="0.25">
      <c r="C1" s="273" t="s">
        <v>55</v>
      </c>
      <c r="D1" s="62">
        <f>L43-(L32+L33-L37-L38-L164)-L41</f>
        <v>0</v>
      </c>
      <c r="J1" s="285" t="s">
        <v>678</v>
      </c>
      <c r="K1" s="52"/>
      <c r="L1" s="317"/>
      <c r="M1" s="47"/>
      <c r="S1" s="1">
        <v>100</v>
      </c>
      <c r="T1" s="1">
        <v>1</v>
      </c>
    </row>
    <row r="2" spans="1:24" ht="18.75" x14ac:dyDescent="0.25">
      <c r="C2" s="344">
        <f>'Collection Worksheet'!D2</f>
        <v>0</v>
      </c>
      <c r="D2" s="56">
        <f>'Collection Worksheet'!F1</f>
        <v>2019</v>
      </c>
      <c r="E2" s="56">
        <f>D2</f>
        <v>2019</v>
      </c>
      <c r="F2" s="56"/>
      <c r="G2" s="334"/>
      <c r="H2" s="56"/>
      <c r="J2" s="264"/>
      <c r="K2" s="67" t="s">
        <v>66</v>
      </c>
      <c r="L2" s="303"/>
      <c r="S2" s="1">
        <v>200</v>
      </c>
      <c r="T2" s="1">
        <v>2</v>
      </c>
    </row>
    <row r="3" spans="1:24" ht="47.25" x14ac:dyDescent="0.25">
      <c r="A3" s="21" t="s">
        <v>61</v>
      </c>
      <c r="B3" s="278"/>
      <c r="C3" s="260" t="s">
        <v>1</v>
      </c>
      <c r="D3" s="68" t="s">
        <v>62</v>
      </c>
      <c r="E3" s="68" t="s">
        <v>63</v>
      </c>
      <c r="F3" s="69" t="s">
        <v>68</v>
      </c>
      <c r="G3" s="349" t="s">
        <v>670</v>
      </c>
      <c r="H3" s="69" t="s">
        <v>831</v>
      </c>
      <c r="J3" s="240" t="s">
        <v>61</v>
      </c>
      <c r="K3" s="51" t="s">
        <v>60</v>
      </c>
      <c r="L3" s="310" t="s">
        <v>39</v>
      </c>
      <c r="O3" s="1" t="s">
        <v>378</v>
      </c>
      <c r="Q3" s="388" t="s">
        <v>671</v>
      </c>
      <c r="S3" s="1">
        <v>300</v>
      </c>
      <c r="T3" s="1">
        <v>3</v>
      </c>
    </row>
    <row r="4" spans="1:24" ht="18.75" x14ac:dyDescent="0.3">
      <c r="A4" s="38"/>
      <c r="B4" s="279"/>
      <c r="C4" s="274"/>
      <c r="D4" s="39"/>
      <c r="E4" s="39"/>
      <c r="F4" s="39"/>
      <c r="G4" s="335"/>
      <c r="H4" s="39"/>
      <c r="J4" s="257"/>
      <c r="K4" s="55"/>
      <c r="L4" s="312"/>
      <c r="S4" s="1">
        <v>400</v>
      </c>
      <c r="T4" s="385">
        <v>4</v>
      </c>
    </row>
    <row r="5" spans="1:24" ht="57" customHeight="1" x14ac:dyDescent="0.25">
      <c r="A5" s="263">
        <f>'Collection Worksheet'!A7</f>
        <v>333</v>
      </c>
      <c r="B5" s="284" t="str">
        <f>'Collection Worksheet'!C7</f>
        <v>Net Position-Governmental Activities</v>
      </c>
      <c r="C5" s="255" t="str">
        <f>'Collection Worksheet'!D7</f>
        <v xml:space="preserve"> All unrestricted Cash and investments.  
Exclude: restricted cash 
                   cash held by a third party. </v>
      </c>
      <c r="D5" s="270"/>
      <c r="E5" s="664">
        <f>'Collection Worksheet'!F7</f>
        <v>0</v>
      </c>
      <c r="F5" s="253">
        <f>IF(L5&lt;0,"Error: Number is normally positive.",)</f>
        <v>0</v>
      </c>
      <c r="G5" s="336"/>
      <c r="H5" s="244">
        <f>'Collection Worksheet'!I7</f>
        <v>0</v>
      </c>
      <c r="I5" s="231"/>
      <c r="J5" s="239">
        <v>333</v>
      </c>
      <c r="K5" s="275" t="s">
        <v>269</v>
      </c>
      <c r="L5" s="314">
        <f>IF(D5="",E5,D5)</f>
        <v>0</v>
      </c>
      <c r="R5" s="385" t="b">
        <f>EXACT(A5,J5)</f>
        <v>1</v>
      </c>
      <c r="S5" s="1">
        <v>500</v>
      </c>
      <c r="T5" s="385">
        <v>5</v>
      </c>
      <c r="W5" s="1" t="b">
        <f>EXACT(A5,J5)</f>
        <v>1</v>
      </c>
      <c r="X5" s="682">
        <f>E5-L5</f>
        <v>0</v>
      </c>
    </row>
    <row r="6" spans="1:24" ht="39.75" customHeight="1" x14ac:dyDescent="0.25">
      <c r="A6" s="269">
        <f>'Collection Worksheet'!A8</f>
        <v>500</v>
      </c>
      <c r="B6" s="280" t="str">
        <f>'Collection Worksheet'!C8</f>
        <v>Net Position-Governmental Activities</v>
      </c>
      <c r="C6" s="267" t="str">
        <f>'Collection Worksheet'!D8</f>
        <v xml:space="preserve"> All restricted Cash and investments</v>
      </c>
      <c r="D6" s="392"/>
      <c r="E6" s="665">
        <f>'Collection Worksheet'!F8</f>
        <v>0</v>
      </c>
      <c r="F6" s="253">
        <f>IF(L6&lt;0,"Error: Number is normally positive.",)</f>
        <v>0</v>
      </c>
      <c r="G6" s="337"/>
      <c r="H6" s="244">
        <f>'Collection Worksheet'!I8</f>
        <v>0</v>
      </c>
      <c r="I6" s="231"/>
      <c r="J6" s="238">
        <v>500</v>
      </c>
      <c r="K6" s="228" t="s">
        <v>268</v>
      </c>
      <c r="L6" s="314">
        <f>IF(D6="",E6,D6)</f>
        <v>0</v>
      </c>
      <c r="P6" s="385"/>
      <c r="R6" s="531" t="b">
        <f t="shared" ref="R6:R69" si="0">EXACT(A6,J6)</f>
        <v>1</v>
      </c>
      <c r="T6" s="385">
        <v>6</v>
      </c>
      <c r="W6" s="385" t="b">
        <f t="shared" ref="W6:W69" si="1">EXACT(A6,J6)</f>
        <v>1</v>
      </c>
      <c r="X6" s="682">
        <f t="shared" ref="X6:X69" si="2">E6-L6</f>
        <v>0</v>
      </c>
    </row>
    <row r="7" spans="1:24" ht="43.5" customHeight="1" x14ac:dyDescent="0.25">
      <c r="A7" s="269">
        <f>'Collection Worksheet'!A9</f>
        <v>385</v>
      </c>
      <c r="B7" s="280" t="str">
        <f>'Collection Worksheet'!C9</f>
        <v>Net Position-Governmental Activities</v>
      </c>
      <c r="C7" s="267" t="str">
        <f>'Collection Worksheet'!D9</f>
        <v>Total Assets and deferred outflows</v>
      </c>
      <c r="D7" s="392"/>
      <c r="E7" s="665">
        <f>'Collection Worksheet'!F9</f>
        <v>0</v>
      </c>
      <c r="F7" s="384">
        <f>IF((L5+L6)&gt;L7,"Error: Please review accts (333 + 500) &gt; 385",)</f>
        <v>0</v>
      </c>
      <c r="G7" s="363" t="str">
        <f>IF(Q7=1," Included in error count"," ")</f>
        <v xml:space="preserve"> </v>
      </c>
      <c r="H7" s="244">
        <f>'Collection Worksheet'!I9</f>
        <v>0</v>
      </c>
      <c r="I7" s="231"/>
      <c r="J7" s="351">
        <v>385</v>
      </c>
      <c r="K7" s="352" t="s">
        <v>134</v>
      </c>
      <c r="L7" s="353">
        <f>IF(D7="",E7,D7)+IF(D9="",E9,D9)</f>
        <v>0</v>
      </c>
      <c r="N7" s="354" t="s">
        <v>654</v>
      </c>
      <c r="P7" s="385"/>
      <c r="R7" s="531" t="b">
        <f t="shared" si="0"/>
        <v>1</v>
      </c>
      <c r="T7" s="385">
        <v>7</v>
      </c>
      <c r="W7" s="385" t="b">
        <f t="shared" si="1"/>
        <v>1</v>
      </c>
      <c r="X7" s="682">
        <f t="shared" si="2"/>
        <v>0</v>
      </c>
    </row>
    <row r="8" spans="1:24" s="268" customFormat="1" ht="90.75" customHeight="1" x14ac:dyDescent="0.25">
      <c r="A8" s="269">
        <f>'Collection Worksheet'!A10</f>
        <v>575</v>
      </c>
      <c r="B8" s="280" t="str">
        <f>'Collection Worksheet'!C10</f>
        <v>Net Position-Governmental Activities</v>
      </c>
      <c r="C8" s="288" t="str">
        <f>'Collection Worksheet'!D10</f>
        <v xml:space="preserve">Record any positive Internal balances on the net position statements that appear in the Asset Section of the Net Position Statement
</v>
      </c>
      <c r="D8" s="392"/>
      <c r="E8" s="665">
        <f>'Collection Worksheet'!F10</f>
        <v>0</v>
      </c>
      <c r="F8" s="253">
        <f>IF(L8&lt;0,"Error: Number is normally positive.",)</f>
        <v>0</v>
      </c>
      <c r="G8" s="337"/>
      <c r="H8" s="244">
        <f>'Collection Worksheet'!I10</f>
        <v>0</v>
      </c>
      <c r="I8" s="231"/>
      <c r="J8" s="238">
        <v>575</v>
      </c>
      <c r="K8" s="372" t="s">
        <v>660</v>
      </c>
      <c r="L8" s="373">
        <f>IF(D8="",E8,D8)</f>
        <v>0</v>
      </c>
      <c r="N8" s="305"/>
      <c r="P8" s="385"/>
      <c r="Q8" s="395"/>
      <c r="R8" s="531" t="b">
        <f t="shared" si="0"/>
        <v>1</v>
      </c>
      <c r="W8" s="385" t="b">
        <f t="shared" si="1"/>
        <v>1</v>
      </c>
      <c r="X8" s="682">
        <f t="shared" si="2"/>
        <v>0</v>
      </c>
    </row>
    <row r="9" spans="1:24" s="268" customFormat="1" ht="103.5" customHeight="1" x14ac:dyDescent="0.25">
      <c r="A9" s="269">
        <f>'Collection Worksheet'!A11</f>
        <v>576</v>
      </c>
      <c r="B9" s="280" t="str">
        <f>'Collection Worksheet'!C11</f>
        <v>Net Position-Governmental Activities</v>
      </c>
      <c r="C9" s="288" t="str">
        <f>'Collection Worksheet'!D11</f>
        <v xml:space="preserve">Record any negative Internal balances on the net position statements that appear in the Asset Section of the Net Position Statement.
Enter as a positive
</v>
      </c>
      <c r="D9" s="392"/>
      <c r="E9" s="665">
        <f>'Collection Worksheet'!F11</f>
        <v>0</v>
      </c>
      <c r="F9" s="79">
        <f>IF(E9&lt;0,"Error: Enter as positive.",)</f>
        <v>0</v>
      </c>
      <c r="G9" s="337"/>
      <c r="H9" s="244">
        <f>'Collection Worksheet'!I11</f>
        <v>0</v>
      </c>
      <c r="I9" s="231"/>
      <c r="J9" s="238">
        <v>576</v>
      </c>
      <c r="K9" s="372" t="s">
        <v>661</v>
      </c>
      <c r="L9" s="373">
        <f>IF(D9="",E9,D9)</f>
        <v>0</v>
      </c>
      <c r="N9" s="305"/>
      <c r="P9" s="385"/>
      <c r="Q9" s="395"/>
      <c r="R9" s="531" t="b">
        <f t="shared" si="0"/>
        <v>1</v>
      </c>
      <c r="W9" s="385" t="b">
        <f t="shared" si="1"/>
        <v>1</v>
      </c>
      <c r="X9" s="682">
        <f t="shared" si="2"/>
        <v>0</v>
      </c>
    </row>
    <row r="10" spans="1:24" ht="183" customHeight="1" x14ac:dyDescent="0.25">
      <c r="A10" s="269">
        <f>'Collection Worksheet'!A12</f>
        <v>336</v>
      </c>
      <c r="B10" s="280" t="str">
        <f>'Collection Worksheet'!C12</f>
        <v>Net Position-Governmental Activities</v>
      </c>
      <c r="C10" s="378" t="str">
        <f>'Collection Worksheet'!D12</f>
        <v xml:space="preserve">Current liabilities
Include:   Current liabilities and current portion of long-term debt. 
Exclude:   Bond Anticipation Notes
                  Compensated  Absences
                  Pension liabilities
                  Liabilities payable from restricted assets
                  Other post employment liabilities (OPEB)
                  Deferred inflows.
</v>
      </c>
      <c r="D10" s="392"/>
      <c r="E10" s="665">
        <f>'Collection Worksheet'!F12</f>
        <v>0</v>
      </c>
      <c r="F10" s="253">
        <f>IF(L10&lt;0,"Error: Enter as a positive.",)</f>
        <v>0</v>
      </c>
      <c r="G10" s="337"/>
      <c r="H10" s="244">
        <f>'Collection Worksheet'!I12</f>
        <v>0</v>
      </c>
      <c r="I10" s="231"/>
      <c r="J10" s="351">
        <v>336</v>
      </c>
      <c r="K10" s="352" t="s">
        <v>270</v>
      </c>
      <c r="L10" s="353">
        <f>IF(D10="",E10,D10)+IF(D9="",E9,D9)</f>
        <v>0</v>
      </c>
      <c r="N10" s="354" t="s">
        <v>654</v>
      </c>
      <c r="P10" s="385"/>
      <c r="R10" s="531" t="b">
        <f t="shared" si="0"/>
        <v>1</v>
      </c>
      <c r="W10" s="385" t="b">
        <f t="shared" si="1"/>
        <v>1</v>
      </c>
      <c r="X10" s="682">
        <f t="shared" si="2"/>
        <v>0</v>
      </c>
    </row>
    <row r="11" spans="1:24" ht="45" x14ac:dyDescent="0.25">
      <c r="A11" s="269">
        <f>'Collection Worksheet'!A13</f>
        <v>338</v>
      </c>
      <c r="B11" s="280" t="str">
        <f>'Collection Worksheet'!C13</f>
        <v>Net Position-Governmental Activities</v>
      </c>
      <c r="C11" s="267" t="str">
        <f>'Collection Worksheet'!D13</f>
        <v>Total Liabilities and total deferred inflows</v>
      </c>
      <c r="D11" s="392"/>
      <c r="E11" s="665">
        <f>'Collection Worksheet'!F13</f>
        <v>0</v>
      </c>
      <c r="F11" s="384">
        <f>IF(L10&gt;L11,"Error: Please review accts 336 &gt; 338",)</f>
        <v>0</v>
      </c>
      <c r="G11" s="337"/>
      <c r="H11" s="244">
        <f>'Collection Worksheet'!I13</f>
        <v>0</v>
      </c>
      <c r="I11" s="231"/>
      <c r="J11" s="351">
        <v>338</v>
      </c>
      <c r="K11" s="352" t="s">
        <v>135</v>
      </c>
      <c r="L11" s="353">
        <f>IF(D11="",E11,D11)+IF(D9="",E9,D9)</f>
        <v>0</v>
      </c>
      <c r="N11" s="354" t="s">
        <v>654</v>
      </c>
      <c r="P11" s="385"/>
      <c r="R11" s="531" t="b">
        <f t="shared" si="0"/>
        <v>1</v>
      </c>
      <c r="W11" s="385" t="b">
        <f t="shared" si="1"/>
        <v>1</v>
      </c>
      <c r="X11" s="682">
        <f t="shared" si="2"/>
        <v>0</v>
      </c>
    </row>
    <row r="12" spans="1:24" ht="100.5" customHeight="1" x14ac:dyDescent="0.25">
      <c r="A12" s="269">
        <f>'Collection Worksheet'!A14</f>
        <v>335</v>
      </c>
      <c r="B12" s="280" t="str">
        <f>'Collection Worksheet'!C14</f>
        <v>Net Position-Governmental Activities</v>
      </c>
      <c r="C12" s="267" t="str">
        <f>'Collection Worksheet'!D14</f>
        <v>Unearned revenues that were included in current liabilities in your audit report or entered in acct # 336 above. 
Exclude - unearned revenues that are listed in deferred inflows.</v>
      </c>
      <c r="D12" s="392"/>
      <c r="E12" s="665">
        <f>'Collection Worksheet'!F14</f>
        <v>0</v>
      </c>
      <c r="F12" s="253">
        <f>IF(L12&lt;0,"Error: Enter as a positive.",)</f>
        <v>0</v>
      </c>
      <c r="G12" s="337"/>
      <c r="H12" s="244">
        <f>'Collection Worksheet'!I14</f>
        <v>0</v>
      </c>
      <c r="I12" s="231"/>
      <c r="J12" s="238">
        <v>335</v>
      </c>
      <c r="K12" s="228" t="s">
        <v>136</v>
      </c>
      <c r="L12" s="314">
        <f t="shared" ref="L12:L44" si="3">IF(D12="",E12,D12)</f>
        <v>0</v>
      </c>
      <c r="P12" s="385"/>
      <c r="R12" s="531" t="b">
        <f t="shared" si="0"/>
        <v>1</v>
      </c>
      <c r="W12" s="385" t="b">
        <f t="shared" si="1"/>
        <v>1</v>
      </c>
      <c r="X12" s="682">
        <f t="shared" si="2"/>
        <v>0</v>
      </c>
    </row>
    <row r="13" spans="1:24" ht="33.75" x14ac:dyDescent="0.25">
      <c r="A13" s="269">
        <f>'Collection Worksheet'!A15</f>
        <v>252</v>
      </c>
      <c r="B13" s="280" t="str">
        <f>'Collection Worksheet'!C15</f>
        <v>Net Position-Governmental Activities</v>
      </c>
      <c r="C13" s="267" t="str">
        <f>'Collection Worksheet'!D15</f>
        <v xml:space="preserve"> Total Net investment in capital assets</v>
      </c>
      <c r="D13" s="392"/>
      <c r="E13" s="665">
        <f>'Collection Worksheet'!F15</f>
        <v>0</v>
      </c>
      <c r="F13" s="253"/>
      <c r="G13" s="337"/>
      <c r="H13" s="244">
        <f>'Collection Worksheet'!I15</f>
        <v>0</v>
      </c>
      <c r="I13" s="231"/>
      <c r="J13" s="238">
        <v>252</v>
      </c>
      <c r="K13" s="228" t="s">
        <v>122</v>
      </c>
      <c r="L13" s="314">
        <f t="shared" si="3"/>
        <v>0</v>
      </c>
      <c r="O13" s="217" t="e">
        <f>'Collection Worksheet'!E15</f>
        <v>#N/A</v>
      </c>
      <c r="P13" s="385"/>
      <c r="R13" s="531" t="b">
        <f t="shared" si="0"/>
        <v>1</v>
      </c>
      <c r="W13" s="385" t="b">
        <f t="shared" si="1"/>
        <v>1</v>
      </c>
      <c r="X13" s="682">
        <f t="shared" si="2"/>
        <v>0</v>
      </c>
    </row>
    <row r="14" spans="1:24" ht="33.75" x14ac:dyDescent="0.25">
      <c r="A14" s="269">
        <f>'Collection Worksheet'!A16</f>
        <v>253</v>
      </c>
      <c r="B14" s="280" t="str">
        <f>'Collection Worksheet'!C16</f>
        <v>Net Position-Governmental Activities</v>
      </c>
      <c r="C14" s="267" t="str">
        <f>'Collection Worksheet'!D16</f>
        <v xml:space="preserve"> Total Net Position, Restricted</v>
      </c>
      <c r="D14" s="392"/>
      <c r="E14" s="665">
        <f>'Collection Worksheet'!F16</f>
        <v>0</v>
      </c>
      <c r="F14" s="253"/>
      <c r="G14" s="337"/>
      <c r="H14" s="244">
        <f>'Collection Worksheet'!I16</f>
        <v>0</v>
      </c>
      <c r="I14" s="231"/>
      <c r="J14" s="238">
        <v>253</v>
      </c>
      <c r="K14" s="228" t="s">
        <v>123</v>
      </c>
      <c r="L14" s="314">
        <f t="shared" si="3"/>
        <v>0</v>
      </c>
      <c r="O14" s="217" t="e">
        <f>'Collection Worksheet'!E16</f>
        <v>#N/A</v>
      </c>
      <c r="P14" s="385"/>
      <c r="R14" s="531" t="b">
        <f t="shared" si="0"/>
        <v>1</v>
      </c>
      <c r="W14" s="385" t="b">
        <f t="shared" si="1"/>
        <v>1</v>
      </c>
      <c r="X14" s="682">
        <f t="shared" si="2"/>
        <v>0</v>
      </c>
    </row>
    <row r="15" spans="1:24" ht="73.5" customHeight="1" x14ac:dyDescent="0.25">
      <c r="A15" s="269">
        <f>'Collection Worksheet'!A17</f>
        <v>254</v>
      </c>
      <c r="B15" s="280" t="str">
        <f>'Collection Worksheet'!C17</f>
        <v>Net Position-Governmental Activities</v>
      </c>
      <c r="C15" s="267" t="str">
        <f>'Collection Worksheet'!D17</f>
        <v>Total Net Position, Unrestricted - enter negative unrestricted net position as a negative)</v>
      </c>
      <c r="D15" s="392"/>
      <c r="E15" s="665">
        <f>'Collection Worksheet'!F17</f>
        <v>0</v>
      </c>
      <c r="F15" s="253">
        <f>IF((L7-L11-L13-L14-L15)=0,,"Error: Total assets and deferred outflows less total liabilities and deferred inflows do not equal total net position accts 385-338-252-253-254")</f>
        <v>0</v>
      </c>
      <c r="G15" s="416">
        <f>+L7-L11-L13-L14-L15</f>
        <v>0</v>
      </c>
      <c r="H15" s="244">
        <f>'Collection Worksheet'!I17</f>
        <v>0</v>
      </c>
      <c r="I15" s="231"/>
      <c r="J15" s="238">
        <v>254</v>
      </c>
      <c r="K15" s="228" t="s">
        <v>124</v>
      </c>
      <c r="L15" s="314">
        <f t="shared" si="3"/>
        <v>0</v>
      </c>
      <c r="O15" s="217" t="e">
        <f>'Collection Worksheet'!E17</f>
        <v>#N/A</v>
      </c>
      <c r="P15" s="385"/>
      <c r="Q15" s="395">
        <f>IF(G15&lt;&gt;0,1,)</f>
        <v>0</v>
      </c>
      <c r="R15" s="531" t="b">
        <f t="shared" si="0"/>
        <v>1</v>
      </c>
      <c r="W15" s="385" t="b">
        <f t="shared" si="1"/>
        <v>1</v>
      </c>
      <c r="X15" s="682">
        <f t="shared" si="2"/>
        <v>0</v>
      </c>
    </row>
    <row r="16" spans="1:24" ht="45" x14ac:dyDescent="0.25">
      <c r="A16" s="269">
        <f>'Collection Worksheet'!A19</f>
        <v>502</v>
      </c>
      <c r="B16" s="280" t="str">
        <f>'Collection Worksheet'!C19</f>
        <v>Net Position-Business Activities</v>
      </c>
      <c r="C16" s="267" t="str">
        <f>'Collection Worksheet'!D19</f>
        <v xml:space="preserve">All unrestricted Cash and investments. 
Exclude restricted cash and cash held by a third party. </v>
      </c>
      <c r="D16" s="392"/>
      <c r="E16" s="665">
        <f>'Collection Worksheet'!F19</f>
        <v>0</v>
      </c>
      <c r="F16" s="253">
        <f>IF(L16&lt;0,"Error: Number is normally positive.",)</f>
        <v>0</v>
      </c>
      <c r="G16" s="337"/>
      <c r="H16" s="244">
        <f>'Collection Worksheet'!I19</f>
        <v>0</v>
      </c>
      <c r="I16" s="231"/>
      <c r="J16" s="238">
        <v>502</v>
      </c>
      <c r="K16" s="228" t="s">
        <v>272</v>
      </c>
      <c r="L16" s="315">
        <f t="shared" si="3"/>
        <v>0</v>
      </c>
      <c r="P16" s="385"/>
      <c r="R16" s="531" t="b">
        <f t="shared" si="0"/>
        <v>1</v>
      </c>
      <c r="W16" s="385" t="b">
        <f t="shared" si="1"/>
        <v>1</v>
      </c>
      <c r="X16" s="682">
        <f t="shared" si="2"/>
        <v>0</v>
      </c>
    </row>
    <row r="17" spans="1:24" ht="40.5" customHeight="1" x14ac:dyDescent="0.25">
      <c r="A17" s="269">
        <f>'Collection Worksheet'!A20</f>
        <v>503</v>
      </c>
      <c r="B17" s="280" t="str">
        <f>'Collection Worksheet'!C20</f>
        <v>Net Position-Business Activities</v>
      </c>
      <c r="C17" s="267" t="str">
        <f>'Collection Worksheet'!D20</f>
        <v>All restricted Cash and investments</v>
      </c>
      <c r="D17" s="392"/>
      <c r="E17" s="665">
        <f>'Collection Worksheet'!F20</f>
        <v>0</v>
      </c>
      <c r="F17" s="253">
        <f>IF(L17&lt;0,"Error: Number is normally positive.",)</f>
        <v>0</v>
      </c>
      <c r="G17" s="337"/>
      <c r="H17" s="244">
        <f>'Collection Worksheet'!I20</f>
        <v>0</v>
      </c>
      <c r="I17" s="231"/>
      <c r="J17" s="238">
        <v>503</v>
      </c>
      <c r="K17" s="228" t="s">
        <v>273</v>
      </c>
      <c r="L17" s="315">
        <f t="shared" si="3"/>
        <v>0</v>
      </c>
      <c r="P17" s="385"/>
      <c r="R17" s="531" t="b">
        <f t="shared" si="0"/>
        <v>1</v>
      </c>
      <c r="W17" s="385" t="b">
        <f t="shared" si="1"/>
        <v>1</v>
      </c>
      <c r="X17" s="682">
        <f t="shared" si="2"/>
        <v>0</v>
      </c>
    </row>
    <row r="18" spans="1:24" ht="33.75" x14ac:dyDescent="0.25">
      <c r="A18" s="269">
        <f>'Collection Worksheet'!A22</f>
        <v>344</v>
      </c>
      <c r="B18" s="280" t="str">
        <f>'Collection Worksheet'!C22</f>
        <v>Statement of Activities - Governmental</v>
      </c>
      <c r="C18" s="267" t="str">
        <f>'Collection Worksheet'!D22</f>
        <v xml:space="preserve">Total Interest expense on Long-Term Debt </v>
      </c>
      <c r="D18" s="392"/>
      <c r="E18" s="665">
        <f>'Collection Worksheet'!F22</f>
        <v>0</v>
      </c>
      <c r="F18" s="253">
        <f>IF(L18&lt;0,"Error: Enter as a positive.",)</f>
        <v>0</v>
      </c>
      <c r="G18" s="337"/>
      <c r="H18" s="244">
        <f>'Collection Worksheet'!I22</f>
        <v>0</v>
      </c>
      <c r="I18" s="231"/>
      <c r="J18" s="238">
        <v>344</v>
      </c>
      <c r="K18" s="228" t="s">
        <v>274</v>
      </c>
      <c r="L18" s="315">
        <f t="shared" si="3"/>
        <v>0</v>
      </c>
      <c r="P18" s="385"/>
      <c r="R18" s="531" t="b">
        <f t="shared" si="0"/>
        <v>1</v>
      </c>
      <c r="W18" s="385" t="b">
        <f t="shared" si="1"/>
        <v>1</v>
      </c>
      <c r="X18" s="682">
        <f t="shared" si="2"/>
        <v>0</v>
      </c>
    </row>
    <row r="19" spans="1:24" ht="30.75" customHeight="1" x14ac:dyDescent="0.25">
      <c r="A19" s="269">
        <f>'Collection Worksheet'!A23</f>
        <v>388</v>
      </c>
      <c r="B19" s="280" t="str">
        <f>'Collection Worksheet'!C23</f>
        <v>Statement of Activities - Governmental</v>
      </c>
      <c r="C19" s="267" t="str">
        <f>'Collection Worksheet'!D23</f>
        <v>Total Expenses</v>
      </c>
      <c r="D19" s="392"/>
      <c r="E19" s="665">
        <f>'Collection Worksheet'!F23</f>
        <v>0</v>
      </c>
      <c r="F19" s="253">
        <f t="shared" ref="F19:F24" si="4">IF(L19&lt;0,"Error: Number is normally positive.",)</f>
        <v>0</v>
      </c>
      <c r="G19" s="337"/>
      <c r="H19" s="244">
        <f>'Collection Worksheet'!I23</f>
        <v>0</v>
      </c>
      <c r="I19" s="231"/>
      <c r="J19" s="238">
        <v>388</v>
      </c>
      <c r="K19" s="228" t="s">
        <v>275</v>
      </c>
      <c r="L19" s="315">
        <f t="shared" si="3"/>
        <v>0</v>
      </c>
      <c r="P19" s="385"/>
      <c r="R19" s="531" t="b">
        <f t="shared" si="0"/>
        <v>1</v>
      </c>
      <c r="W19" s="385" t="b">
        <f t="shared" si="1"/>
        <v>1</v>
      </c>
      <c r="X19" s="682">
        <f t="shared" si="2"/>
        <v>0</v>
      </c>
    </row>
    <row r="20" spans="1:24" ht="29.25" customHeight="1" x14ac:dyDescent="0.25">
      <c r="A20" s="269">
        <f>'Collection Worksheet'!A24</f>
        <v>339</v>
      </c>
      <c r="B20" s="280" t="str">
        <f>'Collection Worksheet'!C24</f>
        <v>Statement of Activities - Governmental</v>
      </c>
      <c r="C20" s="267" t="str">
        <f>'Collection Worksheet'!D24</f>
        <v xml:space="preserve">Charges for services </v>
      </c>
      <c r="D20" s="392"/>
      <c r="E20" s="665">
        <f>'Collection Worksheet'!F24</f>
        <v>0</v>
      </c>
      <c r="F20" s="253">
        <f t="shared" si="4"/>
        <v>0</v>
      </c>
      <c r="G20" s="337"/>
      <c r="H20" s="244">
        <f>'Collection Worksheet'!I24</f>
        <v>0</v>
      </c>
      <c r="I20" s="231"/>
      <c r="J20" s="238">
        <v>339</v>
      </c>
      <c r="K20" s="228" t="s">
        <v>276</v>
      </c>
      <c r="L20" s="315">
        <f t="shared" si="3"/>
        <v>0</v>
      </c>
      <c r="P20" s="385"/>
      <c r="R20" s="531" t="b">
        <f t="shared" si="0"/>
        <v>1</v>
      </c>
      <c r="W20" s="385" t="b">
        <f t="shared" si="1"/>
        <v>1</v>
      </c>
      <c r="X20" s="682">
        <f t="shared" si="2"/>
        <v>0</v>
      </c>
    </row>
    <row r="21" spans="1:24" ht="33.75" x14ac:dyDescent="0.25">
      <c r="A21" s="269">
        <f>'Collection Worksheet'!A25</f>
        <v>504</v>
      </c>
      <c r="B21" s="280" t="str">
        <f>'Collection Worksheet'!C25</f>
        <v>Statement of Activities - Governmental</v>
      </c>
      <c r="C21" s="267" t="str">
        <f>'Collection Worksheet'!D25</f>
        <v>Operating grants and contributions</v>
      </c>
      <c r="D21" s="392"/>
      <c r="E21" s="665">
        <f>'Collection Worksheet'!F25</f>
        <v>0</v>
      </c>
      <c r="F21" s="253">
        <f t="shared" si="4"/>
        <v>0</v>
      </c>
      <c r="G21" s="337"/>
      <c r="H21" s="244">
        <f>'Collection Worksheet'!I25</f>
        <v>0</v>
      </c>
      <c r="I21" s="231"/>
      <c r="J21" s="238">
        <v>504</v>
      </c>
      <c r="K21" s="228" t="s">
        <v>277</v>
      </c>
      <c r="L21" s="315">
        <f t="shared" si="3"/>
        <v>0</v>
      </c>
      <c r="P21" s="385"/>
      <c r="R21" s="531" t="b">
        <f t="shared" si="0"/>
        <v>1</v>
      </c>
      <c r="W21" s="385" t="b">
        <f t="shared" si="1"/>
        <v>1</v>
      </c>
      <c r="X21" s="682">
        <f t="shared" si="2"/>
        <v>0</v>
      </c>
    </row>
    <row r="22" spans="1:24" ht="33.75" x14ac:dyDescent="0.25">
      <c r="A22" s="269">
        <f>'Collection Worksheet'!A26</f>
        <v>505</v>
      </c>
      <c r="B22" s="280" t="str">
        <f>'Collection Worksheet'!C26</f>
        <v>Statement of Activities - Governmental</v>
      </c>
      <c r="C22" s="267" t="str">
        <f>'Collection Worksheet'!D26</f>
        <v>Capital grants and contributions</v>
      </c>
      <c r="D22" s="392"/>
      <c r="E22" s="665">
        <f>'Collection Worksheet'!F26</f>
        <v>0</v>
      </c>
      <c r="F22" s="253">
        <f t="shared" si="4"/>
        <v>0</v>
      </c>
      <c r="G22" s="337"/>
      <c r="H22" s="244">
        <f>'Collection Worksheet'!I26</f>
        <v>0</v>
      </c>
      <c r="I22" s="231"/>
      <c r="J22" s="238">
        <v>505</v>
      </c>
      <c r="K22" s="228" t="s">
        <v>278</v>
      </c>
      <c r="L22" s="315">
        <f t="shared" si="3"/>
        <v>0</v>
      </c>
      <c r="P22" s="385"/>
      <c r="R22" s="531" t="b">
        <f t="shared" si="0"/>
        <v>1</v>
      </c>
      <c r="W22" s="385" t="b">
        <f t="shared" si="1"/>
        <v>1</v>
      </c>
      <c r="X22" s="682">
        <f t="shared" si="2"/>
        <v>0</v>
      </c>
    </row>
    <row r="23" spans="1:24" ht="72" customHeight="1" x14ac:dyDescent="0.25">
      <c r="A23" s="269">
        <f>'Collection Worksheet'!A27</f>
        <v>341</v>
      </c>
      <c r="B23" s="280" t="str">
        <f>'Collection Worksheet'!C27</f>
        <v>Statement of Activities - Governmental</v>
      </c>
      <c r="C23" s="267" t="str">
        <f>'Collection Worksheet'!D27</f>
        <v>Total General revenues
Exclude: transfers-in or out,
                 special items,
                 extraordinary amounts</v>
      </c>
      <c r="D23" s="392"/>
      <c r="E23" s="665">
        <f>'Collection Worksheet'!F27</f>
        <v>0</v>
      </c>
      <c r="F23" s="253">
        <f t="shared" si="4"/>
        <v>0</v>
      </c>
      <c r="G23" s="337"/>
      <c r="H23" s="244">
        <f>'Collection Worksheet'!I27</f>
        <v>0</v>
      </c>
      <c r="I23" s="231"/>
      <c r="J23" s="238">
        <v>341</v>
      </c>
      <c r="K23" s="228" t="s">
        <v>279</v>
      </c>
      <c r="L23" s="315">
        <f t="shared" si="3"/>
        <v>0</v>
      </c>
      <c r="P23" s="385"/>
      <c r="R23" s="531" t="b">
        <f t="shared" si="0"/>
        <v>1</v>
      </c>
      <c r="W23" s="385" t="b">
        <f t="shared" si="1"/>
        <v>1</v>
      </c>
      <c r="X23" s="682">
        <f t="shared" si="2"/>
        <v>0</v>
      </c>
    </row>
    <row r="24" spans="1:24" ht="45" x14ac:dyDescent="0.25">
      <c r="A24" s="269">
        <f>'Collection Worksheet'!A28</f>
        <v>386</v>
      </c>
      <c r="B24" s="280" t="str">
        <f>'Collection Worksheet'!C28</f>
        <v>Statement of Activities - Governmental</v>
      </c>
      <c r="C24" s="267" t="str">
        <f>'Collection Worksheet'!D28</f>
        <v>Total Transfers in    (Preference is that transfers-in  are not netted against transfers-out)</v>
      </c>
      <c r="D24" s="392"/>
      <c r="E24" s="665">
        <f>'Collection Worksheet'!F28</f>
        <v>0</v>
      </c>
      <c r="F24" s="253">
        <f t="shared" si="4"/>
        <v>0</v>
      </c>
      <c r="G24" s="337"/>
      <c r="H24" s="244">
        <f>'Collection Worksheet'!I28</f>
        <v>0</v>
      </c>
      <c r="I24" s="231"/>
      <c r="J24" s="238">
        <v>386</v>
      </c>
      <c r="K24" s="228" t="s">
        <v>280</v>
      </c>
      <c r="L24" s="315">
        <f t="shared" si="3"/>
        <v>0</v>
      </c>
      <c r="P24" s="385"/>
      <c r="R24" s="531" t="b">
        <f t="shared" si="0"/>
        <v>1</v>
      </c>
      <c r="W24" s="385" t="b">
        <f t="shared" si="1"/>
        <v>1</v>
      </c>
      <c r="X24" s="682">
        <f t="shared" si="2"/>
        <v>0</v>
      </c>
    </row>
    <row r="25" spans="1:24" ht="45" x14ac:dyDescent="0.25">
      <c r="A25" s="269">
        <f>'Collection Worksheet'!A29</f>
        <v>387</v>
      </c>
      <c r="B25" s="280" t="str">
        <f>'Collection Worksheet'!C29</f>
        <v>Statement of Activities - Governmental</v>
      </c>
      <c r="C25" s="267" t="str">
        <f>'Collection Worksheet'!D29</f>
        <v>Total Transfers out    (Preference is that transfers-in  are not netted against transfers-out)</v>
      </c>
      <c r="D25" s="392"/>
      <c r="E25" s="665">
        <f>'Collection Worksheet'!F29</f>
        <v>0</v>
      </c>
      <c r="F25" s="253">
        <f>IF(L25&lt;0,"Error: Enter as a positive.",)</f>
        <v>0</v>
      </c>
      <c r="G25" s="337"/>
      <c r="H25" s="244">
        <f>'Collection Worksheet'!I29</f>
        <v>0</v>
      </c>
      <c r="I25" s="231"/>
      <c r="J25" s="238">
        <v>387</v>
      </c>
      <c r="K25" s="228" t="s">
        <v>281</v>
      </c>
      <c r="L25" s="315">
        <f t="shared" si="3"/>
        <v>0</v>
      </c>
      <c r="P25" s="385"/>
      <c r="R25" s="531" t="b">
        <f t="shared" si="0"/>
        <v>1</v>
      </c>
      <c r="W25" s="385" t="b">
        <f t="shared" si="1"/>
        <v>1</v>
      </c>
      <c r="X25" s="682">
        <f t="shared" si="2"/>
        <v>0</v>
      </c>
    </row>
    <row r="26" spans="1:24" ht="88.5" customHeight="1" x14ac:dyDescent="0.25">
      <c r="A26" s="269">
        <f>'Collection Worksheet'!A30</f>
        <v>389</v>
      </c>
      <c r="B26" s="280" t="str">
        <f>'Collection Worksheet'!C30</f>
        <v>Statement of Activities - Governmental</v>
      </c>
      <c r="C26" s="267" t="str">
        <f>'Collection Worksheet'!D30</f>
        <v>Total Special and Extraordinary items.    (Amounts that increase net position are recorded as positive and amounts that decrease net position are recorded as negative)</v>
      </c>
      <c r="D26" s="392"/>
      <c r="E26" s="665">
        <f>'Collection Worksheet'!F30</f>
        <v>0</v>
      </c>
      <c r="F26" s="253"/>
      <c r="G26" s="363"/>
      <c r="H26" s="244">
        <f>'Collection Worksheet'!I30</f>
        <v>0</v>
      </c>
      <c r="I26" s="231"/>
      <c r="J26" s="238">
        <v>389</v>
      </c>
      <c r="K26" s="228" t="s">
        <v>282</v>
      </c>
      <c r="L26" s="315">
        <f t="shared" si="3"/>
        <v>0</v>
      </c>
      <c r="P26" s="385"/>
      <c r="R26" s="531" t="b">
        <f t="shared" si="0"/>
        <v>1</v>
      </c>
      <c r="W26" s="385" t="b">
        <f t="shared" si="1"/>
        <v>1</v>
      </c>
      <c r="X26" s="682">
        <f t="shared" si="2"/>
        <v>0</v>
      </c>
    </row>
    <row r="27" spans="1:24" ht="79.5" customHeight="1" x14ac:dyDescent="0.25">
      <c r="A27" s="269">
        <f>'Collection Worksheet'!A31</f>
        <v>255</v>
      </c>
      <c r="B27" s="280" t="str">
        <f>'Collection Worksheet'!C31</f>
        <v>Statement of Activities - Governmental</v>
      </c>
      <c r="C27" s="267" t="str">
        <f>'Collection Worksheet'!D31</f>
        <v>Total Change in net position - (Increase in net position is recorded as a positive and a decrease in net position is recorded as a negative)</v>
      </c>
      <c r="D27" s="392"/>
      <c r="E27" s="665">
        <f>'Collection Worksheet'!F31</f>
        <v>0</v>
      </c>
      <c r="F27" s="253">
        <f>IF((L20+L21+L22+L23+L24-L25+L26-L19-L27)=0,,"Total revenues less total expenses do not equal total change in net position. Acct 339+504+505+341+386-387+389-388-255=0")</f>
        <v>0</v>
      </c>
      <c r="G27" s="417">
        <f>L20+L21+L22+L23+L24-L25+L26-L19-L27</f>
        <v>0</v>
      </c>
      <c r="H27" s="244">
        <f>'Collection Worksheet'!I31</f>
        <v>0</v>
      </c>
      <c r="I27" s="231"/>
      <c r="J27" s="238">
        <v>255</v>
      </c>
      <c r="K27" s="228" t="s">
        <v>283</v>
      </c>
      <c r="L27" s="315">
        <f t="shared" si="3"/>
        <v>0</v>
      </c>
      <c r="O27" s="217" t="e">
        <f>'Collection Worksheet'!E31</f>
        <v>#N/A</v>
      </c>
      <c r="P27" s="385"/>
      <c r="Q27" s="395">
        <f>IF(G27&lt;&gt;0,1,)</f>
        <v>0</v>
      </c>
      <c r="R27" s="531" t="b">
        <f t="shared" si="0"/>
        <v>1</v>
      </c>
      <c r="W27" s="385" t="b">
        <f t="shared" si="1"/>
        <v>1</v>
      </c>
      <c r="X27" s="682">
        <f t="shared" si="2"/>
        <v>0</v>
      </c>
    </row>
    <row r="28" spans="1:24" ht="89.25" customHeight="1" x14ac:dyDescent="0.25">
      <c r="A28" s="269">
        <f>'Collection Worksheet'!A32</f>
        <v>376</v>
      </c>
      <c r="B28" s="280" t="str">
        <f>'Collection Worksheet'!C32</f>
        <v>Statement of Activities - Governmental</v>
      </c>
      <c r="C28" s="267" t="str">
        <f>'Collection Worksheet'!D32</f>
        <v>Any adjustment to beginning net position including rounding, prior period adjustments and restatements.   (Increases to net position are positive; decreases to net position are negative)</v>
      </c>
      <c r="D28" s="392"/>
      <c r="E28" s="665">
        <f>'Collection Worksheet'!F32</f>
        <v>0</v>
      </c>
      <c r="F28" s="252" t="e">
        <f>IF(L13+L14+L15-L27-L28=O13+O14+O15,,"Beginning Balance does not agree with our records acct (252+253+254-255-376=252+253+254)")</f>
        <v>#N/A</v>
      </c>
      <c r="G28" s="418" t="e">
        <f>L13+L14+L15-L27-L28-(O13+O14+O15)</f>
        <v>#N/A</v>
      </c>
      <c r="H28" s="244">
        <f>'Collection Worksheet'!I32</f>
        <v>0</v>
      </c>
      <c r="I28" s="231"/>
      <c r="J28" s="238">
        <v>376</v>
      </c>
      <c r="K28" s="228" t="s">
        <v>127</v>
      </c>
      <c r="L28" s="315">
        <f t="shared" si="3"/>
        <v>0</v>
      </c>
      <c r="O28" s="217" t="e">
        <f>'Collection Worksheet'!E32</f>
        <v>#N/A</v>
      </c>
      <c r="P28" s="385"/>
      <c r="Q28" s="395" t="e">
        <f>IF(G28&lt;&gt;0,1,)</f>
        <v>#N/A</v>
      </c>
      <c r="R28" s="531" t="b">
        <f t="shared" si="0"/>
        <v>1</v>
      </c>
      <c r="W28" s="385" t="b">
        <f t="shared" si="1"/>
        <v>1</v>
      </c>
      <c r="X28" s="682">
        <f t="shared" si="2"/>
        <v>0</v>
      </c>
    </row>
    <row r="29" spans="1:24" s="268" customFormat="1" ht="193.5" customHeight="1" x14ac:dyDescent="0.25">
      <c r="A29" s="403">
        <f>'Collection Worksheet'!A33</f>
        <v>597</v>
      </c>
      <c r="B29" s="404" t="str">
        <f>'Collection Worksheet'!C33</f>
        <v>Statement of Activities                               (all governmental and business funds)</v>
      </c>
      <c r="C29" s="402" t="str">
        <f>'Collection Worksheet'!D33</f>
        <v>Amount of interest income and investment income recognized as revenue in your audit report for all governmental and proprietary funds.  In the past we have asked you to adjust this number, but this year we would like the number as it appears on your Statement of Activities without adjustment.</v>
      </c>
      <c r="D29" s="392"/>
      <c r="E29" s="665">
        <f>'Collection Worksheet'!F33</f>
        <v>0</v>
      </c>
      <c r="F29" s="253">
        <f>IF(L29&lt;0,"Error: Number is normally positive.",)</f>
        <v>0</v>
      </c>
      <c r="G29" s="337"/>
      <c r="H29" s="244">
        <f>'Collection Worksheet'!I33</f>
        <v>0</v>
      </c>
      <c r="I29" s="231"/>
      <c r="J29" s="400">
        <v>597</v>
      </c>
      <c r="K29" s="399" t="s">
        <v>796</v>
      </c>
      <c r="L29" s="315">
        <f t="shared" si="3"/>
        <v>0</v>
      </c>
      <c r="O29" s="217"/>
      <c r="P29" s="385"/>
      <c r="Q29" s="395"/>
      <c r="R29" s="531" t="b">
        <f t="shared" si="0"/>
        <v>1</v>
      </c>
      <c r="W29" s="385" t="b">
        <f t="shared" si="1"/>
        <v>1</v>
      </c>
      <c r="X29" s="682">
        <f t="shared" si="2"/>
        <v>0</v>
      </c>
    </row>
    <row r="30" spans="1:24" s="268" customFormat="1" ht="90" customHeight="1" x14ac:dyDescent="0.25">
      <c r="A30" s="403">
        <f>'Collection Worksheet'!A35</f>
        <v>592</v>
      </c>
      <c r="B30" s="404" t="str">
        <f>'Collection Worksheet'!C35</f>
        <v>Statement of Activities - Business Activities</v>
      </c>
      <c r="C30" s="402" t="str">
        <f>'Collection Worksheet'!D35</f>
        <v>Total Change in net position Business Type 
(Increase in net position is recorded as a positive and a decrease in net position is recorded as a negative)</v>
      </c>
      <c r="D30" s="392"/>
      <c r="E30" s="665">
        <f>'Collection Worksheet'!F35</f>
        <v>0</v>
      </c>
      <c r="F30" s="355"/>
      <c r="G30" s="363"/>
      <c r="H30" s="244">
        <f>'Collection Worksheet'!I35</f>
        <v>0</v>
      </c>
      <c r="I30" s="231"/>
      <c r="J30" s="400">
        <v>592</v>
      </c>
      <c r="K30" s="399" t="s">
        <v>730</v>
      </c>
      <c r="L30" s="315">
        <f t="shared" si="3"/>
        <v>0</v>
      </c>
      <c r="O30" s="217"/>
      <c r="P30" s="385"/>
      <c r="Q30" s="395"/>
      <c r="R30" s="531" t="b">
        <f t="shared" si="0"/>
        <v>1</v>
      </c>
      <c r="W30" s="385" t="b">
        <f t="shared" si="1"/>
        <v>1</v>
      </c>
      <c r="X30" s="682">
        <f t="shared" si="2"/>
        <v>0</v>
      </c>
    </row>
    <row r="31" spans="1:24" s="268" customFormat="1" ht="102" customHeight="1" x14ac:dyDescent="0.25">
      <c r="A31" s="403">
        <f>'Collection Worksheet'!A36</f>
        <v>591</v>
      </c>
      <c r="B31" s="404" t="str">
        <f>'Collection Worksheet'!C36</f>
        <v>Statement of Activities - Business Activities</v>
      </c>
      <c r="C31" s="402" t="str">
        <f>'Collection Worksheet'!D36</f>
        <v>Total Expenses - Exclude Transfers</v>
      </c>
      <c r="D31" s="392"/>
      <c r="E31" s="665">
        <f>'Collection Worksheet'!F36</f>
        <v>0</v>
      </c>
      <c r="F31" s="398">
        <f>IF(L31&lt;0,"Error: Enter as a positive.",)</f>
        <v>0</v>
      </c>
      <c r="G31" s="363"/>
      <c r="H31" s="244">
        <f>'Collection Worksheet'!I36</f>
        <v>0</v>
      </c>
      <c r="I31" s="231"/>
      <c r="J31" s="400">
        <v>591</v>
      </c>
      <c r="K31" s="399" t="s">
        <v>729</v>
      </c>
      <c r="L31" s="315">
        <f t="shared" si="3"/>
        <v>0</v>
      </c>
      <c r="O31" s="217"/>
      <c r="P31" s="385"/>
      <c r="Q31" s="395"/>
      <c r="R31" s="531" t="b">
        <f t="shared" si="0"/>
        <v>1</v>
      </c>
      <c r="W31" s="385" t="b">
        <f t="shared" si="1"/>
        <v>1</v>
      </c>
      <c r="X31" s="682">
        <f t="shared" si="2"/>
        <v>0</v>
      </c>
    </row>
    <row r="32" spans="1:24" ht="54" customHeight="1" x14ac:dyDescent="0.25">
      <c r="A32" s="269">
        <f>'Collection Worksheet'!A38</f>
        <v>506</v>
      </c>
      <c r="B32" s="281" t="str">
        <f>'Collection Worksheet'!C38</f>
        <v>General Fund-Balance Sheet</v>
      </c>
      <c r="C32" s="259" t="str">
        <f>'Collection Worksheet'!D38</f>
        <v xml:space="preserve">All unrestricted cash and investments.  
Exclude restricted cash and cash held by a third party. </v>
      </c>
      <c r="D32" s="392"/>
      <c r="E32" s="666">
        <f>'Collection Worksheet'!F38</f>
        <v>0</v>
      </c>
      <c r="F32" s="229">
        <f>IF(L32&lt;0,"Error: Number is normally positive.",)</f>
        <v>0</v>
      </c>
      <c r="G32" s="338"/>
      <c r="H32" s="244">
        <f>'Collection Worksheet'!I38</f>
        <v>0</v>
      </c>
      <c r="I32" s="231"/>
      <c r="J32" s="237">
        <v>506</v>
      </c>
      <c r="K32" s="228" t="s">
        <v>284</v>
      </c>
      <c r="L32" s="313">
        <f t="shared" si="3"/>
        <v>0</v>
      </c>
      <c r="P32" s="385"/>
      <c r="R32" s="531" t="b">
        <f t="shared" si="0"/>
        <v>1</v>
      </c>
      <c r="W32" s="385" t="b">
        <f t="shared" si="1"/>
        <v>1</v>
      </c>
      <c r="X32" s="682">
        <f t="shared" si="2"/>
        <v>0</v>
      </c>
    </row>
    <row r="33" spans="1:24" ht="45.75" customHeight="1" x14ac:dyDescent="0.25">
      <c r="A33" s="269">
        <f>'Collection Worksheet'!A39</f>
        <v>536</v>
      </c>
      <c r="B33" s="281" t="str">
        <f>'Collection Worksheet'!C39</f>
        <v>General Fund-Balance Sheet</v>
      </c>
      <c r="C33" s="259" t="str">
        <f>'Collection Worksheet'!D39</f>
        <v>All restricted cash and investments</v>
      </c>
      <c r="D33" s="392"/>
      <c r="E33" s="666">
        <f>'Collection Worksheet'!F39</f>
        <v>0</v>
      </c>
      <c r="F33" s="229">
        <f>IF(L33&lt;0,"Error: Number is normally positive.",)</f>
        <v>0</v>
      </c>
      <c r="G33" s="338"/>
      <c r="H33" s="244">
        <f>'Collection Worksheet'!I39</f>
        <v>0</v>
      </c>
      <c r="I33" s="231"/>
      <c r="J33" s="237">
        <v>536</v>
      </c>
      <c r="K33" s="228" t="s">
        <v>285</v>
      </c>
      <c r="L33" s="313">
        <f t="shared" si="3"/>
        <v>0</v>
      </c>
      <c r="P33" s="385"/>
      <c r="R33" s="531" t="b">
        <f t="shared" si="0"/>
        <v>1</v>
      </c>
      <c r="W33" s="385" t="b">
        <f t="shared" si="1"/>
        <v>1</v>
      </c>
      <c r="X33" s="682">
        <f t="shared" si="2"/>
        <v>0</v>
      </c>
    </row>
    <row r="34" spans="1:24" s="268" customFormat="1" ht="45.75" customHeight="1" x14ac:dyDescent="0.25">
      <c r="A34" s="269">
        <f>'Collection Worksheet'!A40</f>
        <v>586</v>
      </c>
      <c r="B34" s="280" t="str">
        <f>'Collection Worksheet'!C40</f>
        <v>General Fund-Balance Sheet</v>
      </c>
      <c r="C34" s="288" t="str">
        <f>'Collection Worksheet'!D40</f>
        <v>Advance To: Interfund loan receivable-portion of repayment plan longer than 12 months</v>
      </c>
      <c r="D34" s="392"/>
      <c r="E34" s="665">
        <f>'Collection Worksheet'!F40</f>
        <v>0</v>
      </c>
      <c r="F34" s="253"/>
      <c r="G34" s="337"/>
      <c r="H34" s="244"/>
      <c r="I34" s="231"/>
      <c r="J34" s="238">
        <v>586</v>
      </c>
      <c r="K34" s="288" t="s">
        <v>685</v>
      </c>
      <c r="L34" s="304">
        <f t="shared" si="3"/>
        <v>0</v>
      </c>
      <c r="P34" s="385"/>
      <c r="Q34" s="395"/>
      <c r="R34" s="531" t="b">
        <f t="shared" si="0"/>
        <v>1</v>
      </c>
      <c r="W34" s="385" t="b">
        <f t="shared" si="1"/>
        <v>1</v>
      </c>
      <c r="X34" s="682">
        <f t="shared" si="2"/>
        <v>0</v>
      </c>
    </row>
    <row r="35" spans="1:24" ht="30" x14ac:dyDescent="0.25">
      <c r="A35" s="269">
        <f>'Collection Worksheet'!A41</f>
        <v>379</v>
      </c>
      <c r="B35" s="280" t="str">
        <f>'Collection Worksheet'!C41</f>
        <v>General Fund-Balance Sheet</v>
      </c>
      <c r="C35" s="267" t="str">
        <f>'Collection Worksheet'!D41</f>
        <v>Total Assets and deferred outflows</v>
      </c>
      <c r="D35" s="392"/>
      <c r="E35" s="665">
        <f>'Collection Worksheet'!F41</f>
        <v>0</v>
      </c>
      <c r="F35" s="381">
        <f>IF((L32+L33)&gt;L35,"Error: Please review accts (506+536)&gt;379",)</f>
        <v>0</v>
      </c>
      <c r="G35" s="363" t="str">
        <f>IF(Q35=1," Included in error count"," ")</f>
        <v xml:space="preserve"> </v>
      </c>
      <c r="H35" s="244">
        <f>'Collection Worksheet'!I41</f>
        <v>0</v>
      </c>
      <c r="I35" s="231"/>
      <c r="J35" s="238">
        <v>379</v>
      </c>
      <c r="K35" s="228" t="s">
        <v>137</v>
      </c>
      <c r="L35" s="315">
        <f t="shared" si="3"/>
        <v>0</v>
      </c>
      <c r="P35" s="385"/>
      <c r="Q35" s="395">
        <f>IF(L32+L33&gt;L35,1,)</f>
        <v>0</v>
      </c>
      <c r="R35" s="531" t="b">
        <f t="shared" si="0"/>
        <v>1</v>
      </c>
      <c r="W35" s="385" t="b">
        <f t="shared" si="1"/>
        <v>1</v>
      </c>
      <c r="X35" s="682">
        <f t="shared" si="2"/>
        <v>0</v>
      </c>
    </row>
    <row r="36" spans="1:24" ht="97.5" customHeight="1" x14ac:dyDescent="0.25">
      <c r="A36" s="269">
        <f>'Collection Worksheet'!A42</f>
        <v>368</v>
      </c>
      <c r="B36" s="280" t="str">
        <f>'Collection Worksheet'!C42</f>
        <v>General Fund-Balance Sheet</v>
      </c>
      <c r="C36" s="267" t="str">
        <f>'Collection Worksheet'!D42</f>
        <v>Total Liabilities payable from restricted assets (only complete if this is listed in your financial statements for the general fund and the auditor has listed the cash to be used to pay the liabilities as restricted)</v>
      </c>
      <c r="D36" s="392"/>
      <c r="E36" s="665">
        <f>'Collection Worksheet'!F42</f>
        <v>0</v>
      </c>
      <c r="F36" s="253">
        <f>IF(L36&lt;0,"Error: Enter as a positive.",)</f>
        <v>0</v>
      </c>
      <c r="G36" s="337"/>
      <c r="H36" s="244">
        <f>'Collection Worksheet'!I42</f>
        <v>0</v>
      </c>
      <c r="I36" s="231"/>
      <c r="J36" s="238">
        <v>368</v>
      </c>
      <c r="K36" s="228" t="s">
        <v>286</v>
      </c>
      <c r="L36" s="315">
        <f t="shared" si="3"/>
        <v>0</v>
      </c>
      <c r="P36" s="385"/>
      <c r="R36" s="531" t="b">
        <f t="shared" si="0"/>
        <v>1</v>
      </c>
      <c r="W36" s="385" t="b">
        <f t="shared" si="1"/>
        <v>1</v>
      </c>
      <c r="X36" s="682">
        <f t="shared" si="2"/>
        <v>0</v>
      </c>
    </row>
    <row r="37" spans="1:24" ht="70.5" customHeight="1" x14ac:dyDescent="0.25">
      <c r="A37" s="269">
        <f>'Collection Worksheet'!A43</f>
        <v>4</v>
      </c>
      <c r="B37" s="281" t="str">
        <f>'Collection Worksheet'!C43</f>
        <v>General Fund-Balance Sheet</v>
      </c>
      <c r="C37" s="259" t="str">
        <f>'Collection Worksheet'!D43</f>
        <v>Current Liabilities 
Exclude all deferred inflows. 
Include advance from(long-term portion of interfund loans)</v>
      </c>
      <c r="D37" s="392"/>
      <c r="E37" s="666">
        <f>'Collection Worksheet'!F43</f>
        <v>0</v>
      </c>
      <c r="F37" s="229">
        <f t="shared" ref="F37:F44" si="5">IF(L37&lt;0,"Error: Enter as a positive.",)</f>
        <v>0</v>
      </c>
      <c r="G37" s="338"/>
      <c r="H37" s="244">
        <f>'Collection Worksheet'!I43</f>
        <v>0</v>
      </c>
      <c r="I37" s="231"/>
      <c r="J37" s="237">
        <v>4</v>
      </c>
      <c r="K37" s="228" t="s">
        <v>138</v>
      </c>
      <c r="L37" s="313">
        <f t="shared" si="3"/>
        <v>0</v>
      </c>
      <c r="P37" s="385"/>
      <c r="R37" s="531" t="b">
        <f t="shared" si="0"/>
        <v>1</v>
      </c>
      <c r="W37" s="385" t="b">
        <f t="shared" si="1"/>
        <v>1</v>
      </c>
      <c r="X37" s="682">
        <f t="shared" si="2"/>
        <v>0</v>
      </c>
    </row>
    <row r="38" spans="1:24" ht="131.25" customHeight="1" x14ac:dyDescent="0.25">
      <c r="A38" s="269">
        <f>'Collection Worksheet'!A44</f>
        <v>5</v>
      </c>
      <c r="B38" s="281" t="str">
        <f>'Collection Worksheet'!C44</f>
        <v>General Fund-Balance Sheet</v>
      </c>
      <c r="C38" s="259" t="str">
        <f>'Collection Worksheet'!D44</f>
        <v>General fund deferred inflows derived from cash receipts. 
 Prepaid taxes is a common item listed.  Deferred inflows on the face of the statements can include cash and non-cash.  You may have to refer to the note disclosure where the cash and non-cash is broken out.</v>
      </c>
      <c r="D38" s="392"/>
      <c r="E38" s="666">
        <f>'Collection Worksheet'!F44</f>
        <v>0</v>
      </c>
      <c r="F38" s="229">
        <f t="shared" si="5"/>
        <v>0</v>
      </c>
      <c r="G38" s="338"/>
      <c r="H38" s="244">
        <f>'Collection Worksheet'!I44</f>
        <v>0</v>
      </c>
      <c r="I38" s="231"/>
      <c r="J38" s="237">
        <v>5</v>
      </c>
      <c r="K38" s="228" t="s">
        <v>139</v>
      </c>
      <c r="L38" s="313">
        <f t="shared" si="3"/>
        <v>0</v>
      </c>
      <c r="P38" s="385"/>
      <c r="R38" s="531" t="b">
        <f t="shared" si="0"/>
        <v>1</v>
      </c>
      <c r="W38" s="385" t="b">
        <f t="shared" si="1"/>
        <v>1</v>
      </c>
      <c r="X38" s="682">
        <f t="shared" si="2"/>
        <v>0</v>
      </c>
    </row>
    <row r="39" spans="1:24" ht="104.25" customHeight="1" x14ac:dyDescent="0.25">
      <c r="A39" s="269">
        <f>'Collection Worksheet'!A45</f>
        <v>380</v>
      </c>
      <c r="B39" s="280" t="str">
        <f>'Collection Worksheet'!C45</f>
        <v>General Fund-Balance Sheet</v>
      </c>
      <c r="C39" s="267" t="str">
        <f>'Collection Worksheet'!D45</f>
        <v>Total Deferred inflows not derived from cash receipts.  Deferred inflows on the face of the statements can include cash and non-cash.  You may have to refer to the note disclosure where the cash and non-cash is broken out.</v>
      </c>
      <c r="D39" s="392"/>
      <c r="E39" s="665">
        <f>'Collection Worksheet'!F45</f>
        <v>0</v>
      </c>
      <c r="F39" s="253">
        <f t="shared" si="5"/>
        <v>0</v>
      </c>
      <c r="G39" s="337"/>
      <c r="H39" s="244">
        <f>'Collection Worksheet'!I45</f>
        <v>0</v>
      </c>
      <c r="I39" s="231"/>
      <c r="J39" s="238">
        <v>380</v>
      </c>
      <c r="K39" s="228" t="s">
        <v>140</v>
      </c>
      <c r="L39" s="315">
        <f t="shared" si="3"/>
        <v>0</v>
      </c>
      <c r="P39" s="385"/>
      <c r="R39" s="531" t="b">
        <f t="shared" si="0"/>
        <v>1</v>
      </c>
      <c r="W39" s="385" t="b">
        <f t="shared" si="1"/>
        <v>1</v>
      </c>
      <c r="X39" s="682">
        <f t="shared" si="2"/>
        <v>0</v>
      </c>
    </row>
    <row r="40" spans="1:24" ht="30" x14ac:dyDescent="0.25">
      <c r="A40" s="269">
        <f>'Collection Worksheet'!A46</f>
        <v>391</v>
      </c>
      <c r="B40" s="280" t="str">
        <f>'Collection Worksheet'!C46</f>
        <v>General Fund-Balance Sheet</v>
      </c>
      <c r="C40" s="267" t="str">
        <f>'Collection Worksheet'!D46</f>
        <v xml:space="preserve">Fund balance, Restricted for Stabilization by State Statute </v>
      </c>
      <c r="D40" s="392"/>
      <c r="E40" s="665">
        <f>'Collection Worksheet'!F46</f>
        <v>0</v>
      </c>
      <c r="F40" s="253">
        <f t="shared" si="5"/>
        <v>0</v>
      </c>
      <c r="G40" s="337"/>
      <c r="H40" s="244">
        <f>'Collection Worksheet'!I46</f>
        <v>0</v>
      </c>
      <c r="I40" s="231"/>
      <c r="J40" s="238">
        <v>391</v>
      </c>
      <c r="K40" s="228" t="s">
        <v>287</v>
      </c>
      <c r="L40" s="315">
        <f t="shared" si="3"/>
        <v>0</v>
      </c>
      <c r="P40" s="385"/>
      <c r="R40" s="531" t="b">
        <f t="shared" si="0"/>
        <v>1</v>
      </c>
      <c r="W40" s="385" t="b">
        <f t="shared" si="1"/>
        <v>1</v>
      </c>
      <c r="X40" s="682">
        <f t="shared" si="2"/>
        <v>0</v>
      </c>
    </row>
    <row r="41" spans="1:24" ht="30" x14ac:dyDescent="0.25">
      <c r="A41" s="269">
        <f>'Collection Worksheet'!A47</f>
        <v>7</v>
      </c>
      <c r="B41" s="281" t="str">
        <f>'Collection Worksheet'!C47</f>
        <v>General Fund-Balance Sheet</v>
      </c>
      <c r="C41" s="259" t="str">
        <f>'Collection Worksheet'!D47</f>
        <v>Fund balance, Nonspendable-  inventory/prepaids/etc.</v>
      </c>
      <c r="D41" s="392"/>
      <c r="E41" s="666">
        <f>'Collection Worksheet'!F47</f>
        <v>0</v>
      </c>
      <c r="F41" s="229">
        <f t="shared" si="5"/>
        <v>0</v>
      </c>
      <c r="G41" s="338"/>
      <c r="H41" s="244">
        <f>'Collection Worksheet'!I47</f>
        <v>0</v>
      </c>
      <c r="I41" s="231"/>
      <c r="J41" s="237">
        <v>7</v>
      </c>
      <c r="K41" s="228" t="s">
        <v>288</v>
      </c>
      <c r="L41" s="313">
        <f t="shared" si="3"/>
        <v>0</v>
      </c>
      <c r="P41" s="385"/>
      <c r="R41" s="531" t="b">
        <f t="shared" si="0"/>
        <v>1</v>
      </c>
      <c r="W41" s="385" t="b">
        <f t="shared" si="1"/>
        <v>1</v>
      </c>
      <c r="X41" s="682">
        <f t="shared" si="2"/>
        <v>0</v>
      </c>
    </row>
    <row r="42" spans="1:24" ht="89.25" customHeight="1" x14ac:dyDescent="0.25">
      <c r="A42" s="269">
        <f>'Collection Worksheet'!A48</f>
        <v>11</v>
      </c>
      <c r="B42" s="280" t="str">
        <f>'Collection Worksheet'!C48</f>
        <v>General Fund-Balance Sheet</v>
      </c>
      <c r="C42" s="267" t="str">
        <f>'Collection Worksheet'!D48</f>
        <v>Fund balance, Restricted for Streets (unspent Powell Bill balance).  You may have to refer to the note disclosure where restricted fund balance is described.</v>
      </c>
      <c r="D42" s="392"/>
      <c r="E42" s="665">
        <f>'Collection Worksheet'!F48</f>
        <v>0</v>
      </c>
      <c r="F42" s="253">
        <f t="shared" si="5"/>
        <v>0</v>
      </c>
      <c r="G42" s="337"/>
      <c r="H42" s="244">
        <f>'Collection Worksheet'!I48</f>
        <v>0</v>
      </c>
      <c r="I42" s="231"/>
      <c r="J42" s="238">
        <v>11</v>
      </c>
      <c r="K42" s="228" t="s">
        <v>289</v>
      </c>
      <c r="L42" s="315">
        <f t="shared" si="3"/>
        <v>0</v>
      </c>
      <c r="P42" s="385"/>
      <c r="R42" s="531" t="b">
        <f t="shared" si="0"/>
        <v>1</v>
      </c>
      <c r="W42" s="385" t="b">
        <f t="shared" si="1"/>
        <v>1</v>
      </c>
      <c r="X42" s="682">
        <f t="shared" si="2"/>
        <v>0</v>
      </c>
    </row>
    <row r="43" spans="1:24" ht="55.5" customHeight="1" x14ac:dyDescent="0.25">
      <c r="A43" s="269">
        <f>'Collection Worksheet'!A49</f>
        <v>9</v>
      </c>
      <c r="B43" s="281" t="str">
        <f>'Collection Worksheet'!C49</f>
        <v>General Fund-Balance Sheet</v>
      </c>
      <c r="C43" s="259" t="str">
        <f>'Collection Worksheet'!D49</f>
        <v>Total Fund balance (enter fund deficits as negative)</v>
      </c>
      <c r="D43" s="392"/>
      <c r="E43" s="666">
        <f>'Collection Worksheet'!F49</f>
        <v>0</v>
      </c>
      <c r="F43" s="266">
        <f>IF(L35-L37-L38-L39-L43=0,,"Error: Total assets less total liabilities do not equal Acct +379-4-5-380-9=0")</f>
        <v>0</v>
      </c>
      <c r="G43" s="419">
        <f>L35-L37-L38-L39-L43</f>
        <v>0</v>
      </c>
      <c r="H43" s="244">
        <f>'Collection Worksheet'!I49</f>
        <v>0</v>
      </c>
      <c r="I43" s="231"/>
      <c r="J43" s="237">
        <v>9</v>
      </c>
      <c r="K43" s="228" t="s">
        <v>290</v>
      </c>
      <c r="L43" s="313">
        <f t="shared" si="3"/>
        <v>0</v>
      </c>
      <c r="O43" s="217" t="e">
        <f>'Collection Worksheet'!E49</f>
        <v>#N/A</v>
      </c>
      <c r="P43" s="385"/>
      <c r="Q43" s="395">
        <f>IF(G43&lt;&gt;0,1,)</f>
        <v>0</v>
      </c>
      <c r="R43" s="531" t="b">
        <f t="shared" si="0"/>
        <v>1</v>
      </c>
      <c r="W43" s="385" t="b">
        <f t="shared" si="1"/>
        <v>1</v>
      </c>
      <c r="X43" s="682">
        <f t="shared" si="2"/>
        <v>0</v>
      </c>
    </row>
    <row r="44" spans="1:24" s="4" customFormat="1" ht="33.75" x14ac:dyDescent="0.25">
      <c r="A44" s="269">
        <f>'Collection Worksheet'!A50</f>
        <v>540</v>
      </c>
      <c r="B44" s="280" t="str">
        <f>'Collection Worksheet'!C50</f>
        <v>General Fund - Budget Actual Statement</v>
      </c>
      <c r="C44" s="288" t="str">
        <f>'Collection Worksheet'!D50</f>
        <v>Amount of the General Fund Balance appropriated in next year's budget.</v>
      </c>
      <c r="D44" s="392"/>
      <c r="E44" s="665">
        <f>'Collection Worksheet'!F50</f>
        <v>0</v>
      </c>
      <c r="F44" s="253">
        <f t="shared" si="5"/>
        <v>0</v>
      </c>
      <c r="G44" s="337"/>
      <c r="H44" s="244">
        <f>'Collection Worksheet'!I50</f>
        <v>0</v>
      </c>
      <c r="I44" s="231"/>
      <c r="J44" s="238">
        <v>540</v>
      </c>
      <c r="K44" s="228" t="s">
        <v>349</v>
      </c>
      <c r="L44" s="304">
        <f t="shared" si="3"/>
        <v>0</v>
      </c>
      <c r="P44" s="385"/>
      <c r="Q44" s="395"/>
      <c r="R44" s="531" t="b">
        <f t="shared" si="0"/>
        <v>1</v>
      </c>
      <c r="W44" s="385" t="b">
        <f t="shared" si="1"/>
        <v>1</v>
      </c>
      <c r="X44" s="682">
        <f t="shared" si="2"/>
        <v>0</v>
      </c>
    </row>
    <row r="45" spans="1:24" ht="45" x14ac:dyDescent="0.25">
      <c r="A45" s="269">
        <f>'Collection Worksheet'!A52</f>
        <v>369</v>
      </c>
      <c r="B45" s="280" t="str">
        <f>'Collection Worksheet'!C52</f>
        <v>General Fund-Rev, Exp. Change in Fund Balance</v>
      </c>
      <c r="C45" s="267" t="str">
        <f>'Collection Worksheet'!D52</f>
        <v>Total Intergovernmental revenue 
Include restricted and unrestricted revenues</v>
      </c>
      <c r="D45" s="392"/>
      <c r="E45" s="665">
        <f>'Collection Worksheet'!F52</f>
        <v>0</v>
      </c>
      <c r="F45" s="355"/>
      <c r="G45" s="337"/>
      <c r="H45" s="244">
        <f>'Collection Worksheet'!I52</f>
        <v>0</v>
      </c>
      <c r="I45" s="231"/>
      <c r="J45" s="238">
        <v>369</v>
      </c>
      <c r="K45" s="228" t="s">
        <v>291</v>
      </c>
      <c r="L45" s="304">
        <f t="shared" ref="L45:L94" si="6">IF(D45="",E45,D45)</f>
        <v>0</v>
      </c>
      <c r="P45" s="385"/>
      <c r="R45" s="531" t="b">
        <f t="shared" si="0"/>
        <v>1</v>
      </c>
      <c r="W45" s="385" t="b">
        <f t="shared" si="1"/>
        <v>1</v>
      </c>
      <c r="X45" s="682">
        <f t="shared" si="2"/>
        <v>0</v>
      </c>
    </row>
    <row r="46" spans="1:24" ht="45" x14ac:dyDescent="0.25">
      <c r="A46" s="269">
        <f>'Collection Worksheet'!A53</f>
        <v>16</v>
      </c>
      <c r="B46" s="280" t="str">
        <f>'Collection Worksheet'!C53</f>
        <v>General Fund-Rev, Exp. Change in Fund Balance</v>
      </c>
      <c r="C46" s="267" t="str">
        <f>'Collection Worksheet'!D53</f>
        <v>Total revenues</v>
      </c>
      <c r="D46" s="392"/>
      <c r="E46" s="665">
        <f>'Collection Worksheet'!F53</f>
        <v>0</v>
      </c>
      <c r="F46" s="355"/>
      <c r="G46" s="337"/>
      <c r="H46" s="244">
        <f>'Collection Worksheet'!I53</f>
        <v>0</v>
      </c>
      <c r="I46" s="231"/>
      <c r="J46" s="238">
        <v>16</v>
      </c>
      <c r="K46" s="228" t="s">
        <v>292</v>
      </c>
      <c r="L46" s="304">
        <f t="shared" si="6"/>
        <v>0</v>
      </c>
      <c r="P46" s="385"/>
      <c r="R46" s="531" t="b">
        <f t="shared" si="0"/>
        <v>1</v>
      </c>
      <c r="W46" s="385" t="b">
        <f t="shared" si="1"/>
        <v>1</v>
      </c>
      <c r="X46" s="682">
        <f t="shared" si="2"/>
        <v>0</v>
      </c>
    </row>
    <row r="47" spans="1:24" ht="45" x14ac:dyDescent="0.25">
      <c r="A47" s="269">
        <f>'Collection Worksheet'!A54</f>
        <v>370</v>
      </c>
      <c r="B47" s="280" t="str">
        <f>'Collection Worksheet'!C54</f>
        <v>General Fund-Rev, Exp. Change in Fund Balance</v>
      </c>
      <c r="C47" s="267" t="str">
        <f>'Collection Worksheet'!D54</f>
        <v>Debt service expenditures. 
Include principal, interest paid, and bond/debt issuance costs on long-term debt</v>
      </c>
      <c r="D47" s="392"/>
      <c r="E47" s="665">
        <f>'Collection Worksheet'!F54</f>
        <v>0</v>
      </c>
      <c r="F47" s="253">
        <f t="shared" ref="F47:F53" si="7">IF(L47&lt;0,"Error: Enter as a positive.",)</f>
        <v>0</v>
      </c>
      <c r="G47" s="337"/>
      <c r="H47" s="244">
        <f>'Collection Worksheet'!I54</f>
        <v>0</v>
      </c>
      <c r="I47" s="231"/>
      <c r="J47" s="238">
        <v>370</v>
      </c>
      <c r="K47" s="228" t="s">
        <v>293</v>
      </c>
      <c r="L47" s="304">
        <f t="shared" si="6"/>
        <v>0</v>
      </c>
      <c r="P47" s="385"/>
      <c r="R47" s="531" t="b">
        <f t="shared" si="0"/>
        <v>1</v>
      </c>
      <c r="W47" s="385" t="b">
        <f t="shared" si="1"/>
        <v>1</v>
      </c>
      <c r="X47" s="682">
        <f t="shared" si="2"/>
        <v>0</v>
      </c>
    </row>
    <row r="48" spans="1:24" ht="60" x14ac:dyDescent="0.25">
      <c r="A48" s="269">
        <f>'Collection Worksheet'!A55</f>
        <v>532</v>
      </c>
      <c r="B48" s="280" t="str">
        <f>'Collection Worksheet'!C55</f>
        <v>General Fund-Rev, Exp. Change in Fund Balance</v>
      </c>
      <c r="C48" s="267" t="str">
        <f>'Collection Worksheet'!D55</f>
        <v xml:space="preserve">Total expenditures  
Exclude expenditures in the "other financing sources (uses)" section.
</v>
      </c>
      <c r="D48" s="392"/>
      <c r="E48" s="665">
        <f>'Collection Worksheet'!F55</f>
        <v>0</v>
      </c>
      <c r="F48" s="253">
        <f t="shared" si="7"/>
        <v>0</v>
      </c>
      <c r="G48" s="337"/>
      <c r="H48" s="244">
        <f>'Collection Worksheet'!I55</f>
        <v>0</v>
      </c>
      <c r="I48" s="231"/>
      <c r="J48" s="238">
        <v>532</v>
      </c>
      <c r="K48" s="251" t="s">
        <v>294</v>
      </c>
      <c r="L48" s="304">
        <f t="shared" si="6"/>
        <v>0</v>
      </c>
      <c r="P48" s="385"/>
      <c r="R48" s="531" t="b">
        <f t="shared" si="0"/>
        <v>1</v>
      </c>
      <c r="W48" s="385" t="b">
        <f t="shared" si="1"/>
        <v>1</v>
      </c>
      <c r="X48" s="682">
        <f t="shared" si="2"/>
        <v>0</v>
      </c>
    </row>
    <row r="49" spans="1:24" ht="45" x14ac:dyDescent="0.25">
      <c r="A49" s="269">
        <f>'Collection Worksheet'!A56</f>
        <v>17</v>
      </c>
      <c r="B49" s="280" t="str">
        <f>'Collection Worksheet'!C56</f>
        <v>General Fund-Rev, Exp. Change in Fund Balance</v>
      </c>
      <c r="C49" s="267" t="str">
        <f>'Collection Worksheet'!D56</f>
        <v>Total Transfers in    (Preference is that transfers-in  are not netted against transfers-out)</v>
      </c>
      <c r="D49" s="392"/>
      <c r="E49" s="665">
        <f>'Collection Worksheet'!F56</f>
        <v>0</v>
      </c>
      <c r="F49" s="253">
        <f t="shared" si="7"/>
        <v>0</v>
      </c>
      <c r="G49" s="337"/>
      <c r="H49" s="244">
        <f>'Collection Worksheet'!I56</f>
        <v>0</v>
      </c>
      <c r="I49" s="231"/>
      <c r="J49" s="238">
        <v>17</v>
      </c>
      <c r="K49" s="228" t="s">
        <v>295</v>
      </c>
      <c r="L49" s="304">
        <f t="shared" si="6"/>
        <v>0</v>
      </c>
      <c r="P49" s="385"/>
      <c r="R49" s="531" t="b">
        <f t="shared" si="0"/>
        <v>1</v>
      </c>
      <c r="W49" s="385" t="b">
        <f t="shared" si="1"/>
        <v>1</v>
      </c>
      <c r="X49" s="682">
        <f t="shared" si="2"/>
        <v>0</v>
      </c>
    </row>
    <row r="50" spans="1:24" ht="45" x14ac:dyDescent="0.25">
      <c r="A50" s="269">
        <f>'Collection Worksheet'!A57</f>
        <v>20</v>
      </c>
      <c r="B50" s="280" t="str">
        <f>'Collection Worksheet'!C57</f>
        <v>General Fund-Rev, Exp. Change in Fund Balance</v>
      </c>
      <c r="C50" s="267" t="str">
        <f>'Collection Worksheet'!D57</f>
        <v>Total Transfers out    (Preference is that transfers-in  are not netted against transfers-out)</v>
      </c>
      <c r="D50" s="392"/>
      <c r="E50" s="665">
        <f>'Collection Worksheet'!F57</f>
        <v>0</v>
      </c>
      <c r="F50" s="253">
        <f t="shared" si="7"/>
        <v>0</v>
      </c>
      <c r="G50" s="337"/>
      <c r="H50" s="244">
        <f>'Collection Worksheet'!I57</f>
        <v>0</v>
      </c>
      <c r="I50" s="231"/>
      <c r="J50" s="238">
        <v>20</v>
      </c>
      <c r="K50" s="228" t="s">
        <v>296</v>
      </c>
      <c r="L50" s="304">
        <f t="shared" si="6"/>
        <v>0</v>
      </c>
      <c r="P50" s="385"/>
      <c r="R50" s="531" t="b">
        <f t="shared" si="0"/>
        <v>1</v>
      </c>
      <c r="W50" s="385" t="b">
        <f t="shared" si="1"/>
        <v>1</v>
      </c>
      <c r="X50" s="682">
        <f t="shared" si="2"/>
        <v>0</v>
      </c>
    </row>
    <row r="51" spans="1:24" ht="45" x14ac:dyDescent="0.25">
      <c r="A51" s="269">
        <f>'Collection Worksheet'!A58</f>
        <v>533</v>
      </c>
      <c r="B51" s="280" t="str">
        <f>'Collection Worksheet'!C58</f>
        <v>General Fund-Rev, Exp. Change in Fund Balance</v>
      </c>
      <c r="C51" s="267" t="str">
        <f>'Collection Worksheet'!D58</f>
        <v>Total Proceeds from all long-term debt issuances 
Exclude proceeds from refundings</v>
      </c>
      <c r="D51" s="392"/>
      <c r="E51" s="665">
        <f>'Collection Worksheet'!F58</f>
        <v>0</v>
      </c>
      <c r="F51" s="253">
        <f t="shared" si="7"/>
        <v>0</v>
      </c>
      <c r="G51" s="337"/>
      <c r="H51" s="244">
        <f>'Collection Worksheet'!I58</f>
        <v>0</v>
      </c>
      <c r="I51" s="231"/>
      <c r="J51" s="238">
        <v>533</v>
      </c>
      <c r="K51" s="251" t="s">
        <v>297</v>
      </c>
      <c r="L51" s="304">
        <f t="shared" si="6"/>
        <v>0</v>
      </c>
      <c r="P51" s="385"/>
      <c r="R51" s="531" t="b">
        <f t="shared" si="0"/>
        <v>1</v>
      </c>
      <c r="W51" s="385" t="b">
        <f t="shared" si="1"/>
        <v>1</v>
      </c>
      <c r="X51" s="682">
        <f t="shared" si="2"/>
        <v>0</v>
      </c>
    </row>
    <row r="52" spans="1:24" ht="45" x14ac:dyDescent="0.25">
      <c r="A52" s="269">
        <f>'Collection Worksheet'!A59</f>
        <v>508</v>
      </c>
      <c r="B52" s="280" t="str">
        <f>'Collection Worksheet'!C59</f>
        <v>General Fund-Rev, Exp. Change in Fund Balance</v>
      </c>
      <c r="C52" s="267" t="str">
        <f>'Collection Worksheet'!D59</f>
        <v>Debt Refunding - Net refunding proceeds against debt payoff and if positive place results on this line.</v>
      </c>
      <c r="D52" s="392"/>
      <c r="E52" s="665">
        <f>'Collection Worksheet'!F59</f>
        <v>0</v>
      </c>
      <c r="F52" s="253">
        <f t="shared" si="7"/>
        <v>0</v>
      </c>
      <c r="G52" s="337"/>
      <c r="H52" s="244">
        <f>'Collection Worksheet'!I59</f>
        <v>0</v>
      </c>
      <c r="I52" s="231"/>
      <c r="J52" s="238">
        <v>508</v>
      </c>
      <c r="K52" s="228" t="s">
        <v>299</v>
      </c>
      <c r="L52" s="304">
        <f t="shared" si="6"/>
        <v>0</v>
      </c>
      <c r="P52" s="385"/>
      <c r="R52" s="531" t="b">
        <f t="shared" si="0"/>
        <v>1</v>
      </c>
      <c r="W52" s="385" t="b">
        <f t="shared" si="1"/>
        <v>1</v>
      </c>
      <c r="X52" s="682">
        <f t="shared" si="2"/>
        <v>0</v>
      </c>
    </row>
    <row r="53" spans="1:24" ht="45" x14ac:dyDescent="0.25">
      <c r="A53" s="269">
        <f>'Collection Worksheet'!A60</f>
        <v>509</v>
      </c>
      <c r="B53" s="280" t="str">
        <f>'Collection Worksheet'!C60</f>
        <v>General Fund-Rev, Exp. Change in Fund Balance</v>
      </c>
      <c r="C53" s="267" t="str">
        <f>'Collection Worksheet'!D60</f>
        <v>Debt Refunding - Net refunding proceeds against debt payoff and if negative place results on this line.</v>
      </c>
      <c r="D53" s="392"/>
      <c r="E53" s="665">
        <f>'Collection Worksheet'!F60</f>
        <v>0</v>
      </c>
      <c r="F53" s="253">
        <f t="shared" si="7"/>
        <v>0</v>
      </c>
      <c r="G53" s="337"/>
      <c r="H53" s="244">
        <f>'Collection Worksheet'!I60</f>
        <v>0</v>
      </c>
      <c r="I53" s="231"/>
      <c r="J53" s="238">
        <v>509</v>
      </c>
      <c r="K53" s="228" t="s">
        <v>300</v>
      </c>
      <c r="L53" s="304">
        <f t="shared" si="6"/>
        <v>0</v>
      </c>
      <c r="P53" s="385"/>
      <c r="R53" s="531" t="b">
        <f t="shared" si="0"/>
        <v>1</v>
      </c>
      <c r="W53" s="385" t="b">
        <f t="shared" si="1"/>
        <v>1</v>
      </c>
      <c r="X53" s="682">
        <f t="shared" si="2"/>
        <v>0</v>
      </c>
    </row>
    <row r="54" spans="1:24" ht="60" x14ac:dyDescent="0.25">
      <c r="A54" s="269">
        <f>'Collection Worksheet'!A61</f>
        <v>22</v>
      </c>
      <c r="B54" s="280" t="str">
        <f>'Collection Worksheet'!C61</f>
        <v>General Fund-Rev, Exp. Change in Fund Balance</v>
      </c>
      <c r="C54" s="267" t="str">
        <f>'Collection Worksheet'!D61</f>
        <v xml:space="preserve">All other items on this statement that were not included in total revenues, total expenditures, transfers in or out, or proceeds from long-term debt above.  </v>
      </c>
      <c r="D54" s="392"/>
      <c r="E54" s="665">
        <f>'Collection Worksheet'!F61</f>
        <v>0</v>
      </c>
      <c r="F54" s="253"/>
      <c r="G54" s="337"/>
      <c r="H54" s="244">
        <f>'Collection Worksheet'!I61</f>
        <v>0</v>
      </c>
      <c r="I54" s="231"/>
      <c r="J54" s="238">
        <v>22</v>
      </c>
      <c r="K54" s="228" t="s">
        <v>298</v>
      </c>
      <c r="L54" s="304">
        <f t="shared" si="6"/>
        <v>0</v>
      </c>
      <c r="P54" s="385"/>
      <c r="R54" s="531" t="b">
        <f t="shared" si="0"/>
        <v>1</v>
      </c>
      <c r="W54" s="385" t="b">
        <f t="shared" si="1"/>
        <v>1</v>
      </c>
      <c r="X54" s="682">
        <f t="shared" si="2"/>
        <v>0</v>
      </c>
    </row>
    <row r="55" spans="1:24" ht="66.75" customHeight="1" x14ac:dyDescent="0.25">
      <c r="A55" s="269">
        <f>'Collection Worksheet'!A62</f>
        <v>23</v>
      </c>
      <c r="B55" s="280" t="str">
        <f>'Collection Worksheet'!C62</f>
        <v>General Fund-Rev, Exp. Change in Fund Balance</v>
      </c>
      <c r="C55" s="267" t="str">
        <f>'Collection Worksheet'!D62</f>
        <v>Change in fund balance - (Increase in Fund balance is recorded as a positive and a decrease in fund balance is recorded as a negative)</v>
      </c>
      <c r="D55" s="392"/>
      <c r="E55" s="665">
        <f>'Collection Worksheet'!F62</f>
        <v>0</v>
      </c>
      <c r="F55" s="253">
        <f>IF(+L46-L48+L49-L50+L51+L52-L53+L54-L55=0,,"Error:Total revenues less toal Expenditures do not equal change in fund balance")</f>
        <v>0</v>
      </c>
      <c r="G55" s="417">
        <f>+L46-L48+L49-L50+L51+L54+L52-L53-L55</f>
        <v>0</v>
      </c>
      <c r="H55" s="244">
        <f>'Collection Worksheet'!I62</f>
        <v>0</v>
      </c>
      <c r="I55" s="231"/>
      <c r="J55" s="238">
        <v>23</v>
      </c>
      <c r="K55" s="228" t="s">
        <v>301</v>
      </c>
      <c r="L55" s="304">
        <f t="shared" si="6"/>
        <v>0</v>
      </c>
      <c r="P55" s="385"/>
      <c r="Q55" s="395">
        <f>IF(G55&lt;&gt;0,1,)</f>
        <v>0</v>
      </c>
      <c r="R55" s="531" t="b">
        <f t="shared" si="0"/>
        <v>1</v>
      </c>
      <c r="W55" s="385" t="b">
        <f t="shared" si="1"/>
        <v>1</v>
      </c>
      <c r="X55" s="682">
        <f t="shared" si="2"/>
        <v>0</v>
      </c>
    </row>
    <row r="56" spans="1:24" ht="111.75" customHeight="1" x14ac:dyDescent="0.25">
      <c r="A56" s="269">
        <f>'Collection Worksheet'!A64</f>
        <v>507</v>
      </c>
      <c r="B56" s="280" t="str">
        <f>'Collection Worksheet'!C64</f>
        <v>General Fund-Rev, Exp. Change in Fund Balance</v>
      </c>
      <c r="C56" s="267" t="str">
        <f>'Collection Worksheet'!D64</f>
        <v>Any adjustment to beginning fund balance including rounding, prior period adjustments and restatements.   (Amounts that increase fund balance are recorded as positive and amounts that decrease fund balance are recorded as negative)</v>
      </c>
      <c r="D56" s="392"/>
      <c r="E56" s="665">
        <f>'Collection Worksheet'!F64</f>
        <v>0</v>
      </c>
      <c r="F56" s="253" t="e">
        <f>IF(+L43-L55-L56=O43,,"Error: Beginning Fund Bal does not equal our records Accts 9-23-507= prior year 9")</f>
        <v>#N/A</v>
      </c>
      <c r="G56" s="417" t="e">
        <f>L43-L55-L56-O43</f>
        <v>#N/A</v>
      </c>
      <c r="H56" s="244">
        <f>'Collection Worksheet'!I64</f>
        <v>0</v>
      </c>
      <c r="I56" s="231"/>
      <c r="J56" s="238">
        <v>507</v>
      </c>
      <c r="K56" s="228" t="s">
        <v>302</v>
      </c>
      <c r="L56" s="304">
        <f t="shared" si="6"/>
        <v>0</v>
      </c>
      <c r="O56" s="217"/>
      <c r="P56" s="385"/>
      <c r="Q56" s="395" t="e">
        <f>IF(G56&lt;&gt;0,1,)</f>
        <v>#N/A</v>
      </c>
      <c r="R56" s="531" t="b">
        <f t="shared" si="0"/>
        <v>1</v>
      </c>
      <c r="W56" s="385" t="b">
        <f t="shared" si="1"/>
        <v>1</v>
      </c>
      <c r="X56" s="682">
        <f t="shared" si="2"/>
        <v>0</v>
      </c>
    </row>
    <row r="57" spans="1:24" ht="60" customHeight="1" x14ac:dyDescent="0.25">
      <c r="A57" s="269">
        <f>'Collection Worksheet'!A66</f>
        <v>171</v>
      </c>
      <c r="B57" s="280" t="str">
        <f>'Collection Worksheet'!C66</f>
        <v>Fund Statements - all Governmental Funds</v>
      </c>
      <c r="C57" s="267" t="str">
        <f>'Collection Worksheet'!D66</f>
        <v>Debt service expenditures from all governmental funds.  Include principal, interest paid, and debt issuance costs on long-term debt.</v>
      </c>
      <c r="D57" s="392"/>
      <c r="E57" s="665">
        <f>'Collection Worksheet'!F66</f>
        <v>0</v>
      </c>
      <c r="F57" s="253">
        <f>IF(L57&lt;0,"Error: Enter as a positive.",)</f>
        <v>0</v>
      </c>
      <c r="G57" s="337"/>
      <c r="H57" s="244">
        <f>'Collection Worksheet'!I66</f>
        <v>0</v>
      </c>
      <c r="I57" s="231"/>
      <c r="J57" s="238">
        <v>171</v>
      </c>
      <c r="K57" s="228" t="s">
        <v>303</v>
      </c>
      <c r="L57" s="304">
        <f t="shared" si="6"/>
        <v>0</v>
      </c>
      <c r="P57" s="385"/>
      <c r="R57" s="531" t="b">
        <f t="shared" si="0"/>
        <v>1</v>
      </c>
      <c r="W57" s="385" t="b">
        <f t="shared" si="1"/>
        <v>1</v>
      </c>
      <c r="X57" s="682">
        <f t="shared" si="2"/>
        <v>0</v>
      </c>
    </row>
    <row r="58" spans="1:24" s="268" customFormat="1" ht="60" customHeight="1" x14ac:dyDescent="0.25">
      <c r="A58" s="269">
        <f>'Collection Worksheet'!A70</f>
        <v>596</v>
      </c>
      <c r="B58" s="280"/>
      <c r="C58" s="288" t="str">
        <f>'Collection Worksheet'!D70</f>
        <v>Indicate if your water/sewer system:
50 - Became Operational
51 - Ceased Operations
52 - No Change</v>
      </c>
      <c r="D58" s="392"/>
      <c r="E58" s="665">
        <f>'Collection Worksheet'!F70</f>
        <v>0</v>
      </c>
      <c r="F58" s="355"/>
      <c r="G58" s="355"/>
      <c r="H58" s="244">
        <f>'Collection Worksheet'!I70</f>
        <v>0</v>
      </c>
      <c r="I58" s="231"/>
      <c r="J58" s="238">
        <v>596</v>
      </c>
      <c r="K58" s="228" t="s">
        <v>736</v>
      </c>
      <c r="L58" s="304">
        <f t="shared" si="6"/>
        <v>0</v>
      </c>
      <c r="P58" s="385"/>
      <c r="Q58" s="395"/>
      <c r="R58" s="531" t="b">
        <f t="shared" si="0"/>
        <v>1</v>
      </c>
      <c r="W58" s="385" t="b">
        <f t="shared" si="1"/>
        <v>1</v>
      </c>
      <c r="X58" s="682">
        <f t="shared" si="2"/>
        <v>0</v>
      </c>
    </row>
    <row r="59" spans="1:24" ht="45" x14ac:dyDescent="0.25">
      <c r="A59" s="269">
        <f>'Collection Worksheet'!A71</f>
        <v>80</v>
      </c>
      <c r="B59" s="280" t="str">
        <f>'Collection Worksheet'!C71</f>
        <v>Water Sewer Net Position Statement</v>
      </c>
      <c r="C59" s="267" t="str">
        <f>'Collection Worksheet'!D71</f>
        <v>Unrestricted Cash and investments 
Exclude restricted cash and/or restricted investments.</v>
      </c>
      <c r="D59" s="392"/>
      <c r="E59" s="665">
        <f>'Collection Worksheet'!F71</f>
        <v>0</v>
      </c>
      <c r="F59" s="253">
        <f>IF(L59&lt;0,"Error: Number is normally positive.",)</f>
        <v>0</v>
      </c>
      <c r="G59" s="253" t="e">
        <f>'Collection Worksheet'!G71</f>
        <v>#N/A</v>
      </c>
      <c r="H59" s="244">
        <f>'Collection Worksheet'!I71</f>
        <v>0</v>
      </c>
      <c r="I59" s="231"/>
      <c r="J59" s="238">
        <v>80</v>
      </c>
      <c r="K59" s="228" t="s">
        <v>304</v>
      </c>
      <c r="L59" s="304">
        <f t="shared" si="6"/>
        <v>0</v>
      </c>
      <c r="P59" s="385"/>
      <c r="R59" s="531" t="b">
        <f t="shared" si="0"/>
        <v>1</v>
      </c>
      <c r="W59" s="385" t="b">
        <f t="shared" si="1"/>
        <v>1</v>
      </c>
      <c r="X59" s="682">
        <f t="shared" si="2"/>
        <v>0</v>
      </c>
    </row>
    <row r="60" spans="1:24" ht="45" x14ac:dyDescent="0.25">
      <c r="A60" s="269">
        <f>'Collection Worksheet'!A72</f>
        <v>81</v>
      </c>
      <c r="B60" s="280" t="str">
        <f>'Collection Worksheet'!C72</f>
        <v>Water Sewer Net Position Statement</v>
      </c>
      <c r="C60" s="267" t="str">
        <f>'Collection Worksheet'!D72</f>
        <v>Customer accounts receivable (net of allowance accounts). 
Include both billed and unbilled amounts.</v>
      </c>
      <c r="D60" s="392"/>
      <c r="E60" s="665">
        <f>'Collection Worksheet'!F72</f>
        <v>0</v>
      </c>
      <c r="F60" s="253">
        <f>IF(L60&lt;0,"Error: Number is normally positive.",)</f>
        <v>0</v>
      </c>
      <c r="G60" s="337"/>
      <c r="H60" s="244">
        <f>'Collection Worksheet'!I72</f>
        <v>0</v>
      </c>
      <c r="I60" s="231"/>
      <c r="J60" s="238">
        <v>81</v>
      </c>
      <c r="K60" s="228" t="s">
        <v>305</v>
      </c>
      <c r="L60" s="304">
        <f t="shared" si="6"/>
        <v>0</v>
      </c>
      <c r="P60" s="385"/>
      <c r="R60" s="531" t="b">
        <f t="shared" si="0"/>
        <v>1</v>
      </c>
      <c r="W60" s="385" t="b">
        <f t="shared" si="1"/>
        <v>1</v>
      </c>
      <c r="X60" s="682">
        <f t="shared" si="2"/>
        <v>0</v>
      </c>
    </row>
    <row r="61" spans="1:24" s="268" customFormat="1" ht="68.25" customHeight="1" x14ac:dyDescent="0.25">
      <c r="A61" s="403">
        <f>'Collection Worksheet'!A73</f>
        <v>579</v>
      </c>
      <c r="B61" s="404" t="str">
        <f>'Collection Worksheet'!C73</f>
        <v>Water Sewer Net Position Statement</v>
      </c>
      <c r="C61" s="402" t="str">
        <f>'Collection Worksheet'!D73</f>
        <v>Water Sewer - Advance To:
Interfund loan receivable-portion of repayment plan longer than 12 months</v>
      </c>
      <c r="D61" s="392"/>
      <c r="E61" s="665">
        <f>'Collection Worksheet'!F73</f>
        <v>0</v>
      </c>
      <c r="F61" s="253"/>
      <c r="G61" s="337"/>
      <c r="H61" s="244"/>
      <c r="I61" s="231"/>
      <c r="J61" s="400">
        <v>579</v>
      </c>
      <c r="K61" s="399" t="s">
        <v>686</v>
      </c>
      <c r="L61" s="401">
        <f t="shared" si="6"/>
        <v>0</v>
      </c>
      <c r="N61" s="3" t="s">
        <v>790</v>
      </c>
      <c r="P61" s="385"/>
      <c r="Q61" s="395"/>
      <c r="R61" s="531" t="b">
        <f t="shared" si="0"/>
        <v>1</v>
      </c>
      <c r="W61" s="385" t="b">
        <f t="shared" si="1"/>
        <v>1</v>
      </c>
      <c r="X61" s="682">
        <f t="shared" si="2"/>
        <v>0</v>
      </c>
    </row>
    <row r="62" spans="1:24" ht="47.25" customHeight="1" x14ac:dyDescent="0.25">
      <c r="A62" s="269">
        <f>'Collection Worksheet'!A74</f>
        <v>510</v>
      </c>
      <c r="B62" s="280" t="str">
        <f>'Collection Worksheet'!C74</f>
        <v>Water Sewer Net Position Statement</v>
      </c>
      <c r="C62" s="267" t="str">
        <f>'Collection Worksheet'!D74</f>
        <v>Amount of Inventories and Prepaid expenses in current assets</v>
      </c>
      <c r="D62" s="392"/>
      <c r="E62" s="665">
        <f>'Collection Worksheet'!F74</f>
        <v>0</v>
      </c>
      <c r="F62" s="253"/>
      <c r="G62" s="337"/>
      <c r="H62" s="244">
        <f>'Collection Worksheet'!I74</f>
        <v>0</v>
      </c>
      <c r="I62" s="231"/>
      <c r="J62" s="238">
        <v>510</v>
      </c>
      <c r="K62" s="228" t="s">
        <v>306</v>
      </c>
      <c r="L62" s="304">
        <f t="shared" si="6"/>
        <v>0</v>
      </c>
      <c r="P62" s="385"/>
      <c r="R62" s="531" t="b">
        <f t="shared" si="0"/>
        <v>1</v>
      </c>
      <c r="W62" s="385" t="b">
        <f t="shared" si="1"/>
        <v>1</v>
      </c>
      <c r="X62" s="682">
        <f t="shared" si="2"/>
        <v>0</v>
      </c>
    </row>
    <row r="63" spans="1:24" ht="75" x14ac:dyDescent="0.25">
      <c r="A63" s="269">
        <f>'Collection Worksheet'!A75</f>
        <v>44</v>
      </c>
      <c r="B63" s="280" t="str">
        <f>'Collection Worksheet'!C75</f>
        <v>Water Sewer Net Position Statement</v>
      </c>
      <c r="C63" s="267" t="str">
        <f>'Collection Worksheet'!D75</f>
        <v>Total Current assets.  
Exclude any current assets identified as restricted.
Exclude "Advance To": portion of interfund loan with repayment longer than 12 months.</v>
      </c>
      <c r="D63" s="392"/>
      <c r="E63" s="665">
        <f>'Collection Worksheet'!F75</f>
        <v>0</v>
      </c>
      <c r="F63" s="253">
        <f>IF((+L59+L60+L62)&gt;L63,"Please review components of current assets above Acct. (80+81+510&gt;44",)</f>
        <v>0</v>
      </c>
      <c r="G63" s="394" t="str">
        <f>IF(Q63=1," Included in error count"," ")</f>
        <v xml:space="preserve"> </v>
      </c>
      <c r="H63" s="244">
        <f>'Collection Worksheet'!I75</f>
        <v>0</v>
      </c>
      <c r="I63" s="231"/>
      <c r="J63" s="238">
        <v>44</v>
      </c>
      <c r="K63" s="228" t="s">
        <v>141</v>
      </c>
      <c r="L63" s="304">
        <f t="shared" si="6"/>
        <v>0</v>
      </c>
      <c r="P63" s="385"/>
      <c r="Q63" s="395">
        <f>IF((+L59+L60+L62)&gt;L63,1,)</f>
        <v>0</v>
      </c>
      <c r="R63" s="531" t="b">
        <f t="shared" si="0"/>
        <v>1</v>
      </c>
      <c r="W63" s="385" t="b">
        <f t="shared" si="1"/>
        <v>1</v>
      </c>
      <c r="X63" s="682">
        <f t="shared" si="2"/>
        <v>0</v>
      </c>
    </row>
    <row r="64" spans="1:24" ht="42.75" customHeight="1" x14ac:dyDescent="0.25">
      <c r="A64" s="269">
        <f>'Collection Worksheet'!A76</f>
        <v>381</v>
      </c>
      <c r="B64" s="280" t="str">
        <f>'Collection Worksheet'!C76</f>
        <v>Water Sewer Net Position Statement</v>
      </c>
      <c r="C64" s="267" t="str">
        <f>'Collection Worksheet'!D76</f>
        <v>Total Assets and deferred outflows</v>
      </c>
      <c r="D64" s="392"/>
      <c r="E64" s="665">
        <f>'Collection Worksheet'!F76</f>
        <v>0</v>
      </c>
      <c r="F64" s="253" t="str">
        <f>IF(L64&lt;L63,"Please review components of current assets above acct. 381&lt;44"," ")</f>
        <v xml:space="preserve"> </v>
      </c>
      <c r="G64" s="394" t="str">
        <f>IF(Q64=1," Included in error count"," ")</f>
        <v xml:space="preserve"> </v>
      </c>
      <c r="H64" s="244">
        <f>'Collection Worksheet'!I76</f>
        <v>0</v>
      </c>
      <c r="I64" s="231"/>
      <c r="J64" s="238">
        <v>381</v>
      </c>
      <c r="K64" s="228" t="s">
        <v>132</v>
      </c>
      <c r="L64" s="304">
        <f t="shared" si="6"/>
        <v>0</v>
      </c>
      <c r="P64" s="385"/>
      <c r="Q64" s="395">
        <f>IF(L64&lt;L63,1,0)</f>
        <v>0</v>
      </c>
      <c r="R64" s="531" t="b">
        <f t="shared" si="0"/>
        <v>1</v>
      </c>
      <c r="W64" s="385" t="b">
        <f t="shared" si="1"/>
        <v>1</v>
      </c>
      <c r="X64" s="682">
        <f t="shared" si="2"/>
        <v>0</v>
      </c>
    </row>
    <row r="65" spans="1:24" s="268" customFormat="1" ht="60.75" customHeight="1" x14ac:dyDescent="0.25">
      <c r="A65" s="403">
        <f>'Collection Worksheet'!A77</f>
        <v>578</v>
      </c>
      <c r="B65" s="404" t="str">
        <f>'Collection Worksheet'!C77</f>
        <v>Water Sewer Net Position Statement</v>
      </c>
      <c r="C65" s="402" t="str">
        <f>'Collection Worksheet'!D77</f>
        <v>Water Sewer - Advance From: 
Interfund loan Payable-portion of repayment plan longer than 12 months</v>
      </c>
      <c r="D65" s="392"/>
      <c r="E65" s="665">
        <f>'Collection Worksheet'!F77</f>
        <v>0</v>
      </c>
      <c r="F65" s="253"/>
      <c r="G65" s="337"/>
      <c r="H65" s="244"/>
      <c r="I65" s="231"/>
      <c r="J65" s="400">
        <v>578</v>
      </c>
      <c r="K65" s="399" t="s">
        <v>687</v>
      </c>
      <c r="L65" s="401">
        <f t="shared" si="6"/>
        <v>0</v>
      </c>
      <c r="P65" s="385"/>
      <c r="Q65" s="396"/>
      <c r="R65" s="531" t="b">
        <f t="shared" si="0"/>
        <v>1</v>
      </c>
      <c r="W65" s="385" t="b">
        <f t="shared" si="1"/>
        <v>1</v>
      </c>
      <c r="X65" s="682">
        <f t="shared" si="2"/>
        <v>0</v>
      </c>
    </row>
    <row r="66" spans="1:24" ht="225" x14ac:dyDescent="0.25">
      <c r="A66" s="269">
        <f>'Collection Worksheet'!A78</f>
        <v>45</v>
      </c>
      <c r="B66" s="280" t="str">
        <f>'Collection Worksheet'!C78</f>
        <v>Water Sewer Net Position Statement</v>
      </c>
      <c r="C66" s="267" t="str">
        <f>'Collection Worksheet'!D78</f>
        <v>Current liabilities.  
Include:   Current liabilities and current portions of long-term debt
Exclude:  "Advance From"-portion of interfund loans with repayment longer than 12 months,
                   Bond anticipation notes, 
                   Compensated absences, 
                   Pension liabilities, 
                   Other post-employment liabilities (OPEB), 
                   Closure/postclosure liabilities, 
                   Payables from restricted assets
                   Deferred inflows.</v>
      </c>
      <c r="D66" s="392"/>
      <c r="E66" s="665">
        <f>'Collection Worksheet'!F78</f>
        <v>0</v>
      </c>
      <c r="F66" s="253">
        <f>IF(L66&lt;0,"Error: Enter as a positive.",)</f>
        <v>0</v>
      </c>
      <c r="G66" s="337"/>
      <c r="H66" s="244">
        <f>'Collection Worksheet'!I78</f>
        <v>0</v>
      </c>
      <c r="I66" s="231"/>
      <c r="J66" s="238">
        <v>45</v>
      </c>
      <c r="K66" s="228" t="s">
        <v>142</v>
      </c>
      <c r="L66" s="304">
        <f t="shared" si="6"/>
        <v>0</v>
      </c>
      <c r="P66" s="385"/>
      <c r="R66" s="531" t="b">
        <f t="shared" si="0"/>
        <v>1</v>
      </c>
      <c r="W66" s="385" t="b">
        <f t="shared" si="1"/>
        <v>1</v>
      </c>
      <c r="X66" s="682">
        <f t="shared" si="2"/>
        <v>0</v>
      </c>
    </row>
    <row r="67" spans="1:24" ht="76.5" customHeight="1" x14ac:dyDescent="0.25">
      <c r="A67" s="269">
        <f>'Collection Worksheet'!A79</f>
        <v>383</v>
      </c>
      <c r="B67" s="280" t="str">
        <f>'Collection Worksheet'!C79</f>
        <v>Water Sewer Net Position Statement</v>
      </c>
      <c r="C67" s="267" t="str">
        <f>'Collection Worksheet'!D79</f>
        <v>Unearned revenue (arising from cash receipts) that were included in Current Liabilities in the question above</v>
      </c>
      <c r="D67" s="392"/>
      <c r="E67" s="665">
        <f>'Collection Worksheet'!F79</f>
        <v>0</v>
      </c>
      <c r="F67" s="390">
        <f>IF(L67&lt;0,"Error: Enter as a positive.",)</f>
        <v>0</v>
      </c>
      <c r="G67" s="337"/>
      <c r="H67" s="244">
        <f>'Collection Worksheet'!I79</f>
        <v>0</v>
      </c>
      <c r="I67" s="231"/>
      <c r="J67" s="238">
        <v>383</v>
      </c>
      <c r="K67" s="228" t="s">
        <v>307</v>
      </c>
      <c r="L67" s="304">
        <f t="shared" si="6"/>
        <v>0</v>
      </c>
      <c r="P67" s="385"/>
      <c r="R67" s="531" t="b">
        <f t="shared" si="0"/>
        <v>1</v>
      </c>
      <c r="W67" s="385" t="b">
        <f t="shared" si="1"/>
        <v>1</v>
      </c>
      <c r="X67" s="682">
        <f t="shared" si="2"/>
        <v>0</v>
      </c>
    </row>
    <row r="68" spans="1:24" ht="54" customHeight="1" x14ac:dyDescent="0.25">
      <c r="A68" s="269">
        <f>'Collection Worksheet'!A80</f>
        <v>349</v>
      </c>
      <c r="B68" s="280" t="str">
        <f>'Collection Worksheet'!C80</f>
        <v>Water Sewer Net Position Statement</v>
      </c>
      <c r="C68" s="267" t="str">
        <f>'Collection Worksheet'!D80</f>
        <v>Total Liabilities and deferred inflows</v>
      </c>
      <c r="D68" s="392"/>
      <c r="E68" s="665">
        <f>'Collection Worksheet'!F80</f>
        <v>0</v>
      </c>
      <c r="F68" s="390">
        <f>IF(L66&gt;L68,"Error: Please review accts 45&gt;349",)</f>
        <v>0</v>
      </c>
      <c r="G68" s="394" t="str">
        <f>IF(Q68=1," Included in error count"," ")</f>
        <v xml:space="preserve"> </v>
      </c>
      <c r="H68" s="244">
        <f>'Collection Worksheet'!I80</f>
        <v>0</v>
      </c>
      <c r="I68" s="231"/>
      <c r="J68" s="238">
        <v>349</v>
      </c>
      <c r="K68" s="228" t="s">
        <v>143</v>
      </c>
      <c r="L68" s="304">
        <f t="shared" si="6"/>
        <v>0</v>
      </c>
      <c r="P68" s="385"/>
      <c r="Q68" s="395">
        <f>IF(L66&gt;L68,1,0)</f>
        <v>0</v>
      </c>
      <c r="R68" s="531" t="b">
        <f t="shared" si="0"/>
        <v>1</v>
      </c>
      <c r="W68" s="385" t="b">
        <f t="shared" si="1"/>
        <v>1</v>
      </c>
      <c r="X68" s="682">
        <f t="shared" si="2"/>
        <v>0</v>
      </c>
    </row>
    <row r="69" spans="1:24" ht="45" x14ac:dyDescent="0.25">
      <c r="A69" s="269">
        <f>'Collection Worksheet'!A81</f>
        <v>375</v>
      </c>
      <c r="B69" s="280" t="str">
        <f>'Collection Worksheet'!C81</f>
        <v>Water Sewer Net Position Statement</v>
      </c>
      <c r="C69" s="267" t="str">
        <f>'Collection Worksheet'!D81</f>
        <v>Total Net position, Unrestricted - enter negative unrestricted net position as a negative</v>
      </c>
      <c r="D69" s="392"/>
      <c r="E69" s="665">
        <f>'Collection Worksheet'!F81</f>
        <v>0</v>
      </c>
      <c r="F69" s="253"/>
      <c r="G69" s="337"/>
      <c r="H69" s="244">
        <f>'Collection Worksheet'!I81</f>
        <v>0</v>
      </c>
      <c r="I69" s="231"/>
      <c r="J69" s="238">
        <v>375</v>
      </c>
      <c r="K69" s="228" t="s">
        <v>308</v>
      </c>
      <c r="L69" s="304">
        <f t="shared" si="6"/>
        <v>0</v>
      </c>
      <c r="P69" s="385"/>
      <c r="R69" s="531" t="b">
        <f t="shared" si="0"/>
        <v>1</v>
      </c>
      <c r="W69" s="385" t="b">
        <f t="shared" si="1"/>
        <v>1</v>
      </c>
      <c r="X69" s="682">
        <f t="shared" si="2"/>
        <v>0</v>
      </c>
    </row>
    <row r="70" spans="1:24" ht="39.75" customHeight="1" x14ac:dyDescent="0.25">
      <c r="A70" s="269">
        <f>'Collection Worksheet'!A82</f>
        <v>83</v>
      </c>
      <c r="B70" s="280" t="str">
        <f>'Collection Worksheet'!C82</f>
        <v>Water Sewer Net Position Statement</v>
      </c>
      <c r="C70" s="267" t="str">
        <f>'Collection Worksheet'!D82</f>
        <v>Total Net position</v>
      </c>
      <c r="D70" s="392"/>
      <c r="E70" s="665">
        <f>'Collection Worksheet'!F82</f>
        <v>0</v>
      </c>
      <c r="F70" s="253">
        <f>IF(+L64-L68-L70=0,,"Error: Total assets less total liabilities do not equal net position acct 381-349-83=0")</f>
        <v>0</v>
      </c>
      <c r="G70" s="417">
        <f>L64-L68-L70</f>
        <v>0</v>
      </c>
      <c r="H70" s="244">
        <f>'Collection Worksheet'!I82</f>
        <v>0</v>
      </c>
      <c r="I70" s="231"/>
      <c r="J70" s="238">
        <v>83</v>
      </c>
      <c r="K70" s="228" t="s">
        <v>121</v>
      </c>
      <c r="L70" s="304">
        <f t="shared" si="6"/>
        <v>0</v>
      </c>
      <c r="O70" s="217" t="e">
        <f>'Collection Worksheet'!E82</f>
        <v>#N/A</v>
      </c>
      <c r="P70" s="385"/>
      <c r="Q70" s="395">
        <f>IF(G70&lt;&gt;0,1,)</f>
        <v>0</v>
      </c>
      <c r="R70" s="531" t="b">
        <f t="shared" ref="R70:R133" si="8">EXACT(A70,J70)</f>
        <v>1</v>
      </c>
      <c r="W70" s="385" t="b">
        <f t="shared" ref="W70:W133" si="9">EXACT(A70,J70)</f>
        <v>1</v>
      </c>
      <c r="X70" s="682">
        <f t="shared" ref="X70:X133" si="10">E70-L70</f>
        <v>0</v>
      </c>
    </row>
    <row r="71" spans="1:24" ht="33.75" x14ac:dyDescent="0.25">
      <c r="A71" s="269">
        <f>'Collection Worksheet'!A84</f>
        <v>90</v>
      </c>
      <c r="B71" s="280" t="str">
        <f>'Collection Worksheet'!C84</f>
        <v>Electric Fund Net Position Statement</v>
      </c>
      <c r="C71" s="267" t="str">
        <f>'Collection Worksheet'!D84</f>
        <v>All Unrestricted Cash and Investments.  
Exclude any restricted cash and investments.</v>
      </c>
      <c r="D71" s="392"/>
      <c r="E71" s="665">
        <f>'Collection Worksheet'!F84</f>
        <v>0</v>
      </c>
      <c r="F71" s="253">
        <f>IF(L71&lt;0,"Error: Number is normally positive.",)</f>
        <v>0</v>
      </c>
      <c r="G71" s="337"/>
      <c r="H71" s="244">
        <f>'Collection Worksheet'!I84</f>
        <v>0</v>
      </c>
      <c r="I71" s="231"/>
      <c r="J71" s="238">
        <v>90</v>
      </c>
      <c r="K71" s="228" t="s">
        <v>309</v>
      </c>
      <c r="L71" s="304">
        <f t="shared" si="6"/>
        <v>0</v>
      </c>
      <c r="P71" s="385"/>
      <c r="R71" s="531" t="b">
        <f t="shared" si="8"/>
        <v>1</v>
      </c>
      <c r="W71" s="385" t="b">
        <f t="shared" si="9"/>
        <v>1</v>
      </c>
      <c r="X71" s="682">
        <f t="shared" si="10"/>
        <v>0</v>
      </c>
    </row>
    <row r="72" spans="1:24" ht="45" x14ac:dyDescent="0.25">
      <c r="A72" s="269">
        <f>'Collection Worksheet'!A85</f>
        <v>91</v>
      </c>
      <c r="B72" s="280" t="str">
        <f>'Collection Worksheet'!C85</f>
        <v>Electric Fund Net Position Statement</v>
      </c>
      <c r="C72" s="267" t="str">
        <f>'Collection Worksheet'!D85</f>
        <v xml:space="preserve">Customer accounts receivable (net of allowance accounts)
Include billed and unbilled amounts </v>
      </c>
      <c r="D72" s="392"/>
      <c r="E72" s="665">
        <f>'Collection Worksheet'!F85</f>
        <v>0</v>
      </c>
      <c r="F72" s="253">
        <f>IF(L72&lt;0,"Error: Number is normally positive.",)</f>
        <v>0</v>
      </c>
      <c r="G72" s="337"/>
      <c r="H72" s="244">
        <f>'Collection Worksheet'!I85</f>
        <v>0</v>
      </c>
      <c r="I72" s="231"/>
      <c r="J72" s="238">
        <v>91</v>
      </c>
      <c r="K72" s="228" t="s">
        <v>310</v>
      </c>
      <c r="L72" s="304">
        <f t="shared" si="6"/>
        <v>0</v>
      </c>
      <c r="P72" s="385"/>
      <c r="R72" s="531" t="b">
        <f t="shared" si="8"/>
        <v>1</v>
      </c>
      <c r="W72" s="385" t="b">
        <f t="shared" si="9"/>
        <v>1</v>
      </c>
      <c r="X72" s="682">
        <f t="shared" si="10"/>
        <v>0</v>
      </c>
    </row>
    <row r="73" spans="1:24" s="268" customFormat="1" ht="45" x14ac:dyDescent="0.25">
      <c r="A73" s="403">
        <f>'Collection Worksheet'!A86</f>
        <v>581</v>
      </c>
      <c r="B73" s="404" t="str">
        <f>'Collection Worksheet'!C86</f>
        <v>Electric Fund Net Position Statement</v>
      </c>
      <c r="C73" s="402" t="str">
        <f>'Collection Worksheet'!D86</f>
        <v>Electric Fund - AdvanceTo:
Interfund loan receivable-portion of repayment plan longer than 12 months</v>
      </c>
      <c r="D73" s="392"/>
      <c r="E73" s="665">
        <f>'Collection Worksheet'!F86</f>
        <v>0</v>
      </c>
      <c r="F73" s="253"/>
      <c r="G73" s="337"/>
      <c r="H73" s="244"/>
      <c r="I73" s="231"/>
      <c r="J73" s="400">
        <v>581</v>
      </c>
      <c r="K73" s="399" t="s">
        <v>688</v>
      </c>
      <c r="L73" s="401">
        <f t="shared" si="6"/>
        <v>0</v>
      </c>
      <c r="P73" s="385"/>
      <c r="Q73" s="395"/>
      <c r="R73" s="531" t="b">
        <f t="shared" si="8"/>
        <v>1</v>
      </c>
      <c r="W73" s="385" t="b">
        <f t="shared" si="9"/>
        <v>1</v>
      </c>
      <c r="X73" s="682">
        <f t="shared" si="10"/>
        <v>0</v>
      </c>
    </row>
    <row r="74" spans="1:24" ht="33.75" x14ac:dyDescent="0.25">
      <c r="A74" s="269">
        <f>'Collection Worksheet'!A87</f>
        <v>511</v>
      </c>
      <c r="B74" s="280" t="str">
        <f>'Collection Worksheet'!C87</f>
        <v>Electric Fund Net Position Statement</v>
      </c>
      <c r="C74" s="267" t="str">
        <f>'Collection Worksheet'!D87</f>
        <v>Amount of inventories and prepaids</v>
      </c>
      <c r="D74" s="392"/>
      <c r="E74" s="665">
        <f>'Collection Worksheet'!F87</f>
        <v>0</v>
      </c>
      <c r="F74" s="253">
        <f>IF(L74&lt;0,"Error: Number is normally positive.",)</f>
        <v>0</v>
      </c>
      <c r="G74" s="337"/>
      <c r="H74" s="244">
        <f>'Collection Worksheet'!I87</f>
        <v>0</v>
      </c>
      <c r="I74" s="231"/>
      <c r="J74" s="238">
        <v>511</v>
      </c>
      <c r="K74" s="228" t="s">
        <v>311</v>
      </c>
      <c r="L74" s="304">
        <f t="shared" si="6"/>
        <v>0</v>
      </c>
      <c r="P74" s="385"/>
      <c r="R74" s="531" t="b">
        <f t="shared" si="8"/>
        <v>1</v>
      </c>
      <c r="W74" s="385" t="b">
        <f t="shared" si="9"/>
        <v>1</v>
      </c>
      <c r="X74" s="682">
        <f t="shared" si="10"/>
        <v>0</v>
      </c>
    </row>
    <row r="75" spans="1:24" s="4" customFormat="1" ht="90" x14ac:dyDescent="0.25">
      <c r="A75" s="269">
        <f>'Collection Worksheet'!A88</f>
        <v>47</v>
      </c>
      <c r="B75" s="280" t="str">
        <f>'Collection Worksheet'!C88</f>
        <v>Electric Fund Net Position Statement</v>
      </c>
      <c r="C75" s="288" t="str">
        <f>'Collection Worksheet'!D88</f>
        <v>Total Current assets.  
Include amounts of prepaids and inventory.  
Exclude any current assets identified as restricted.
Exclude "Advance To:-portion of interfund loans with repayment longer than 12 months</v>
      </c>
      <c r="D75" s="392"/>
      <c r="E75" s="665">
        <f>'Collection Worksheet'!F88</f>
        <v>0</v>
      </c>
      <c r="F75" s="253">
        <f>IF((L71+L72+L74)&gt;L75,"Error: Please review components above acct (90+91+511&gt;47)",)</f>
        <v>0</v>
      </c>
      <c r="G75" s="394" t="str">
        <f>IF(Q75=1," Included in error count"," ")</f>
        <v xml:space="preserve"> </v>
      </c>
      <c r="H75" s="244">
        <f>'Collection Worksheet'!I88</f>
        <v>0</v>
      </c>
      <c r="I75" s="231"/>
      <c r="J75" s="238">
        <v>47</v>
      </c>
      <c r="K75" s="228" t="s">
        <v>144</v>
      </c>
      <c r="L75" s="304">
        <f t="shared" si="6"/>
        <v>0</v>
      </c>
      <c r="P75" s="385"/>
      <c r="Q75" s="395">
        <f>IF((L71+L72+L74)&gt;L75,1,)</f>
        <v>0</v>
      </c>
      <c r="R75" s="531" t="b">
        <f t="shared" si="8"/>
        <v>1</v>
      </c>
      <c r="W75" s="385" t="b">
        <f t="shared" si="9"/>
        <v>1</v>
      </c>
      <c r="X75" s="682">
        <f t="shared" si="10"/>
        <v>0</v>
      </c>
    </row>
    <row r="76" spans="1:24" ht="45" customHeight="1" x14ac:dyDescent="0.25">
      <c r="A76" s="269">
        <f>'Collection Worksheet'!A89</f>
        <v>382</v>
      </c>
      <c r="B76" s="280" t="str">
        <f>'Collection Worksheet'!C89</f>
        <v>Electric Fund Net Position Statement</v>
      </c>
      <c r="C76" s="267" t="str">
        <f>'Collection Worksheet'!D89</f>
        <v>Total Assets and deferred outflows</v>
      </c>
      <c r="D76" s="392"/>
      <c r="E76" s="665">
        <f>'Collection Worksheet'!F89</f>
        <v>0</v>
      </c>
      <c r="F76" s="252"/>
      <c r="G76" s="337"/>
      <c r="H76" s="244">
        <f>'Collection Worksheet'!I89</f>
        <v>0</v>
      </c>
      <c r="I76" s="231"/>
      <c r="J76" s="238">
        <v>382</v>
      </c>
      <c r="K76" s="228" t="s">
        <v>133</v>
      </c>
      <c r="L76" s="304">
        <f t="shared" si="6"/>
        <v>0</v>
      </c>
      <c r="P76" s="385"/>
      <c r="R76" s="531" t="b">
        <f t="shared" si="8"/>
        <v>1</v>
      </c>
      <c r="W76" s="385" t="b">
        <f t="shared" si="9"/>
        <v>1</v>
      </c>
      <c r="X76" s="682">
        <f t="shared" si="10"/>
        <v>0</v>
      </c>
    </row>
    <row r="77" spans="1:24" ht="33.75" x14ac:dyDescent="0.25">
      <c r="A77" s="269">
        <f>'Collection Worksheet'!A90</f>
        <v>360</v>
      </c>
      <c r="B77" s="280" t="str">
        <f>'Collection Worksheet'!C90</f>
        <v>Electric Fund Net Position Statement</v>
      </c>
      <c r="C77" s="267" t="str">
        <f>'Collection Worksheet'!D90</f>
        <v>Total liabilities and total deferred inflows</v>
      </c>
      <c r="D77" s="392"/>
      <c r="E77" s="665">
        <f>'Collection Worksheet'!F90</f>
        <v>0</v>
      </c>
      <c r="F77" s="253">
        <f>IF(L77&lt;0,"Error: Enter as a positive.",)</f>
        <v>0</v>
      </c>
      <c r="G77" s="337"/>
      <c r="H77" s="244">
        <f>'Collection Worksheet'!I90</f>
        <v>0</v>
      </c>
      <c r="I77" s="231"/>
      <c r="J77" s="238">
        <v>360</v>
      </c>
      <c r="K77" s="291" t="s">
        <v>147</v>
      </c>
      <c r="L77" s="304">
        <f t="shared" si="6"/>
        <v>0</v>
      </c>
      <c r="P77" s="385"/>
      <c r="R77" s="531" t="b">
        <f t="shared" si="8"/>
        <v>1</v>
      </c>
      <c r="W77" s="385" t="b">
        <f t="shared" si="9"/>
        <v>1</v>
      </c>
      <c r="X77" s="682">
        <f t="shared" si="10"/>
        <v>0</v>
      </c>
    </row>
    <row r="78" spans="1:24" s="268" customFormat="1" ht="45" x14ac:dyDescent="0.25">
      <c r="A78" s="403">
        <f>'Collection Worksheet'!A91</f>
        <v>580</v>
      </c>
      <c r="B78" s="404" t="str">
        <f>'Collection Worksheet'!C91</f>
        <v>Electric Fund Net Position Statement</v>
      </c>
      <c r="C78" s="402" t="str">
        <f>'Collection Worksheet'!D91</f>
        <v>Electric Fund - Advance From:
Interfund loans payable-portion of repayment plan longer than 12 months</v>
      </c>
      <c r="D78" s="392"/>
      <c r="E78" s="665">
        <f>'Collection Worksheet'!F91</f>
        <v>0</v>
      </c>
      <c r="F78" s="253"/>
      <c r="G78" s="337"/>
      <c r="H78" s="244"/>
      <c r="I78" s="231"/>
      <c r="J78" s="400">
        <v>580</v>
      </c>
      <c r="K78" s="291" t="s">
        <v>689</v>
      </c>
      <c r="L78" s="401">
        <f t="shared" si="6"/>
        <v>0</v>
      </c>
      <c r="P78" s="385"/>
      <c r="Q78" s="395"/>
      <c r="R78" s="531" t="b">
        <f t="shared" si="8"/>
        <v>1</v>
      </c>
      <c r="W78" s="385" t="b">
        <f t="shared" si="9"/>
        <v>1</v>
      </c>
      <c r="X78" s="682">
        <f t="shared" si="10"/>
        <v>0</v>
      </c>
    </row>
    <row r="79" spans="1:24" ht="276" customHeight="1" x14ac:dyDescent="0.25">
      <c r="A79" s="269">
        <f>'Collection Worksheet'!A92</f>
        <v>48</v>
      </c>
      <c r="B79" s="280" t="str">
        <f>'Collection Worksheet'!C92</f>
        <v>Electric Fund Net Position Statement</v>
      </c>
      <c r="C79" s="267" t="str">
        <f>'Collection Worksheet'!D92</f>
        <v>Current liabilities.  
Include:   Current portions of long-term debt
Exclude:  "Advance From"-portion of interfund loans with repayment longer than 12 months,
                   Bond anticipation notes, 
                   Compensated absences, 
                   Pension liabilities, 
                   Other post-employment liabilities (OPEB), 
                   Closure/postclosure liabilities, 
                   Payables from restricted assets
                   Deferred inflows.</v>
      </c>
      <c r="D79" s="392"/>
      <c r="E79" s="665">
        <f>'Collection Worksheet'!F92</f>
        <v>0</v>
      </c>
      <c r="F79" s="253">
        <f>IF(L79&lt;0,"Error: Enter as a positive.",)</f>
        <v>0</v>
      </c>
      <c r="G79" s="337"/>
      <c r="H79" s="244">
        <f>'Collection Worksheet'!I92</f>
        <v>0</v>
      </c>
      <c r="I79" s="231"/>
      <c r="J79" s="238">
        <v>48</v>
      </c>
      <c r="K79" s="291" t="s">
        <v>145</v>
      </c>
      <c r="L79" s="304">
        <f t="shared" si="6"/>
        <v>0</v>
      </c>
      <c r="P79" s="385"/>
      <c r="R79" s="531" t="b">
        <f t="shared" si="8"/>
        <v>1</v>
      </c>
      <c r="W79" s="385" t="b">
        <f t="shared" si="9"/>
        <v>1</v>
      </c>
      <c r="X79" s="682">
        <f t="shared" si="10"/>
        <v>0</v>
      </c>
    </row>
    <row r="80" spans="1:24" ht="42.75" customHeight="1" x14ac:dyDescent="0.25">
      <c r="A80" s="269">
        <f>'Collection Worksheet'!A93</f>
        <v>384</v>
      </c>
      <c r="B80" s="280" t="str">
        <f>'Collection Worksheet'!C93</f>
        <v>Electric Fund Net Position Statement</v>
      </c>
      <c r="C80" s="267" t="str">
        <f>'Collection Worksheet'!D93</f>
        <v>Unearned revenue (arising from cash receipts) that were included in Current Liabilities above</v>
      </c>
      <c r="D80" s="392"/>
      <c r="E80" s="665">
        <f>'Collection Worksheet'!F93</f>
        <v>0</v>
      </c>
      <c r="F80" s="390">
        <f>IF(L80&lt;0,"Error: Enter as a positive.",)</f>
        <v>0</v>
      </c>
      <c r="G80" s="337"/>
      <c r="H80" s="244">
        <f>'Collection Worksheet'!I93</f>
        <v>0</v>
      </c>
      <c r="I80" s="231"/>
      <c r="J80" s="238">
        <v>384</v>
      </c>
      <c r="K80" s="290" t="s">
        <v>146</v>
      </c>
      <c r="L80" s="304">
        <f t="shared" si="6"/>
        <v>0</v>
      </c>
      <c r="P80" s="385"/>
      <c r="Q80" s="405"/>
      <c r="R80" s="531" t="b">
        <f t="shared" si="8"/>
        <v>1</v>
      </c>
      <c r="W80" s="385" t="b">
        <f t="shared" si="9"/>
        <v>1</v>
      </c>
      <c r="X80" s="682">
        <f t="shared" si="10"/>
        <v>0</v>
      </c>
    </row>
    <row r="81" spans="1:24" ht="101.25" customHeight="1" x14ac:dyDescent="0.25">
      <c r="A81" s="269">
        <f>'Collection Worksheet'!A94</f>
        <v>361</v>
      </c>
      <c r="B81" s="280" t="str">
        <f>'Collection Worksheet'!C94</f>
        <v>Electric Fund Net Position Statement</v>
      </c>
      <c r="C81" s="267" t="str">
        <f>'Collection Worksheet'!D94</f>
        <v>Total net position, unrestricted - Amount of negative unrestricted net position should be entered as a negative amount and the amount of positive unrestricted net position should be entered as a positive amount.</v>
      </c>
      <c r="D81" s="392"/>
      <c r="E81" s="665">
        <f>'Collection Worksheet'!F94</f>
        <v>0</v>
      </c>
      <c r="F81" s="253"/>
      <c r="G81" s="337"/>
      <c r="H81" s="244">
        <f>'Collection Worksheet'!I94</f>
        <v>0</v>
      </c>
      <c r="I81" s="231"/>
      <c r="J81" s="238">
        <v>361</v>
      </c>
      <c r="K81" s="228" t="s">
        <v>125</v>
      </c>
      <c r="L81" s="304">
        <f t="shared" si="6"/>
        <v>0</v>
      </c>
      <c r="P81" s="385"/>
      <c r="R81" s="531" t="b">
        <f t="shared" si="8"/>
        <v>1</v>
      </c>
      <c r="W81" s="385" t="b">
        <f t="shared" si="9"/>
        <v>1</v>
      </c>
      <c r="X81" s="682">
        <f t="shared" si="10"/>
        <v>0</v>
      </c>
    </row>
    <row r="82" spans="1:24" ht="79.5" customHeight="1" x14ac:dyDescent="0.25">
      <c r="A82" s="269">
        <f>'Collection Worksheet'!A95</f>
        <v>362</v>
      </c>
      <c r="B82" s="280" t="str">
        <f>'Collection Worksheet'!C95</f>
        <v>Electric Fund Net Position Statement</v>
      </c>
      <c r="C82" s="267" t="str">
        <f>'Collection Worksheet'!D95</f>
        <v>Total net position</v>
      </c>
      <c r="D82" s="392"/>
      <c r="E82" s="665">
        <f>'Collection Worksheet'!F95</f>
        <v>0</v>
      </c>
      <c r="F82" s="253">
        <f>IF(+L76-L77-L82=0,,"Error: Total assets less total liabilities do not equal net position acct 382-360-362=0")</f>
        <v>0</v>
      </c>
      <c r="G82" s="417">
        <f>L76-L77-L82</f>
        <v>0</v>
      </c>
      <c r="H82" s="244">
        <f>'Collection Worksheet'!I95</f>
        <v>0</v>
      </c>
      <c r="I82" s="231"/>
      <c r="J82" s="238">
        <v>362</v>
      </c>
      <c r="K82" s="228" t="s">
        <v>126</v>
      </c>
      <c r="L82" s="304">
        <f t="shared" si="6"/>
        <v>0</v>
      </c>
      <c r="O82" s="217" t="e">
        <f>'Collection Worksheet'!E95</f>
        <v>#N/A</v>
      </c>
      <c r="P82" s="385"/>
      <c r="Q82" s="395">
        <f>IF(+L76-L77-L82=0,0,1)</f>
        <v>0</v>
      </c>
      <c r="R82" s="531" t="b">
        <f t="shared" si="8"/>
        <v>1</v>
      </c>
      <c r="W82" s="385" t="b">
        <f t="shared" si="9"/>
        <v>1</v>
      </c>
      <c r="X82" s="682">
        <f t="shared" si="10"/>
        <v>0</v>
      </c>
    </row>
    <row r="83" spans="1:24" ht="67.5" x14ac:dyDescent="0.25">
      <c r="A83" s="269">
        <f>'Collection Worksheet'!A100</f>
        <v>88</v>
      </c>
      <c r="B83" s="280" t="str">
        <f>'Collection Worksheet'!C100</f>
        <v>Water Sewer Revenue, Expenses &amp; Changes in Fund Net Position</v>
      </c>
      <c r="C83" s="267" t="str">
        <f>'Collection Worksheet'!D100</f>
        <v>Charges for services. 
Exclude tap, capacity fees and other misc. income .</v>
      </c>
      <c r="D83" s="392"/>
      <c r="E83" s="665">
        <f>'Collection Worksheet'!F100</f>
        <v>0</v>
      </c>
      <c r="F83" s="253"/>
      <c r="G83" s="337"/>
      <c r="H83" s="244">
        <f>'Collection Worksheet'!I100</f>
        <v>0</v>
      </c>
      <c r="I83" s="231"/>
      <c r="J83" s="238">
        <v>88</v>
      </c>
      <c r="K83" s="228" t="s">
        <v>312</v>
      </c>
      <c r="L83" s="304">
        <f t="shared" si="6"/>
        <v>0</v>
      </c>
      <c r="P83" s="385"/>
      <c r="R83" s="531" t="b">
        <f t="shared" si="8"/>
        <v>1</v>
      </c>
      <c r="W83" s="385" t="b">
        <f t="shared" si="9"/>
        <v>1</v>
      </c>
      <c r="X83" s="682">
        <f t="shared" si="10"/>
        <v>0</v>
      </c>
    </row>
    <row r="84" spans="1:24" ht="67.5" x14ac:dyDescent="0.25">
      <c r="A84" s="269">
        <f>'Collection Worksheet'!A101</f>
        <v>84</v>
      </c>
      <c r="B84" s="280" t="str">
        <f>'Collection Worksheet'!C101</f>
        <v>Water Sewer Revenue, Expenses &amp; Changes in Fund Net Position</v>
      </c>
      <c r="C84" s="267" t="str">
        <f>'Collection Worksheet'!D101</f>
        <v>Total Operating revenues</v>
      </c>
      <c r="D84" s="392"/>
      <c r="E84" s="665">
        <f>'Collection Worksheet'!F101</f>
        <v>0</v>
      </c>
      <c r="F84" s="253" t="str">
        <f>IF(L83&gt;L84,"Error: Charges for services exceed total operating revenues. Acct # 83&gt;84"," ")</f>
        <v xml:space="preserve"> </v>
      </c>
      <c r="G84" s="394" t="str">
        <f>IF(Q84=1," Included in error count"," ")</f>
        <v xml:space="preserve"> </v>
      </c>
      <c r="H84" s="244">
        <f>'Collection Worksheet'!I101</f>
        <v>0</v>
      </c>
      <c r="I84" s="231"/>
      <c r="J84" s="238">
        <v>84</v>
      </c>
      <c r="K84" s="228" t="s">
        <v>313</v>
      </c>
      <c r="L84" s="304">
        <f t="shared" si="6"/>
        <v>0</v>
      </c>
      <c r="P84" s="385"/>
      <c r="Q84" s="395">
        <f>IF(L83&gt;L84,1,)</f>
        <v>0</v>
      </c>
      <c r="R84" s="531" t="b">
        <f t="shared" si="8"/>
        <v>1</v>
      </c>
      <c r="W84" s="385" t="b">
        <f t="shared" si="9"/>
        <v>1</v>
      </c>
      <c r="X84" s="682">
        <f t="shared" si="10"/>
        <v>0</v>
      </c>
    </row>
    <row r="85" spans="1:24" ht="67.5" x14ac:dyDescent="0.25">
      <c r="A85" s="269">
        <f>'Collection Worksheet'!A102</f>
        <v>49</v>
      </c>
      <c r="B85" s="280" t="str">
        <f>'Collection Worksheet'!C102</f>
        <v>Water Sewer Revenue, Expenses &amp; Changes in Fund Net Position</v>
      </c>
      <c r="C85" s="267" t="str">
        <f>'Collection Worksheet'!D102</f>
        <v>Depreciation and amortization expense</v>
      </c>
      <c r="D85" s="392"/>
      <c r="E85" s="665">
        <f>'Collection Worksheet'!F102</f>
        <v>0</v>
      </c>
      <c r="F85" s="253">
        <f>IF(L85&lt;0,"Error: Enter as a positive.",)</f>
        <v>0</v>
      </c>
      <c r="G85" s="337"/>
      <c r="H85" s="244">
        <f>'Collection Worksheet'!I102</f>
        <v>0</v>
      </c>
      <c r="I85" s="231"/>
      <c r="J85" s="238">
        <v>49</v>
      </c>
      <c r="K85" s="228" t="s">
        <v>314</v>
      </c>
      <c r="L85" s="304">
        <f t="shared" si="6"/>
        <v>0</v>
      </c>
      <c r="P85" s="385"/>
      <c r="R85" s="531" t="b">
        <f t="shared" si="8"/>
        <v>1</v>
      </c>
      <c r="W85" s="385" t="b">
        <f t="shared" si="9"/>
        <v>1</v>
      </c>
      <c r="X85" s="682">
        <f t="shared" si="10"/>
        <v>0</v>
      </c>
    </row>
    <row r="86" spans="1:24" ht="67.5" x14ac:dyDescent="0.25">
      <c r="A86" s="269">
        <f>'Collection Worksheet'!A103</f>
        <v>85</v>
      </c>
      <c r="B86" s="280" t="str">
        <f>'Collection Worksheet'!C103</f>
        <v>Water Sewer Revenue, Expenses &amp; Changes in Fund Net Position</v>
      </c>
      <c r="C86" s="267" t="str">
        <f>'Collection Worksheet'!D103</f>
        <v>Total Operating expenses</v>
      </c>
      <c r="D86" s="392"/>
      <c r="E86" s="665">
        <f>'Collection Worksheet'!F103</f>
        <v>0</v>
      </c>
      <c r="F86" s="253">
        <f>IF(L86&lt;0,"Error: Enter as a positive.",)</f>
        <v>0</v>
      </c>
      <c r="G86" s="337"/>
      <c r="H86" s="244">
        <f>'Collection Worksheet'!I103</f>
        <v>0</v>
      </c>
      <c r="I86" s="231"/>
      <c r="J86" s="238">
        <v>85</v>
      </c>
      <c r="K86" s="228" t="s">
        <v>315</v>
      </c>
      <c r="L86" s="304">
        <f t="shared" si="6"/>
        <v>0</v>
      </c>
      <c r="P86" s="385"/>
      <c r="R86" s="531" t="b">
        <f t="shared" si="8"/>
        <v>1</v>
      </c>
      <c r="W86" s="385" t="b">
        <f t="shared" si="9"/>
        <v>1</v>
      </c>
      <c r="X86" s="682">
        <f t="shared" si="10"/>
        <v>0</v>
      </c>
    </row>
    <row r="87" spans="1:24" ht="67.5" x14ac:dyDescent="0.25">
      <c r="A87" s="269">
        <f>'Collection Worksheet'!A104</f>
        <v>89</v>
      </c>
      <c r="B87" s="280" t="str">
        <f>'Collection Worksheet'!C104</f>
        <v>Water Sewer Revenue, Expenses &amp; Changes in Fund Net Position</v>
      </c>
      <c r="C87" s="267" t="str">
        <f>'Collection Worksheet'!D104</f>
        <v>Interest expense</v>
      </c>
      <c r="D87" s="392"/>
      <c r="E87" s="665">
        <f>'Collection Worksheet'!F104</f>
        <v>0</v>
      </c>
      <c r="F87" s="253">
        <f>IF(L87&lt;0,"Error: Enter as a positive.",)</f>
        <v>0</v>
      </c>
      <c r="G87" s="337"/>
      <c r="H87" s="244">
        <f>'Collection Worksheet'!I104</f>
        <v>0</v>
      </c>
      <c r="I87" s="231"/>
      <c r="J87" s="238">
        <v>89</v>
      </c>
      <c r="K87" s="228" t="s">
        <v>316</v>
      </c>
      <c r="L87" s="304">
        <f t="shared" si="6"/>
        <v>0</v>
      </c>
      <c r="P87" s="385"/>
      <c r="R87" s="531" t="b">
        <f t="shared" si="8"/>
        <v>1</v>
      </c>
      <c r="W87" s="385" t="b">
        <f t="shared" si="9"/>
        <v>1</v>
      </c>
      <c r="X87" s="682">
        <f t="shared" si="10"/>
        <v>0</v>
      </c>
    </row>
    <row r="88" spans="1:24" ht="67.5" x14ac:dyDescent="0.25">
      <c r="A88" s="269">
        <f>'Collection Worksheet'!A105</f>
        <v>350</v>
      </c>
      <c r="B88" s="280" t="str">
        <f>'Collection Worksheet'!C105</f>
        <v>Water Sewer Revenue, Expenses &amp; Changes in Fund Net Position</v>
      </c>
      <c r="C88" s="267" t="str">
        <f>'Collection Worksheet'!D105</f>
        <v>Total all non-operating revenues  
Exclude Capital contributions.</v>
      </c>
      <c r="D88" s="392"/>
      <c r="E88" s="665">
        <f>'Collection Worksheet'!F105</f>
        <v>0</v>
      </c>
      <c r="F88" s="253"/>
      <c r="G88" s="337"/>
      <c r="H88" s="244">
        <f>'Collection Worksheet'!I105</f>
        <v>0</v>
      </c>
      <c r="I88" s="231"/>
      <c r="J88" s="238">
        <v>350</v>
      </c>
      <c r="K88" s="228" t="s">
        <v>317</v>
      </c>
      <c r="L88" s="304">
        <f t="shared" si="6"/>
        <v>0</v>
      </c>
      <c r="P88" s="385"/>
      <c r="R88" s="531" t="b">
        <f t="shared" si="8"/>
        <v>1</v>
      </c>
      <c r="W88" s="385" t="b">
        <f t="shared" si="9"/>
        <v>1</v>
      </c>
      <c r="X88" s="682">
        <f t="shared" si="10"/>
        <v>0</v>
      </c>
    </row>
    <row r="89" spans="1:24" ht="67.5" x14ac:dyDescent="0.25">
      <c r="A89" s="269">
        <f>'Collection Worksheet'!A106</f>
        <v>351</v>
      </c>
      <c r="B89" s="280" t="str">
        <f>'Collection Worksheet'!C106</f>
        <v>Water Sewer Revenue, Expenses &amp; Changes in Fund Net Position</v>
      </c>
      <c r="C89" s="267" t="str">
        <f>'Collection Worksheet'!D106</f>
        <v>Total all non-operating expenses.  
Include any negative special, extraordinary, or capital contribution.</v>
      </c>
      <c r="D89" s="392"/>
      <c r="E89" s="665">
        <f>'Collection Worksheet'!F106</f>
        <v>0</v>
      </c>
      <c r="F89" s="253">
        <f>IF(L89&lt;0,"Error: Enter as a positive.",)</f>
        <v>0</v>
      </c>
      <c r="G89" s="337"/>
      <c r="H89" s="244">
        <f>'Collection Worksheet'!I106</f>
        <v>0</v>
      </c>
      <c r="I89" s="231"/>
      <c r="J89" s="238">
        <v>351</v>
      </c>
      <c r="K89" s="228" t="s">
        <v>318</v>
      </c>
      <c r="L89" s="304">
        <f t="shared" si="6"/>
        <v>0</v>
      </c>
      <c r="P89" s="385"/>
      <c r="R89" s="531" t="b">
        <f t="shared" si="8"/>
        <v>1</v>
      </c>
      <c r="W89" s="385" t="b">
        <f t="shared" si="9"/>
        <v>1</v>
      </c>
      <c r="X89" s="682">
        <f t="shared" si="10"/>
        <v>0</v>
      </c>
    </row>
    <row r="90" spans="1:24" ht="67.5" x14ac:dyDescent="0.25">
      <c r="A90" s="269">
        <f>'Collection Worksheet'!A107</f>
        <v>191</v>
      </c>
      <c r="B90" s="280" t="str">
        <f>'Collection Worksheet'!C107</f>
        <v>Water Sewer Revenue, Expenses &amp; Changes in Fund Net Position</v>
      </c>
      <c r="C90" s="267" t="str">
        <f>'Collection Worksheet'!D107</f>
        <v>Capital contributions. Only include positive capital contributions.  Negative capital contributions should be included with 'Total all non-operating expenses.'</v>
      </c>
      <c r="D90" s="392"/>
      <c r="E90" s="665">
        <f>'Collection Worksheet'!F107</f>
        <v>0</v>
      </c>
      <c r="F90" s="253">
        <f>IF(L90&lt;0,"Error: Enter as a positive.",)</f>
        <v>0</v>
      </c>
      <c r="G90" s="337"/>
      <c r="H90" s="244">
        <f>'Collection Worksheet'!I107</f>
        <v>0</v>
      </c>
      <c r="I90" s="231"/>
      <c r="J90" s="238">
        <v>191</v>
      </c>
      <c r="K90" s="228" t="s">
        <v>319</v>
      </c>
      <c r="L90" s="304">
        <f t="shared" si="6"/>
        <v>0</v>
      </c>
      <c r="P90" s="385"/>
      <c r="R90" s="531" t="b">
        <f t="shared" si="8"/>
        <v>1</v>
      </c>
      <c r="W90" s="385" t="b">
        <f t="shared" si="9"/>
        <v>1</v>
      </c>
      <c r="X90" s="682">
        <f t="shared" si="10"/>
        <v>0</v>
      </c>
    </row>
    <row r="91" spans="1:24" ht="67.5" x14ac:dyDescent="0.25">
      <c r="A91" s="269">
        <f>'Collection Worksheet'!A108</f>
        <v>352</v>
      </c>
      <c r="B91" s="280" t="str">
        <f>'Collection Worksheet'!C108</f>
        <v>Water Sewer Revenue, Expenses &amp; Changes in Fund Net Position</v>
      </c>
      <c r="C91" s="267" t="str">
        <f>'Collection Worksheet'!D108</f>
        <v>Total Transfers in</v>
      </c>
      <c r="D91" s="392"/>
      <c r="E91" s="665">
        <f>'Collection Worksheet'!F108</f>
        <v>0</v>
      </c>
      <c r="F91" s="253">
        <f>IF(L91&lt;0,"Error: Enter as a positive.",)</f>
        <v>0</v>
      </c>
      <c r="G91" s="337"/>
      <c r="H91" s="244">
        <f>'Collection Worksheet'!I108</f>
        <v>0</v>
      </c>
      <c r="I91" s="231"/>
      <c r="J91" s="238">
        <v>352</v>
      </c>
      <c r="K91" s="228" t="s">
        <v>320</v>
      </c>
      <c r="L91" s="304">
        <f t="shared" si="6"/>
        <v>0</v>
      </c>
      <c r="P91" s="385"/>
      <c r="R91" s="531" t="b">
        <f t="shared" si="8"/>
        <v>1</v>
      </c>
      <c r="W91" s="385" t="b">
        <f t="shared" si="9"/>
        <v>1</v>
      </c>
      <c r="X91" s="682">
        <f t="shared" si="10"/>
        <v>0</v>
      </c>
    </row>
    <row r="92" spans="1:24" ht="67.5" x14ac:dyDescent="0.25">
      <c r="A92" s="269">
        <f>'Collection Worksheet'!A109</f>
        <v>353</v>
      </c>
      <c r="B92" s="280" t="str">
        <f>'Collection Worksheet'!C109</f>
        <v>Water Sewer Revenue, Expenses &amp; Changes in Fund Net Position</v>
      </c>
      <c r="C92" s="267" t="str">
        <f>'Collection Worksheet'!D109</f>
        <v>Total Transfers out</v>
      </c>
      <c r="D92" s="392"/>
      <c r="E92" s="665">
        <f>'Collection Worksheet'!F109</f>
        <v>0</v>
      </c>
      <c r="F92" s="253">
        <f>IF(L92&lt;0,"Error: Enter as a positive.",)</f>
        <v>0</v>
      </c>
      <c r="G92" s="337"/>
      <c r="H92" s="244">
        <f>'Collection Worksheet'!I109</f>
        <v>0</v>
      </c>
      <c r="I92" s="231"/>
      <c r="J92" s="236">
        <v>353</v>
      </c>
      <c r="K92" s="228" t="s">
        <v>321</v>
      </c>
      <c r="L92" s="304">
        <f t="shared" si="6"/>
        <v>0</v>
      </c>
      <c r="P92" s="385"/>
      <c r="R92" s="531" t="b">
        <f t="shared" si="8"/>
        <v>1</v>
      </c>
      <c r="W92" s="385" t="b">
        <f t="shared" si="9"/>
        <v>1</v>
      </c>
      <c r="X92" s="682">
        <f t="shared" si="10"/>
        <v>0</v>
      </c>
    </row>
    <row r="93" spans="1:24" ht="63.75" customHeight="1" x14ac:dyDescent="0.25">
      <c r="A93" s="269">
        <f>'Collection Worksheet'!A110</f>
        <v>50</v>
      </c>
      <c r="B93" s="280" t="str">
        <f>'Collection Worksheet'!C110</f>
        <v>Water Sewer Revenue, Expenses &amp; Changes in Fund Net Position</v>
      </c>
      <c r="C93" s="267" t="str">
        <f>'Collection Worksheet'!D110</f>
        <v>Change in net position - Increase in net position is recorded as a positive and a (Decrease) in net position is recorded as a negative.</v>
      </c>
      <c r="D93" s="392"/>
      <c r="E93" s="665">
        <f>'Collection Worksheet'!F110</f>
        <v>0</v>
      </c>
      <c r="F93" s="390">
        <f>IF(L84-L86+L88-L89+L91+L90-L92-L93=0,,"Error:Total revenues less total expenses do not equal total change in net position. Acct # 84-85+350-351+191+352-353-50")</f>
        <v>0</v>
      </c>
      <c r="G93" s="417">
        <f>L84-L86+L88-L89+L90+L91-L92-L93</f>
        <v>0</v>
      </c>
      <c r="H93" s="244">
        <f>'Collection Worksheet'!I110</f>
        <v>0</v>
      </c>
      <c r="I93" s="231"/>
      <c r="J93" s="238">
        <v>50</v>
      </c>
      <c r="K93" s="228" t="s">
        <v>119</v>
      </c>
      <c r="L93" s="304">
        <f t="shared" si="6"/>
        <v>0</v>
      </c>
      <c r="P93" s="385"/>
      <c r="Q93" s="395">
        <f>IF(G93&lt;&gt;0,1,)</f>
        <v>0</v>
      </c>
      <c r="R93" s="531" t="b">
        <f t="shared" si="8"/>
        <v>1</v>
      </c>
      <c r="W93" s="385" t="b">
        <f t="shared" si="9"/>
        <v>1</v>
      </c>
      <c r="X93" s="682">
        <f t="shared" si="10"/>
        <v>0</v>
      </c>
    </row>
    <row r="94" spans="1:24" ht="105" x14ac:dyDescent="0.25">
      <c r="A94" s="269">
        <f>'Collection Worksheet'!A111</f>
        <v>377</v>
      </c>
      <c r="B94" s="280" t="str">
        <f>'Collection Worksheet'!C111</f>
        <v>Water Sewer Revenue, Expenses &amp; Changes in Fund Net Position</v>
      </c>
      <c r="C94" s="267" t="str">
        <f>'Collection Worksheet'!D111</f>
        <v>Increases or (decreases) to beginning water sewer net position due to rounding, prior period adjustments and restatements.  Increase amounts to beginning net position should be entered as a positive amount and (decreases) should be entered as a negative amount.</v>
      </c>
      <c r="D94" s="392"/>
      <c r="E94" s="665">
        <f>'Collection Worksheet'!F111</f>
        <v>0</v>
      </c>
      <c r="F94" s="252" t="e">
        <f>IF(L70-L93-L94=O70,,"Error:Beginning Balance does not agree with out records.Acct # 83-50-377=prior year 83")</f>
        <v>#N/A</v>
      </c>
      <c r="G94" s="417" t="e">
        <f>+L70-L93-L94-O70</f>
        <v>#N/A</v>
      </c>
      <c r="H94" s="244">
        <f>'Collection Worksheet'!I111</f>
        <v>0</v>
      </c>
      <c r="I94" s="231"/>
      <c r="J94" s="238">
        <v>377</v>
      </c>
      <c r="K94" s="228" t="s">
        <v>128</v>
      </c>
      <c r="L94" s="304">
        <f t="shared" si="6"/>
        <v>0</v>
      </c>
      <c r="P94" s="385"/>
      <c r="Q94" s="395" t="e">
        <f>IF(G94&lt;&gt;0,1,)</f>
        <v>#N/A</v>
      </c>
      <c r="R94" s="531" t="b">
        <f t="shared" si="8"/>
        <v>1</v>
      </c>
      <c r="W94" s="385" t="b">
        <f t="shared" si="9"/>
        <v>1</v>
      </c>
      <c r="X94" s="682">
        <f t="shared" si="10"/>
        <v>0</v>
      </c>
    </row>
    <row r="95" spans="1:24" ht="64.5" customHeight="1" x14ac:dyDescent="0.25">
      <c r="A95" s="300">
        <f>'Collection Worksheet'!A112</f>
        <v>537</v>
      </c>
      <c r="B95" s="280" t="str">
        <f>'Collection Worksheet'!C112</f>
        <v>Water Sewer Revenue, Expenses &amp; Changes in Fund Net Position</v>
      </c>
      <c r="C95" s="288" t="str">
        <f>'Collection Worksheet'!D112</f>
        <v>Did unit raise Water Sewer rates during the audited fiscal period? - answer Yes or No</v>
      </c>
      <c r="D95" s="307"/>
      <c r="E95" s="667">
        <f>'Collection Worksheet'!F112</f>
        <v>0</v>
      </c>
      <c r="F95" s="253" t="s">
        <v>669</v>
      </c>
      <c r="G95" s="337"/>
      <c r="H95" s="244">
        <f>'Collection Worksheet'!I112</f>
        <v>0</v>
      </c>
      <c r="I95" s="231"/>
      <c r="J95" s="309">
        <v>537</v>
      </c>
      <c r="K95" s="306" t="s">
        <v>377</v>
      </c>
      <c r="L95" s="497" t="str">
        <f>IF(E95="Yes",1,IF(E95="No",2,""))</f>
        <v/>
      </c>
      <c r="N95" s="298" t="s">
        <v>659</v>
      </c>
      <c r="P95" s="385"/>
      <c r="R95" s="531" t="b">
        <f t="shared" si="8"/>
        <v>1</v>
      </c>
      <c r="W95" s="385" t="b">
        <f t="shared" si="9"/>
        <v>1</v>
      </c>
      <c r="X95" s="682" t="e">
        <f t="shared" si="10"/>
        <v>#VALUE!</v>
      </c>
    </row>
    <row r="96" spans="1:24" ht="63.75" customHeight="1" x14ac:dyDescent="0.25">
      <c r="A96" s="300">
        <f>'Collection Worksheet'!A113</f>
        <v>538</v>
      </c>
      <c r="B96" s="280" t="str">
        <f>'Collection Worksheet'!C113</f>
        <v>Water Sewer Revenue, Expenses &amp; Changes in Fund Net Position</v>
      </c>
      <c r="C96" s="288" t="str">
        <f>'Collection Worksheet'!D113</f>
        <v>Did unit raise Water Sewer rates during the budget year following the audited fiscal year? - answer Yes or No</v>
      </c>
      <c r="D96" s="307"/>
      <c r="E96" s="667">
        <f>'Collection Worksheet'!F113</f>
        <v>0</v>
      </c>
      <c r="F96" s="253" t="s">
        <v>669</v>
      </c>
      <c r="G96" s="337"/>
      <c r="H96" s="244">
        <f>'Collection Worksheet'!I113</f>
        <v>0</v>
      </c>
      <c r="I96" s="231"/>
      <c r="J96" s="309">
        <v>538</v>
      </c>
      <c r="K96" s="306" t="s">
        <v>376</v>
      </c>
      <c r="L96" s="311" t="str">
        <f>IF(E96="Yes",1,IF(E96="No",2,""))</f>
        <v/>
      </c>
      <c r="N96" s="298" t="s">
        <v>659</v>
      </c>
      <c r="P96" s="385"/>
      <c r="R96" s="531" t="b">
        <f t="shared" si="8"/>
        <v>1</v>
      </c>
      <c r="W96" s="385" t="b">
        <f t="shared" si="9"/>
        <v>1</v>
      </c>
      <c r="X96" s="682" t="e">
        <f t="shared" si="10"/>
        <v>#VALUE!</v>
      </c>
    </row>
    <row r="97" spans="1:24" ht="67.5" x14ac:dyDescent="0.25">
      <c r="A97" s="269">
        <f>'Collection Worksheet'!A115</f>
        <v>97</v>
      </c>
      <c r="B97" s="280" t="str">
        <f>'Collection Worksheet'!C115</f>
        <v>Electric Fund Revenue, Expenses &amp; Changes in Fund Net Position</v>
      </c>
      <c r="C97" s="267" t="str">
        <f>'Collection Worksheet'!D115</f>
        <v>Charges for services</v>
      </c>
      <c r="D97" s="254"/>
      <c r="E97" s="665">
        <f>'Collection Worksheet'!F115</f>
        <v>0</v>
      </c>
      <c r="F97" s="253">
        <f>IF(L97&lt;0,"Error: Enter as a positive.",)</f>
        <v>0</v>
      </c>
      <c r="G97" s="337"/>
      <c r="H97" s="244">
        <f>'Collection Worksheet'!I115</f>
        <v>0</v>
      </c>
      <c r="I97" s="231"/>
      <c r="J97" s="238">
        <v>97</v>
      </c>
      <c r="K97" s="228" t="s">
        <v>322</v>
      </c>
      <c r="L97" s="262">
        <f t="shared" ref="L97:L177" si="11">IF(D97="",E97,D97)</f>
        <v>0</v>
      </c>
      <c r="P97" s="385"/>
      <c r="R97" s="531" t="b">
        <f t="shared" si="8"/>
        <v>1</v>
      </c>
      <c r="W97" s="385" t="b">
        <f t="shared" si="9"/>
        <v>1</v>
      </c>
      <c r="X97" s="682">
        <f t="shared" si="10"/>
        <v>0</v>
      </c>
    </row>
    <row r="98" spans="1:24" ht="64.5" customHeight="1" x14ac:dyDescent="0.25">
      <c r="A98" s="269">
        <f>'Collection Worksheet'!A116</f>
        <v>93</v>
      </c>
      <c r="B98" s="280" t="str">
        <f>'Collection Worksheet'!C116</f>
        <v>Electric Fund Revenue, Expenses &amp; Changes in Fund Net Position</v>
      </c>
      <c r="C98" s="267" t="str">
        <f>'Collection Worksheet'!D116</f>
        <v>Total Operating revenues</v>
      </c>
      <c r="D98" s="391"/>
      <c r="E98" s="665">
        <f>'Collection Worksheet'!F116</f>
        <v>0</v>
      </c>
      <c r="F98" s="253" t="str">
        <f>IF(L97&gt;L98,"Error: Charges for services exceeds total operating revenues Acct 97&gt;=93"," ")</f>
        <v xml:space="preserve"> </v>
      </c>
      <c r="G98" s="394" t="str">
        <f>IF(Q98=1," Included in error count"," ")</f>
        <v xml:space="preserve"> </v>
      </c>
      <c r="H98" s="244">
        <f>'Collection Worksheet'!I116</f>
        <v>0</v>
      </c>
      <c r="I98" s="231"/>
      <c r="J98" s="238">
        <v>93</v>
      </c>
      <c r="K98" s="228" t="s">
        <v>323</v>
      </c>
      <c r="L98" s="262">
        <f t="shared" si="11"/>
        <v>0</v>
      </c>
      <c r="P98" s="385"/>
      <c r="Q98" s="395">
        <f>IF(L97&gt;L98,1,0)</f>
        <v>0</v>
      </c>
      <c r="R98" s="531" t="b">
        <f t="shared" si="8"/>
        <v>1</v>
      </c>
      <c r="W98" s="385" t="b">
        <f t="shared" si="9"/>
        <v>1</v>
      </c>
      <c r="X98" s="682">
        <f t="shared" si="10"/>
        <v>0</v>
      </c>
    </row>
    <row r="99" spans="1:24" ht="67.5" x14ac:dyDescent="0.25">
      <c r="A99" s="269">
        <f>'Collection Worksheet'!A117</f>
        <v>99</v>
      </c>
      <c r="B99" s="280" t="str">
        <f>'Collection Worksheet'!C117</f>
        <v>Electric Fund Revenue, Expenses &amp; Changes in Fund Net Position</v>
      </c>
      <c r="C99" s="267" t="str">
        <f>'Collection Worksheet'!D117</f>
        <v>Electrical power purchases</v>
      </c>
      <c r="D99" s="391"/>
      <c r="E99" s="665">
        <f>'Collection Worksheet'!F117</f>
        <v>0</v>
      </c>
      <c r="F99" s="253">
        <f t="shared" ref="F99:F107" si="12">IF(L99&lt;0,"Error: Enter as a positive.",)</f>
        <v>0</v>
      </c>
      <c r="G99" s="337"/>
      <c r="H99" s="244">
        <f>'Collection Worksheet'!I117</f>
        <v>0</v>
      </c>
      <c r="I99" s="231"/>
      <c r="J99" s="238">
        <v>99</v>
      </c>
      <c r="K99" s="228" t="s">
        <v>324</v>
      </c>
      <c r="L99" s="262">
        <f t="shared" si="11"/>
        <v>0</v>
      </c>
      <c r="P99" s="385"/>
      <c r="R99" s="531" t="b">
        <f t="shared" si="8"/>
        <v>1</v>
      </c>
      <c r="W99" s="385" t="b">
        <f t="shared" si="9"/>
        <v>1</v>
      </c>
      <c r="X99" s="682">
        <f t="shared" si="10"/>
        <v>0</v>
      </c>
    </row>
    <row r="100" spans="1:24" ht="67.5" x14ac:dyDescent="0.25">
      <c r="A100" s="269">
        <f>'Collection Worksheet'!A118</f>
        <v>52</v>
      </c>
      <c r="B100" s="280" t="str">
        <f>'Collection Worksheet'!C118</f>
        <v>Electric Fund Revenue, Expenses &amp; Changes in Fund Net Position</v>
      </c>
      <c r="C100" s="267" t="str">
        <f>'Collection Worksheet'!D118</f>
        <v>Depreciation and amortization expense</v>
      </c>
      <c r="D100" s="391"/>
      <c r="E100" s="665">
        <f>'Collection Worksheet'!F118</f>
        <v>0</v>
      </c>
      <c r="F100" s="253">
        <f t="shared" si="12"/>
        <v>0</v>
      </c>
      <c r="G100" s="337"/>
      <c r="H100" s="244">
        <f>'Collection Worksheet'!I118</f>
        <v>0</v>
      </c>
      <c r="I100" s="231"/>
      <c r="J100" s="238">
        <v>52</v>
      </c>
      <c r="K100" s="228" t="s">
        <v>325</v>
      </c>
      <c r="L100" s="262">
        <f t="shared" si="11"/>
        <v>0</v>
      </c>
      <c r="P100" s="385"/>
      <c r="R100" s="531" t="b">
        <f t="shared" si="8"/>
        <v>1</v>
      </c>
      <c r="W100" s="385" t="b">
        <f t="shared" si="9"/>
        <v>1</v>
      </c>
      <c r="X100" s="682">
        <f t="shared" si="10"/>
        <v>0</v>
      </c>
    </row>
    <row r="101" spans="1:24" ht="67.5" x14ac:dyDescent="0.25">
      <c r="A101" s="269">
        <f>'Collection Worksheet'!A119</f>
        <v>94</v>
      </c>
      <c r="B101" s="280" t="str">
        <f>'Collection Worksheet'!C119</f>
        <v>Electric Fund Revenue, Expenses &amp; Changes in Fund Net Position</v>
      </c>
      <c r="C101" s="267" t="str">
        <f>'Collection Worksheet'!D119</f>
        <v>Total Operating expenses</v>
      </c>
      <c r="D101" s="391"/>
      <c r="E101" s="665">
        <f>'Collection Worksheet'!F119</f>
        <v>0</v>
      </c>
      <c r="F101" s="253">
        <f t="shared" si="12"/>
        <v>0</v>
      </c>
      <c r="G101" s="337"/>
      <c r="H101" s="244">
        <f>'Collection Worksheet'!I119</f>
        <v>0</v>
      </c>
      <c r="I101" s="231"/>
      <c r="J101" s="238">
        <v>94</v>
      </c>
      <c r="K101" s="228" t="s">
        <v>326</v>
      </c>
      <c r="L101" s="262">
        <f t="shared" si="11"/>
        <v>0</v>
      </c>
      <c r="P101" s="385"/>
      <c r="R101" s="531" t="b">
        <f t="shared" si="8"/>
        <v>1</v>
      </c>
      <c r="W101" s="385" t="b">
        <f t="shared" si="9"/>
        <v>1</v>
      </c>
      <c r="X101" s="682">
        <f t="shared" si="10"/>
        <v>0</v>
      </c>
    </row>
    <row r="102" spans="1:24" ht="67.5" x14ac:dyDescent="0.25">
      <c r="A102" s="269">
        <f>'Collection Worksheet'!A120</f>
        <v>98</v>
      </c>
      <c r="B102" s="280" t="str">
        <f>'Collection Worksheet'!C120</f>
        <v>Electric Fund Revenue, Expenses &amp; Changes in Fund Net Position</v>
      </c>
      <c r="C102" s="267" t="str">
        <f>'Collection Worksheet'!D120</f>
        <v>Interest expense</v>
      </c>
      <c r="D102" s="391"/>
      <c r="E102" s="665">
        <f>'Collection Worksheet'!F120</f>
        <v>0</v>
      </c>
      <c r="F102" s="253">
        <f t="shared" si="12"/>
        <v>0</v>
      </c>
      <c r="G102" s="337"/>
      <c r="H102" s="244">
        <f>'Collection Worksheet'!I120</f>
        <v>0</v>
      </c>
      <c r="I102" s="231"/>
      <c r="J102" s="238">
        <v>98</v>
      </c>
      <c r="K102" s="228" t="s">
        <v>327</v>
      </c>
      <c r="L102" s="262">
        <f t="shared" si="11"/>
        <v>0</v>
      </c>
      <c r="P102" s="385"/>
      <c r="R102" s="531" t="b">
        <f t="shared" si="8"/>
        <v>1</v>
      </c>
      <c r="W102" s="385" t="b">
        <f t="shared" si="9"/>
        <v>1</v>
      </c>
      <c r="X102" s="682">
        <f t="shared" si="10"/>
        <v>0</v>
      </c>
    </row>
    <row r="103" spans="1:24" ht="67.5" x14ac:dyDescent="0.25">
      <c r="A103" s="269">
        <f>'Collection Worksheet'!A121</f>
        <v>363</v>
      </c>
      <c r="B103" s="280" t="str">
        <f>'Collection Worksheet'!C121</f>
        <v>Electric Fund Revenue, Expenses &amp; Changes in Fund Net Position</v>
      </c>
      <c r="C103" s="267" t="str">
        <f>'Collection Worksheet'!D121</f>
        <v>Total all the non-operating revenues  
Exclude Capital Contributions.</v>
      </c>
      <c r="D103" s="391"/>
      <c r="E103" s="665">
        <f>'Collection Worksheet'!F121</f>
        <v>0</v>
      </c>
      <c r="F103" s="253"/>
      <c r="G103" s="337"/>
      <c r="H103" s="244">
        <f>'Collection Worksheet'!I121</f>
        <v>0</v>
      </c>
      <c r="I103" s="231"/>
      <c r="J103" s="238">
        <v>363</v>
      </c>
      <c r="K103" s="228" t="s">
        <v>328</v>
      </c>
      <c r="L103" s="262">
        <f t="shared" si="11"/>
        <v>0</v>
      </c>
      <c r="P103" s="385"/>
      <c r="R103" s="531" t="b">
        <f t="shared" si="8"/>
        <v>1</v>
      </c>
      <c r="W103" s="385" t="b">
        <f t="shared" si="9"/>
        <v>1</v>
      </c>
      <c r="X103" s="682">
        <f t="shared" si="10"/>
        <v>0</v>
      </c>
    </row>
    <row r="104" spans="1:24" ht="67.5" x14ac:dyDescent="0.25">
      <c r="A104" s="269">
        <f>'Collection Worksheet'!A122</f>
        <v>364</v>
      </c>
      <c r="B104" s="280" t="str">
        <f>'Collection Worksheet'!C122</f>
        <v>Electric Fund Revenue, Expenses &amp; Changes in Fund Net Position</v>
      </c>
      <c r="C104" s="267" t="str">
        <f>'Collection Worksheet'!D122</f>
        <v>Total all non-operating expenses.  
Include negative special, extraordinary, or capital contribution.</v>
      </c>
      <c r="D104" s="391"/>
      <c r="E104" s="665">
        <f>'Collection Worksheet'!F122</f>
        <v>0</v>
      </c>
      <c r="F104" s="253">
        <f t="shared" si="12"/>
        <v>0</v>
      </c>
      <c r="G104" s="337"/>
      <c r="H104" s="244">
        <f>'Collection Worksheet'!I122</f>
        <v>0</v>
      </c>
      <c r="I104" s="231"/>
      <c r="J104" s="238">
        <v>364</v>
      </c>
      <c r="K104" s="228" t="s">
        <v>329</v>
      </c>
      <c r="L104" s="262">
        <f t="shared" si="11"/>
        <v>0</v>
      </c>
      <c r="P104" s="385"/>
      <c r="R104" s="531" t="b">
        <f t="shared" si="8"/>
        <v>1</v>
      </c>
      <c r="W104" s="385" t="b">
        <f t="shared" si="9"/>
        <v>1</v>
      </c>
      <c r="X104" s="682">
        <f t="shared" si="10"/>
        <v>0</v>
      </c>
    </row>
    <row r="105" spans="1:24" ht="75" x14ac:dyDescent="0.25">
      <c r="A105" s="269">
        <f>'Collection Worksheet'!A123</f>
        <v>192</v>
      </c>
      <c r="B105" s="280" t="str">
        <f>'Collection Worksheet'!C123</f>
        <v>Electric Fund Revenue, Expenses &amp; Changes in Fund Net Position</v>
      </c>
      <c r="C105" s="267" t="str">
        <f>'Collection Worksheet'!D123</f>
        <v>Capital Contributions.  
Include only positive capital Contributions.  Negative capital contributions should be included with 'Total all non-operating expenses.'</v>
      </c>
      <c r="D105" s="391"/>
      <c r="E105" s="665">
        <f>'Collection Worksheet'!F123</f>
        <v>0</v>
      </c>
      <c r="F105" s="253">
        <f t="shared" si="12"/>
        <v>0</v>
      </c>
      <c r="G105" s="337"/>
      <c r="H105" s="244">
        <f>'Collection Worksheet'!I123</f>
        <v>0</v>
      </c>
      <c r="I105" s="231"/>
      <c r="J105" s="238">
        <v>192</v>
      </c>
      <c r="K105" s="228" t="s">
        <v>330</v>
      </c>
      <c r="L105" s="262">
        <f t="shared" si="11"/>
        <v>0</v>
      </c>
      <c r="P105" s="385"/>
      <c r="R105" s="531" t="b">
        <f t="shared" si="8"/>
        <v>1</v>
      </c>
      <c r="W105" s="385" t="b">
        <f t="shared" si="9"/>
        <v>1</v>
      </c>
      <c r="X105" s="682">
        <f t="shared" si="10"/>
        <v>0</v>
      </c>
    </row>
    <row r="106" spans="1:24" ht="67.5" x14ac:dyDescent="0.25">
      <c r="A106" s="269">
        <f>'Collection Worksheet'!A124</f>
        <v>365</v>
      </c>
      <c r="B106" s="280" t="str">
        <f>'Collection Worksheet'!C124</f>
        <v>Electric Fund Revenue, Expenses &amp; Changes in Fund Net Position</v>
      </c>
      <c r="C106" s="267" t="str">
        <f>'Collection Worksheet'!D124</f>
        <v>Total Transfers In (From all Funds)</v>
      </c>
      <c r="D106" s="391"/>
      <c r="E106" s="665">
        <f>'Collection Worksheet'!F124</f>
        <v>0</v>
      </c>
      <c r="F106" s="253"/>
      <c r="G106" s="337"/>
      <c r="H106" s="244">
        <f>'Collection Worksheet'!I124</f>
        <v>0</v>
      </c>
      <c r="I106" s="231"/>
      <c r="J106" s="238">
        <v>365</v>
      </c>
      <c r="K106" s="228" t="s">
        <v>331</v>
      </c>
      <c r="L106" s="262">
        <f t="shared" si="11"/>
        <v>0</v>
      </c>
      <c r="P106" s="385"/>
      <c r="R106" s="531" t="b">
        <f t="shared" si="8"/>
        <v>1</v>
      </c>
      <c r="W106" s="385" t="b">
        <f t="shared" si="9"/>
        <v>1</v>
      </c>
      <c r="X106" s="682">
        <f t="shared" si="10"/>
        <v>0</v>
      </c>
    </row>
    <row r="107" spans="1:24" ht="67.5" x14ac:dyDescent="0.25">
      <c r="A107" s="269">
        <f>'Collection Worksheet'!A125</f>
        <v>366</v>
      </c>
      <c r="B107" s="280" t="str">
        <f>'Collection Worksheet'!C125</f>
        <v>Electric Fund Revenue, Expenses &amp; Changes in Fund Net Position</v>
      </c>
      <c r="C107" s="267" t="str">
        <f>'Collection Worksheet'!D125</f>
        <v>Total Transfers Out (To all funds)</v>
      </c>
      <c r="D107" s="391"/>
      <c r="E107" s="665">
        <f>'Collection Worksheet'!F125</f>
        <v>0</v>
      </c>
      <c r="F107" s="253">
        <f t="shared" si="12"/>
        <v>0</v>
      </c>
      <c r="G107" s="337"/>
      <c r="H107" s="244">
        <f>'Collection Worksheet'!I125</f>
        <v>0</v>
      </c>
      <c r="I107" s="231"/>
      <c r="J107" s="238">
        <v>366</v>
      </c>
      <c r="K107" s="228" t="s">
        <v>644</v>
      </c>
      <c r="L107" s="262">
        <f t="shared" si="11"/>
        <v>0</v>
      </c>
      <c r="P107" s="385"/>
      <c r="R107" s="531" t="b">
        <f t="shared" si="8"/>
        <v>1</v>
      </c>
      <c r="W107" s="385" t="b">
        <f t="shared" si="9"/>
        <v>1</v>
      </c>
      <c r="X107" s="682">
        <f t="shared" si="10"/>
        <v>0</v>
      </c>
    </row>
    <row r="108" spans="1:24" ht="84.75" customHeight="1" x14ac:dyDescent="0.25">
      <c r="A108" s="269">
        <f>'Collection Worksheet'!A126</f>
        <v>53</v>
      </c>
      <c r="B108" s="280" t="str">
        <f>'Collection Worksheet'!C126</f>
        <v>Electric Fund Revenue, Expenses &amp; Changes in Fund Net Position</v>
      </c>
      <c r="C108" s="267" t="str">
        <f>'Collection Worksheet'!D126</f>
        <v>Change in net position - Increase in net position is recorded as a positive and a (decrease) in net position is recorded as a negative.</v>
      </c>
      <c r="D108" s="391"/>
      <c r="E108" s="665">
        <f>'Collection Worksheet'!F126</f>
        <v>0</v>
      </c>
      <c r="F108" s="253">
        <f>IF(L98-L101+L103-L104+L105+L106-L107-L108=0,,"Error: Total revenues less total exp. does not equal change in net position Acct 93-94+363-364+192+365-366-53=0")</f>
        <v>0</v>
      </c>
      <c r="G108" s="417">
        <f>+L98-L101+L103-L104+L105+L106-L107-L108</f>
        <v>0</v>
      </c>
      <c r="H108" s="244">
        <f>'Collection Worksheet'!I126</f>
        <v>0</v>
      </c>
      <c r="I108" s="231"/>
      <c r="J108" s="238">
        <v>53</v>
      </c>
      <c r="K108" s="228" t="s">
        <v>120</v>
      </c>
      <c r="L108" s="315">
        <f t="shared" si="11"/>
        <v>0</v>
      </c>
      <c r="O108" s="217"/>
      <c r="P108" s="385"/>
      <c r="Q108" s="395">
        <f>IF(G108&lt;&gt;0,1,)</f>
        <v>0</v>
      </c>
      <c r="R108" s="531" t="b">
        <f t="shared" si="8"/>
        <v>1</v>
      </c>
      <c r="W108" s="385" t="b">
        <f t="shared" si="9"/>
        <v>1</v>
      </c>
      <c r="X108" s="682">
        <f t="shared" si="10"/>
        <v>0</v>
      </c>
    </row>
    <row r="109" spans="1:24" ht="105" x14ac:dyDescent="0.25">
      <c r="A109" s="269">
        <f>'Collection Worksheet'!A127</f>
        <v>378</v>
      </c>
      <c r="B109" s="280" t="str">
        <f>'Collection Worksheet'!C127</f>
        <v>Electric Fund Revenue, Expenses &amp; Changes in Fund Net Position</v>
      </c>
      <c r="C109" s="267" t="str">
        <f>'Collection Worksheet'!D127</f>
        <v>Increases or (decreases) to beginning electric net position due to rounding, prior period adjustments and restatements.  Increase amounts to beginning net position should be entered as a positive amount and (decreases) should be entered as a negative amount.</v>
      </c>
      <c r="D109" s="391"/>
      <c r="E109" s="665">
        <f>'Collection Worksheet'!F127</f>
        <v>0</v>
      </c>
      <c r="F109" s="253" t="e">
        <f>IF(L82-L108-L109=O82,,"Error: Beg. Bal does not agree with our records Acct 362-53-378= pr yr 362")</f>
        <v>#N/A</v>
      </c>
      <c r="G109" s="417" t="e">
        <f>L82-L108-L109-O82</f>
        <v>#N/A</v>
      </c>
      <c r="H109" s="244">
        <f>'Collection Worksheet'!I127</f>
        <v>0</v>
      </c>
      <c r="I109" s="231"/>
      <c r="J109" s="238">
        <v>378</v>
      </c>
      <c r="K109" s="228" t="s">
        <v>129</v>
      </c>
      <c r="L109" s="262">
        <f t="shared" si="11"/>
        <v>0</v>
      </c>
      <c r="O109" s="217"/>
      <c r="P109" s="385"/>
      <c r="Q109" s="395" t="e">
        <f>IF(G109&lt;&gt;0,1,)</f>
        <v>#N/A</v>
      </c>
      <c r="R109" s="531" t="b">
        <f t="shared" si="8"/>
        <v>1</v>
      </c>
      <c r="W109" s="385" t="b">
        <f t="shared" si="9"/>
        <v>1</v>
      </c>
      <c r="X109" s="682">
        <f t="shared" si="10"/>
        <v>0</v>
      </c>
    </row>
    <row r="110" spans="1:24" ht="33.75" x14ac:dyDescent="0.25">
      <c r="A110" s="269">
        <f>'Collection Worksheet'!A132</f>
        <v>51</v>
      </c>
      <c r="B110" s="280" t="str">
        <f>'Collection Worksheet'!C132</f>
        <v>Water Sewer Cash Flow Statement</v>
      </c>
      <c r="C110" s="267" t="str">
        <f>'Collection Worksheet'!D132</f>
        <v>Total Cash flow from operating activities  - (Enter negative cash flows as negative)</v>
      </c>
      <c r="D110" s="391"/>
      <c r="E110" s="665">
        <f>'Collection Worksheet'!F132</f>
        <v>0</v>
      </c>
      <c r="F110" s="253"/>
      <c r="G110" s="337"/>
      <c r="H110" s="244">
        <f>'Collection Worksheet'!I132</f>
        <v>0</v>
      </c>
      <c r="I110" s="231"/>
      <c r="J110" s="238">
        <v>51</v>
      </c>
      <c r="K110" s="228" t="s">
        <v>332</v>
      </c>
      <c r="L110" s="262">
        <f t="shared" si="11"/>
        <v>0</v>
      </c>
      <c r="P110" s="385"/>
      <c r="R110" s="531" t="b">
        <f t="shared" si="8"/>
        <v>1</v>
      </c>
      <c r="W110" s="385" t="b">
        <f t="shared" si="9"/>
        <v>1</v>
      </c>
      <c r="X110" s="682">
        <f t="shared" si="10"/>
        <v>0</v>
      </c>
    </row>
    <row r="111" spans="1:24" ht="76.150000000000006" customHeight="1" x14ac:dyDescent="0.25">
      <c r="A111" s="269">
        <f>'Collection Worksheet'!A133</f>
        <v>332</v>
      </c>
      <c r="B111" s="280" t="str">
        <f>'Collection Worksheet'!C133</f>
        <v>Water Sewer Cash Flow Statement</v>
      </c>
      <c r="C111" s="267" t="str">
        <f>'Collection Worksheet'!D133</f>
        <v>Total Capital outlay. 
Include acquisition and construction of capital assets.</v>
      </c>
      <c r="D111" s="391"/>
      <c r="E111" s="665">
        <f>'Collection Worksheet'!F133</f>
        <v>0</v>
      </c>
      <c r="F111" s="253">
        <f>IF(L111&lt;0,"Error: Enter as a positive.",)</f>
        <v>0</v>
      </c>
      <c r="G111" s="337"/>
      <c r="H111" s="244">
        <f>'Collection Worksheet'!I133</f>
        <v>0</v>
      </c>
      <c r="I111" s="231"/>
      <c r="J111" s="238">
        <v>332</v>
      </c>
      <c r="K111" s="228" t="s">
        <v>334</v>
      </c>
      <c r="L111" s="262">
        <f t="shared" si="11"/>
        <v>0</v>
      </c>
      <c r="P111" s="385"/>
      <c r="R111" s="531" t="b">
        <f t="shared" si="8"/>
        <v>1</v>
      </c>
      <c r="W111" s="385" t="b">
        <f t="shared" si="9"/>
        <v>1</v>
      </c>
      <c r="X111" s="682">
        <f t="shared" si="10"/>
        <v>0</v>
      </c>
    </row>
    <row r="112" spans="1:24" ht="45" x14ac:dyDescent="0.25">
      <c r="A112" s="269">
        <f>'Collection Worksheet'!A134</f>
        <v>331</v>
      </c>
      <c r="B112" s="280" t="str">
        <f>'Collection Worksheet'!C134</f>
        <v>Water Sewer Cash Flow Statement</v>
      </c>
      <c r="C112" s="267" t="str">
        <f>'Collection Worksheet'!D134</f>
        <v>Principal paid on long-term debt.  Amount should be reduced by principal payments for debt refunding.</v>
      </c>
      <c r="D112" s="391"/>
      <c r="E112" s="665">
        <f>'Collection Worksheet'!F134</f>
        <v>0</v>
      </c>
      <c r="F112" s="253">
        <f>IF(L112&lt;0,"Error: Enter as a positive.",)</f>
        <v>0</v>
      </c>
      <c r="G112" s="337"/>
      <c r="H112" s="244">
        <f>'Collection Worksheet'!I134</f>
        <v>0</v>
      </c>
      <c r="I112" s="231"/>
      <c r="J112" s="238">
        <v>331</v>
      </c>
      <c r="K112" s="228" t="s">
        <v>333</v>
      </c>
      <c r="L112" s="262">
        <f t="shared" si="11"/>
        <v>0</v>
      </c>
      <c r="P112" s="385"/>
      <c r="R112" s="531" t="b">
        <f t="shared" si="8"/>
        <v>1</v>
      </c>
      <c r="W112" s="385" t="b">
        <f t="shared" si="9"/>
        <v>1</v>
      </c>
      <c r="X112" s="682">
        <f t="shared" si="10"/>
        <v>0</v>
      </c>
    </row>
    <row r="113" spans="1:24" ht="33.75" x14ac:dyDescent="0.25">
      <c r="A113" s="269">
        <f>'Collection Worksheet'!A136</f>
        <v>55</v>
      </c>
      <c r="B113" s="280" t="str">
        <f>'Collection Worksheet'!C136</f>
        <v>Electric Fund Cash Flow Statement</v>
      </c>
      <c r="C113" s="267" t="str">
        <f>'Collection Worksheet'!D136</f>
        <v>Cash flow from operating activities - (enter negative cash flows as negative)</v>
      </c>
      <c r="D113" s="391"/>
      <c r="E113" s="665">
        <f>'Collection Worksheet'!F136</f>
        <v>0</v>
      </c>
      <c r="F113" s="253"/>
      <c r="G113" s="337"/>
      <c r="H113" s="244">
        <f>'Collection Worksheet'!I136</f>
        <v>0</v>
      </c>
      <c r="I113" s="231"/>
      <c r="J113" s="238">
        <v>55</v>
      </c>
      <c r="K113" s="228" t="s">
        <v>335</v>
      </c>
      <c r="L113" s="262">
        <f t="shared" si="11"/>
        <v>0</v>
      </c>
      <c r="P113" s="385"/>
      <c r="R113" s="531" t="b">
        <f t="shared" si="8"/>
        <v>1</v>
      </c>
      <c r="W113" s="385" t="b">
        <f t="shared" si="9"/>
        <v>1</v>
      </c>
      <c r="X113" s="682">
        <f t="shared" si="10"/>
        <v>0</v>
      </c>
    </row>
    <row r="114" spans="1:24" ht="45" x14ac:dyDescent="0.25">
      <c r="A114" s="269">
        <f>'Collection Worksheet'!A137</f>
        <v>101</v>
      </c>
      <c r="B114" s="280" t="str">
        <f>'Collection Worksheet'!C137</f>
        <v>Electric Fund Cash Flow Statement</v>
      </c>
      <c r="C114" s="267" t="str">
        <f>'Collection Worksheet'!D137</f>
        <v>Total Capital outlay.  
Include acquisition and construction of capital assets.</v>
      </c>
      <c r="D114" s="391"/>
      <c r="E114" s="665">
        <f>'Collection Worksheet'!F137</f>
        <v>0</v>
      </c>
      <c r="F114" s="253">
        <f>IF(L114&lt;0,"Error: Enter as a positive.",)</f>
        <v>0</v>
      </c>
      <c r="G114" s="337"/>
      <c r="H114" s="244">
        <f>'Collection Worksheet'!I137</f>
        <v>0</v>
      </c>
      <c r="I114" s="231"/>
      <c r="J114" s="238">
        <v>101</v>
      </c>
      <c r="K114" s="228" t="s">
        <v>336</v>
      </c>
      <c r="L114" s="262">
        <f t="shared" si="11"/>
        <v>0</v>
      </c>
      <c r="P114" s="385"/>
      <c r="R114" s="531" t="b">
        <f t="shared" si="8"/>
        <v>1</v>
      </c>
      <c r="W114" s="385" t="b">
        <f t="shared" si="9"/>
        <v>1</v>
      </c>
      <c r="X114" s="682">
        <f t="shared" si="10"/>
        <v>0</v>
      </c>
    </row>
    <row r="115" spans="1:24" ht="45" x14ac:dyDescent="0.25">
      <c r="A115" s="269">
        <f>'Collection Worksheet'!A138</f>
        <v>100</v>
      </c>
      <c r="B115" s="280" t="str">
        <f>'Collection Worksheet'!C138</f>
        <v>Electric Fund Cash Flow Statement</v>
      </c>
      <c r="C115" s="267" t="str">
        <f>'Collection Worksheet'!D138</f>
        <v>Principal paid on long-term debt.  Amount should be reduced by principal payments for debt refunding.</v>
      </c>
      <c r="D115" s="391"/>
      <c r="E115" s="665">
        <f>'Collection Worksheet'!F138</f>
        <v>0</v>
      </c>
      <c r="F115" s="253">
        <f>IF(L115&lt;0,"Error: Enter as a positive.",)</f>
        <v>0</v>
      </c>
      <c r="G115" s="337"/>
      <c r="H115" s="244">
        <f>'Collection Worksheet'!I138</f>
        <v>0</v>
      </c>
      <c r="I115" s="231"/>
      <c r="J115" s="238">
        <v>100</v>
      </c>
      <c r="K115" s="228" t="s">
        <v>337</v>
      </c>
      <c r="L115" s="262">
        <f t="shared" si="11"/>
        <v>0</v>
      </c>
      <c r="P115" s="385"/>
      <c r="R115" s="531" t="b">
        <f t="shared" si="8"/>
        <v>1</v>
      </c>
      <c r="W115" s="385" t="b">
        <f t="shared" si="9"/>
        <v>1</v>
      </c>
      <c r="X115" s="682">
        <f t="shared" si="10"/>
        <v>0</v>
      </c>
    </row>
    <row r="116" spans="1:24" s="78" customFormat="1" ht="82.5" customHeight="1" x14ac:dyDescent="0.25">
      <c r="A116" s="269">
        <f>'Collection Worksheet'!A140</f>
        <v>512</v>
      </c>
      <c r="B116" s="280" t="str">
        <f>'Collection Worksheet'!C140</f>
        <v>Fiduciary Statements</v>
      </c>
      <c r="C116" s="267" t="str">
        <f>'Collection Worksheet'!D140</f>
        <v>Cash and investments.  
Include:  unrestricted and restricted.  
                 cash and investments held by a third party</v>
      </c>
      <c r="D116" s="391"/>
      <c r="E116" s="665">
        <f>'Collection Worksheet'!F140</f>
        <v>0</v>
      </c>
      <c r="F116" s="253">
        <f>IF(L116&lt;0,"Error: Number is normally positive.",)</f>
        <v>0</v>
      </c>
      <c r="G116" s="337"/>
      <c r="H116" s="244">
        <f>'Collection Worksheet'!I140</f>
        <v>0</v>
      </c>
      <c r="I116" s="231"/>
      <c r="J116" s="238">
        <v>512</v>
      </c>
      <c r="K116" s="228" t="s">
        <v>338</v>
      </c>
      <c r="L116" s="262">
        <f t="shared" si="11"/>
        <v>0</v>
      </c>
      <c r="P116" s="385"/>
      <c r="Q116" s="395"/>
      <c r="R116" s="531" t="b">
        <f t="shared" si="8"/>
        <v>1</v>
      </c>
      <c r="W116" s="385" t="b">
        <f t="shared" si="9"/>
        <v>1</v>
      </c>
      <c r="X116" s="682">
        <f t="shared" si="10"/>
        <v>0</v>
      </c>
    </row>
    <row r="117" spans="1:24" ht="91.5" customHeight="1" x14ac:dyDescent="0.25">
      <c r="A117" s="269">
        <f>'Collection Worksheet'!A142</f>
        <v>535</v>
      </c>
      <c r="B117" s="280" t="str">
        <f>'Collection Worksheet'!C142</f>
        <v>Cash and Investment Note</v>
      </c>
      <c r="C117" s="288" t="str">
        <f>'Collection Worksheet'!D142</f>
        <v>Cash and Investment - Please list the book value of any unspent debt proceeds (bonds, installment, etc.) in any funds as of June 30.  This information may be on the face of your statements or in the notes</v>
      </c>
      <c r="D117" s="391"/>
      <c r="E117" s="665">
        <f>'Collection Worksheet'!F142</f>
        <v>0</v>
      </c>
      <c r="F117" s="252" t="str">
        <f>IF(L117&gt;1,,"Reminder: Please make sure you have entered all cash and investments from bond proceeds, if applicable")</f>
        <v>Reminder: Please make sure you have entered all cash and investments from bond proceeds, if applicable</v>
      </c>
      <c r="G117" s="337"/>
      <c r="H117" s="244">
        <f>'Collection Worksheet'!I142</f>
        <v>0</v>
      </c>
      <c r="I117" s="231"/>
      <c r="J117" s="238">
        <v>535</v>
      </c>
      <c r="K117" s="299" t="s">
        <v>339</v>
      </c>
      <c r="L117" s="262">
        <f t="shared" si="11"/>
        <v>0</v>
      </c>
      <c r="P117" s="385"/>
      <c r="R117" s="531" t="b">
        <f t="shared" si="8"/>
        <v>1</v>
      </c>
      <c r="W117" s="385" t="b">
        <f t="shared" si="9"/>
        <v>1</v>
      </c>
      <c r="X117" s="682">
        <f t="shared" si="10"/>
        <v>0</v>
      </c>
    </row>
    <row r="118" spans="1:24" s="268" customFormat="1" ht="76.5" customHeight="1" x14ac:dyDescent="0.25">
      <c r="A118" s="269">
        <f>'Collection Worksheet'!A146</f>
        <v>334</v>
      </c>
      <c r="B118" s="280" t="str">
        <f>'Collection Worksheet'!C146</f>
        <v>Gov.-Capital Assets Schedule in the Notes</v>
      </c>
      <c r="C118" s="288" t="str">
        <f>'Collection Worksheet'!D146</f>
        <v>Gross value.  
Exclude non-depreciable.</v>
      </c>
      <c r="D118" s="391"/>
      <c r="E118" s="665">
        <f>'Collection Worksheet'!F146</f>
        <v>0</v>
      </c>
      <c r="F118" s="252"/>
      <c r="G118" s="337"/>
      <c r="H118" s="244">
        <f>'Collection Worksheet'!I146</f>
        <v>0</v>
      </c>
      <c r="I118" s="231"/>
      <c r="J118" s="238">
        <v>334</v>
      </c>
      <c r="K118" s="299" t="s">
        <v>358</v>
      </c>
      <c r="L118" s="262">
        <f t="shared" si="11"/>
        <v>0</v>
      </c>
      <c r="P118" s="385"/>
      <c r="Q118" s="395"/>
      <c r="R118" s="531" t="b">
        <f t="shared" si="8"/>
        <v>1</v>
      </c>
      <c r="W118" s="385" t="b">
        <f t="shared" si="9"/>
        <v>1</v>
      </c>
      <c r="X118" s="682">
        <f t="shared" si="10"/>
        <v>0</v>
      </c>
    </row>
    <row r="119" spans="1:24" s="268" customFormat="1" ht="76.5" customHeight="1" x14ac:dyDescent="0.25">
      <c r="A119" s="269">
        <f>'Collection Worksheet'!A147</f>
        <v>373</v>
      </c>
      <c r="B119" s="280" t="str">
        <f>'Collection Worksheet'!C147</f>
        <v>Gov.-Capital Assets Schedule in the Notes</v>
      </c>
      <c r="C119" s="288" t="str">
        <f>'Collection Worksheet'!D147</f>
        <v>Accumulated depreciation</v>
      </c>
      <c r="D119" s="391"/>
      <c r="E119" s="665">
        <f>'Collection Worksheet'!F147</f>
        <v>0</v>
      </c>
      <c r="F119" s="252"/>
      <c r="G119" s="337"/>
      <c r="H119" s="244">
        <f>'Collection Worksheet'!I147</f>
        <v>0</v>
      </c>
      <c r="I119" s="231"/>
      <c r="J119" s="238">
        <v>373</v>
      </c>
      <c r="K119" s="318" t="s">
        <v>662</v>
      </c>
      <c r="L119" s="262">
        <f t="shared" si="11"/>
        <v>0</v>
      </c>
      <c r="P119" s="385"/>
      <c r="Q119" s="395"/>
      <c r="R119" s="531" t="b">
        <f t="shared" si="8"/>
        <v>1</v>
      </c>
      <c r="W119" s="385" t="b">
        <f t="shared" si="9"/>
        <v>1</v>
      </c>
      <c r="X119" s="682">
        <f t="shared" si="10"/>
        <v>0</v>
      </c>
    </row>
    <row r="120" spans="1:24" s="268" customFormat="1" ht="76.5" customHeight="1" x14ac:dyDescent="0.25">
      <c r="A120" s="269">
        <f>'Collection Worksheet'!A151</f>
        <v>327</v>
      </c>
      <c r="B120" s="280" t="str">
        <f>'Collection Worksheet'!C151</f>
        <v>WS-Capital Assets Schedule in the Notes</v>
      </c>
      <c r="C120" s="288" t="str">
        <f>'Collection Worksheet'!D151</f>
        <v>Land and all other non depreciable capital assets 
Exclude construction in progress</v>
      </c>
      <c r="D120" s="391"/>
      <c r="E120" s="665">
        <f>'Collection Worksheet'!F151</f>
        <v>0</v>
      </c>
      <c r="F120" s="252"/>
      <c r="G120" s="337"/>
      <c r="H120" s="244">
        <f>'Collection Worksheet'!I151</f>
        <v>0</v>
      </c>
      <c r="I120" s="231"/>
      <c r="J120" s="238">
        <v>327</v>
      </c>
      <c r="K120" s="319" t="s">
        <v>663</v>
      </c>
      <c r="L120" s="262">
        <f t="shared" si="11"/>
        <v>0</v>
      </c>
      <c r="P120" s="385"/>
      <c r="Q120" s="395"/>
      <c r="R120" s="531" t="b">
        <f t="shared" si="8"/>
        <v>1</v>
      </c>
      <c r="W120" s="385" t="b">
        <f t="shared" si="9"/>
        <v>1</v>
      </c>
      <c r="X120" s="682">
        <f t="shared" si="10"/>
        <v>0</v>
      </c>
    </row>
    <row r="121" spans="1:24" s="268" customFormat="1" ht="76.5" customHeight="1" x14ac:dyDescent="0.25">
      <c r="A121" s="269">
        <f>'Collection Worksheet'!A152</f>
        <v>328</v>
      </c>
      <c r="B121" s="280" t="str">
        <f>'Collection Worksheet'!C152</f>
        <v>WS-Capital Assets Schedule in the Notes</v>
      </c>
      <c r="C121" s="288" t="str">
        <f>'Collection Worksheet'!D152</f>
        <v>Construction in progress</v>
      </c>
      <c r="D121" s="391"/>
      <c r="E121" s="665">
        <f>'Collection Worksheet'!F152</f>
        <v>0</v>
      </c>
      <c r="F121" s="252"/>
      <c r="G121" s="337"/>
      <c r="H121" s="244">
        <f>'Collection Worksheet'!I152</f>
        <v>0</v>
      </c>
      <c r="I121" s="231"/>
      <c r="J121" s="238">
        <v>328</v>
      </c>
      <c r="K121" s="320" t="s">
        <v>664</v>
      </c>
      <c r="L121" s="262">
        <f t="shared" si="11"/>
        <v>0</v>
      </c>
      <c r="P121" s="385"/>
      <c r="Q121" s="395"/>
      <c r="R121" s="531" t="b">
        <f t="shared" si="8"/>
        <v>1</v>
      </c>
      <c r="W121" s="385" t="b">
        <f t="shared" si="9"/>
        <v>1</v>
      </c>
      <c r="X121" s="682">
        <f t="shared" si="10"/>
        <v>0</v>
      </c>
    </row>
    <row r="122" spans="1:24" s="268" customFormat="1" ht="76.5" customHeight="1" x14ac:dyDescent="0.25">
      <c r="A122" s="269">
        <f>'Collection Worksheet'!A156</f>
        <v>515</v>
      </c>
      <c r="B122" s="280" t="str">
        <f>'Collection Worksheet'!C156</f>
        <v>WS Capital Assets Schedule-Gross Value</v>
      </c>
      <c r="C122" s="288" t="str">
        <f>'Collection Worksheet'!D156</f>
        <v>Buildings</v>
      </c>
      <c r="D122" s="391"/>
      <c r="E122" s="665">
        <f>'Collection Worksheet'!F156</f>
        <v>0</v>
      </c>
      <c r="F122" s="252"/>
      <c r="G122" s="337"/>
      <c r="H122" s="244">
        <f>'Collection Worksheet'!I156</f>
        <v>0</v>
      </c>
      <c r="I122" s="231"/>
      <c r="J122" s="238">
        <v>515</v>
      </c>
      <c r="K122" s="321" t="s">
        <v>359</v>
      </c>
      <c r="L122" s="262">
        <f t="shared" si="11"/>
        <v>0</v>
      </c>
      <c r="P122" s="385"/>
      <c r="Q122" s="395"/>
      <c r="R122" s="531" t="b">
        <f t="shared" si="8"/>
        <v>1</v>
      </c>
      <c r="W122" s="385" t="b">
        <f t="shared" si="9"/>
        <v>1</v>
      </c>
      <c r="X122" s="682">
        <f t="shared" si="10"/>
        <v>0</v>
      </c>
    </row>
    <row r="123" spans="1:24" s="268" customFormat="1" ht="76.5" customHeight="1" x14ac:dyDescent="0.25">
      <c r="A123" s="269">
        <f>'Collection Worksheet'!A157</f>
        <v>516</v>
      </c>
      <c r="B123" s="280" t="str">
        <f>'Collection Worksheet'!C157</f>
        <v>WS Capital Assets Schedule-Gross Value</v>
      </c>
      <c r="C123" s="288" t="str">
        <f>'Collection Worksheet'!D157</f>
        <v>Plant / distributions systems / water lines</v>
      </c>
      <c r="D123" s="391"/>
      <c r="E123" s="665">
        <f>'Collection Worksheet'!F157</f>
        <v>0</v>
      </c>
      <c r="F123" s="252"/>
      <c r="G123" s="337"/>
      <c r="H123" s="244">
        <f>'Collection Worksheet'!I157</f>
        <v>0</v>
      </c>
      <c r="I123" s="231"/>
      <c r="J123" s="238">
        <v>516</v>
      </c>
      <c r="K123" s="321" t="s">
        <v>360</v>
      </c>
      <c r="L123" s="262">
        <f t="shared" si="11"/>
        <v>0</v>
      </c>
      <c r="P123" s="385"/>
      <c r="Q123" s="395"/>
      <c r="R123" s="531" t="b">
        <f t="shared" si="8"/>
        <v>1</v>
      </c>
      <c r="W123" s="385" t="b">
        <f t="shared" si="9"/>
        <v>1</v>
      </c>
      <c r="X123" s="682">
        <f t="shared" si="10"/>
        <v>0</v>
      </c>
    </row>
    <row r="124" spans="1:24" s="268" customFormat="1" ht="76.5" customHeight="1" x14ac:dyDescent="0.25">
      <c r="A124" s="269">
        <f>'Collection Worksheet'!A158</f>
        <v>517</v>
      </c>
      <c r="B124" s="280" t="str">
        <f>'Collection Worksheet'!C158</f>
        <v>WS Capital Assets Schedule-Gross Value</v>
      </c>
      <c r="C124" s="288" t="str">
        <f>'Collection Worksheet'!D158</f>
        <v>Infrastructure(other infrastructure)</v>
      </c>
      <c r="D124" s="391"/>
      <c r="E124" s="665">
        <f>'Collection Worksheet'!F158</f>
        <v>0</v>
      </c>
      <c r="F124" s="252"/>
      <c r="G124" s="337"/>
      <c r="H124" s="244">
        <f>'Collection Worksheet'!I158</f>
        <v>0</v>
      </c>
      <c r="I124" s="231"/>
      <c r="J124" s="238">
        <v>517</v>
      </c>
      <c r="K124" s="322" t="s">
        <v>361</v>
      </c>
      <c r="L124" s="262">
        <f t="shared" si="11"/>
        <v>0</v>
      </c>
      <c r="P124" s="385"/>
      <c r="Q124" s="395"/>
      <c r="R124" s="531" t="b">
        <f t="shared" si="8"/>
        <v>1</v>
      </c>
      <c r="W124" s="385" t="b">
        <f t="shared" si="9"/>
        <v>1</v>
      </c>
      <c r="X124" s="682">
        <f t="shared" si="10"/>
        <v>0</v>
      </c>
    </row>
    <row r="125" spans="1:24" s="268" customFormat="1" ht="76.5" customHeight="1" x14ac:dyDescent="0.25">
      <c r="A125" s="269">
        <f>'Collection Worksheet'!A159</f>
        <v>518</v>
      </c>
      <c r="B125" s="280" t="str">
        <f>'Collection Worksheet'!C159</f>
        <v>WS Capital Assets Schedule-Gross Value</v>
      </c>
      <c r="C125" s="288" t="str">
        <f>'Collection Worksheet'!D159</f>
        <v>All other depreciable capital assets</v>
      </c>
      <c r="D125" s="391"/>
      <c r="E125" s="665">
        <f>'Collection Worksheet'!F159</f>
        <v>0</v>
      </c>
      <c r="F125" s="252"/>
      <c r="G125" s="337"/>
      <c r="H125" s="244">
        <f>'Collection Worksheet'!I159</f>
        <v>0</v>
      </c>
      <c r="I125" s="231"/>
      <c r="J125" s="238">
        <v>518</v>
      </c>
      <c r="K125" s="322" t="s">
        <v>362</v>
      </c>
      <c r="L125" s="262">
        <f t="shared" si="11"/>
        <v>0</v>
      </c>
      <c r="P125" s="385"/>
      <c r="Q125" s="395"/>
      <c r="R125" s="531" t="b">
        <f t="shared" si="8"/>
        <v>1</v>
      </c>
      <c r="W125" s="385" t="b">
        <f t="shared" si="9"/>
        <v>1</v>
      </c>
      <c r="X125" s="682">
        <f t="shared" si="10"/>
        <v>0</v>
      </c>
    </row>
    <row r="126" spans="1:24" s="268" customFormat="1" ht="76.5" customHeight="1" x14ac:dyDescent="0.25">
      <c r="A126" s="269">
        <f>'Collection Worksheet'!A162</f>
        <v>519</v>
      </c>
      <c r="B126" s="280" t="str">
        <f>'Collection Worksheet'!C162</f>
        <v>WS Capital Assets Schedule-Annual Depreciation</v>
      </c>
      <c r="C126" s="288" t="str">
        <f>'Collection Worksheet'!D162</f>
        <v>Buildings annual depreciation</v>
      </c>
      <c r="D126" s="391"/>
      <c r="E126" s="665">
        <f>'Collection Worksheet'!F162</f>
        <v>0</v>
      </c>
      <c r="F126" s="252"/>
      <c r="G126" s="337"/>
      <c r="H126" s="244">
        <f>'Collection Worksheet'!I162</f>
        <v>0</v>
      </c>
      <c r="I126" s="231"/>
      <c r="J126" s="238">
        <v>519</v>
      </c>
      <c r="K126" s="322" t="s">
        <v>363</v>
      </c>
      <c r="L126" s="262">
        <f t="shared" si="11"/>
        <v>0</v>
      </c>
      <c r="P126" s="385"/>
      <c r="Q126" s="395"/>
      <c r="R126" s="531" t="b">
        <f t="shared" si="8"/>
        <v>1</v>
      </c>
      <c r="W126" s="385" t="b">
        <f t="shared" si="9"/>
        <v>1</v>
      </c>
      <c r="X126" s="682">
        <f t="shared" si="10"/>
        <v>0</v>
      </c>
    </row>
    <row r="127" spans="1:24" s="268" customFormat="1" ht="76.5" customHeight="1" x14ac:dyDescent="0.25">
      <c r="A127" s="269">
        <f>'Collection Worksheet'!A163</f>
        <v>520</v>
      </c>
      <c r="B127" s="280" t="str">
        <f>'Collection Worksheet'!C163</f>
        <v>WS Capital Assets Schedule-Annual Depreciation</v>
      </c>
      <c r="C127" s="288" t="str">
        <f>'Collection Worksheet'!D163</f>
        <v>Plant / distributions systems / water lines annual depreciation</v>
      </c>
      <c r="D127" s="391"/>
      <c r="E127" s="665">
        <f>'Collection Worksheet'!F163</f>
        <v>0</v>
      </c>
      <c r="F127" s="252"/>
      <c r="G127" s="337"/>
      <c r="H127" s="244">
        <f>'Collection Worksheet'!I163</f>
        <v>0</v>
      </c>
      <c r="I127" s="231"/>
      <c r="J127" s="238">
        <v>520</v>
      </c>
      <c r="K127" s="324" t="s">
        <v>364</v>
      </c>
      <c r="L127" s="262">
        <f t="shared" si="11"/>
        <v>0</v>
      </c>
      <c r="P127" s="385"/>
      <c r="Q127" s="395"/>
      <c r="R127" s="531" t="b">
        <f t="shared" si="8"/>
        <v>1</v>
      </c>
      <c r="W127" s="385" t="b">
        <f t="shared" si="9"/>
        <v>1</v>
      </c>
      <c r="X127" s="682">
        <f t="shared" si="10"/>
        <v>0</v>
      </c>
    </row>
    <row r="128" spans="1:24" s="268" customFormat="1" ht="76.5" customHeight="1" x14ac:dyDescent="0.25">
      <c r="A128" s="269">
        <f>'Collection Worksheet'!A164</f>
        <v>521</v>
      </c>
      <c r="B128" s="280" t="str">
        <f>'Collection Worksheet'!C164</f>
        <v>WS Capital Assets Schedule-Annual Depreciation</v>
      </c>
      <c r="C128" s="288" t="str">
        <f>'Collection Worksheet'!D164</f>
        <v>Infrastructure(other infrastructure) annual depreciation</v>
      </c>
      <c r="D128" s="391"/>
      <c r="E128" s="665">
        <f>'Collection Worksheet'!F164</f>
        <v>0</v>
      </c>
      <c r="F128" s="252"/>
      <c r="G128" s="337"/>
      <c r="H128" s="244">
        <f>'Collection Worksheet'!I164</f>
        <v>0</v>
      </c>
      <c r="I128" s="231"/>
      <c r="J128" s="238">
        <v>521</v>
      </c>
      <c r="K128" s="323" t="s">
        <v>365</v>
      </c>
      <c r="L128" s="262">
        <f t="shared" si="11"/>
        <v>0</v>
      </c>
      <c r="P128" s="385"/>
      <c r="Q128" s="395"/>
      <c r="R128" s="531" t="b">
        <f t="shared" si="8"/>
        <v>1</v>
      </c>
      <c r="W128" s="385" t="b">
        <f t="shared" si="9"/>
        <v>1</v>
      </c>
      <c r="X128" s="682">
        <f t="shared" si="10"/>
        <v>0</v>
      </c>
    </row>
    <row r="129" spans="1:24" s="268" customFormat="1" ht="76.5" customHeight="1" x14ac:dyDescent="0.25">
      <c r="A129" s="269">
        <f>'Collection Worksheet'!A165</f>
        <v>522</v>
      </c>
      <c r="B129" s="280" t="str">
        <f>'Collection Worksheet'!C165</f>
        <v>WS Capital Assets Schedule-Annual Depreciation</v>
      </c>
      <c r="C129" s="288" t="str">
        <f>'Collection Worksheet'!D165</f>
        <v>All other depreciable capital assets annual depreciation</v>
      </c>
      <c r="D129" s="391"/>
      <c r="E129" s="665">
        <f>'Collection Worksheet'!F165</f>
        <v>0</v>
      </c>
      <c r="F129" s="252"/>
      <c r="G129" s="337"/>
      <c r="H129" s="244">
        <f>'Collection Worksheet'!I165</f>
        <v>0</v>
      </c>
      <c r="I129" s="231"/>
      <c r="J129" s="238">
        <v>522</v>
      </c>
      <c r="K129" s="323" t="s">
        <v>366</v>
      </c>
      <c r="L129" s="262">
        <f t="shared" si="11"/>
        <v>0</v>
      </c>
      <c r="P129" s="385"/>
      <c r="Q129" s="395"/>
      <c r="R129" s="531" t="b">
        <f t="shared" si="8"/>
        <v>1</v>
      </c>
      <c r="W129" s="385" t="b">
        <f t="shared" si="9"/>
        <v>1</v>
      </c>
      <c r="X129" s="682">
        <f t="shared" si="10"/>
        <v>0</v>
      </c>
    </row>
    <row r="130" spans="1:24" s="268" customFormat="1" ht="76.5" customHeight="1" x14ac:dyDescent="0.25">
      <c r="A130" s="269">
        <f>'Collection Worksheet'!A168</f>
        <v>523</v>
      </c>
      <c r="B130" s="280" t="str">
        <f>'Collection Worksheet'!C168</f>
        <v>WS Capital Assets Schedule-Accumulated Depreciation</v>
      </c>
      <c r="C130" s="288" t="str">
        <f>'Collection Worksheet'!D168</f>
        <v>Building accumulated depreciation</v>
      </c>
      <c r="D130" s="391"/>
      <c r="E130" s="665">
        <f>'Collection Worksheet'!F168</f>
        <v>0</v>
      </c>
      <c r="F130" s="252"/>
      <c r="G130" s="337"/>
      <c r="H130" s="244">
        <f>'Collection Worksheet'!I168</f>
        <v>0</v>
      </c>
      <c r="I130" s="231"/>
      <c r="J130" s="238">
        <v>523</v>
      </c>
      <c r="K130" s="323" t="s">
        <v>367</v>
      </c>
      <c r="L130" s="262">
        <f t="shared" si="11"/>
        <v>0</v>
      </c>
      <c r="P130" s="385"/>
      <c r="Q130" s="395"/>
      <c r="R130" s="531" t="b">
        <f t="shared" si="8"/>
        <v>1</v>
      </c>
      <c r="W130" s="385" t="b">
        <f t="shared" si="9"/>
        <v>1</v>
      </c>
      <c r="X130" s="682">
        <f t="shared" si="10"/>
        <v>0</v>
      </c>
    </row>
    <row r="131" spans="1:24" s="268" customFormat="1" ht="76.5" customHeight="1" x14ac:dyDescent="0.25">
      <c r="A131" s="269">
        <f>'Collection Worksheet'!A169</f>
        <v>524</v>
      </c>
      <c r="B131" s="280" t="str">
        <f>'Collection Worksheet'!C169</f>
        <v>WS Capital Assets Schedule-Accumulated Depreciation</v>
      </c>
      <c r="C131" s="288" t="str">
        <f>'Collection Worksheet'!D169</f>
        <v>Plant / distributions systems / water lines accumulated depreciation</v>
      </c>
      <c r="D131" s="391"/>
      <c r="E131" s="665">
        <f>'Collection Worksheet'!F169</f>
        <v>0</v>
      </c>
      <c r="F131" s="252"/>
      <c r="G131" s="337"/>
      <c r="H131" s="244">
        <f>'Collection Worksheet'!I169</f>
        <v>0</v>
      </c>
      <c r="I131" s="231"/>
      <c r="J131" s="238">
        <v>524</v>
      </c>
      <c r="K131" s="323" t="s">
        <v>368</v>
      </c>
      <c r="L131" s="262">
        <f t="shared" si="11"/>
        <v>0</v>
      </c>
      <c r="P131" s="385"/>
      <c r="Q131" s="395"/>
      <c r="R131" s="531" t="b">
        <f t="shared" si="8"/>
        <v>1</v>
      </c>
      <c r="W131" s="385" t="b">
        <f t="shared" si="9"/>
        <v>1</v>
      </c>
      <c r="X131" s="682">
        <f t="shared" si="10"/>
        <v>0</v>
      </c>
    </row>
    <row r="132" spans="1:24" s="268" customFormat="1" ht="76.5" customHeight="1" x14ac:dyDescent="0.25">
      <c r="A132" s="269">
        <f>'Collection Worksheet'!A170</f>
        <v>525</v>
      </c>
      <c r="B132" s="280" t="str">
        <f>'Collection Worksheet'!C170</f>
        <v>WS Capital Assets Schedule-Accumulated Depreciation</v>
      </c>
      <c r="C132" s="288" t="str">
        <f>'Collection Worksheet'!D170</f>
        <v>Infrastructure(other infrastructure) accumulated depreciation</v>
      </c>
      <c r="D132" s="391"/>
      <c r="E132" s="665">
        <f>'Collection Worksheet'!F170</f>
        <v>0</v>
      </c>
      <c r="F132" s="252"/>
      <c r="G132" s="337"/>
      <c r="H132" s="244">
        <f>'Collection Worksheet'!I170</f>
        <v>0</v>
      </c>
      <c r="I132" s="231"/>
      <c r="J132" s="238">
        <v>525</v>
      </c>
      <c r="K132" s="323" t="s">
        <v>369</v>
      </c>
      <c r="L132" s="262">
        <f t="shared" si="11"/>
        <v>0</v>
      </c>
      <c r="P132" s="385"/>
      <c r="Q132" s="395"/>
      <c r="R132" s="531" t="b">
        <f t="shared" si="8"/>
        <v>1</v>
      </c>
      <c r="W132" s="385" t="b">
        <f t="shared" si="9"/>
        <v>1</v>
      </c>
      <c r="X132" s="682">
        <f t="shared" si="10"/>
        <v>0</v>
      </c>
    </row>
    <row r="133" spans="1:24" s="268" customFormat="1" ht="76.5" customHeight="1" x14ac:dyDescent="0.25">
      <c r="A133" s="269">
        <f>'Collection Worksheet'!A171</f>
        <v>526</v>
      </c>
      <c r="B133" s="280" t="str">
        <f>'Collection Worksheet'!C171</f>
        <v>WS Capital Assets Schedule-Accumulated Depreciation</v>
      </c>
      <c r="C133" s="288" t="str">
        <f>'Collection Worksheet'!D171</f>
        <v>All other depreciable capital assets accumulated depreciation</v>
      </c>
      <c r="D133" s="391"/>
      <c r="E133" s="665">
        <f>'Collection Worksheet'!F171</f>
        <v>0</v>
      </c>
      <c r="F133" s="252"/>
      <c r="G133" s="337"/>
      <c r="H133" s="244">
        <f>'Collection Worksheet'!I171</f>
        <v>0</v>
      </c>
      <c r="I133" s="231"/>
      <c r="J133" s="238">
        <v>526</v>
      </c>
      <c r="K133" s="325" t="s">
        <v>370</v>
      </c>
      <c r="L133" s="262">
        <f t="shared" si="11"/>
        <v>0</v>
      </c>
      <c r="P133" s="385"/>
      <c r="Q133" s="395"/>
      <c r="R133" s="531" t="b">
        <f t="shared" si="8"/>
        <v>1</v>
      </c>
      <c r="W133" s="385" t="b">
        <f t="shared" si="9"/>
        <v>1</v>
      </c>
      <c r="X133" s="682">
        <f t="shared" si="10"/>
        <v>0</v>
      </c>
    </row>
    <row r="134" spans="1:24" s="268" customFormat="1" ht="76.5" customHeight="1" x14ac:dyDescent="0.25">
      <c r="A134" s="269">
        <f>'Collection Worksheet'!A176</f>
        <v>527</v>
      </c>
      <c r="B134" s="280" t="str">
        <f>'Collection Worksheet'!C176</f>
        <v>Electric Assets</v>
      </c>
      <c r="C134" s="288" t="str">
        <f>'Collection Worksheet'!D176</f>
        <v>Total Assets Gross value not being depreciated for Electric Fund</v>
      </c>
      <c r="D134" s="391"/>
      <c r="E134" s="665">
        <f>'Collection Worksheet'!F176</f>
        <v>0</v>
      </c>
      <c r="F134" s="252"/>
      <c r="G134" s="337"/>
      <c r="H134" s="244">
        <f>'Collection Worksheet'!I176</f>
        <v>0</v>
      </c>
      <c r="I134" s="231"/>
      <c r="J134" s="238">
        <v>527</v>
      </c>
      <c r="K134" s="325" t="s">
        <v>371</v>
      </c>
      <c r="L134" s="262">
        <f t="shared" si="11"/>
        <v>0</v>
      </c>
      <c r="P134" s="385"/>
      <c r="Q134" s="395"/>
      <c r="R134" s="531" t="b">
        <f t="shared" ref="R134:R177" si="13">EXACT(A134,J134)</f>
        <v>1</v>
      </c>
      <c r="W134" s="385" t="b">
        <f t="shared" ref="W134:W140" si="14">EXACT(A134,J134)</f>
        <v>1</v>
      </c>
      <c r="X134" s="682">
        <f t="shared" ref="X134:X177" si="15">E134-L134</f>
        <v>0</v>
      </c>
    </row>
    <row r="135" spans="1:24" s="268" customFormat="1" ht="76.5" customHeight="1" x14ac:dyDescent="0.25">
      <c r="A135" s="269">
        <f>'Collection Worksheet'!A177</f>
        <v>356</v>
      </c>
      <c r="B135" s="280" t="str">
        <f>'Collection Worksheet'!C177</f>
        <v>Electric Assets</v>
      </c>
      <c r="C135" s="288" t="str">
        <f>'Collection Worksheet'!D177</f>
        <v>Total Assets Gross value of assets being depreciated for Electric Fund</v>
      </c>
      <c r="D135" s="391"/>
      <c r="E135" s="665">
        <f>'Collection Worksheet'!F177</f>
        <v>0</v>
      </c>
      <c r="F135" s="252"/>
      <c r="G135" s="337"/>
      <c r="H135" s="244">
        <f>'Collection Worksheet'!I177</f>
        <v>0</v>
      </c>
      <c r="I135" s="231"/>
      <c r="J135" s="238">
        <v>356</v>
      </c>
      <c r="K135" s="326" t="s">
        <v>665</v>
      </c>
      <c r="L135" s="262">
        <f t="shared" si="11"/>
        <v>0</v>
      </c>
      <c r="P135" s="385"/>
      <c r="Q135" s="395"/>
      <c r="R135" s="531" t="b">
        <f t="shared" si="13"/>
        <v>1</v>
      </c>
      <c r="W135" s="385" t="b">
        <f t="shared" si="14"/>
        <v>1</v>
      </c>
      <c r="X135" s="682">
        <f t="shared" si="15"/>
        <v>0</v>
      </c>
    </row>
    <row r="136" spans="1:24" s="268" customFormat="1" ht="76.5" customHeight="1" x14ac:dyDescent="0.25">
      <c r="A136" s="269">
        <f>'Collection Worksheet'!A178</f>
        <v>357</v>
      </c>
      <c r="B136" s="280" t="str">
        <f>'Collection Worksheet'!C178</f>
        <v>Electric Accumulated Depreciation</v>
      </c>
      <c r="C136" s="288" t="str">
        <f>'Collection Worksheet'!D178</f>
        <v>Total accumulated depreciation for Electric Fund assets</v>
      </c>
      <c r="D136" s="391"/>
      <c r="E136" s="665">
        <f>'Collection Worksheet'!F178</f>
        <v>0</v>
      </c>
      <c r="F136" s="252"/>
      <c r="G136" s="337"/>
      <c r="H136" s="244">
        <f>'Collection Worksheet'!I178</f>
        <v>0</v>
      </c>
      <c r="I136" s="231"/>
      <c r="J136" s="238">
        <v>357</v>
      </c>
      <c r="K136" s="327" t="s">
        <v>666</v>
      </c>
      <c r="L136" s="262">
        <f t="shared" si="11"/>
        <v>0</v>
      </c>
      <c r="P136" s="385"/>
      <c r="Q136" s="395"/>
      <c r="R136" s="531" t="b">
        <f t="shared" si="13"/>
        <v>1</v>
      </c>
      <c r="W136" s="385" t="b">
        <f t="shared" si="14"/>
        <v>1</v>
      </c>
      <c r="X136" s="682">
        <f t="shared" si="15"/>
        <v>0</v>
      </c>
    </row>
    <row r="137" spans="1:24" ht="206.25" customHeight="1" x14ac:dyDescent="0.25">
      <c r="A137" s="403">
        <f>'Collection Worksheet'!A180</f>
        <v>337</v>
      </c>
      <c r="B137" s="280" t="str">
        <f>'Collection Worksheet'!C180</f>
        <v>Long-Term Liability Note - Governmental Activities</v>
      </c>
      <c r="C137" s="280" t="str">
        <f>'Collection Worksheet'!D180</f>
        <v>Total current and non-current portion of Debt. 
Include:  Bonds, bond anticipation notes, 
                 Capital leases,
                 Premiums and discounts,
                 Installment purchases. 
Exclude: Compensated absences, 
                 Pensions, 
                 Other post-employment benefits (OPEB), 
                 Debt within the primary government, 
                 Amounts due to participants from internal 
                         service funds, 
                 Landfill closure/postclosure liability, 
                 Any other debt not directly related to 
                        long-term contracts.</v>
      </c>
      <c r="D137" s="391"/>
      <c r="E137" s="665">
        <f>'Collection Worksheet'!F180</f>
        <v>0</v>
      </c>
      <c r="F137" s="253">
        <f>IF(L137&lt;0,"Error: Enter as a positive.",)</f>
        <v>0</v>
      </c>
      <c r="G137" s="337"/>
      <c r="H137" s="244">
        <f>'Collection Worksheet'!I180</f>
        <v>0</v>
      </c>
      <c r="I137" s="231"/>
      <c r="J137" s="400">
        <v>337</v>
      </c>
      <c r="K137" s="228" t="s">
        <v>340</v>
      </c>
      <c r="L137" s="262">
        <f t="shared" si="11"/>
        <v>0</v>
      </c>
      <c r="P137" s="385"/>
      <c r="R137" s="531" t="b">
        <f t="shared" si="13"/>
        <v>1</v>
      </c>
      <c r="W137" s="385" t="b">
        <f t="shared" si="14"/>
        <v>1</v>
      </c>
      <c r="X137" s="682">
        <f t="shared" si="15"/>
        <v>0</v>
      </c>
    </row>
    <row r="138" spans="1:24" ht="62.25" customHeight="1" x14ac:dyDescent="0.25">
      <c r="A138" s="269">
        <f>'Collection Worksheet'!A181</f>
        <v>343</v>
      </c>
      <c r="B138" s="280" t="str">
        <f>'Collection Worksheet'!C181</f>
        <v>Long-Term Liability Note - Governmental Activities</v>
      </c>
      <c r="C138" s="267" t="str">
        <f>'Collection Worksheet'!D181</f>
        <v>Decreases made (principal paid) on Long-Term Debt in current fiscal year.  Reduce for debt refunding.</v>
      </c>
      <c r="D138" s="391"/>
      <c r="E138" s="665">
        <f>'Collection Worksheet'!F181</f>
        <v>0</v>
      </c>
      <c r="F138" s="253">
        <f>IF(L138&lt;0,"Error: Enter as a positive.",)</f>
        <v>0</v>
      </c>
      <c r="G138" s="337"/>
      <c r="H138" s="244">
        <f>'Collection Worksheet'!I181</f>
        <v>0</v>
      </c>
      <c r="I138" s="231"/>
      <c r="J138" s="238">
        <v>343</v>
      </c>
      <c r="K138" s="228" t="s">
        <v>341</v>
      </c>
      <c r="L138" s="262">
        <f t="shared" si="11"/>
        <v>0</v>
      </c>
      <c r="P138" s="385"/>
      <c r="R138" s="531" t="b">
        <f t="shared" si="13"/>
        <v>1</v>
      </c>
      <c r="W138" s="385" t="b">
        <f t="shared" si="14"/>
        <v>1</v>
      </c>
      <c r="X138" s="682">
        <f t="shared" si="15"/>
        <v>0</v>
      </c>
    </row>
    <row r="139" spans="1:24" ht="184.5" customHeight="1" x14ac:dyDescent="0.25">
      <c r="A139" s="269">
        <f>'Collection Worksheet'!A182</f>
        <v>82</v>
      </c>
      <c r="B139" s="280" t="str">
        <f>'Collection Worksheet'!C182</f>
        <v>Long-Term Liability Note - Water Sewer Activities</v>
      </c>
      <c r="C139" s="280" t="str">
        <f>'Collection Worksheet'!D182</f>
        <v>Total current and non-current portion of Debt. 
Include:  Bonds, bond anticipation notes, 
                 Capital leases,
                 Premiums and discounts,
                 Installment purchases. 
Exclude: Compensated absences, 
                 Pensions, 
                 Other post-employment benefits (OPEB), 
                 Debt within the primary government, 
                 Amounts due to participants from internal 
                      service funds, 
                 Landfill closure/postclosure liability, 
                 Any other debt not directly related to 
                     long-term contracts.</v>
      </c>
      <c r="D139" s="391"/>
      <c r="E139" s="665">
        <f>'Collection Worksheet'!F182</f>
        <v>0</v>
      </c>
      <c r="F139" s="253">
        <f>IF(L139&lt;0,"Error: Enter as a positive.",)</f>
        <v>0</v>
      </c>
      <c r="G139" s="337"/>
      <c r="H139" s="244">
        <f>'Collection Worksheet'!I182</f>
        <v>0</v>
      </c>
      <c r="I139" s="231"/>
      <c r="J139" s="238">
        <v>82</v>
      </c>
      <c r="K139" s="328" t="s">
        <v>667</v>
      </c>
      <c r="L139" s="262">
        <f t="shared" si="11"/>
        <v>0</v>
      </c>
      <c r="P139" s="385"/>
      <c r="R139" s="531" t="b">
        <f t="shared" si="13"/>
        <v>1</v>
      </c>
      <c r="W139" s="385" t="b">
        <f t="shared" si="14"/>
        <v>1</v>
      </c>
      <c r="X139" s="682">
        <f t="shared" si="15"/>
        <v>0</v>
      </c>
    </row>
    <row r="140" spans="1:24" ht="187.5" customHeight="1" x14ac:dyDescent="0.25">
      <c r="A140" s="269">
        <f>'Collection Worksheet'!A183</f>
        <v>359</v>
      </c>
      <c r="B140" s="280" t="str">
        <f>'Collection Worksheet'!C183</f>
        <v>Long-Term Liability Note - Electric Activities</v>
      </c>
      <c r="C140" s="280" t="str">
        <f>'Collection Worksheet'!D183</f>
        <v>Total current and non-current portion of Debt. 
Include:  Bonds, bond anticipation notes, 
                 Capital leases,
                 Premiums and discounts,
                 Installment purchases. 
Exclude: Compensated absences, 
                 Pensions, 
                 Other post-employment benefits (OPEB), 
                 Debt within the primary government, 
                 Amounts due to participants from internal 
                       service funds, 
                 Landfill closure/postclosure liability, 
                 Any other debt not directly related to
                       long-term contracts.</v>
      </c>
      <c r="D140" s="391"/>
      <c r="E140" s="665">
        <f>'Collection Worksheet'!F183</f>
        <v>0</v>
      </c>
      <c r="F140" s="253">
        <f>IF(L140&lt;0,"Error: Enter as a positive.",)</f>
        <v>0</v>
      </c>
      <c r="G140" s="337"/>
      <c r="H140" s="244">
        <f>'Collection Worksheet'!I183</f>
        <v>0</v>
      </c>
      <c r="I140" s="231"/>
      <c r="J140" s="238">
        <v>359</v>
      </c>
      <c r="K140" s="228" t="s">
        <v>342</v>
      </c>
      <c r="L140" s="262">
        <f t="shared" si="11"/>
        <v>0</v>
      </c>
      <c r="P140" s="385"/>
      <c r="R140" s="531" t="b">
        <f t="shared" si="13"/>
        <v>1</v>
      </c>
      <c r="W140" s="385" t="b">
        <f t="shared" si="14"/>
        <v>1</v>
      </c>
      <c r="X140" s="682">
        <f t="shared" si="15"/>
        <v>0</v>
      </c>
    </row>
    <row r="141" spans="1:24" s="78" customFormat="1" ht="84" customHeight="1" x14ac:dyDescent="0.25">
      <c r="A141" s="424">
        <f>'Collection Worksheet'!A185</f>
        <v>622</v>
      </c>
      <c r="B141" s="426" t="str">
        <f>'Collection Worksheet'!C185</f>
        <v>FS., Pension note or RSI</v>
      </c>
      <c r="C141" s="426" t="str">
        <f>'Collection Worksheet'!D185</f>
        <v xml:space="preserve">Unit's Share of Net Pension Liability ($s)
- unit of government is a participating employer in the State's TSERS (Teachers' and State Employees' Retirement System) or the LGERS (Local Governmental Employees' Retirement System).  </v>
      </c>
      <c r="D141" s="391"/>
      <c r="E141" s="668">
        <f>'Collection Worksheet'!F185</f>
        <v>0</v>
      </c>
      <c r="F141" s="450"/>
      <c r="G141" s="436"/>
      <c r="H141" s="452"/>
      <c r="I141" s="231"/>
      <c r="J141" s="645">
        <v>622</v>
      </c>
      <c r="K141" s="646" t="s">
        <v>863</v>
      </c>
      <c r="L141" s="422">
        <f t="shared" si="11"/>
        <v>0</v>
      </c>
      <c r="M141" s="66"/>
      <c r="P141" s="385"/>
      <c r="Q141" s="395"/>
      <c r="R141" s="531" t="b">
        <f t="shared" si="13"/>
        <v>1</v>
      </c>
      <c r="W141" s="385" t="b">
        <f>EXACT(A143,J143)</f>
        <v>1</v>
      </c>
      <c r="X141" s="682">
        <f t="shared" si="15"/>
        <v>0</v>
      </c>
    </row>
    <row r="142" spans="1:24" s="78" customFormat="1" ht="138" customHeight="1" x14ac:dyDescent="0.25">
      <c r="A142" s="403">
        <f>'Collection Worksheet'!A187</f>
        <v>577</v>
      </c>
      <c r="B142" s="404" t="str">
        <f>'Collection Worksheet'!C187</f>
        <v>Pension Notes</v>
      </c>
      <c r="C142" s="404" t="str">
        <f>'Collection Worksheet'!D187</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142" s="391"/>
      <c r="E142" s="665">
        <f>'Collection Worksheet'!F187</f>
        <v>0</v>
      </c>
      <c r="F142" s="398"/>
      <c r="G142" s="394"/>
      <c r="H142" s="244"/>
      <c r="I142" s="231"/>
      <c r="J142" s="400">
        <v>577</v>
      </c>
      <c r="K142" s="372" t="s">
        <v>731</v>
      </c>
      <c r="L142" s="315" t="str">
        <f>IF(E142="Yes",1,IF(E142="No",2,""))</f>
        <v/>
      </c>
      <c r="M142" s="66"/>
      <c r="P142" s="385"/>
      <c r="Q142" s="395"/>
      <c r="R142" s="531" t="b">
        <f t="shared" si="13"/>
        <v>1</v>
      </c>
      <c r="W142" s="385" t="b">
        <f>EXACT(A144,J144)</f>
        <v>1</v>
      </c>
      <c r="X142" s="682" t="e">
        <f t="shared" si="15"/>
        <v>#VALUE!</v>
      </c>
    </row>
    <row r="143" spans="1:24" s="268" customFormat="1" ht="81.75" customHeight="1" x14ac:dyDescent="0.25">
      <c r="A143" s="301">
        <f>'Collection Worksheet'!A189</f>
        <v>598</v>
      </c>
      <c r="B143" s="404" t="str">
        <f>'Collection Worksheet'!C189</f>
        <v>LEO Note</v>
      </c>
      <c r="C143" s="402" t="str">
        <f>'Collection Worksheet'!D189</f>
        <v>Amount the unit paid out in benefits under LEO special separation allowance to retired law enforcement officers this fiscal year if you report under GASB 68 or GASB 73.</v>
      </c>
      <c r="D143" s="391"/>
      <c r="E143" s="665">
        <f>'Collection Worksheet'!F189</f>
        <v>0</v>
      </c>
      <c r="F143" s="398">
        <f>IF(E143&lt;0,"Error: Enter as positive.",)</f>
        <v>0</v>
      </c>
      <c r="G143" s="337"/>
      <c r="H143" s="244">
        <f>'Collection Worksheet'!I189</f>
        <v>0</v>
      </c>
      <c r="I143" s="231"/>
      <c r="J143" s="428" t="s">
        <v>802</v>
      </c>
      <c r="K143" s="430" t="s">
        <v>804</v>
      </c>
      <c r="L143" s="262">
        <f t="shared" si="11"/>
        <v>0</v>
      </c>
      <c r="M143" s="66"/>
      <c r="P143" s="385"/>
      <c r="Q143" s="395"/>
      <c r="R143" s="531" t="b">
        <f t="shared" si="13"/>
        <v>1</v>
      </c>
      <c r="W143" s="385" t="b">
        <f>EXACT(A145,J145)</f>
        <v>1</v>
      </c>
      <c r="X143" s="682">
        <f t="shared" si="15"/>
        <v>0</v>
      </c>
    </row>
    <row r="144" spans="1:24" s="385" customFormat="1" ht="113.25" customHeight="1" x14ac:dyDescent="0.25">
      <c r="A144" s="403">
        <f>'Collection Worksheet'!A190</f>
        <v>599</v>
      </c>
      <c r="B144" s="404" t="str">
        <f>'Collection Worksheet'!C190</f>
        <v>LEO Note</v>
      </c>
      <c r="C144" s="402" t="str">
        <f>'Collection Worksheet'!D190</f>
        <v>The total LEO pension liability if you report under GASB 68 or GASB 73.</v>
      </c>
      <c r="D144" s="391"/>
      <c r="E144" s="665">
        <f>'Collection Worksheet'!F190</f>
        <v>0</v>
      </c>
      <c r="F144" s="451">
        <f>IF(E144&lt;0,"Error: Enter as positive.",)</f>
        <v>0</v>
      </c>
      <c r="G144" s="394"/>
      <c r="H144" s="244">
        <f>'Collection Worksheet'!I190</f>
        <v>0</v>
      </c>
      <c r="I144" s="231"/>
      <c r="J144" s="400">
        <v>599</v>
      </c>
      <c r="K144" s="429" t="s">
        <v>803</v>
      </c>
      <c r="L144" s="262">
        <f t="shared" si="11"/>
        <v>0</v>
      </c>
      <c r="M144" s="66"/>
      <c r="Q144" s="435" t="str">
        <f>IF(H146=L146,"",1)</f>
        <v/>
      </c>
      <c r="R144" s="531" t="b">
        <f t="shared" si="13"/>
        <v>1</v>
      </c>
      <c r="X144" s="682">
        <f t="shared" si="15"/>
        <v>0</v>
      </c>
    </row>
    <row r="145" spans="1:24" s="4" customFormat="1" ht="147.75" customHeight="1" x14ac:dyDescent="0.25">
      <c r="A145" s="403">
        <f>'Collection Worksheet'!A191</f>
        <v>602</v>
      </c>
      <c r="B145" s="404" t="str">
        <f>'Collection Worksheet'!C191</f>
        <v>LEO Note</v>
      </c>
      <c r="C145" s="402" t="str">
        <f>'Collection Worksheet'!D191</f>
        <v>If you have LEO pension assets and are reporting under GASB 68 please enter "Plan Fiduciary Net Position" which can be found on your RSI schedules and the Notes.</v>
      </c>
      <c r="D145" s="391"/>
      <c r="E145" s="665">
        <f>'Collection Worksheet'!F191</f>
        <v>0</v>
      </c>
      <c r="F145" s="451">
        <f>IF(L145&lt;0,"Note: Number is normally positive.",)</f>
        <v>0</v>
      </c>
      <c r="G145" s="394"/>
      <c r="H145" s="244">
        <f>'Collection Worksheet'!I191</f>
        <v>0</v>
      </c>
      <c r="I145" s="231"/>
      <c r="J145" s="400">
        <v>602</v>
      </c>
      <c r="K145" s="423" t="s">
        <v>805</v>
      </c>
      <c r="L145" s="262">
        <f t="shared" si="11"/>
        <v>0</v>
      </c>
      <c r="M145" s="65"/>
      <c r="P145" s="385"/>
      <c r="Q145" s="395"/>
      <c r="R145" s="531" t="b">
        <f t="shared" si="13"/>
        <v>1</v>
      </c>
      <c r="W145" s="385" t="b">
        <f>EXACT(A148,J148)</f>
        <v>1</v>
      </c>
      <c r="X145" s="682">
        <f t="shared" si="15"/>
        <v>0</v>
      </c>
    </row>
    <row r="146" spans="1:24" s="386" customFormat="1" ht="174" customHeight="1" x14ac:dyDescent="0.25">
      <c r="A146" s="403">
        <f>'Collection Worksheet'!A192</f>
        <v>619</v>
      </c>
      <c r="B146" s="404" t="str">
        <f>'Collection Worksheet'!C192</f>
        <v>LEO
RSI</v>
      </c>
      <c r="C146" s="458" t="str">
        <f>'Collection Worksheet'!D192</f>
        <v>LEOSSA – What is the plan’s fiduciary net position as a percentage of the total pension liability?  Please enter as percentage value; for example, 83.5% should be entered as 83.5.  If assets have not been set aside in a trust, please enter 0.0</v>
      </c>
      <c r="D146" s="431"/>
      <c r="E146" s="669">
        <f>'Collection Worksheet'!F192</f>
        <v>0</v>
      </c>
      <c r="F146" s="398" t="str">
        <f>IF(H146=L146,"","Column L does not equal Column H")</f>
        <v/>
      </c>
      <c r="G146" s="394"/>
      <c r="H146" s="511">
        <f>ROUND(IFERROR((L145/L144)*100,0),1)</f>
        <v>0</v>
      </c>
      <c r="I146" s="231"/>
      <c r="J146" s="507">
        <v>619</v>
      </c>
      <c r="K146" s="510" t="s">
        <v>846</v>
      </c>
      <c r="L146" s="508">
        <f t="shared" si="11"/>
        <v>0</v>
      </c>
      <c r="M146" s="65"/>
      <c r="P146" s="385"/>
      <c r="Q146" s="395"/>
      <c r="R146" s="531" t="b">
        <f t="shared" si="13"/>
        <v>1</v>
      </c>
      <c r="W146" s="385"/>
      <c r="X146" s="682">
        <f t="shared" si="15"/>
        <v>0</v>
      </c>
    </row>
    <row r="147" spans="1:24" s="386" customFormat="1" ht="174" customHeight="1" x14ac:dyDescent="0.25">
      <c r="A147" s="459">
        <v>621</v>
      </c>
      <c r="B147" s="459" t="s">
        <v>847</v>
      </c>
      <c r="C147" s="467" t="str">
        <f>'Collection Worksheet'!D194</f>
        <v>Unit's share of RBHF Net OPEB Liability ($s)
- unit of government is a participating employer in the State's RHBF (Retiree Health Benefit Fund)</v>
      </c>
      <c r="D147" s="391"/>
      <c r="E147" s="468">
        <f>'Collection Worksheet'!F194</f>
        <v>0</v>
      </c>
      <c r="F147" s="456">
        <f>IF(L147&lt;0,"Error: Enter as positive.",)</f>
        <v>0</v>
      </c>
      <c r="G147" s="469"/>
      <c r="H147" s="452"/>
      <c r="I147" s="232"/>
      <c r="J147" s="468">
        <v>621</v>
      </c>
      <c r="K147" s="470" t="s">
        <v>851</v>
      </c>
      <c r="L147" s="422">
        <f>IF(D147="",E147,D147)</f>
        <v>0</v>
      </c>
      <c r="M147" s="65"/>
      <c r="Q147" s="395"/>
      <c r="R147" s="531" t="b">
        <f t="shared" si="13"/>
        <v>1</v>
      </c>
      <c r="X147" s="682">
        <f t="shared" si="15"/>
        <v>0</v>
      </c>
    </row>
    <row r="148" spans="1:24" s="26" customFormat="1" ht="141.75" customHeight="1" x14ac:dyDescent="0.25">
      <c r="A148" s="301">
        <f>'Collection Worksheet'!A195</f>
        <v>547</v>
      </c>
      <c r="B148" s="280" t="str">
        <f>'Collection Worksheet'!C195</f>
        <v>OPEB Note</v>
      </c>
      <c r="C148" s="280" t="str">
        <f>'Collection Worksheet'!D195</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148" s="391"/>
      <c r="E148" s="665">
        <f>'Collection Worksheet'!F195</f>
        <v>0</v>
      </c>
      <c r="F148" s="253" t="str">
        <f>IF(L148&lt;1,"Please answer this question","")</f>
        <v>Please answer this question</v>
      </c>
      <c r="G148" s="337"/>
      <c r="H148" s="244">
        <f>'Collection Worksheet'!I195</f>
        <v>0</v>
      </c>
      <c r="I148" s="231"/>
      <c r="J148" s="238">
        <v>547</v>
      </c>
      <c r="K148" s="302" t="s">
        <v>649</v>
      </c>
      <c r="L148" s="262">
        <f t="shared" si="11"/>
        <v>0</v>
      </c>
      <c r="P148" s="385"/>
      <c r="Q148" s="383"/>
      <c r="R148" s="531" t="b">
        <f t="shared" si="13"/>
        <v>1</v>
      </c>
      <c r="W148" s="385" t="b">
        <f>EXACT(A149,J149)</f>
        <v>1</v>
      </c>
      <c r="X148" s="682">
        <f t="shared" si="15"/>
        <v>0</v>
      </c>
    </row>
    <row r="149" spans="1:24" s="385" customFormat="1" ht="139.5" customHeight="1" x14ac:dyDescent="0.25">
      <c r="A149" s="504">
        <f>'Collection Worksheet'!A196</f>
        <v>607</v>
      </c>
      <c r="B149" s="404" t="str">
        <f>'Collection Worksheet'!C196</f>
        <v>OPEB
 Note or RSI</v>
      </c>
      <c r="C149" s="505" t="str">
        <f>'Collection Worksheet'!D196</f>
        <v>Health benefits - total OPEB liability
If you do not provide benefit, please enter 0</v>
      </c>
      <c r="D149" s="391"/>
      <c r="E149" s="665">
        <f>'Collection Worksheet'!F196</f>
        <v>0</v>
      </c>
      <c r="F149" s="261">
        <f>IF(L149&lt;0,"Error: Enter as positive.",)</f>
        <v>0</v>
      </c>
      <c r="G149" s="394"/>
      <c r="H149" s="244">
        <f>'Collection Worksheet'!I196</f>
        <v>0</v>
      </c>
      <c r="I149" s="230"/>
      <c r="J149" s="506">
        <v>607</v>
      </c>
      <c r="K149" s="505" t="s">
        <v>813</v>
      </c>
      <c r="L149" s="496">
        <f t="shared" si="11"/>
        <v>0</v>
      </c>
      <c r="Q149" s="435" t="str">
        <f>IF(H151=L151,"",1)</f>
        <v/>
      </c>
      <c r="R149" s="531" t="b">
        <f t="shared" si="13"/>
        <v>1</v>
      </c>
      <c r="X149" s="682">
        <f t="shared" si="15"/>
        <v>0</v>
      </c>
    </row>
    <row r="150" spans="1:24" ht="54" customHeight="1" x14ac:dyDescent="0.25">
      <c r="A150" s="403">
        <f>'Collection Worksheet'!A197</f>
        <v>608</v>
      </c>
      <c r="B150" s="404" t="str">
        <f>'Collection Worksheet'!C197</f>
        <v>OPEB
 Note or RSI</v>
      </c>
      <c r="C150" s="402" t="str">
        <f>'Collection Worksheet'!D197</f>
        <v>Health benefits- OPEB plan fiduciary net position
If no fiduciary net position, enter 0</v>
      </c>
      <c r="D150" s="391"/>
      <c r="E150" s="665">
        <f>'Collection Worksheet'!F197</f>
        <v>0</v>
      </c>
      <c r="F150" s="451">
        <f>IF(L150&lt;0,"Note: Number is normally positive.",)</f>
        <v>0</v>
      </c>
      <c r="G150" s="394"/>
      <c r="H150" s="244">
        <f>'Collection Worksheet'!I197</f>
        <v>0</v>
      </c>
      <c r="I150" s="231"/>
      <c r="J150" s="507">
        <v>608</v>
      </c>
      <c r="K150" s="402" t="s">
        <v>814</v>
      </c>
      <c r="L150" s="496">
        <f t="shared" si="11"/>
        <v>0</v>
      </c>
      <c r="P150" s="385"/>
      <c r="R150" s="531" t="b">
        <f t="shared" si="13"/>
        <v>1</v>
      </c>
      <c r="W150" s="385" t="b">
        <f>EXACT(A152,J152)</f>
        <v>1</v>
      </c>
      <c r="X150" s="682">
        <f t="shared" si="15"/>
        <v>0</v>
      </c>
    </row>
    <row r="151" spans="1:24" ht="47.25" customHeight="1" x14ac:dyDescent="0.25">
      <c r="A151" s="403">
        <f>'Collection Worksheet'!A198</f>
        <v>609</v>
      </c>
      <c r="B151" s="404" t="str">
        <f>'Collection Worksheet'!C198</f>
        <v>OPEB
RSI</v>
      </c>
      <c r="C151" s="402" t="str">
        <f>'Collection Worksheet'!D198</f>
        <v>Health benefits - What is the plan’s fiduciary net position as a percentage of the total OPEB liability?  Please enter as percentage value; for example, 83.5% should be entered as 83.5.  If assets have not been set aside in a trust, please enter 0.0</v>
      </c>
      <c r="D151" s="431"/>
      <c r="E151" s="670">
        <f>'Collection Worksheet'!F198</f>
        <v>0</v>
      </c>
      <c r="F151" s="398" t="str">
        <f>IF(H151=L151,"","Column L does not equal Column H")</f>
        <v/>
      </c>
      <c r="G151" s="394"/>
      <c r="H151" s="511">
        <f>ROUND(IFERROR((L150/L149)*100,0),1)</f>
        <v>0</v>
      </c>
      <c r="I151" s="231"/>
      <c r="J151" s="507">
        <v>609</v>
      </c>
      <c r="K151" s="402" t="s">
        <v>841</v>
      </c>
      <c r="L151" s="508">
        <f t="shared" si="11"/>
        <v>0</v>
      </c>
      <c r="P151" s="385"/>
      <c r="R151" s="531" t="b">
        <f t="shared" si="13"/>
        <v>1</v>
      </c>
      <c r="W151" s="385" t="b">
        <f>EXACT(A153,J153)</f>
        <v>1</v>
      </c>
      <c r="X151" s="682">
        <f t="shared" si="15"/>
        <v>0</v>
      </c>
    </row>
    <row r="152" spans="1:24" s="385" customFormat="1" ht="126.75" customHeight="1" x14ac:dyDescent="0.25">
      <c r="A152" s="403">
        <f>'Collection Worksheet'!A199</f>
        <v>610</v>
      </c>
      <c r="B152" s="404" t="str">
        <f>'Collection Worksheet'!C199</f>
        <v>OPEB
 Note or RSI</v>
      </c>
      <c r="C152" s="402" t="str">
        <f>'Collection Worksheet'!D199</f>
        <v>Vision benefits - total OPEB liability</v>
      </c>
      <c r="D152" s="391"/>
      <c r="E152" s="665">
        <f>'Collection Worksheet'!F199</f>
        <v>0</v>
      </c>
      <c r="F152" s="398">
        <f>IF(L152&lt;0,"Error: Enter as positive.",)</f>
        <v>0</v>
      </c>
      <c r="G152" s="394"/>
      <c r="H152" s="244">
        <f>'Collection Worksheet'!I199</f>
        <v>0</v>
      </c>
      <c r="I152" s="231"/>
      <c r="J152" s="507">
        <v>610</v>
      </c>
      <c r="K152" s="402" t="s">
        <v>815</v>
      </c>
      <c r="L152" s="496">
        <f t="shared" si="11"/>
        <v>0</v>
      </c>
      <c r="Q152" s="435" t="str">
        <f>IF(H154=L154,"",1)</f>
        <v/>
      </c>
      <c r="R152" s="531" t="b">
        <f t="shared" si="13"/>
        <v>1</v>
      </c>
      <c r="X152" s="682">
        <f t="shared" si="15"/>
        <v>0</v>
      </c>
    </row>
    <row r="153" spans="1:24" ht="43.5" customHeight="1" x14ac:dyDescent="0.25">
      <c r="A153" s="403">
        <f>'Collection Worksheet'!A200</f>
        <v>611</v>
      </c>
      <c r="B153" s="404" t="str">
        <f>'Collection Worksheet'!C200</f>
        <v>OPEB
 Note or RSI</v>
      </c>
      <c r="C153" s="402" t="str">
        <f>'Collection Worksheet'!D200</f>
        <v>Vision benefits - OPEB plan fiduciary net position</v>
      </c>
      <c r="D153" s="391"/>
      <c r="E153" s="665">
        <f>'Collection Worksheet'!F200</f>
        <v>0</v>
      </c>
      <c r="F153" s="451">
        <f>IF(L153&lt;0,"Note: Number is normally positive.",)</f>
        <v>0</v>
      </c>
      <c r="G153" s="394"/>
      <c r="H153" s="244">
        <f>'Collection Worksheet'!I200</f>
        <v>0</v>
      </c>
      <c r="I153" s="231"/>
      <c r="J153" s="507">
        <v>611</v>
      </c>
      <c r="K153" s="402" t="s">
        <v>816</v>
      </c>
      <c r="L153" s="496">
        <f t="shared" si="11"/>
        <v>0</v>
      </c>
      <c r="P153" s="385"/>
      <c r="R153" s="531" t="b">
        <f t="shared" si="13"/>
        <v>1</v>
      </c>
      <c r="W153" s="385" t="b">
        <f>EXACT(A155,J155)</f>
        <v>1</v>
      </c>
      <c r="X153" s="682">
        <f t="shared" si="15"/>
        <v>0</v>
      </c>
    </row>
    <row r="154" spans="1:24" ht="57.75" customHeight="1" x14ac:dyDescent="0.25">
      <c r="A154" s="403">
        <f>'Collection Worksheet'!A201</f>
        <v>612</v>
      </c>
      <c r="B154" s="404" t="str">
        <f>'Collection Worksheet'!C201</f>
        <v>OPEB
RSI</v>
      </c>
      <c r="C154" s="402" t="str">
        <f>'Collection Worksheet'!D201</f>
        <v>Vision benefits - What is the plan’s fiduciary net position as a percentage of the total OPEB liability?  Please enter as percentage value; for example, 83.5% should be entered as 83.5.  If assets have not been set aside in a trust, please enter 0.0</v>
      </c>
      <c r="D154" s="431"/>
      <c r="E154" s="670">
        <f>'Collection Worksheet'!F201</f>
        <v>0</v>
      </c>
      <c r="F154" s="398" t="str">
        <f>IF(H154=L154,"","Column L does not equal Column H")</f>
        <v/>
      </c>
      <c r="G154" s="394"/>
      <c r="H154" s="511">
        <f>ROUND(IFERROR((L153/L152)*100,0),1)</f>
        <v>0</v>
      </c>
      <c r="I154" s="231"/>
      <c r="J154" s="507">
        <v>612</v>
      </c>
      <c r="K154" s="402" t="s">
        <v>842</v>
      </c>
      <c r="L154" s="508">
        <f t="shared" si="11"/>
        <v>0</v>
      </c>
      <c r="P154" s="385"/>
      <c r="R154" s="531" t="b">
        <f t="shared" si="13"/>
        <v>1</v>
      </c>
      <c r="W154" s="385" t="b">
        <f>EXACT(A156,J156)</f>
        <v>1</v>
      </c>
      <c r="X154" s="682">
        <f t="shared" si="15"/>
        <v>0</v>
      </c>
    </row>
    <row r="155" spans="1:24" s="385" customFormat="1" ht="115.5" customHeight="1" x14ac:dyDescent="0.25">
      <c r="A155" s="403">
        <f>'Collection Worksheet'!A202</f>
        <v>613</v>
      </c>
      <c r="B155" s="404" t="str">
        <f>'Collection Worksheet'!C202</f>
        <v>OPEB
 Note or RSI</v>
      </c>
      <c r="C155" s="402" t="str">
        <f>'Collection Worksheet'!D202</f>
        <v>Dental benefits - total OPEB liability</v>
      </c>
      <c r="D155" s="391"/>
      <c r="E155" s="665">
        <f>'Collection Worksheet'!F202</f>
        <v>0</v>
      </c>
      <c r="F155" s="398">
        <f>IF(L155&lt;0,"Error: Enter as positive.",)</f>
        <v>0</v>
      </c>
      <c r="G155" s="394"/>
      <c r="H155" s="244">
        <f>'Collection Worksheet'!I202</f>
        <v>0</v>
      </c>
      <c r="I155" s="231"/>
      <c r="J155" s="507">
        <v>613</v>
      </c>
      <c r="K155" s="402" t="s">
        <v>830</v>
      </c>
      <c r="L155" s="496">
        <f t="shared" si="11"/>
        <v>0</v>
      </c>
      <c r="Q155" s="435" t="str">
        <f>IF(H157=L157,"",1)</f>
        <v/>
      </c>
      <c r="R155" s="531" t="b">
        <f t="shared" si="13"/>
        <v>1</v>
      </c>
      <c r="X155" s="682">
        <f t="shared" si="15"/>
        <v>0</v>
      </c>
    </row>
    <row r="156" spans="1:24" s="385" customFormat="1" ht="57.75" customHeight="1" x14ac:dyDescent="0.25">
      <c r="A156" s="403">
        <f>'Collection Worksheet'!A203</f>
        <v>614</v>
      </c>
      <c r="B156" s="404" t="str">
        <f>'Collection Worksheet'!C203</f>
        <v>OPEB
 Note or RSI</v>
      </c>
      <c r="C156" s="402" t="str">
        <f>'Collection Worksheet'!D203</f>
        <v>Dental benefits - OPEB plan fiduciary net position</v>
      </c>
      <c r="D156" s="391"/>
      <c r="E156" s="665">
        <f>'Collection Worksheet'!F203</f>
        <v>0</v>
      </c>
      <c r="F156" s="451">
        <f>IF(L156&lt;0,"Note: Number is normally positive.",)</f>
        <v>0</v>
      </c>
      <c r="G156" s="394"/>
      <c r="H156" s="244">
        <f>'Collection Worksheet'!I203</f>
        <v>0</v>
      </c>
      <c r="I156" s="231"/>
      <c r="J156" s="507">
        <v>614</v>
      </c>
      <c r="K156" s="402" t="s">
        <v>817</v>
      </c>
      <c r="L156" s="496">
        <f t="shared" si="11"/>
        <v>0</v>
      </c>
      <c r="Q156" s="395"/>
      <c r="R156" s="531" t="b">
        <f t="shared" si="13"/>
        <v>1</v>
      </c>
      <c r="X156" s="682">
        <f t="shared" si="15"/>
        <v>0</v>
      </c>
    </row>
    <row r="157" spans="1:24" s="385" customFormat="1" ht="57.75" customHeight="1" x14ac:dyDescent="0.25">
      <c r="A157" s="403">
        <f>'Collection Worksheet'!A204</f>
        <v>615</v>
      </c>
      <c r="B157" s="404" t="str">
        <f>'Collection Worksheet'!C204</f>
        <v>OPEB
RSI</v>
      </c>
      <c r="C157" s="402" t="str">
        <f>'Collection Worksheet'!D204</f>
        <v>Dental benefits - What is the plan’s fiduciary net position as a percentage of the total OPEB liability?  Please enter as percentage value; for example, 83.5% should be entered as 83.5.  If assets have not been set aside in a trust, please enter 0.0</v>
      </c>
      <c r="D157" s="431"/>
      <c r="E157" s="670">
        <f>'Collection Worksheet'!F204</f>
        <v>0</v>
      </c>
      <c r="F157" s="398" t="str">
        <f>IF(H157=L157,"","Column L does not equal Column H")</f>
        <v/>
      </c>
      <c r="G157" s="394"/>
      <c r="H157" s="512">
        <f>ROUND(IFERROR((L156/L155)*100,0),1)</f>
        <v>0</v>
      </c>
      <c r="I157" s="231"/>
      <c r="J157" s="507">
        <v>615</v>
      </c>
      <c r="K157" s="402" t="s">
        <v>843</v>
      </c>
      <c r="L157" s="508">
        <f t="shared" si="11"/>
        <v>0</v>
      </c>
      <c r="Q157" s="395"/>
      <c r="R157" s="531" t="b">
        <f t="shared" si="13"/>
        <v>1</v>
      </c>
      <c r="X157" s="682">
        <f t="shared" si="15"/>
        <v>0</v>
      </c>
    </row>
    <row r="158" spans="1:24" s="385" customFormat="1" ht="111.75" customHeight="1" x14ac:dyDescent="0.25">
      <c r="A158" s="403">
        <f>'Collection Worksheet'!A205</f>
        <v>616</v>
      </c>
      <c r="B158" s="404" t="str">
        <f>'Collection Worksheet'!C205</f>
        <v>OPEB
 Note or RSI</v>
      </c>
      <c r="C158" s="402" t="str">
        <f>'Collection Worksheet'!D205</f>
        <v>Other benefits - total OPEB liability</v>
      </c>
      <c r="D158" s="391"/>
      <c r="E158" s="665">
        <f>'Collection Worksheet'!F205</f>
        <v>0</v>
      </c>
      <c r="F158" s="398">
        <f>IF(L158&lt;0,"Error: Enter as positive.",)</f>
        <v>0</v>
      </c>
      <c r="G158" s="394"/>
      <c r="H158" s="244">
        <f>'Collection Worksheet'!I205</f>
        <v>0</v>
      </c>
      <c r="I158" s="231"/>
      <c r="J158" s="507">
        <v>616</v>
      </c>
      <c r="K158" s="402" t="s">
        <v>818</v>
      </c>
      <c r="L158" s="509">
        <f>IF(D158="",E158,D158)</f>
        <v>0</v>
      </c>
      <c r="Q158" s="435" t="str">
        <f>IF(H160=L160,"",1)</f>
        <v/>
      </c>
      <c r="R158" s="531" t="b">
        <f t="shared" si="13"/>
        <v>1</v>
      </c>
      <c r="X158" s="682">
        <f t="shared" si="15"/>
        <v>0</v>
      </c>
    </row>
    <row r="159" spans="1:24" s="268" customFormat="1" ht="233.25" customHeight="1" x14ac:dyDescent="0.25">
      <c r="A159" s="403">
        <f>'Collection Worksheet'!A206</f>
        <v>617</v>
      </c>
      <c r="B159" s="404" t="str">
        <f>'Collection Worksheet'!C206</f>
        <v>OPEB
 Note or RSI</v>
      </c>
      <c r="C159" s="402" t="str">
        <f>'Collection Worksheet'!D206</f>
        <v>Other benefits - OPEB plan fiduciary net position</v>
      </c>
      <c r="D159" s="391"/>
      <c r="E159" s="665">
        <f>'Collection Worksheet'!F206</f>
        <v>0</v>
      </c>
      <c r="F159" s="451">
        <f>IF(L159&lt;0,"Note: Number is normally positive.",)</f>
        <v>0</v>
      </c>
      <c r="G159" s="394"/>
      <c r="H159" s="244">
        <f>'Collection Worksheet'!I206</f>
        <v>0</v>
      </c>
      <c r="I159" s="231"/>
      <c r="J159" s="507">
        <v>617</v>
      </c>
      <c r="K159" s="402" t="s">
        <v>819</v>
      </c>
      <c r="L159" s="496">
        <f>IF(D159="",E159,D159)</f>
        <v>0</v>
      </c>
      <c r="P159" s="385"/>
      <c r="Q159" s="395"/>
      <c r="R159" s="531" t="b">
        <f t="shared" si="13"/>
        <v>1</v>
      </c>
      <c r="W159" s="385" t="e">
        <f>EXACT(#REF!,#REF!)</f>
        <v>#REF!</v>
      </c>
      <c r="X159" s="682">
        <f t="shared" si="15"/>
        <v>0</v>
      </c>
    </row>
    <row r="160" spans="1:24" ht="90" customHeight="1" x14ac:dyDescent="0.25">
      <c r="A160" s="403">
        <f>'Collection Worksheet'!A207</f>
        <v>618</v>
      </c>
      <c r="B160" s="404" t="str">
        <f>'Collection Worksheet'!C207</f>
        <v>OPEB
RSI</v>
      </c>
      <c r="C160" s="402" t="str">
        <f>'Collection Worksheet'!D207</f>
        <v>Other benefits  - What is the plan’s fiduciary net position as a percentage of the total OPEB liability?  Please enter as percentage value; for example, 83.5% should be entered as 83.5.  If assets have not been set aside in a trust, please enter 0.0</v>
      </c>
      <c r="D160" s="431"/>
      <c r="E160" s="670">
        <f>'Collection Worksheet'!F207</f>
        <v>0</v>
      </c>
      <c r="F160" s="398" t="str">
        <f>IF(H160=L160,"","Column L does not equal Column H")</f>
        <v/>
      </c>
      <c r="G160" s="394"/>
      <c r="H160" s="513">
        <f>ROUND(IFERROR((L159/L158)*100,0),1)</f>
        <v>0</v>
      </c>
      <c r="I160" s="231"/>
      <c r="J160" s="507">
        <v>618</v>
      </c>
      <c r="K160" s="510" t="s">
        <v>844</v>
      </c>
      <c r="L160" s="508">
        <f>IF(D160="",E160,D160)</f>
        <v>0</v>
      </c>
      <c r="P160" s="385"/>
      <c r="R160" s="531" t="b">
        <f t="shared" si="13"/>
        <v>1</v>
      </c>
      <c r="W160" s="385" t="b">
        <f>EXACT(A161,J161)</f>
        <v>1</v>
      </c>
      <c r="X160" s="682">
        <f t="shared" si="15"/>
        <v>0</v>
      </c>
    </row>
    <row r="161" spans="1:24" ht="84.75" customHeight="1" x14ac:dyDescent="0.25">
      <c r="A161" s="269">
        <f>'Collection Worksheet'!A210</f>
        <v>371</v>
      </c>
      <c r="B161" s="280" t="str">
        <f>'Collection Worksheet'!C210</f>
        <v>Transfer Note</v>
      </c>
      <c r="C161" s="267" t="str">
        <f>'Collection Worksheet'!D210</f>
        <v>Amount of Transfers from the General Fund to the Debt Service Fund (Enter as positive)</v>
      </c>
      <c r="D161" s="254"/>
      <c r="E161" s="665">
        <f>'Collection Worksheet'!F210</f>
        <v>0</v>
      </c>
      <c r="F161" s="253">
        <f>IF(L161&lt;0,"Error: Enter as a positive.",)</f>
        <v>0</v>
      </c>
      <c r="G161" s="337"/>
      <c r="H161" s="244">
        <f>'Collection Worksheet'!I210</f>
        <v>0</v>
      </c>
      <c r="I161" s="231"/>
      <c r="J161" s="235">
        <v>371</v>
      </c>
      <c r="K161" s="228" t="s">
        <v>344</v>
      </c>
      <c r="L161" s="262">
        <f t="shared" si="11"/>
        <v>0</v>
      </c>
      <c r="P161" s="385"/>
      <c r="R161" s="531" t="b">
        <f t="shared" si="13"/>
        <v>1</v>
      </c>
      <c r="W161" s="385" t="b">
        <f t="shared" ref="W161:W173" si="16">EXACT(A163,J163)</f>
        <v>1</v>
      </c>
      <c r="X161" s="682">
        <f t="shared" si="15"/>
        <v>0</v>
      </c>
    </row>
    <row r="162" spans="1:24" ht="30" x14ac:dyDescent="0.25">
      <c r="A162" s="269">
        <f>'Collection Worksheet'!A211</f>
        <v>513</v>
      </c>
      <c r="B162" s="280" t="str">
        <f>'Collection Worksheet'!C211</f>
        <v>Transfer Note</v>
      </c>
      <c r="C162" s="267" t="str">
        <f>'Collection Worksheet'!D211</f>
        <v>Amount of Transfers from the General Fund to the Electric Fund  (Enter as positive)</v>
      </c>
      <c r="D162" s="391"/>
      <c r="E162" s="665">
        <f>'Collection Worksheet'!F211</f>
        <v>0</v>
      </c>
      <c r="F162" s="253">
        <f>IF(L162&lt;0,"Error: Enter as a positive.",)</f>
        <v>0</v>
      </c>
      <c r="G162" s="337"/>
      <c r="H162" s="244">
        <f>'Collection Worksheet'!I211</f>
        <v>0</v>
      </c>
      <c r="I162" s="231"/>
      <c r="J162" s="238">
        <v>513</v>
      </c>
      <c r="K162" s="228" t="s">
        <v>345</v>
      </c>
      <c r="L162" s="262">
        <f t="shared" si="11"/>
        <v>0</v>
      </c>
      <c r="P162" s="385"/>
      <c r="R162" s="531" t="b">
        <f t="shared" si="13"/>
        <v>1</v>
      </c>
      <c r="W162" s="385" t="b">
        <f t="shared" si="16"/>
        <v>1</v>
      </c>
      <c r="X162" s="682">
        <f t="shared" si="15"/>
        <v>0</v>
      </c>
    </row>
    <row r="163" spans="1:24" ht="94.5" customHeight="1" x14ac:dyDescent="0.25">
      <c r="A163" s="269">
        <f>'Collection Worksheet'!A212</f>
        <v>514</v>
      </c>
      <c r="B163" s="280" t="str">
        <f>'Collection Worksheet'!C212</f>
        <v>Transfer Note</v>
      </c>
      <c r="C163" s="267" t="str">
        <f>'Collection Worksheet'!D212</f>
        <v>Amount of Transfers from the Electric Fund to the General Fund  (Enter as positive)
Include:  Payment in Lieu of Taxes (PILOT)</v>
      </c>
      <c r="D163" s="391"/>
      <c r="E163" s="665">
        <f>'Collection Worksheet'!F212</f>
        <v>0</v>
      </c>
      <c r="F163" s="253">
        <f>IF(L163&lt;0,"Error: Enter as a positive.",)</f>
        <v>0</v>
      </c>
      <c r="G163" s="337"/>
      <c r="H163" s="244">
        <f>'Collection Worksheet'!I212</f>
        <v>0</v>
      </c>
      <c r="I163" s="231"/>
      <c r="J163" s="238">
        <v>514</v>
      </c>
      <c r="K163" s="228" t="s">
        <v>346</v>
      </c>
      <c r="L163" s="262">
        <f t="shared" si="11"/>
        <v>0</v>
      </c>
      <c r="P163" s="385"/>
      <c r="R163" s="531" t="b">
        <f t="shared" si="13"/>
        <v>1</v>
      </c>
      <c r="W163" s="385" t="b">
        <f t="shared" si="16"/>
        <v>1</v>
      </c>
      <c r="X163" s="682">
        <f t="shared" si="15"/>
        <v>0</v>
      </c>
    </row>
    <row r="164" spans="1:24" ht="55.5" customHeight="1" x14ac:dyDescent="0.25">
      <c r="A164" s="250">
        <f>'Collection Worksheet'!A214</f>
        <v>6</v>
      </c>
      <c r="B164" s="281" t="str">
        <f>'Collection Worksheet'!C214</f>
        <v>Fund Balance Note</v>
      </c>
      <c r="C164" s="259" t="str">
        <f>'Collection Worksheet'!D214</f>
        <v>General Fund -  Total Encumbrances.  You will probably have to refer to the note disclosure where the amount of encumbrances is listed.</v>
      </c>
      <c r="D164" s="391"/>
      <c r="E164" s="666">
        <f>'Collection Worksheet'!F214</f>
        <v>0</v>
      </c>
      <c r="F164" s="229">
        <f>IF(L164&lt;0,"Error: Enter as a positive.",)</f>
        <v>0</v>
      </c>
      <c r="G164" s="338"/>
      <c r="H164" s="244">
        <f>'Collection Worksheet'!I214</f>
        <v>0</v>
      </c>
      <c r="I164" s="231"/>
      <c r="J164" s="237">
        <v>6</v>
      </c>
      <c r="K164" s="228" t="s">
        <v>347</v>
      </c>
      <c r="L164" s="256">
        <f t="shared" si="11"/>
        <v>0</v>
      </c>
      <c r="N164" s="298" t="s">
        <v>659</v>
      </c>
      <c r="P164" s="385"/>
      <c r="R164" s="531" t="b">
        <f t="shared" si="13"/>
        <v>1</v>
      </c>
      <c r="W164" s="385" t="b">
        <f t="shared" si="16"/>
        <v>1</v>
      </c>
      <c r="X164" s="682">
        <f t="shared" si="15"/>
        <v>0</v>
      </c>
    </row>
    <row r="165" spans="1:24" s="4" customFormat="1" ht="90.75" customHeight="1" x14ac:dyDescent="0.25">
      <c r="A165" s="269">
        <f>'Collection Worksheet'!A216</f>
        <v>541</v>
      </c>
      <c r="B165" s="280" t="str">
        <f>'Collection Worksheet'!C216</f>
        <v>Water Sewer - Budget Actual Statement</v>
      </c>
      <c r="C165" s="280" t="str">
        <f>'Collection Worksheet'!D216</f>
        <v>Amount of Water Sewer revenues and other financing sources over expenditures and other uses
Exclude:  All transfers and capital contributions
Exclude:  Capital Projects
This schedule is usually found behind the notes and should be entered as a positive or negative as indicated on your audit report</v>
      </c>
      <c r="D165" s="391"/>
      <c r="E165" s="665">
        <f>'Collection Worksheet'!F216</f>
        <v>0</v>
      </c>
      <c r="F165" s="253"/>
      <c r="G165" s="337"/>
      <c r="H165" s="244">
        <f>'Collection Worksheet'!I216</f>
        <v>0</v>
      </c>
      <c r="I165" s="231"/>
      <c r="J165" s="238">
        <v>541</v>
      </c>
      <c r="K165" s="329" t="s">
        <v>668</v>
      </c>
      <c r="L165" s="249">
        <f t="shared" si="11"/>
        <v>0</v>
      </c>
      <c r="P165" s="385"/>
      <c r="Q165" s="395"/>
      <c r="R165" s="531" t="b">
        <f t="shared" si="13"/>
        <v>1</v>
      </c>
      <c r="W165" s="385" t="b">
        <f t="shared" si="16"/>
        <v>1</v>
      </c>
      <c r="X165" s="682">
        <f t="shared" si="15"/>
        <v>0</v>
      </c>
    </row>
    <row r="166" spans="1:24" s="4" customFormat="1" ht="75" customHeight="1" x14ac:dyDescent="0.25">
      <c r="A166" s="269">
        <f>'Collection Worksheet'!A218</f>
        <v>542</v>
      </c>
      <c r="B166" s="280" t="str">
        <f>'Collection Worksheet'!C218</f>
        <v>Water Sewer - Budget Actual Statement</v>
      </c>
      <c r="C166" s="288" t="str">
        <f>'Collection Worksheet'!D218</f>
        <v>Amount of the Water Sewer Fund Balance appropriated in next year's budget?</v>
      </c>
      <c r="D166" s="391"/>
      <c r="E166" s="665">
        <f>'Collection Worksheet'!F218</f>
        <v>0</v>
      </c>
      <c r="F166" s="253"/>
      <c r="G166" s="337"/>
      <c r="H166" s="244">
        <f>'Collection Worksheet'!I218</f>
        <v>0</v>
      </c>
      <c r="I166" s="231"/>
      <c r="J166" s="238">
        <v>542</v>
      </c>
      <c r="K166" s="228" t="s">
        <v>348</v>
      </c>
      <c r="L166" s="249">
        <f t="shared" si="11"/>
        <v>0</v>
      </c>
      <c r="P166" s="385"/>
      <c r="Q166" s="395"/>
      <c r="R166" s="531" t="b">
        <f t="shared" si="13"/>
        <v>1</v>
      </c>
      <c r="W166" s="385" t="b">
        <f t="shared" si="16"/>
        <v>1</v>
      </c>
      <c r="X166" s="682">
        <f t="shared" si="15"/>
        <v>0</v>
      </c>
    </row>
    <row r="167" spans="1:24" s="4" customFormat="1" ht="56.25" customHeight="1" x14ac:dyDescent="0.25">
      <c r="A167" s="269">
        <f>'Collection Worksheet'!A221</f>
        <v>528</v>
      </c>
      <c r="B167" s="280" t="str">
        <f>'Collection Worksheet'!C221</f>
        <v>Analysis of Current Tax Levy Schedule</v>
      </c>
      <c r="C167" s="288" t="str">
        <f>'Collection Worksheet'!D221</f>
        <v>Please enter the Net Current year's levy -- (after adjusting for discoveries and abatements)
Exclude motor vehicles and Supplemental Taxes</v>
      </c>
      <c r="D167" s="391"/>
      <c r="E167" s="665">
        <f>'Collection Worksheet'!F221</f>
        <v>0</v>
      </c>
      <c r="F167" s="379" t="str">
        <f>IF(L167=0,"Must be completed if unit levys taxes","")</f>
        <v>Must be completed if unit levys taxes</v>
      </c>
      <c r="G167" s="337"/>
      <c r="H167" s="244"/>
      <c r="I167" s="231"/>
      <c r="J167" s="238">
        <v>528</v>
      </c>
      <c r="K167" s="330" t="s">
        <v>353</v>
      </c>
      <c r="L167" s="249">
        <f t="shared" si="11"/>
        <v>0</v>
      </c>
      <c r="P167" s="385"/>
      <c r="Q167" s="395"/>
      <c r="R167" s="531" t="b">
        <f t="shared" si="13"/>
        <v>1</v>
      </c>
      <c r="W167" s="385" t="b">
        <f t="shared" si="16"/>
        <v>1</v>
      </c>
      <c r="X167" s="682">
        <f t="shared" si="15"/>
        <v>0</v>
      </c>
    </row>
    <row r="168" spans="1:24" ht="90.75" customHeight="1" x14ac:dyDescent="0.25">
      <c r="A168" s="269">
        <f>'Collection Worksheet'!A222</f>
        <v>529</v>
      </c>
      <c r="B168" s="280" t="str">
        <f>'Collection Worksheet'!C222</f>
        <v>Analysis of Current Tax Levy Schedule</v>
      </c>
      <c r="C168" s="288" t="str">
        <f>'Collection Worksheet'!D222</f>
        <v>Please enter the Net Current year's levy -- Motor vehicles (only) (after adjusting for discoveries and abatements)
Exclude supplemental taxes</v>
      </c>
      <c r="D168" s="391"/>
      <c r="E168" s="665">
        <f>'Collection Worksheet'!F222</f>
        <v>0</v>
      </c>
      <c r="F168" s="379" t="str">
        <f>IF(L168=0,"Must be completed if unit levys taxes","")</f>
        <v>Must be completed if unit levys taxes</v>
      </c>
      <c r="G168" s="337"/>
      <c r="H168" s="244"/>
      <c r="I168" s="231"/>
      <c r="J168" s="238">
        <v>529</v>
      </c>
      <c r="K168" s="330" t="s">
        <v>354</v>
      </c>
      <c r="L168" s="249">
        <f t="shared" si="11"/>
        <v>0</v>
      </c>
      <c r="N168" s="380" t="str">
        <f>IF(T168=0,"Must be completed if unit levys taxes, zero acceptable if Motor Vehicle collection rate is 100%","")</f>
        <v>Must be completed if unit levys taxes, zero acceptable if Motor Vehicle collection rate is 100%</v>
      </c>
      <c r="P168" s="385"/>
      <c r="R168" s="531" t="b">
        <f t="shared" si="13"/>
        <v>1</v>
      </c>
      <c r="W168" s="385" t="b">
        <f t="shared" si="16"/>
        <v>1</v>
      </c>
      <c r="X168" s="682">
        <f t="shared" si="15"/>
        <v>0</v>
      </c>
    </row>
    <row r="169" spans="1:24" ht="89.25" customHeight="1" x14ac:dyDescent="0.25">
      <c r="A169" s="269">
        <f>'Collection Worksheet'!A223</f>
        <v>530</v>
      </c>
      <c r="B169" s="280" t="str">
        <f>'Collection Worksheet'!C223</f>
        <v>Analysis of Current Tax Levy Schedule</v>
      </c>
      <c r="C169" s="288" t="str">
        <f>'Collection Worksheet'!D223</f>
        <v>Uncollected Taxes - Curr Year's Levy Exclude Motor Vehicles
Exclude supplemental taxes</v>
      </c>
      <c r="D169" s="391"/>
      <c r="E169" s="665">
        <f>'Collection Worksheet'!F223</f>
        <v>0</v>
      </c>
      <c r="F169" s="379" t="str">
        <f>IF(L169=0,"Must be completed if unit levys taxes","")</f>
        <v>Must be completed if unit levys taxes</v>
      </c>
      <c r="G169" s="337"/>
      <c r="H169" s="244"/>
      <c r="I169" s="231"/>
      <c r="J169" s="238">
        <v>530</v>
      </c>
      <c r="K169" s="330" t="s">
        <v>355</v>
      </c>
      <c r="L169" s="249">
        <f t="shared" si="11"/>
        <v>0</v>
      </c>
      <c r="P169" s="385"/>
      <c r="Q169" s="395">
        <f>IF(L171-H171&lt;&gt;0,1,)</f>
        <v>0</v>
      </c>
      <c r="R169" s="531" t="b">
        <f t="shared" si="13"/>
        <v>1</v>
      </c>
      <c r="W169" s="385" t="b">
        <f t="shared" si="16"/>
        <v>1</v>
      </c>
      <c r="X169" s="682">
        <f t="shared" si="15"/>
        <v>0</v>
      </c>
    </row>
    <row r="170" spans="1:24" ht="87.75" customHeight="1" x14ac:dyDescent="0.25">
      <c r="A170" s="269">
        <f>'Collection Worksheet'!A224</f>
        <v>531</v>
      </c>
      <c r="B170" s="280" t="str">
        <f>'Collection Worksheet'!C224</f>
        <v>Analysis of Current Tax Levy Schedule</v>
      </c>
      <c r="C170" s="288" t="str">
        <f>'Collection Worksheet'!D224</f>
        <v>Uncollected Taxes - Curr Year's Levy Motor Vehicles
Exclude supplemental taxes</v>
      </c>
      <c r="D170" s="391"/>
      <c r="E170" s="665">
        <f>'Collection Worksheet'!F224</f>
        <v>0</v>
      </c>
      <c r="F170" s="379" t="str">
        <f>IF(L170=0,"Must be completed if unit levys taxes","")</f>
        <v>Must be completed if unit levys taxes</v>
      </c>
      <c r="G170" s="337"/>
      <c r="H170" s="244"/>
      <c r="I170" s="231"/>
      <c r="J170" s="238">
        <v>531</v>
      </c>
      <c r="K170" s="330" t="s">
        <v>356</v>
      </c>
      <c r="L170" s="249">
        <f t="shared" si="11"/>
        <v>0</v>
      </c>
      <c r="P170" s="385"/>
      <c r="Q170" s="395">
        <f>IF(L172-H172&lt;&gt;0,1,)</f>
        <v>0</v>
      </c>
      <c r="R170" s="531" t="b">
        <f t="shared" si="13"/>
        <v>1</v>
      </c>
      <c r="W170" s="385" t="b">
        <f t="shared" si="16"/>
        <v>1</v>
      </c>
      <c r="X170" s="682">
        <f t="shared" si="15"/>
        <v>0</v>
      </c>
    </row>
    <row r="171" spans="1:24" ht="86.25" customHeight="1" x14ac:dyDescent="0.25">
      <c r="A171" s="269">
        <f>'Collection Worksheet'!A225</f>
        <v>61</v>
      </c>
      <c r="B171" s="280" t="str">
        <f>'Collection Worksheet'!C225</f>
        <v>Analysis of Current Tax Levy Schedule</v>
      </c>
      <c r="C171" s="288" t="str">
        <f>'Collection Worksheet'!D225</f>
        <v>Tax collection rate- Total Levy UNIT-WIDE
Exclude supplemental taxes
(Enter as a percentage with two decimal places)</v>
      </c>
      <c r="D171" s="397"/>
      <c r="E171" s="671">
        <f>'Collection Worksheet'!F225</f>
        <v>0</v>
      </c>
      <c r="F171" s="389" t="str">
        <f>IF(L171=H171,"","Column H calculates the percentage using acconts 528, 529, 530, 531, please enter the correct amounts from the audit schedule for these cells")</f>
        <v/>
      </c>
      <c r="G171" s="394" t="str">
        <f>IF(Q169=1," Included in error count"," ")</f>
        <v xml:space="preserve"> </v>
      </c>
      <c r="H171" s="394">
        <f>ROUND(IFERROR(((L167+L168)-(L169+L170))/(L167+L168)*100,0),2)</f>
        <v>0</v>
      </c>
      <c r="I171" s="231"/>
      <c r="J171" s="238">
        <v>61</v>
      </c>
      <c r="K171" s="331" t="s">
        <v>350</v>
      </c>
      <c r="L171" s="366">
        <f t="shared" si="11"/>
        <v>0</v>
      </c>
      <c r="P171" s="385"/>
      <c r="Q171" s="395">
        <f>IF(L173-H173&lt;&gt;0,1,)</f>
        <v>0</v>
      </c>
      <c r="R171" s="531" t="b">
        <f t="shared" si="13"/>
        <v>1</v>
      </c>
      <c r="W171" s="385" t="b">
        <f t="shared" si="16"/>
        <v>1</v>
      </c>
      <c r="X171" s="682">
        <f t="shared" si="15"/>
        <v>0</v>
      </c>
    </row>
    <row r="172" spans="1:24" ht="89.25" customHeight="1" x14ac:dyDescent="0.25">
      <c r="A172" s="269">
        <f>'Collection Worksheet'!A226</f>
        <v>102</v>
      </c>
      <c r="B172" s="280" t="str">
        <f>'Collection Worksheet'!C226</f>
        <v>Analysis of Current Tax Levy Schedule</v>
      </c>
      <c r="C172" s="288" t="str">
        <f>'Collection Worksheet'!D226</f>
        <v>Tax collection rate - Excluding Registered motor vehicles
Exclude supplemental taxes
(Enter as a percentage with two decimal places)</v>
      </c>
      <c r="D172" s="397"/>
      <c r="E172" s="671">
        <f>'Collection Worksheet'!F226</f>
        <v>0</v>
      </c>
      <c r="F172" s="389" t="str">
        <f>IF(L172=H172,"","Column H calculates the percentage using accounts 528 and 530,  please enter the correct amounts from the audit schedule for these cells")</f>
        <v/>
      </c>
      <c r="G172" s="394" t="str">
        <f>IF(Q170=1," Included in error count"," ")</f>
        <v xml:space="preserve"> </v>
      </c>
      <c r="H172" s="394">
        <f>ROUND(IFERROR(((L167)-(L169))/(L167)*100,0),2)</f>
        <v>0</v>
      </c>
      <c r="I172" s="231"/>
      <c r="J172" s="238">
        <v>102</v>
      </c>
      <c r="K172" s="332" t="s">
        <v>351</v>
      </c>
      <c r="L172" s="366">
        <f t="shared" si="11"/>
        <v>0</v>
      </c>
      <c r="N172" s="298" t="s">
        <v>659</v>
      </c>
      <c r="P172" s="385"/>
      <c r="R172" s="531" t="b">
        <f t="shared" si="13"/>
        <v>1</v>
      </c>
      <c r="W172" s="385" t="b">
        <f t="shared" si="16"/>
        <v>1</v>
      </c>
      <c r="X172" s="682">
        <f t="shared" si="15"/>
        <v>0</v>
      </c>
    </row>
    <row r="173" spans="1:24" ht="96.75" customHeight="1" x14ac:dyDescent="0.25">
      <c r="A173" s="269">
        <f>'Collection Worksheet'!A227</f>
        <v>103</v>
      </c>
      <c r="B173" s="280" t="str">
        <f>'Collection Worksheet'!C227</f>
        <v>Analysis of Current Tax Levy Schedule</v>
      </c>
      <c r="C173" s="288" t="str">
        <f>'Collection Worksheet'!D227</f>
        <v>Tax collection rate - Registered motor vehicles
Exclude supplemental taxes
(Enter as a percentage with two decimal places)</v>
      </c>
      <c r="D173" s="397"/>
      <c r="E173" s="671">
        <f>'Collection Worksheet'!F227</f>
        <v>0</v>
      </c>
      <c r="F173" s="389" t="str">
        <f>IF(L173=H173,"","Column H calculates the percentage using cells 529 and 531, please enter the correct amounts from the audit schedule for these cells")</f>
        <v/>
      </c>
      <c r="G173" s="394" t="str">
        <f>IF(Q171=1," Included in error count"," ")</f>
        <v xml:space="preserve"> </v>
      </c>
      <c r="H173" s="394">
        <f>ROUND(IFERROR(((L168)-(L170))/(L168)*100,0),2)</f>
        <v>0</v>
      </c>
      <c r="I173" s="231"/>
      <c r="J173" s="238">
        <v>103</v>
      </c>
      <c r="K173" s="332" t="s">
        <v>352</v>
      </c>
      <c r="L173" s="366">
        <f t="shared" si="11"/>
        <v>0</v>
      </c>
      <c r="N173" s="298" t="s">
        <v>659</v>
      </c>
      <c r="P173" s="385"/>
      <c r="R173" s="531" t="b">
        <f t="shared" si="13"/>
        <v>1</v>
      </c>
      <c r="W173" s="385" t="b">
        <f t="shared" si="16"/>
        <v>1</v>
      </c>
      <c r="X173" s="682">
        <f t="shared" si="15"/>
        <v>0</v>
      </c>
    </row>
    <row r="174" spans="1:24" s="385" customFormat="1" ht="96.75" customHeight="1" x14ac:dyDescent="0.25">
      <c r="A174" s="269">
        <f>'Collection Worksheet'!A228</f>
        <v>544</v>
      </c>
      <c r="B174" s="280" t="str">
        <f>'Collection Worksheet'!C228</f>
        <v>Analysis of Current Tax Levy Schedule</v>
      </c>
      <c r="C174" s="288" t="str">
        <f>'Collection Worksheet'!D228</f>
        <v>Property Tax Increase for Year Audited- enter amount of  increase in cents per $100 - leave blank if no increase 
Exclude supplemental taxes</v>
      </c>
      <c r="D174" s="391"/>
      <c r="E174" s="672">
        <f>'Collection Worksheet'!F228</f>
        <v>0</v>
      </c>
      <c r="F174" s="248"/>
      <c r="G174" s="337"/>
      <c r="H174" s="244">
        <f>'Collection Worksheet'!I228</f>
        <v>0</v>
      </c>
      <c r="I174" s="231"/>
      <c r="J174" s="238">
        <v>544</v>
      </c>
      <c r="K174" s="332" t="s">
        <v>72</v>
      </c>
      <c r="L174" s="367">
        <f t="shared" si="11"/>
        <v>0</v>
      </c>
      <c r="N174" s="298"/>
      <c r="Q174" s="395"/>
      <c r="R174" s="531" t="b">
        <f t="shared" si="13"/>
        <v>1</v>
      </c>
      <c r="X174" s="682">
        <f t="shared" si="15"/>
        <v>0</v>
      </c>
    </row>
    <row r="175" spans="1:24" s="268" customFormat="1" ht="75" x14ac:dyDescent="0.25">
      <c r="A175" s="269">
        <f>'Collection Worksheet'!A229</f>
        <v>545</v>
      </c>
      <c r="B175" s="280" t="str">
        <f>'Collection Worksheet'!C229</f>
        <v>Analysis of Current Tax Levy Schedule</v>
      </c>
      <c r="C175" s="288" t="str">
        <f>'Collection Worksheet'!D229</f>
        <v>Property Tax Increase for budget year after fiscal year being reported - enter amount of increase in cents per $100- leave blank if no increase
Exclude supplemental taxes</v>
      </c>
      <c r="D175" s="391"/>
      <c r="E175" s="672">
        <f>'Collection Worksheet'!F229</f>
        <v>0</v>
      </c>
      <c r="F175" s="253"/>
      <c r="G175" s="337"/>
      <c r="H175" s="244">
        <f>'Collection Worksheet'!I229</f>
        <v>0</v>
      </c>
      <c r="I175" s="231"/>
      <c r="J175" s="421">
        <v>545</v>
      </c>
      <c r="K175" s="332" t="s">
        <v>73</v>
      </c>
      <c r="L175" s="367">
        <f t="shared" si="11"/>
        <v>0</v>
      </c>
      <c r="Q175" s="395"/>
      <c r="R175" s="531" t="b">
        <f t="shared" si="13"/>
        <v>1</v>
      </c>
      <c r="W175" s="385"/>
      <c r="X175" s="682">
        <f t="shared" si="15"/>
        <v>0</v>
      </c>
    </row>
    <row r="176" spans="1:24" s="531" customFormat="1" ht="60" customHeight="1" x14ac:dyDescent="0.25">
      <c r="A176" s="424">
        <f>'Collection Worksheet'!A230</f>
        <v>624</v>
      </c>
      <c r="B176" s="514"/>
      <c r="C176" s="427" t="str">
        <f>'Collection Worksheet'!D230</f>
        <v>Does the County collect real estate property taxes on your behalf? Select "1" for "yes and "2" for "No"</v>
      </c>
      <c r="D176" s="391"/>
      <c r="E176" s="672">
        <f>'Collection Worksheet'!F230</f>
        <v>0</v>
      </c>
      <c r="F176" s="450"/>
      <c r="G176" s="436"/>
      <c r="H176" s="518"/>
      <c r="I176" s="231"/>
      <c r="J176" s="425">
        <v>624</v>
      </c>
      <c r="K176" s="515" t="s">
        <v>865</v>
      </c>
      <c r="L176" s="496">
        <f>IF(D176="",E176,D176)</f>
        <v>0</v>
      </c>
      <c r="Q176" s="395"/>
      <c r="R176" s="531" t="b">
        <f t="shared" si="13"/>
        <v>1</v>
      </c>
      <c r="X176" s="682">
        <f t="shared" si="15"/>
        <v>0</v>
      </c>
    </row>
    <row r="177" spans="1:24" s="268" customFormat="1" ht="153.75" customHeight="1" x14ac:dyDescent="0.25">
      <c r="A177" s="403">
        <f>'Collection Worksheet'!A232</f>
        <v>620</v>
      </c>
      <c r="B177" s="404"/>
      <c r="C177" s="402" t="str">
        <f>'Collection Worksheet'!D232</f>
        <v>Do you expect to issue debt requiring LGC approval within 12 months from the date that the audit is submitted - select "1" for yes and "2" for no</v>
      </c>
      <c r="D177" s="391"/>
      <c r="E177" s="672">
        <f>'Collection Worksheet'!F232</f>
        <v>0</v>
      </c>
      <c r="F177" s="398"/>
      <c r="G177" s="394"/>
      <c r="H177" s="244">
        <f>'Collection Worksheet'!I232</f>
        <v>0</v>
      </c>
      <c r="I177" s="231"/>
      <c r="J177" s="421">
        <v>620</v>
      </c>
      <c r="K177" s="332" t="s">
        <v>835</v>
      </c>
      <c r="L177" s="496">
        <f t="shared" si="11"/>
        <v>0</v>
      </c>
      <c r="N177" s="3"/>
      <c r="Q177" s="395"/>
      <c r="R177" s="531" t="b">
        <f t="shared" si="13"/>
        <v>1</v>
      </c>
      <c r="W177" s="385"/>
      <c r="X177" s="682">
        <f t="shared" si="15"/>
        <v>0</v>
      </c>
    </row>
    <row r="178" spans="1:24" ht="199.5" x14ac:dyDescent="0.25">
      <c r="A178" s="403"/>
      <c r="B178" s="282"/>
      <c r="C178" s="402"/>
      <c r="D178" s="398"/>
      <c r="E178" s="665"/>
      <c r="F178" s="398"/>
      <c r="G178" s="394"/>
      <c r="H178" s="243"/>
      <c r="I178" s="231"/>
      <c r="J178" s="421" t="s">
        <v>820</v>
      </c>
      <c r="K178" s="332" t="s">
        <v>821</v>
      </c>
      <c r="L178" s="501"/>
      <c r="N178" s="3"/>
      <c r="P178" s="268"/>
      <c r="R178" s="531"/>
      <c r="W178" s="385"/>
    </row>
    <row r="179" spans="1:24" ht="136.5" customHeight="1" x14ac:dyDescent="0.25">
      <c r="A179" s="439"/>
      <c r="B179" s="440"/>
      <c r="C179" s="441"/>
      <c r="D179" s="247"/>
      <c r="E179" s="673"/>
      <c r="F179" s="265"/>
      <c r="G179" s="339"/>
      <c r="H179" s="242"/>
      <c r="I179" s="231"/>
      <c r="J179" s="425">
        <v>625</v>
      </c>
      <c r="K179" s="445" t="s">
        <v>852</v>
      </c>
      <c r="L179" s="455"/>
      <c r="N179" s="3"/>
      <c r="P179" s="268"/>
      <c r="R179" s="531"/>
      <c r="W179" s="385"/>
    </row>
    <row r="180" spans="1:24" ht="78" customHeight="1" x14ac:dyDescent="0.25">
      <c r="A180" s="439"/>
      <c r="B180" s="440"/>
      <c r="C180" s="441"/>
      <c r="D180" s="247"/>
      <c r="E180" s="673"/>
      <c r="F180" s="265"/>
      <c r="G180" s="339"/>
      <c r="H180" s="242"/>
      <c r="I180" s="231"/>
      <c r="J180" s="421" t="s">
        <v>823</v>
      </c>
      <c r="K180" s="500" t="s">
        <v>986</v>
      </c>
      <c r="L180" s="501"/>
      <c r="N180" s="502"/>
      <c r="P180" s="268"/>
      <c r="R180" s="531"/>
      <c r="W180" s="385"/>
    </row>
    <row r="181" spans="1:24" ht="30" x14ac:dyDescent="0.25">
      <c r="A181" s="439"/>
      <c r="B181" s="440"/>
      <c r="C181" s="441"/>
      <c r="D181" s="247"/>
      <c r="E181" s="673"/>
      <c r="F181" s="265"/>
      <c r="G181" s="339"/>
      <c r="H181" s="242"/>
      <c r="I181" s="231"/>
      <c r="J181" s="234" t="s">
        <v>624</v>
      </c>
      <c r="K181" s="228" t="s">
        <v>372</v>
      </c>
      <c r="L181" s="350" t="e">
        <f>HLOOKUP('Collection Worksheet'!$D$2,'2018 Data'!$C$1:$CF$284,244,FALSE)</f>
        <v>#N/A</v>
      </c>
      <c r="N181" s="502"/>
      <c r="R181" s="531"/>
      <c r="W181" s="385"/>
    </row>
    <row r="182" spans="1:24" ht="30" x14ac:dyDescent="0.25">
      <c r="A182" s="442"/>
      <c r="B182" s="443"/>
      <c r="C182" s="444"/>
      <c r="D182" s="258"/>
      <c r="E182" s="674"/>
      <c r="F182" s="246"/>
      <c r="G182" s="340"/>
      <c r="H182" s="241"/>
      <c r="I182" s="231"/>
      <c r="J182" s="234" t="s">
        <v>625</v>
      </c>
      <c r="K182" s="228" t="s">
        <v>373</v>
      </c>
      <c r="L182" s="414" t="e">
        <f>HLOOKUP('Collection Worksheet'!$D$2,'2018 Data'!$C$1:$CF$284,245,FALSE)</f>
        <v>#N/A</v>
      </c>
      <c r="N182" s="502"/>
      <c r="R182" s="531"/>
      <c r="W182" s="385"/>
    </row>
    <row r="183" spans="1:24" x14ac:dyDescent="0.25">
      <c r="A183" s="23"/>
      <c r="B183" s="283"/>
      <c r="C183" s="276"/>
      <c r="D183" s="34"/>
      <c r="E183" s="675"/>
      <c r="F183" s="30"/>
      <c r="G183" s="341"/>
      <c r="H183" s="30"/>
      <c r="I183" s="231"/>
      <c r="J183" s="234" t="s">
        <v>626</v>
      </c>
      <c r="K183" s="228" t="s">
        <v>374</v>
      </c>
      <c r="L183" s="415" t="e">
        <f>HLOOKUP('Collection Worksheet'!$D$2,'2018 Data'!$C$1:$CF$284,247,FALSE)</f>
        <v>#N/A</v>
      </c>
      <c r="N183" s="502"/>
      <c r="R183" s="531"/>
      <c r="W183" s="385"/>
    </row>
    <row r="184" spans="1:24" ht="14.25" customHeight="1" x14ac:dyDescent="0.25">
      <c r="D184" s="34"/>
      <c r="E184" s="675"/>
      <c r="F184" s="30"/>
      <c r="G184" s="341"/>
      <c r="H184" s="30"/>
      <c r="I184" s="231"/>
      <c r="J184" s="233" t="s">
        <v>627</v>
      </c>
      <c r="K184" s="245" t="s">
        <v>375</v>
      </c>
      <c r="L184" s="415" t="e">
        <f>HLOOKUP('Collection Worksheet'!$D$2,'2018 Data'!$C$1:$CF$284,248,FALSE)</f>
        <v>#N/A</v>
      </c>
      <c r="Q184" s="382"/>
      <c r="R184" s="531"/>
      <c r="W184" s="385"/>
    </row>
    <row r="185" spans="1:24" x14ac:dyDescent="0.25">
      <c r="A185" s="516" t="s">
        <v>864</v>
      </c>
      <c r="B185" s="517"/>
      <c r="D185" s="34"/>
      <c r="E185" s="675"/>
      <c r="F185" s="30"/>
      <c r="G185" s="341"/>
      <c r="H185" s="30"/>
      <c r="I185" s="231"/>
      <c r="K185" s="54"/>
      <c r="L185" s="308"/>
      <c r="R185" s="385"/>
    </row>
    <row r="186" spans="1:24" ht="96" x14ac:dyDescent="0.55000000000000004">
      <c r="A186" s="507">
        <f>'Collection Worksheet'!A63</f>
        <v>590</v>
      </c>
      <c r="B186" s="269" t="str">
        <f>'Collection Worksheet'!B63</f>
        <v>Fiscal Review</v>
      </c>
      <c r="C186" s="365" t="str">
        <f>'Collection Worksheet'!D63</f>
        <v>If you appropriated General Fund Balance in your 2018 budget and your "change in fund balance": (row 62 above) is negative, please select from the drop down box in column F either "operations" or "capital", whichever best describes what the fund balance was used for.  If you select "Capital" please briefly describe in column G to the right the capital items.</v>
      </c>
      <c r="D186" s="364"/>
      <c r="E186" s="676">
        <f>'Collection Worksheet'!F63</f>
        <v>0</v>
      </c>
      <c r="F186" s="364"/>
      <c r="G186" s="341"/>
      <c r="H186" s="30"/>
      <c r="I186" s="231"/>
      <c r="J186" s="345" t="e">
        <f>SUM(Q4:Q183)</f>
        <v>#N/A</v>
      </c>
      <c r="K186" s="343" t="s">
        <v>677</v>
      </c>
      <c r="L186" s="420" t="e">
        <f>SUM(G5:G175)</f>
        <v>#N/A</v>
      </c>
      <c r="R186" s="385"/>
    </row>
    <row r="187" spans="1:24" ht="78.75" customHeight="1" x14ac:dyDescent="0.25">
      <c r="A187" s="641">
        <f>'Collection Worksheet'!A186</f>
        <v>623</v>
      </c>
      <c r="B187" s="424"/>
      <c r="C187" s="524" t="str">
        <f>'Collection Worksheet'!D186</f>
        <v>Please provide the name of any additional agencies included in the above net pension liability</v>
      </c>
      <c r="D187" s="522"/>
      <c r="E187" s="677">
        <f>'Collection Worksheet'!F186</f>
        <v>0</v>
      </c>
      <c r="F187" s="30"/>
      <c r="G187" s="341"/>
      <c r="H187" s="30"/>
      <c r="I187" s="231"/>
      <c r="K187" s="54"/>
      <c r="L187" s="308"/>
      <c r="R187" s="385"/>
    </row>
    <row r="188" spans="1:24" ht="66.75" customHeight="1" x14ac:dyDescent="0.25">
      <c r="A188"/>
      <c r="B188"/>
      <c r="C188"/>
      <c r="D188"/>
      <c r="E188" s="678"/>
      <c r="F188" s="30"/>
      <c r="G188" s="341"/>
      <c r="H188" s="30"/>
      <c r="I188" s="231"/>
      <c r="J188"/>
      <c r="K188"/>
      <c r="L188"/>
    </row>
    <row r="189" spans="1:24" ht="60" customHeight="1" x14ac:dyDescent="0.25">
      <c r="A189"/>
      <c r="B189"/>
      <c r="C189"/>
      <c r="D189"/>
      <c r="E189" s="678"/>
      <c r="F189" s="30"/>
      <c r="G189" s="341"/>
      <c r="H189" s="30"/>
      <c r="I189" s="231"/>
      <c r="J189"/>
      <c r="K189"/>
      <c r="L189"/>
    </row>
    <row r="190" spans="1:24" ht="66.75" customHeight="1" x14ac:dyDescent="0.25">
      <c r="A190"/>
      <c r="B190"/>
      <c r="C190"/>
      <c r="D190"/>
      <c r="E190" s="678"/>
      <c r="F190" s="30"/>
      <c r="G190" s="341"/>
      <c r="H190" s="30"/>
      <c r="I190" s="231"/>
      <c r="J190"/>
      <c r="K190"/>
      <c r="L190"/>
    </row>
    <row r="191" spans="1:24" ht="79.5" customHeight="1" x14ac:dyDescent="0.25">
      <c r="A191"/>
      <c r="B191"/>
      <c r="C191"/>
      <c r="D191"/>
      <c r="E191" s="678"/>
      <c r="F191" s="30"/>
      <c r="G191" s="341"/>
      <c r="H191" s="30"/>
      <c r="I191" s="231"/>
      <c r="J191"/>
      <c r="K191"/>
      <c r="L191"/>
    </row>
    <row r="192" spans="1:24" ht="88.5" customHeight="1" x14ac:dyDescent="0.25">
      <c r="A192"/>
      <c r="B192"/>
      <c r="C192"/>
      <c r="D192"/>
      <c r="E192" s="678"/>
      <c r="F192" s="30"/>
      <c r="G192" s="341"/>
      <c r="H192" s="30"/>
      <c r="I192" s="231"/>
      <c r="K192" s="54"/>
      <c r="L192" s="308"/>
    </row>
    <row r="193" spans="1:12" x14ac:dyDescent="0.25">
      <c r="A193" s="23"/>
      <c r="B193" s="283"/>
      <c r="C193" s="276"/>
      <c r="D193" s="34"/>
      <c r="E193" s="675"/>
      <c r="F193" s="30"/>
      <c r="G193" s="341"/>
      <c r="H193" s="30"/>
      <c r="I193" s="231"/>
      <c r="K193" s="54"/>
      <c r="L193" s="308"/>
    </row>
    <row r="194" spans="1:12" x14ac:dyDescent="0.25">
      <c r="A194" s="23"/>
      <c r="B194" s="283"/>
      <c r="C194" s="286"/>
      <c r="D194" s="287"/>
      <c r="E194" s="679"/>
      <c r="F194" s="520"/>
      <c r="G194" s="341"/>
      <c r="H194" s="30"/>
      <c r="I194" s="231"/>
      <c r="K194" s="54"/>
      <c r="L194" s="308"/>
    </row>
    <row r="195" spans="1:12" x14ac:dyDescent="0.25">
      <c r="D195" s="35"/>
      <c r="E195" s="680"/>
      <c r="G195" s="341"/>
      <c r="H195" s="30"/>
      <c r="I195" s="231"/>
      <c r="K195" s="54"/>
      <c r="L195" s="308"/>
    </row>
    <row r="196" spans="1:12" x14ac:dyDescent="0.25">
      <c r="D196" s="35"/>
      <c r="E196" s="680"/>
      <c r="G196" s="342"/>
      <c r="H196" s="30"/>
      <c r="I196" s="231"/>
      <c r="K196" s="54"/>
      <c r="L196" s="308"/>
    </row>
    <row r="197" spans="1:12" x14ac:dyDescent="0.25">
      <c r="A197" s="23"/>
      <c r="B197" s="283"/>
      <c r="C197" s="276"/>
      <c r="D197" s="35"/>
      <c r="E197" s="680"/>
    </row>
    <row r="198" spans="1:12" x14ac:dyDescent="0.25">
      <c r="A198" s="23"/>
      <c r="B198" s="283"/>
      <c r="C198" s="276"/>
      <c r="D198" s="35"/>
      <c r="E198" s="680"/>
    </row>
    <row r="199" spans="1:12" x14ac:dyDescent="0.25">
      <c r="A199" s="23"/>
      <c r="B199" s="283"/>
      <c r="C199" s="276"/>
      <c r="D199" s="35"/>
      <c r="E199" s="680"/>
    </row>
    <row r="200" spans="1:12" x14ac:dyDescent="0.25">
      <c r="D200" s="35"/>
      <c r="E200" s="680"/>
    </row>
    <row r="201" spans="1:12" x14ac:dyDescent="0.25">
      <c r="D201" s="35"/>
      <c r="E201" s="680"/>
    </row>
    <row r="202" spans="1:12" x14ac:dyDescent="0.25">
      <c r="D202" s="35"/>
      <c r="E202" s="680"/>
    </row>
    <row r="203" spans="1:12" x14ac:dyDescent="0.25">
      <c r="D203" s="35"/>
      <c r="E203" s="680"/>
    </row>
    <row r="204" spans="1:12" x14ac:dyDescent="0.25">
      <c r="A204" s="23"/>
      <c r="B204" s="283"/>
      <c r="C204" s="276"/>
      <c r="D204" s="35"/>
      <c r="E204" s="680"/>
    </row>
    <row r="205" spans="1:12" x14ac:dyDescent="0.25">
      <c r="A205" s="23"/>
      <c r="B205" s="283"/>
      <c r="C205" s="276"/>
      <c r="D205" s="35"/>
      <c r="E205" s="680"/>
    </row>
    <row r="206" spans="1:12" x14ac:dyDescent="0.25">
      <c r="D206" s="35"/>
      <c r="E206" s="680"/>
    </row>
    <row r="207" spans="1:12" x14ac:dyDescent="0.25">
      <c r="D207" s="35"/>
      <c r="E207" s="680"/>
    </row>
    <row r="208" spans="1:12" x14ac:dyDescent="0.25">
      <c r="D208" s="35"/>
      <c r="E208" s="680"/>
    </row>
    <row r="209" spans="1:5" x14ac:dyDescent="0.25">
      <c r="D209" s="35"/>
      <c r="E209" s="680"/>
    </row>
    <row r="210" spans="1:5" x14ac:dyDescent="0.25">
      <c r="A210" s="23"/>
      <c r="B210" s="283"/>
      <c r="C210" s="276"/>
      <c r="D210" s="35"/>
      <c r="E210" s="680"/>
    </row>
    <row r="211" spans="1:5" x14ac:dyDescent="0.25">
      <c r="A211" s="23"/>
      <c r="B211" s="283"/>
      <c r="C211" s="276"/>
      <c r="D211" s="35"/>
      <c r="E211" s="680"/>
    </row>
    <row r="212" spans="1:5" x14ac:dyDescent="0.25">
      <c r="D212" s="35"/>
      <c r="E212" s="680"/>
    </row>
    <row r="213" spans="1:5" x14ac:dyDescent="0.25">
      <c r="D213" s="35"/>
      <c r="E213" s="680"/>
    </row>
    <row r="214" spans="1:5" x14ac:dyDescent="0.25">
      <c r="D214" s="35"/>
      <c r="E214" s="680"/>
    </row>
    <row r="215" spans="1:5" x14ac:dyDescent="0.25">
      <c r="D215" s="35"/>
      <c r="E215" s="680"/>
    </row>
    <row r="216" spans="1:5" x14ac:dyDescent="0.25">
      <c r="A216" s="23"/>
      <c r="B216" s="283"/>
      <c r="C216" s="276"/>
      <c r="D216" s="35"/>
      <c r="E216" s="680"/>
    </row>
    <row r="217" spans="1:5" x14ac:dyDescent="0.25">
      <c r="A217" s="23"/>
      <c r="B217" s="283"/>
      <c r="C217" s="276"/>
      <c r="D217" s="35"/>
      <c r="E217" s="680"/>
    </row>
    <row r="218" spans="1:5" x14ac:dyDescent="0.25">
      <c r="A218" s="23"/>
      <c r="B218" s="283"/>
      <c r="C218" s="276"/>
      <c r="D218" s="35"/>
      <c r="E218" s="680"/>
    </row>
    <row r="219" spans="1:5" x14ac:dyDescent="0.25">
      <c r="A219" s="23"/>
      <c r="B219" s="283"/>
      <c r="C219" s="276"/>
      <c r="D219" s="35"/>
      <c r="E219" s="680"/>
    </row>
    <row r="220" spans="1:5" x14ac:dyDescent="0.25">
      <c r="D220" s="35"/>
      <c r="E220" s="680"/>
    </row>
    <row r="221" spans="1:5" x14ac:dyDescent="0.25">
      <c r="D221" s="35"/>
      <c r="E221" s="680"/>
    </row>
    <row r="222" spans="1:5" x14ac:dyDescent="0.25">
      <c r="D222" s="35"/>
      <c r="E222" s="680"/>
    </row>
    <row r="223" spans="1:5" x14ac:dyDescent="0.25">
      <c r="A223" s="23"/>
      <c r="B223" s="283"/>
      <c r="C223" s="276"/>
      <c r="D223" s="35"/>
      <c r="E223" s="680"/>
    </row>
    <row r="224" spans="1:5" x14ac:dyDescent="0.25">
      <c r="A224" s="23"/>
      <c r="B224" s="283"/>
      <c r="C224" s="276"/>
      <c r="D224" s="35"/>
      <c r="E224" s="680"/>
    </row>
    <row r="225" spans="1:5" x14ac:dyDescent="0.25">
      <c r="A225" s="23"/>
      <c r="B225" s="283"/>
      <c r="C225" s="276"/>
      <c r="D225" s="35"/>
      <c r="E225" s="680"/>
    </row>
    <row r="226" spans="1:5" x14ac:dyDescent="0.25">
      <c r="A226" s="23"/>
      <c r="B226" s="283"/>
      <c r="C226" s="276"/>
      <c r="D226" s="35"/>
      <c r="E226" s="680"/>
    </row>
    <row r="227" spans="1:5" x14ac:dyDescent="0.25">
      <c r="A227" s="23"/>
      <c r="B227" s="283"/>
      <c r="C227" s="276"/>
      <c r="D227" s="35"/>
      <c r="E227" s="680"/>
    </row>
    <row r="228" spans="1:5" x14ac:dyDescent="0.25">
      <c r="A228" s="23"/>
      <c r="B228" s="283"/>
      <c r="C228" s="276"/>
      <c r="D228" s="35"/>
      <c r="E228" s="680"/>
    </row>
    <row r="229" spans="1:5" x14ac:dyDescent="0.25">
      <c r="A229" s="23"/>
      <c r="B229" s="283"/>
      <c r="C229" s="276"/>
      <c r="D229" s="35"/>
      <c r="E229" s="680"/>
    </row>
    <row r="230" spans="1:5" x14ac:dyDescent="0.25">
      <c r="A230" s="23"/>
      <c r="B230" s="283"/>
      <c r="C230" s="276"/>
      <c r="D230" s="35"/>
      <c r="E230" s="680"/>
    </row>
    <row r="231" spans="1:5" x14ac:dyDescent="0.25">
      <c r="A231" s="23"/>
      <c r="B231" s="283"/>
      <c r="C231" s="276"/>
      <c r="D231" s="35"/>
      <c r="E231" s="680"/>
    </row>
    <row r="232" spans="1:5" x14ac:dyDescent="0.25">
      <c r="A232" s="23"/>
      <c r="B232" s="283"/>
      <c r="C232" s="276"/>
      <c r="D232" s="35"/>
      <c r="E232" s="680"/>
    </row>
    <row r="233" spans="1:5" x14ac:dyDescent="0.25">
      <c r="A233" s="23"/>
      <c r="B233" s="283"/>
      <c r="C233" s="276"/>
      <c r="D233" s="35"/>
      <c r="E233" s="680"/>
    </row>
    <row r="234" spans="1:5" x14ac:dyDescent="0.25">
      <c r="A234" s="23"/>
      <c r="B234" s="283"/>
      <c r="C234" s="276"/>
      <c r="D234" s="35"/>
      <c r="E234" s="680"/>
    </row>
    <row r="235" spans="1:5" x14ac:dyDescent="0.25">
      <c r="A235" s="23"/>
      <c r="B235" s="283"/>
      <c r="C235" s="276"/>
      <c r="D235" s="35"/>
      <c r="E235" s="680"/>
    </row>
    <row r="236" spans="1:5" x14ac:dyDescent="0.25">
      <c r="A236" s="23"/>
      <c r="B236" s="283"/>
      <c r="C236" s="276"/>
      <c r="D236" s="35"/>
      <c r="E236" s="680"/>
    </row>
    <row r="237" spans="1:5" x14ac:dyDescent="0.25">
      <c r="A237" s="23"/>
      <c r="B237" s="283"/>
      <c r="C237" s="276"/>
      <c r="D237" s="35"/>
      <c r="E237" s="680"/>
    </row>
    <row r="238" spans="1:5" x14ac:dyDescent="0.25">
      <c r="A238" s="23"/>
      <c r="B238" s="283"/>
      <c r="C238" s="276"/>
      <c r="D238" s="35"/>
      <c r="E238" s="680"/>
    </row>
    <row r="239" spans="1:5" x14ac:dyDescent="0.25">
      <c r="A239" s="23"/>
      <c r="B239" s="283"/>
      <c r="C239" s="276"/>
      <c r="D239" s="35"/>
      <c r="E239" s="680"/>
    </row>
    <row r="240" spans="1:5" x14ac:dyDescent="0.25">
      <c r="A240" s="23"/>
      <c r="B240" s="283"/>
      <c r="C240" s="276"/>
      <c r="D240" s="35"/>
      <c r="E240" s="680"/>
    </row>
    <row r="241" spans="1:5" x14ac:dyDescent="0.25">
      <c r="A241" s="23"/>
      <c r="B241" s="283"/>
      <c r="C241" s="276"/>
      <c r="D241" s="35"/>
      <c r="E241" s="680"/>
    </row>
    <row r="242" spans="1:5" x14ac:dyDescent="0.25">
      <c r="A242" s="23"/>
      <c r="B242" s="283"/>
      <c r="C242" s="276"/>
      <c r="D242" s="35"/>
      <c r="E242" s="680"/>
    </row>
    <row r="243" spans="1:5" x14ac:dyDescent="0.25">
      <c r="A243" s="23"/>
      <c r="B243" s="283"/>
      <c r="C243" s="276"/>
      <c r="D243" s="35"/>
      <c r="E243" s="680"/>
    </row>
    <row r="244" spans="1:5" x14ac:dyDescent="0.25">
      <c r="A244" s="23"/>
      <c r="B244" s="283"/>
      <c r="C244" s="276"/>
      <c r="D244" s="35"/>
      <c r="E244" s="680"/>
    </row>
    <row r="245" spans="1:5" x14ac:dyDescent="0.25">
      <c r="A245" s="23"/>
      <c r="B245" s="283"/>
      <c r="C245" s="276"/>
      <c r="D245" s="35"/>
      <c r="E245" s="680"/>
    </row>
    <row r="246" spans="1:5" x14ac:dyDescent="0.25">
      <c r="A246" s="23"/>
      <c r="B246" s="283"/>
      <c r="C246" s="276"/>
      <c r="D246" s="35"/>
      <c r="E246" s="680"/>
    </row>
    <row r="247" spans="1:5" x14ac:dyDescent="0.25">
      <c r="A247" s="23"/>
      <c r="B247" s="283"/>
      <c r="C247" s="276"/>
      <c r="D247" s="35"/>
      <c r="E247" s="680"/>
    </row>
    <row r="248" spans="1:5" x14ac:dyDescent="0.25">
      <c r="A248" s="23"/>
      <c r="B248" s="283"/>
      <c r="C248" s="276"/>
      <c r="D248" s="35"/>
      <c r="E248" s="680"/>
    </row>
    <row r="249" spans="1:5" x14ac:dyDescent="0.25">
      <c r="A249" s="23"/>
      <c r="B249" s="283"/>
      <c r="C249" s="276"/>
      <c r="D249" s="35"/>
      <c r="E249" s="680"/>
    </row>
    <row r="250" spans="1:5" x14ac:dyDescent="0.25">
      <c r="A250" s="23"/>
      <c r="B250" s="283"/>
      <c r="C250" s="276"/>
      <c r="D250" s="35"/>
      <c r="E250" s="680"/>
    </row>
    <row r="251" spans="1:5" x14ac:dyDescent="0.25">
      <c r="A251" s="23"/>
      <c r="B251" s="283"/>
      <c r="C251" s="276"/>
      <c r="D251" s="35"/>
      <c r="E251" s="680"/>
    </row>
    <row r="252" spans="1:5" x14ac:dyDescent="0.25">
      <c r="A252" s="23"/>
      <c r="B252" s="283"/>
      <c r="C252" s="276"/>
      <c r="D252" s="35"/>
      <c r="E252" s="680"/>
    </row>
    <row r="253" spans="1:5" x14ac:dyDescent="0.25">
      <c r="A253" s="23"/>
      <c r="B253" s="283"/>
      <c r="C253" s="276"/>
      <c r="D253" s="35"/>
      <c r="E253" s="680"/>
    </row>
    <row r="254" spans="1:5" x14ac:dyDescent="0.25">
      <c r="A254" s="23"/>
      <c r="B254" s="283"/>
      <c r="C254" s="276"/>
      <c r="D254" s="35"/>
      <c r="E254" s="680"/>
    </row>
    <row r="255" spans="1:5" x14ac:dyDescent="0.25">
      <c r="A255" s="23"/>
      <c r="B255" s="283"/>
      <c r="C255" s="276"/>
      <c r="D255" s="35"/>
      <c r="E255" s="680"/>
    </row>
    <row r="256" spans="1:5" x14ac:dyDescent="0.25">
      <c r="A256" s="23"/>
      <c r="B256" s="283"/>
      <c r="C256" s="276"/>
      <c r="D256" s="35"/>
      <c r="E256" s="680"/>
    </row>
    <row r="257" spans="1:5" x14ac:dyDescent="0.25">
      <c r="A257" s="23"/>
      <c r="B257" s="283"/>
      <c r="C257" s="276"/>
      <c r="D257" s="35"/>
      <c r="E257" s="680"/>
    </row>
    <row r="258" spans="1:5" x14ac:dyDescent="0.25">
      <c r="A258" s="23"/>
      <c r="B258" s="283"/>
      <c r="C258" s="276"/>
      <c r="D258" s="35"/>
      <c r="E258" s="680"/>
    </row>
    <row r="259" spans="1:5" x14ac:dyDescent="0.25">
      <c r="A259" s="23"/>
      <c r="B259" s="283"/>
      <c r="C259" s="276"/>
      <c r="D259" s="35"/>
      <c r="E259" s="680"/>
    </row>
    <row r="260" spans="1:5" x14ac:dyDescent="0.25">
      <c r="A260" s="23"/>
      <c r="B260" s="283"/>
      <c r="C260" s="276"/>
      <c r="D260" s="35"/>
      <c r="E260" s="680"/>
    </row>
    <row r="261" spans="1:5" x14ac:dyDescent="0.25">
      <c r="A261" s="23"/>
      <c r="B261" s="283"/>
      <c r="C261" s="276"/>
      <c r="D261" s="35"/>
      <c r="E261" s="680"/>
    </row>
    <row r="262" spans="1:5" x14ac:dyDescent="0.25">
      <c r="A262" s="23"/>
      <c r="B262" s="283"/>
      <c r="C262" s="276"/>
      <c r="D262" s="35"/>
      <c r="E262" s="680"/>
    </row>
    <row r="263" spans="1:5" x14ac:dyDescent="0.25">
      <c r="A263" s="23"/>
      <c r="B263" s="283"/>
      <c r="C263" s="276"/>
      <c r="D263" s="35"/>
      <c r="E263" s="680"/>
    </row>
    <row r="264" spans="1:5" x14ac:dyDescent="0.25">
      <c r="A264" s="23"/>
      <c r="B264" s="283"/>
      <c r="C264" s="276"/>
      <c r="D264" s="35"/>
      <c r="E264" s="680"/>
    </row>
    <row r="265" spans="1:5" x14ac:dyDescent="0.25">
      <c r="A265" s="23"/>
      <c r="B265" s="283"/>
      <c r="C265" s="276"/>
      <c r="D265" s="35"/>
      <c r="E265" s="680"/>
    </row>
    <row r="266" spans="1:5" x14ac:dyDescent="0.25">
      <c r="A266" s="23"/>
      <c r="B266" s="283"/>
      <c r="C266" s="276"/>
      <c r="D266" s="35"/>
      <c r="E266" s="680"/>
    </row>
    <row r="267" spans="1:5" x14ac:dyDescent="0.25">
      <c r="A267" s="23"/>
      <c r="B267" s="283"/>
      <c r="C267" s="276"/>
      <c r="D267" s="35"/>
      <c r="E267" s="680"/>
    </row>
    <row r="268" spans="1:5" x14ac:dyDescent="0.25">
      <c r="A268" s="23"/>
      <c r="B268" s="283"/>
      <c r="C268" s="276"/>
      <c r="D268" s="35"/>
    </row>
    <row r="269" spans="1:5" x14ac:dyDescent="0.25">
      <c r="A269" s="23"/>
      <c r="B269" s="283"/>
      <c r="C269" s="276"/>
      <c r="D269" s="35"/>
    </row>
    <row r="270" spans="1:5" x14ac:dyDescent="0.25">
      <c r="A270" s="23"/>
      <c r="B270" s="283"/>
      <c r="C270" s="276"/>
      <c r="D270" s="35"/>
    </row>
    <row r="271" spans="1:5" x14ac:dyDescent="0.25">
      <c r="A271" s="23"/>
      <c r="B271" s="283"/>
      <c r="C271" s="276"/>
      <c r="D271" s="35"/>
    </row>
    <row r="272" spans="1:5" x14ac:dyDescent="0.25">
      <c r="A272" s="23"/>
      <c r="B272" s="283"/>
      <c r="C272" s="276"/>
      <c r="D272" s="35"/>
    </row>
    <row r="273" spans="1:4" x14ac:dyDescent="0.25">
      <c r="A273" s="23"/>
      <c r="B273" s="283"/>
      <c r="C273" s="276"/>
      <c r="D273" s="35"/>
    </row>
    <row r="274" spans="1:4" x14ac:dyDescent="0.25">
      <c r="A274" s="23"/>
      <c r="B274" s="283"/>
      <c r="C274" s="276"/>
      <c r="D274" s="35"/>
    </row>
    <row r="275" spans="1:4" x14ac:dyDescent="0.25">
      <c r="A275" s="23"/>
      <c r="B275" s="283"/>
      <c r="C275" s="276"/>
      <c r="D275" s="35"/>
    </row>
    <row r="276" spans="1:4" x14ac:dyDescent="0.25">
      <c r="A276" s="23"/>
      <c r="B276" s="283"/>
      <c r="C276" s="276"/>
      <c r="D276" s="35"/>
    </row>
    <row r="277" spans="1:4" x14ac:dyDescent="0.25">
      <c r="A277" s="23"/>
      <c r="B277" s="283"/>
      <c r="C277" s="276"/>
      <c r="D277" s="35"/>
    </row>
    <row r="278" spans="1:4" x14ac:dyDescent="0.25">
      <c r="A278" s="23"/>
      <c r="B278" s="283"/>
      <c r="C278" s="276"/>
      <c r="D278" s="35"/>
    </row>
    <row r="279" spans="1:4" x14ac:dyDescent="0.25">
      <c r="A279" s="23"/>
      <c r="B279" s="283"/>
      <c r="C279" s="276"/>
      <c r="D279" s="35"/>
    </row>
    <row r="280" spans="1:4" x14ac:dyDescent="0.25">
      <c r="A280" s="23"/>
      <c r="B280" s="283"/>
      <c r="C280" s="276"/>
      <c r="D280" s="35"/>
    </row>
    <row r="281" spans="1:4" x14ac:dyDescent="0.25">
      <c r="A281" s="23"/>
      <c r="B281" s="283"/>
      <c r="C281" s="276"/>
      <c r="D281" s="35"/>
    </row>
    <row r="282" spans="1:4" x14ac:dyDescent="0.25">
      <c r="A282" s="23"/>
      <c r="B282" s="283"/>
      <c r="C282" s="276"/>
      <c r="D282" s="35"/>
    </row>
    <row r="283" spans="1:4" x14ac:dyDescent="0.25">
      <c r="A283" s="23"/>
      <c r="B283" s="283"/>
      <c r="C283" s="276"/>
      <c r="D283" s="35"/>
    </row>
    <row r="284" spans="1:4" x14ac:dyDescent="0.25">
      <c r="A284" s="23"/>
      <c r="B284" s="283"/>
      <c r="C284" s="276"/>
      <c r="D284" s="35"/>
    </row>
    <row r="285" spans="1:4" x14ac:dyDescent="0.25">
      <c r="A285" s="23"/>
      <c r="B285" s="283"/>
      <c r="C285" s="276"/>
      <c r="D285" s="35"/>
    </row>
    <row r="286" spans="1:4" x14ac:dyDescent="0.25">
      <c r="A286" s="23"/>
      <c r="B286" s="283"/>
      <c r="C286" s="276"/>
      <c r="D286" s="35"/>
    </row>
    <row r="287" spans="1:4" x14ac:dyDescent="0.25">
      <c r="A287" s="23"/>
      <c r="B287" s="283"/>
      <c r="C287" s="276"/>
      <c r="D287" s="35"/>
    </row>
    <row r="288" spans="1:4" x14ac:dyDescent="0.25">
      <c r="A288" s="23"/>
      <c r="B288" s="283"/>
      <c r="C288" s="276"/>
      <c r="D288" s="35"/>
    </row>
    <row r="289" spans="1:4" x14ac:dyDescent="0.25">
      <c r="A289" s="23"/>
      <c r="B289" s="283"/>
      <c r="C289" s="276"/>
      <c r="D289" s="35"/>
    </row>
    <row r="290" spans="1:4" x14ac:dyDescent="0.25">
      <c r="A290" s="23"/>
      <c r="B290" s="283"/>
      <c r="C290" s="276"/>
      <c r="D290" s="35"/>
    </row>
    <row r="291" spans="1:4" x14ac:dyDescent="0.25">
      <c r="A291" s="23"/>
      <c r="B291" s="283"/>
      <c r="C291" s="276"/>
      <c r="D291" s="35"/>
    </row>
    <row r="292" spans="1:4" x14ac:dyDescent="0.25">
      <c r="A292" s="23"/>
      <c r="B292" s="283"/>
      <c r="C292" s="276"/>
      <c r="D292" s="35"/>
    </row>
    <row r="293" spans="1:4" x14ac:dyDescent="0.25">
      <c r="A293" s="23"/>
      <c r="B293" s="283"/>
      <c r="C293" s="276"/>
      <c r="D293" s="35"/>
    </row>
    <row r="294" spans="1:4" x14ac:dyDescent="0.25">
      <c r="A294" s="23"/>
      <c r="B294" s="283"/>
      <c r="C294" s="276"/>
      <c r="D294" s="35"/>
    </row>
    <row r="295" spans="1:4" x14ac:dyDescent="0.25">
      <c r="A295" s="23"/>
      <c r="B295" s="283"/>
      <c r="C295" s="276"/>
      <c r="D295" s="35"/>
    </row>
    <row r="296" spans="1:4" x14ac:dyDescent="0.25">
      <c r="A296" s="23"/>
      <c r="B296" s="283"/>
      <c r="C296" s="276"/>
      <c r="D296" s="35"/>
    </row>
    <row r="297" spans="1:4" x14ac:dyDescent="0.25">
      <c r="A297" s="23"/>
      <c r="B297" s="283"/>
      <c r="C297" s="276"/>
      <c r="D297" s="35"/>
    </row>
    <row r="298" spans="1:4" x14ac:dyDescent="0.25">
      <c r="A298" s="23"/>
      <c r="B298" s="283"/>
      <c r="C298" s="276"/>
      <c r="D298" s="35"/>
    </row>
    <row r="299" spans="1:4" x14ac:dyDescent="0.25">
      <c r="A299" s="23"/>
      <c r="B299" s="283"/>
      <c r="C299" s="276"/>
      <c r="D299" s="35"/>
    </row>
    <row r="300" spans="1:4" x14ac:dyDescent="0.25">
      <c r="A300" s="23"/>
      <c r="B300" s="283"/>
      <c r="C300" s="276"/>
      <c r="D300" s="35"/>
    </row>
    <row r="301" spans="1:4" x14ac:dyDescent="0.25">
      <c r="A301" s="23"/>
      <c r="B301" s="283"/>
      <c r="C301" s="276"/>
      <c r="D301" s="35"/>
    </row>
    <row r="302" spans="1:4" x14ac:dyDescent="0.25">
      <c r="A302" s="23"/>
      <c r="B302" s="283"/>
      <c r="C302" s="276"/>
      <c r="D302" s="35"/>
    </row>
    <row r="303" spans="1:4" x14ac:dyDescent="0.25">
      <c r="A303" s="23"/>
      <c r="B303" s="283"/>
      <c r="C303" s="276"/>
      <c r="D303" s="35"/>
    </row>
    <row r="304" spans="1:4" x14ac:dyDescent="0.25">
      <c r="A304" s="23"/>
      <c r="B304" s="283"/>
      <c r="C304" s="276"/>
      <c r="D304" s="35"/>
    </row>
    <row r="305" spans="1:4" x14ac:dyDescent="0.25">
      <c r="A305" s="23"/>
      <c r="B305" s="283"/>
      <c r="C305" s="276"/>
      <c r="D305" s="35"/>
    </row>
    <row r="306" spans="1:4" x14ac:dyDescent="0.25">
      <c r="A306" s="23"/>
      <c r="B306" s="283"/>
      <c r="C306" s="276"/>
      <c r="D306" s="35"/>
    </row>
    <row r="307" spans="1:4" x14ac:dyDescent="0.25">
      <c r="A307" s="23"/>
      <c r="B307" s="283"/>
      <c r="C307" s="276"/>
      <c r="D307" s="35"/>
    </row>
    <row r="308" spans="1:4" x14ac:dyDescent="0.25">
      <c r="A308" s="23"/>
      <c r="B308" s="283"/>
      <c r="C308" s="276"/>
      <c r="D308" s="35"/>
    </row>
    <row r="309" spans="1:4" x14ac:dyDescent="0.25">
      <c r="A309" s="23"/>
      <c r="B309" s="283"/>
      <c r="C309" s="276"/>
      <c r="D309" s="35"/>
    </row>
    <row r="310" spans="1:4" x14ac:dyDescent="0.25">
      <c r="A310" s="23"/>
      <c r="B310" s="283"/>
      <c r="C310" s="276"/>
      <c r="D310" s="35"/>
    </row>
    <row r="311" spans="1:4" x14ac:dyDescent="0.25">
      <c r="A311" s="23"/>
      <c r="B311" s="283"/>
      <c r="C311" s="276"/>
      <c r="D311" s="35"/>
    </row>
    <row r="312" spans="1:4" x14ac:dyDescent="0.25">
      <c r="A312" s="23"/>
      <c r="B312" s="283"/>
      <c r="C312" s="276"/>
      <c r="D312" s="35"/>
    </row>
    <row r="313" spans="1:4" x14ac:dyDescent="0.25">
      <c r="A313" s="23"/>
      <c r="B313" s="283"/>
      <c r="C313" s="276"/>
      <c r="D313" s="35"/>
    </row>
    <row r="314" spans="1:4" x14ac:dyDescent="0.25">
      <c r="A314" s="23"/>
      <c r="B314" s="283"/>
      <c r="C314" s="276"/>
      <c r="D314" s="35"/>
    </row>
    <row r="315" spans="1:4" x14ac:dyDescent="0.25">
      <c r="A315" s="23"/>
      <c r="B315" s="283"/>
      <c r="C315" s="276"/>
      <c r="D315" s="35"/>
    </row>
    <row r="316" spans="1:4" x14ac:dyDescent="0.25">
      <c r="A316" s="23"/>
      <c r="B316" s="283"/>
      <c r="C316" s="276"/>
      <c r="D316" s="35"/>
    </row>
    <row r="317" spans="1:4" x14ac:dyDescent="0.25">
      <c r="A317" s="23"/>
      <c r="B317" s="283"/>
      <c r="C317" s="276"/>
      <c r="D317" s="35"/>
    </row>
    <row r="318" spans="1:4" x14ac:dyDescent="0.25">
      <c r="A318" s="23"/>
      <c r="B318" s="283"/>
      <c r="C318" s="276"/>
      <c r="D318" s="35"/>
    </row>
    <row r="319" spans="1:4" x14ac:dyDescent="0.25">
      <c r="A319" s="23"/>
      <c r="B319" s="283"/>
      <c r="C319" s="276"/>
      <c r="D319" s="35"/>
    </row>
    <row r="320" spans="1:4" x14ac:dyDescent="0.25">
      <c r="A320" s="23"/>
      <c r="B320" s="283"/>
      <c r="C320" s="276"/>
      <c r="D320" s="35"/>
    </row>
    <row r="321" spans="1:4" x14ac:dyDescent="0.25">
      <c r="A321" s="23"/>
      <c r="B321" s="283"/>
      <c r="C321" s="276"/>
      <c r="D321" s="35"/>
    </row>
    <row r="322" spans="1:4" x14ac:dyDescent="0.25">
      <c r="A322" s="23"/>
      <c r="B322" s="283"/>
      <c r="C322" s="276"/>
      <c r="D322" s="35"/>
    </row>
    <row r="323" spans="1:4" x14ac:dyDescent="0.25">
      <c r="A323" s="23"/>
      <c r="B323" s="283"/>
      <c r="C323" s="276"/>
      <c r="D323" s="35"/>
    </row>
    <row r="324" spans="1:4" x14ac:dyDescent="0.25">
      <c r="A324" s="23"/>
      <c r="B324" s="283"/>
      <c r="C324" s="276"/>
      <c r="D324" s="35"/>
    </row>
    <row r="325" spans="1:4" x14ac:dyDescent="0.25">
      <c r="A325" s="23"/>
      <c r="B325" s="283"/>
      <c r="C325" s="276"/>
      <c r="D325" s="35"/>
    </row>
    <row r="326" spans="1:4" x14ac:dyDescent="0.25">
      <c r="A326" s="23"/>
      <c r="B326" s="283"/>
      <c r="C326" s="276"/>
      <c r="D326" s="35"/>
    </row>
    <row r="327" spans="1:4" x14ac:dyDescent="0.25">
      <c r="A327" s="23"/>
      <c r="B327" s="283"/>
      <c r="C327" s="276"/>
      <c r="D327" s="35"/>
    </row>
    <row r="328" spans="1:4" x14ac:dyDescent="0.25">
      <c r="A328" s="23"/>
      <c r="B328" s="283"/>
      <c r="C328" s="276"/>
      <c r="D328" s="35"/>
    </row>
    <row r="329" spans="1:4" x14ac:dyDescent="0.25">
      <c r="A329" s="23"/>
      <c r="B329" s="283"/>
      <c r="C329" s="276"/>
      <c r="D329" s="35"/>
    </row>
    <row r="330" spans="1:4" x14ac:dyDescent="0.25">
      <c r="A330" s="23"/>
      <c r="B330" s="283"/>
      <c r="C330" s="276"/>
      <c r="D330" s="35"/>
    </row>
    <row r="331" spans="1:4" x14ac:dyDescent="0.25">
      <c r="A331" s="23"/>
      <c r="B331" s="283"/>
      <c r="C331" s="276"/>
      <c r="D331" s="35"/>
    </row>
    <row r="332" spans="1:4" x14ac:dyDescent="0.25">
      <c r="A332" s="23"/>
      <c r="B332" s="283"/>
      <c r="C332" s="276"/>
      <c r="D332" s="35"/>
    </row>
    <row r="333" spans="1:4" x14ac:dyDescent="0.25">
      <c r="A333" s="23"/>
      <c r="B333" s="283"/>
      <c r="C333" s="276"/>
      <c r="D333" s="35"/>
    </row>
    <row r="334" spans="1:4" x14ac:dyDescent="0.25">
      <c r="A334" s="23"/>
      <c r="B334" s="283"/>
      <c r="C334" s="276"/>
      <c r="D334" s="35"/>
    </row>
    <row r="335" spans="1:4" x14ac:dyDescent="0.25">
      <c r="D335" s="35"/>
    </row>
    <row r="336" spans="1:4" x14ac:dyDescent="0.25">
      <c r="D336" s="35"/>
    </row>
    <row r="337" spans="4:4" x14ac:dyDescent="0.25">
      <c r="D337" s="35"/>
    </row>
    <row r="338" spans="4:4" x14ac:dyDescent="0.25">
      <c r="D338" s="35"/>
    </row>
    <row r="339" spans="4:4" x14ac:dyDescent="0.25">
      <c r="D339" s="35"/>
    </row>
    <row r="340" spans="4:4" x14ac:dyDescent="0.25">
      <c r="D340" s="35"/>
    </row>
    <row r="341" spans="4:4" x14ac:dyDescent="0.25">
      <c r="D341" s="35"/>
    </row>
    <row r="342" spans="4:4" x14ac:dyDescent="0.25">
      <c r="D342" s="35"/>
    </row>
    <row r="343" spans="4:4" x14ac:dyDescent="0.25">
      <c r="D343" s="35"/>
    </row>
    <row r="344" spans="4:4" x14ac:dyDescent="0.25">
      <c r="D344" s="35"/>
    </row>
    <row r="345" spans="4:4" x14ac:dyDescent="0.25">
      <c r="D345" s="35"/>
    </row>
    <row r="346" spans="4:4" x14ac:dyDescent="0.25">
      <c r="D346" s="35"/>
    </row>
    <row r="347" spans="4:4" x14ac:dyDescent="0.25">
      <c r="D347" s="35"/>
    </row>
    <row r="348" spans="4:4" x14ac:dyDescent="0.25">
      <c r="D348" s="35"/>
    </row>
    <row r="349" spans="4:4" x14ac:dyDescent="0.25">
      <c r="D349" s="35"/>
    </row>
    <row r="350" spans="4:4" x14ac:dyDescent="0.25">
      <c r="D350" s="35"/>
    </row>
    <row r="351" spans="4:4" x14ac:dyDescent="0.25">
      <c r="D351" s="35"/>
    </row>
    <row r="352" spans="4:4" x14ac:dyDescent="0.25">
      <c r="D352" s="35"/>
    </row>
    <row r="353" spans="4:4" x14ac:dyDescent="0.25">
      <c r="D353" s="35"/>
    </row>
    <row r="354" spans="4:4" x14ac:dyDescent="0.25">
      <c r="D354" s="35"/>
    </row>
    <row r="355" spans="4:4" x14ac:dyDescent="0.25">
      <c r="D355" s="35"/>
    </row>
    <row r="356" spans="4:4" x14ac:dyDescent="0.25">
      <c r="D356" s="35"/>
    </row>
    <row r="357" spans="4:4" x14ac:dyDescent="0.25">
      <c r="D357" s="35"/>
    </row>
    <row r="358" spans="4:4" x14ac:dyDescent="0.25">
      <c r="D358" s="35"/>
    </row>
    <row r="359" spans="4:4" x14ac:dyDescent="0.25">
      <c r="D359" s="35"/>
    </row>
    <row r="360" spans="4:4" x14ac:dyDescent="0.25">
      <c r="D360" s="35"/>
    </row>
    <row r="361" spans="4:4" x14ac:dyDescent="0.25">
      <c r="D361" s="35"/>
    </row>
    <row r="362" spans="4:4" x14ac:dyDescent="0.25">
      <c r="D362" s="35"/>
    </row>
    <row r="363" spans="4:4" x14ac:dyDescent="0.25">
      <c r="D363" s="35"/>
    </row>
    <row r="364" spans="4:4" x14ac:dyDescent="0.25">
      <c r="D364" s="35"/>
    </row>
    <row r="365" spans="4:4" x14ac:dyDescent="0.25">
      <c r="D365" s="35"/>
    </row>
    <row r="366" spans="4:4" x14ac:dyDescent="0.25">
      <c r="D366" s="35"/>
    </row>
    <row r="367" spans="4:4" x14ac:dyDescent="0.25">
      <c r="D367" s="35"/>
    </row>
    <row r="368" spans="4:4" x14ac:dyDescent="0.25">
      <c r="D368" s="35"/>
    </row>
    <row r="369" spans="4:4" x14ac:dyDescent="0.25">
      <c r="D369" s="35"/>
    </row>
    <row r="370" spans="4:4" x14ac:dyDescent="0.25">
      <c r="D370" s="35"/>
    </row>
    <row r="371" spans="4:4" x14ac:dyDescent="0.25">
      <c r="D371" s="35"/>
    </row>
    <row r="372" spans="4:4" x14ac:dyDescent="0.25">
      <c r="D372" s="35"/>
    </row>
    <row r="373" spans="4:4" x14ac:dyDescent="0.25">
      <c r="D373" s="35"/>
    </row>
    <row r="374" spans="4:4" x14ac:dyDescent="0.25">
      <c r="D374" s="35"/>
    </row>
    <row r="375" spans="4:4" x14ac:dyDescent="0.25">
      <c r="D375" s="35"/>
    </row>
    <row r="376" spans="4:4" x14ac:dyDescent="0.25">
      <c r="D376" s="35"/>
    </row>
    <row r="377" spans="4:4" x14ac:dyDescent="0.25">
      <c r="D377" s="35"/>
    </row>
    <row r="378" spans="4:4" x14ac:dyDescent="0.25">
      <c r="D378" s="35"/>
    </row>
    <row r="379" spans="4:4" x14ac:dyDescent="0.25">
      <c r="D379" s="35"/>
    </row>
    <row r="380" spans="4:4" x14ac:dyDescent="0.25">
      <c r="D380" s="35"/>
    </row>
    <row r="381" spans="4:4" x14ac:dyDescent="0.25">
      <c r="D381" s="35"/>
    </row>
    <row r="382" spans="4:4" x14ac:dyDescent="0.25">
      <c r="D382" s="35"/>
    </row>
    <row r="383" spans="4:4" x14ac:dyDescent="0.25">
      <c r="D383" s="35"/>
    </row>
    <row r="384" spans="4:4" x14ac:dyDescent="0.25">
      <c r="D384" s="35"/>
    </row>
    <row r="385" spans="4:4" x14ac:dyDescent="0.25">
      <c r="D385" s="35"/>
    </row>
    <row r="386" spans="4:4" x14ac:dyDescent="0.25">
      <c r="D386" s="35"/>
    </row>
    <row r="387" spans="4:4" x14ac:dyDescent="0.25">
      <c r="D387" s="35"/>
    </row>
    <row r="388" spans="4:4" x14ac:dyDescent="0.25">
      <c r="D388" s="35"/>
    </row>
    <row r="389" spans="4:4" x14ac:dyDescent="0.25">
      <c r="D389" s="35"/>
    </row>
    <row r="390" spans="4:4" x14ac:dyDescent="0.25">
      <c r="D390" s="35"/>
    </row>
    <row r="391" spans="4:4" x14ac:dyDescent="0.25">
      <c r="D391" s="35"/>
    </row>
    <row r="392" spans="4:4" x14ac:dyDescent="0.25">
      <c r="D392" s="35"/>
    </row>
    <row r="393" spans="4:4" x14ac:dyDescent="0.25">
      <c r="D393" s="35"/>
    </row>
    <row r="394" spans="4:4" x14ac:dyDescent="0.25">
      <c r="D394" s="35"/>
    </row>
    <row r="395" spans="4:4" x14ac:dyDescent="0.25">
      <c r="D395" s="35"/>
    </row>
    <row r="396" spans="4:4" x14ac:dyDescent="0.25">
      <c r="D396" s="35"/>
    </row>
    <row r="397" spans="4:4" x14ac:dyDescent="0.25">
      <c r="D397" s="35"/>
    </row>
    <row r="398" spans="4:4" x14ac:dyDescent="0.25">
      <c r="D398" s="35"/>
    </row>
    <row r="399" spans="4:4" x14ac:dyDescent="0.25">
      <c r="D399" s="35"/>
    </row>
    <row r="400" spans="4:4" x14ac:dyDescent="0.25">
      <c r="D400" s="35"/>
    </row>
    <row r="401" spans="4:4" x14ac:dyDescent="0.25">
      <c r="D401" s="35"/>
    </row>
    <row r="402" spans="4:4" x14ac:dyDescent="0.25">
      <c r="D402" s="35"/>
    </row>
    <row r="403" spans="4:4" x14ac:dyDescent="0.25">
      <c r="D403" s="35"/>
    </row>
    <row r="404" spans="4:4" x14ac:dyDescent="0.25">
      <c r="D404" s="35"/>
    </row>
    <row r="405" spans="4:4" x14ac:dyDescent="0.25">
      <c r="D405" s="35"/>
    </row>
    <row r="406" spans="4:4" x14ac:dyDescent="0.25">
      <c r="D406" s="35"/>
    </row>
    <row r="407" spans="4:4" x14ac:dyDescent="0.25">
      <c r="D407" s="35"/>
    </row>
    <row r="408" spans="4:4" x14ac:dyDescent="0.25">
      <c r="D408" s="35"/>
    </row>
    <row r="409" spans="4:4" x14ac:dyDescent="0.25">
      <c r="D409" s="35"/>
    </row>
    <row r="410" spans="4:4" x14ac:dyDescent="0.25">
      <c r="D410" s="35"/>
    </row>
    <row r="411" spans="4:4" x14ac:dyDescent="0.25">
      <c r="D411" s="35"/>
    </row>
    <row r="412" spans="4:4" x14ac:dyDescent="0.25">
      <c r="D412" s="35"/>
    </row>
    <row r="413" spans="4:4" x14ac:dyDescent="0.25">
      <c r="D413" s="35"/>
    </row>
    <row r="414" spans="4:4" x14ac:dyDescent="0.25">
      <c r="D414" s="35"/>
    </row>
    <row r="415" spans="4:4" x14ac:dyDescent="0.25">
      <c r="D415" s="35"/>
    </row>
    <row r="416" spans="4:4" x14ac:dyDescent="0.25">
      <c r="D416" s="35"/>
    </row>
    <row r="417" spans="4:4" x14ac:dyDescent="0.25">
      <c r="D417" s="35"/>
    </row>
    <row r="418" spans="4:4" x14ac:dyDescent="0.25">
      <c r="D418" s="35"/>
    </row>
    <row r="419" spans="4:4" x14ac:dyDescent="0.25">
      <c r="D419" s="35"/>
    </row>
    <row r="420" spans="4:4" x14ac:dyDescent="0.25">
      <c r="D420" s="35"/>
    </row>
    <row r="421" spans="4:4" x14ac:dyDescent="0.25">
      <c r="D421" s="35"/>
    </row>
    <row r="422" spans="4:4" x14ac:dyDescent="0.25">
      <c r="D422" s="35"/>
    </row>
    <row r="423" spans="4:4" x14ac:dyDescent="0.25">
      <c r="D423" s="35"/>
    </row>
    <row r="424" spans="4:4" x14ac:dyDescent="0.25">
      <c r="D424" s="35"/>
    </row>
    <row r="425" spans="4:4" x14ac:dyDescent="0.25">
      <c r="D425" s="35"/>
    </row>
    <row r="426" spans="4:4" x14ac:dyDescent="0.25">
      <c r="D426" s="35"/>
    </row>
    <row r="427" spans="4:4" x14ac:dyDescent="0.25">
      <c r="D427" s="35"/>
    </row>
    <row r="428" spans="4:4" x14ac:dyDescent="0.25">
      <c r="D428" s="35"/>
    </row>
    <row r="429" spans="4:4" x14ac:dyDescent="0.25">
      <c r="D429" s="35"/>
    </row>
    <row r="430" spans="4:4" x14ac:dyDescent="0.25">
      <c r="D430" s="35"/>
    </row>
    <row r="431" spans="4:4" x14ac:dyDescent="0.25">
      <c r="D431" s="35"/>
    </row>
    <row r="432" spans="4:4" x14ac:dyDescent="0.25">
      <c r="D432" s="35"/>
    </row>
    <row r="433" spans="4:4" x14ac:dyDescent="0.25">
      <c r="D433" s="35"/>
    </row>
    <row r="434" spans="4:4" x14ac:dyDescent="0.25">
      <c r="D434" s="35"/>
    </row>
    <row r="435" spans="4:4" x14ac:dyDescent="0.25">
      <c r="D435" s="35"/>
    </row>
    <row r="436" spans="4:4" x14ac:dyDescent="0.25">
      <c r="D436" s="35"/>
    </row>
    <row r="437" spans="4:4" x14ac:dyDescent="0.25">
      <c r="D437" s="35"/>
    </row>
    <row r="438" spans="4:4" x14ac:dyDescent="0.25">
      <c r="D438" s="35"/>
    </row>
    <row r="439" spans="4:4" x14ac:dyDescent="0.25">
      <c r="D439" s="35"/>
    </row>
    <row r="440" spans="4:4" x14ac:dyDescent="0.25">
      <c r="D440" s="35"/>
    </row>
    <row r="441" spans="4:4" x14ac:dyDescent="0.25">
      <c r="D441" s="35"/>
    </row>
    <row r="442" spans="4:4" x14ac:dyDescent="0.25">
      <c r="D442" s="35"/>
    </row>
    <row r="443" spans="4:4" x14ac:dyDescent="0.25">
      <c r="D443" s="35"/>
    </row>
    <row r="444" spans="4:4" x14ac:dyDescent="0.25">
      <c r="D444" s="35"/>
    </row>
    <row r="445" spans="4:4" x14ac:dyDescent="0.25">
      <c r="D445" s="35"/>
    </row>
    <row r="446" spans="4:4" x14ac:dyDescent="0.25">
      <c r="D446" s="35"/>
    </row>
    <row r="447" spans="4:4" x14ac:dyDescent="0.25">
      <c r="D447" s="35"/>
    </row>
    <row r="448" spans="4:4" x14ac:dyDescent="0.25">
      <c r="D448" s="35"/>
    </row>
    <row r="449" spans="4:4" x14ac:dyDescent="0.25">
      <c r="D449" s="35"/>
    </row>
    <row r="450" spans="4:4" x14ac:dyDescent="0.25">
      <c r="D450" s="35"/>
    </row>
    <row r="451" spans="4:4" x14ac:dyDescent="0.25">
      <c r="D451" s="35"/>
    </row>
    <row r="452" spans="4:4" x14ac:dyDescent="0.25">
      <c r="D452" s="35"/>
    </row>
    <row r="453" spans="4:4" x14ac:dyDescent="0.25">
      <c r="D453" s="35"/>
    </row>
    <row r="454" spans="4:4" x14ac:dyDescent="0.25">
      <c r="D454" s="35"/>
    </row>
    <row r="455" spans="4:4" x14ac:dyDescent="0.25">
      <c r="D455" s="35"/>
    </row>
    <row r="456" spans="4:4" x14ac:dyDescent="0.25">
      <c r="D456" s="35"/>
    </row>
    <row r="457" spans="4:4" x14ac:dyDescent="0.25">
      <c r="D457" s="35"/>
    </row>
    <row r="458" spans="4:4" x14ac:dyDescent="0.25">
      <c r="D458" s="35"/>
    </row>
    <row r="459" spans="4:4" x14ac:dyDescent="0.25">
      <c r="D459" s="35"/>
    </row>
    <row r="460" spans="4:4" x14ac:dyDescent="0.25">
      <c r="D460" s="35"/>
    </row>
    <row r="461" spans="4:4" x14ac:dyDescent="0.25">
      <c r="D461" s="35"/>
    </row>
    <row r="462" spans="4:4" x14ac:dyDescent="0.25">
      <c r="D462" s="35"/>
    </row>
    <row r="463" spans="4:4" x14ac:dyDescent="0.25">
      <c r="D463" s="35"/>
    </row>
    <row r="464" spans="4:4" x14ac:dyDescent="0.25">
      <c r="D464" s="35"/>
    </row>
    <row r="465" spans="4:4" x14ac:dyDescent="0.25">
      <c r="D465" s="35"/>
    </row>
    <row r="466" spans="4:4" x14ac:dyDescent="0.25">
      <c r="D466" s="35"/>
    </row>
    <row r="467" spans="4:4" x14ac:dyDescent="0.25">
      <c r="D467" s="35"/>
    </row>
    <row r="468" spans="4:4" x14ac:dyDescent="0.25">
      <c r="D468" s="35"/>
    </row>
    <row r="469" spans="4:4" x14ac:dyDescent="0.25">
      <c r="D469" s="35"/>
    </row>
    <row r="470" spans="4:4" x14ac:dyDescent="0.25">
      <c r="D470" s="35"/>
    </row>
    <row r="471" spans="4:4" x14ac:dyDescent="0.25">
      <c r="D471" s="35"/>
    </row>
    <row r="472" spans="4:4" x14ac:dyDescent="0.25">
      <c r="D472" s="35"/>
    </row>
    <row r="473" spans="4:4" x14ac:dyDescent="0.25">
      <c r="D473" s="35"/>
    </row>
    <row r="474" spans="4:4" x14ac:dyDescent="0.25">
      <c r="D474" s="35"/>
    </row>
    <row r="475" spans="4:4" x14ac:dyDescent="0.25">
      <c r="D475" s="35"/>
    </row>
    <row r="476" spans="4:4" x14ac:dyDescent="0.25">
      <c r="D476" s="35"/>
    </row>
    <row r="477" spans="4:4" x14ac:dyDescent="0.25">
      <c r="D477" s="35"/>
    </row>
    <row r="478" spans="4:4" x14ac:dyDescent="0.25">
      <c r="D478" s="35"/>
    </row>
    <row r="479" spans="4:4" x14ac:dyDescent="0.25">
      <c r="D479" s="35"/>
    </row>
    <row r="480" spans="4:4" x14ac:dyDescent="0.25">
      <c r="D480" s="35"/>
    </row>
    <row r="481" spans="4:4" x14ac:dyDescent="0.25">
      <c r="D481" s="35"/>
    </row>
    <row r="482" spans="4:4" x14ac:dyDescent="0.25">
      <c r="D482" s="35"/>
    </row>
    <row r="483" spans="4:4" x14ac:dyDescent="0.25">
      <c r="D483" s="35"/>
    </row>
    <row r="484" spans="4:4" x14ac:dyDescent="0.25">
      <c r="D484" s="35"/>
    </row>
    <row r="485" spans="4:4" x14ac:dyDescent="0.25">
      <c r="D485" s="35"/>
    </row>
    <row r="486" spans="4:4" x14ac:dyDescent="0.25">
      <c r="D486" s="35"/>
    </row>
    <row r="487" spans="4:4" x14ac:dyDescent="0.25">
      <c r="D487" s="35"/>
    </row>
    <row r="488" spans="4:4" x14ac:dyDescent="0.25">
      <c r="D488" s="35"/>
    </row>
    <row r="489" spans="4:4" x14ac:dyDescent="0.25">
      <c r="D489" s="35"/>
    </row>
    <row r="490" spans="4:4" x14ac:dyDescent="0.25">
      <c r="D490" s="35"/>
    </row>
    <row r="491" spans="4:4" x14ac:dyDescent="0.25">
      <c r="D491" s="35"/>
    </row>
    <row r="492" spans="4:4" x14ac:dyDescent="0.25">
      <c r="D492" s="35"/>
    </row>
    <row r="493" spans="4:4" x14ac:dyDescent="0.25">
      <c r="D493" s="35"/>
    </row>
    <row r="494" spans="4:4" x14ac:dyDescent="0.25">
      <c r="D494" s="35"/>
    </row>
    <row r="495" spans="4:4" x14ac:dyDescent="0.25">
      <c r="D495" s="35"/>
    </row>
    <row r="496" spans="4:4" x14ac:dyDescent="0.25">
      <c r="D496" s="35"/>
    </row>
    <row r="497" spans="4:4" x14ac:dyDescent="0.25">
      <c r="D497" s="35"/>
    </row>
    <row r="498" spans="4:4" x14ac:dyDescent="0.25">
      <c r="D498" s="35"/>
    </row>
    <row r="499" spans="4:4" x14ac:dyDescent="0.25">
      <c r="D499" s="35"/>
    </row>
    <row r="500" spans="4:4" x14ac:dyDescent="0.25">
      <c r="D500" s="35"/>
    </row>
    <row r="501" spans="4:4" x14ac:dyDescent="0.25">
      <c r="D501" s="35"/>
    </row>
    <row r="502" spans="4:4" x14ac:dyDescent="0.25">
      <c r="D502" s="35"/>
    </row>
    <row r="503" spans="4:4" x14ac:dyDescent="0.25">
      <c r="D503" s="35"/>
    </row>
    <row r="504" spans="4:4" x14ac:dyDescent="0.25">
      <c r="D504" s="35"/>
    </row>
    <row r="505" spans="4:4" x14ac:dyDescent="0.25">
      <c r="D505" s="35"/>
    </row>
    <row r="506" spans="4:4" x14ac:dyDescent="0.25">
      <c r="D506" s="35"/>
    </row>
    <row r="507" spans="4:4" x14ac:dyDescent="0.25">
      <c r="D507" s="35"/>
    </row>
    <row r="508" spans="4:4" x14ac:dyDescent="0.25">
      <c r="D508" s="35"/>
    </row>
    <row r="509" spans="4:4" x14ac:dyDescent="0.25">
      <c r="D509" s="35"/>
    </row>
    <row r="510" spans="4:4" x14ac:dyDescent="0.25">
      <c r="D510" s="35"/>
    </row>
    <row r="511" spans="4:4" x14ac:dyDescent="0.25">
      <c r="D511" s="35"/>
    </row>
    <row r="512" spans="4:4" x14ac:dyDescent="0.25">
      <c r="D512" s="35"/>
    </row>
    <row r="513" spans="4:4" x14ac:dyDescent="0.25">
      <c r="D513" s="35"/>
    </row>
    <row r="514" spans="4:4" x14ac:dyDescent="0.25">
      <c r="D514" s="35"/>
    </row>
    <row r="515" spans="4:4" x14ac:dyDescent="0.25">
      <c r="D515" s="35"/>
    </row>
    <row r="516" spans="4:4" x14ac:dyDescent="0.25">
      <c r="D516" s="35"/>
    </row>
    <row r="517" spans="4:4" x14ac:dyDescent="0.25">
      <c r="D517" s="35"/>
    </row>
    <row r="518" spans="4:4" x14ac:dyDescent="0.25">
      <c r="D518" s="35"/>
    </row>
    <row r="519" spans="4:4" x14ac:dyDescent="0.25">
      <c r="D519" s="35"/>
    </row>
    <row r="520" spans="4:4" x14ac:dyDescent="0.25">
      <c r="D520" s="35"/>
    </row>
    <row r="521" spans="4:4" x14ac:dyDescent="0.25">
      <c r="D521" s="35"/>
    </row>
    <row r="522" spans="4:4" x14ac:dyDescent="0.25">
      <c r="D522" s="35"/>
    </row>
    <row r="523" spans="4:4" x14ac:dyDescent="0.25">
      <c r="D523" s="35"/>
    </row>
    <row r="524" spans="4:4" x14ac:dyDescent="0.25">
      <c r="D524" s="35"/>
    </row>
    <row r="525" spans="4:4" x14ac:dyDescent="0.25">
      <c r="D525" s="35"/>
    </row>
    <row r="526" spans="4:4" x14ac:dyDescent="0.25">
      <c r="D526" s="35"/>
    </row>
    <row r="527" spans="4:4" x14ac:dyDescent="0.25">
      <c r="D527" s="35"/>
    </row>
    <row r="528" spans="4:4" x14ac:dyDescent="0.25">
      <c r="D528" s="35"/>
    </row>
    <row r="529" spans="4:4" x14ac:dyDescent="0.25">
      <c r="D529" s="35"/>
    </row>
    <row r="530" spans="4:4" x14ac:dyDescent="0.25">
      <c r="D530" s="35"/>
    </row>
    <row r="531" spans="4:4" x14ac:dyDescent="0.25">
      <c r="D531" s="35"/>
    </row>
    <row r="532" spans="4:4" x14ac:dyDescent="0.25">
      <c r="D532" s="35"/>
    </row>
    <row r="533" spans="4:4" x14ac:dyDescent="0.25">
      <c r="D533" s="35"/>
    </row>
    <row r="534" spans="4:4" x14ac:dyDescent="0.25">
      <c r="D534" s="35"/>
    </row>
    <row r="535" spans="4:4" x14ac:dyDescent="0.25">
      <c r="D535" s="35"/>
    </row>
    <row r="536" spans="4:4" x14ac:dyDescent="0.25">
      <c r="D536" s="35"/>
    </row>
    <row r="537" spans="4:4" x14ac:dyDescent="0.25">
      <c r="D537" s="35"/>
    </row>
    <row r="538" spans="4:4" x14ac:dyDescent="0.25">
      <c r="D538" s="35"/>
    </row>
    <row r="539" spans="4:4" x14ac:dyDescent="0.25">
      <c r="D539" s="35"/>
    </row>
    <row r="540" spans="4:4" x14ac:dyDescent="0.25">
      <c r="D540" s="35"/>
    </row>
    <row r="541" spans="4:4" x14ac:dyDescent="0.25">
      <c r="D541" s="35"/>
    </row>
    <row r="542" spans="4:4" x14ac:dyDescent="0.25">
      <c r="D542" s="35"/>
    </row>
    <row r="543" spans="4:4" x14ac:dyDescent="0.25">
      <c r="D543" s="35"/>
    </row>
    <row r="544" spans="4:4" x14ac:dyDescent="0.25">
      <c r="D544" s="35"/>
    </row>
    <row r="545" spans="4:4" x14ac:dyDescent="0.25">
      <c r="D545" s="35"/>
    </row>
    <row r="546" spans="4:4" x14ac:dyDescent="0.25">
      <c r="D546" s="35"/>
    </row>
    <row r="547" spans="4:4" x14ac:dyDescent="0.25">
      <c r="D547" s="35"/>
    </row>
    <row r="548" spans="4:4" x14ac:dyDescent="0.25">
      <c r="D548" s="35"/>
    </row>
    <row r="549" spans="4:4" x14ac:dyDescent="0.25">
      <c r="D549" s="35"/>
    </row>
    <row r="550" spans="4:4" x14ac:dyDescent="0.25">
      <c r="D550" s="35"/>
    </row>
    <row r="551" spans="4:4" x14ac:dyDescent="0.25">
      <c r="D551" s="35"/>
    </row>
    <row r="552" spans="4:4" x14ac:dyDescent="0.25">
      <c r="D552" s="35"/>
    </row>
    <row r="553" spans="4:4" x14ac:dyDescent="0.25">
      <c r="D553" s="35"/>
    </row>
    <row r="554" spans="4:4" x14ac:dyDescent="0.25">
      <c r="D554" s="35"/>
    </row>
    <row r="555" spans="4:4" x14ac:dyDescent="0.25">
      <c r="D555" s="35"/>
    </row>
    <row r="556" spans="4:4" x14ac:dyDescent="0.25">
      <c r="D556" s="35"/>
    </row>
    <row r="557" spans="4:4" x14ac:dyDescent="0.25">
      <c r="D557" s="35"/>
    </row>
    <row r="558" spans="4:4" x14ac:dyDescent="0.25">
      <c r="D558" s="35"/>
    </row>
    <row r="559" spans="4:4" x14ac:dyDescent="0.25">
      <c r="D559" s="35"/>
    </row>
    <row r="560" spans="4:4" x14ac:dyDescent="0.25">
      <c r="D560" s="35"/>
    </row>
    <row r="561" spans="4:4" x14ac:dyDescent="0.25">
      <c r="D561" s="35"/>
    </row>
    <row r="562" spans="4:4" x14ac:dyDescent="0.25">
      <c r="D562" s="35"/>
    </row>
    <row r="563" spans="4:4" x14ac:dyDescent="0.25">
      <c r="D563" s="35"/>
    </row>
    <row r="564" spans="4:4" x14ac:dyDescent="0.25">
      <c r="D564" s="35"/>
    </row>
    <row r="565" spans="4:4" x14ac:dyDescent="0.25">
      <c r="D565" s="35"/>
    </row>
    <row r="566" spans="4:4" x14ac:dyDescent="0.25">
      <c r="D566" s="35"/>
    </row>
    <row r="567" spans="4:4" x14ac:dyDescent="0.25">
      <c r="D567" s="35"/>
    </row>
    <row r="568" spans="4:4" x14ac:dyDescent="0.25">
      <c r="D568" s="35"/>
    </row>
    <row r="569" spans="4:4" x14ac:dyDescent="0.25">
      <c r="D569" s="35"/>
    </row>
    <row r="570" spans="4:4" x14ac:dyDescent="0.25">
      <c r="D570" s="35"/>
    </row>
    <row r="571" spans="4:4" x14ac:dyDescent="0.25">
      <c r="D571" s="35"/>
    </row>
    <row r="572" spans="4:4" x14ac:dyDescent="0.25">
      <c r="D572" s="35"/>
    </row>
    <row r="573" spans="4:4" x14ac:dyDescent="0.25">
      <c r="D573" s="35"/>
    </row>
    <row r="574" spans="4:4" x14ac:dyDescent="0.25">
      <c r="D574" s="35"/>
    </row>
    <row r="575" spans="4:4" x14ac:dyDescent="0.25">
      <c r="D575" s="35"/>
    </row>
    <row r="576" spans="4:4" x14ac:dyDescent="0.25">
      <c r="D576" s="35"/>
    </row>
    <row r="577" spans="4:4" x14ac:dyDescent="0.25">
      <c r="D577" s="35"/>
    </row>
    <row r="578" spans="4:4" x14ac:dyDescent="0.25">
      <c r="D578" s="35"/>
    </row>
    <row r="579" spans="4:4" x14ac:dyDescent="0.25">
      <c r="D579" s="35"/>
    </row>
    <row r="580" spans="4:4" x14ac:dyDescent="0.25">
      <c r="D580" s="35"/>
    </row>
    <row r="581" spans="4:4" x14ac:dyDescent="0.25">
      <c r="D581" s="35"/>
    </row>
    <row r="582" spans="4:4" x14ac:dyDescent="0.25">
      <c r="D582" s="35"/>
    </row>
    <row r="583" spans="4:4" x14ac:dyDescent="0.25">
      <c r="D583" s="35"/>
    </row>
    <row r="584" spans="4:4" x14ac:dyDescent="0.25">
      <c r="D584" s="35"/>
    </row>
    <row r="585" spans="4:4" x14ac:dyDescent="0.25">
      <c r="D585" s="35"/>
    </row>
    <row r="586" spans="4:4" x14ac:dyDescent="0.25">
      <c r="D586" s="35"/>
    </row>
    <row r="587" spans="4:4" x14ac:dyDescent="0.25">
      <c r="D587" s="35"/>
    </row>
    <row r="588" spans="4:4" x14ac:dyDescent="0.25">
      <c r="D588" s="35"/>
    </row>
    <row r="589" spans="4:4" x14ac:dyDescent="0.25">
      <c r="D589" s="35"/>
    </row>
    <row r="590" spans="4:4" x14ac:dyDescent="0.25">
      <c r="D590" s="35"/>
    </row>
    <row r="591" spans="4:4" x14ac:dyDescent="0.25">
      <c r="D591" s="35"/>
    </row>
    <row r="592" spans="4:4" x14ac:dyDescent="0.25">
      <c r="D592" s="35"/>
    </row>
    <row r="593" spans="4:4" x14ac:dyDescent="0.25">
      <c r="D593" s="35"/>
    </row>
    <row r="594" spans="4:4" x14ac:dyDescent="0.25">
      <c r="D594" s="35"/>
    </row>
    <row r="595" spans="4:4" x14ac:dyDescent="0.25">
      <c r="D595" s="35"/>
    </row>
    <row r="596" spans="4:4" x14ac:dyDescent="0.25">
      <c r="D596" s="35"/>
    </row>
    <row r="597" spans="4:4" x14ac:dyDescent="0.25">
      <c r="D597" s="35"/>
    </row>
    <row r="598" spans="4:4" x14ac:dyDescent="0.25">
      <c r="D598" s="35"/>
    </row>
    <row r="599" spans="4:4" x14ac:dyDescent="0.25">
      <c r="D599" s="35"/>
    </row>
    <row r="600" spans="4:4" x14ac:dyDescent="0.25">
      <c r="D600" s="35"/>
    </row>
    <row r="601" spans="4:4" x14ac:dyDescent="0.25">
      <c r="D601" s="35"/>
    </row>
    <row r="602" spans="4:4" x14ac:dyDescent="0.25">
      <c r="D602" s="35"/>
    </row>
    <row r="603" spans="4:4" x14ac:dyDescent="0.25">
      <c r="D603" s="35"/>
    </row>
    <row r="604" spans="4:4" x14ac:dyDescent="0.25">
      <c r="D604" s="35"/>
    </row>
    <row r="605" spans="4:4" x14ac:dyDescent="0.25">
      <c r="D605" s="35"/>
    </row>
    <row r="606" spans="4:4" x14ac:dyDescent="0.25">
      <c r="D606" s="35"/>
    </row>
    <row r="607" spans="4:4" x14ac:dyDescent="0.25">
      <c r="D607" s="35"/>
    </row>
    <row r="608" spans="4:4" x14ac:dyDescent="0.25">
      <c r="D608" s="35"/>
    </row>
    <row r="609" spans="4:4" x14ac:dyDescent="0.25">
      <c r="D609" s="35"/>
    </row>
    <row r="610" spans="4:4" x14ac:dyDescent="0.25">
      <c r="D610" s="35"/>
    </row>
    <row r="611" spans="4:4" x14ac:dyDescent="0.25">
      <c r="D611" s="35"/>
    </row>
    <row r="612" spans="4:4" x14ac:dyDescent="0.25">
      <c r="D612" s="35"/>
    </row>
    <row r="613" spans="4:4" x14ac:dyDescent="0.25">
      <c r="D613" s="35"/>
    </row>
    <row r="614" spans="4:4" x14ac:dyDescent="0.25">
      <c r="D614" s="35"/>
    </row>
    <row r="615" spans="4:4" x14ac:dyDescent="0.25">
      <c r="D615" s="35"/>
    </row>
    <row r="616" spans="4:4" x14ac:dyDescent="0.25">
      <c r="D616" s="35"/>
    </row>
    <row r="617" spans="4:4" x14ac:dyDescent="0.25">
      <c r="D617" s="35"/>
    </row>
    <row r="618" spans="4:4" x14ac:dyDescent="0.25">
      <c r="D618" s="35"/>
    </row>
    <row r="619" spans="4:4" x14ac:dyDescent="0.25">
      <c r="D619" s="35"/>
    </row>
    <row r="620" spans="4:4" x14ac:dyDescent="0.25">
      <c r="D620" s="35"/>
    </row>
    <row r="621" spans="4:4" x14ac:dyDescent="0.25">
      <c r="D621" s="35"/>
    </row>
    <row r="622" spans="4:4" x14ac:dyDescent="0.25">
      <c r="D622" s="35"/>
    </row>
    <row r="623" spans="4:4" x14ac:dyDescent="0.25">
      <c r="D623" s="35"/>
    </row>
    <row r="624" spans="4:4" x14ac:dyDescent="0.25">
      <c r="D624" s="35"/>
    </row>
    <row r="625" spans="4:4" x14ac:dyDescent="0.25">
      <c r="D625" s="35"/>
    </row>
    <row r="626" spans="4:4" x14ac:dyDescent="0.25">
      <c r="D626" s="35"/>
    </row>
    <row r="627" spans="4:4" x14ac:dyDescent="0.25">
      <c r="D627" s="35"/>
    </row>
    <row r="628" spans="4:4" x14ac:dyDescent="0.25">
      <c r="D628" s="35"/>
    </row>
    <row r="629" spans="4:4" x14ac:dyDescent="0.25">
      <c r="D629" s="35"/>
    </row>
    <row r="630" spans="4:4" x14ac:dyDescent="0.25">
      <c r="D630" s="35"/>
    </row>
    <row r="631" spans="4:4" x14ac:dyDescent="0.25">
      <c r="D631" s="35"/>
    </row>
    <row r="632" spans="4:4" x14ac:dyDescent="0.25">
      <c r="D632" s="35"/>
    </row>
    <row r="633" spans="4:4" x14ac:dyDescent="0.25">
      <c r="D633" s="35"/>
    </row>
    <row r="634" spans="4:4" x14ac:dyDescent="0.25">
      <c r="D634" s="35"/>
    </row>
    <row r="635" spans="4:4" x14ac:dyDescent="0.25">
      <c r="D635" s="35"/>
    </row>
    <row r="636" spans="4:4" x14ac:dyDescent="0.25">
      <c r="D636" s="35"/>
    </row>
  </sheetData>
  <sheetProtection formatCells="0" formatColumns="0" formatRows="0"/>
  <conditionalFormatting sqref="G27">
    <cfRule type="cellIs" dxfId="40" priority="93" stopIfTrue="1" operator="notEqual">
      <formula>0</formula>
    </cfRule>
  </conditionalFormatting>
  <conditionalFormatting sqref="G28">
    <cfRule type="cellIs" dxfId="39" priority="92" stopIfTrue="1" operator="notEqual">
      <formula>0</formula>
    </cfRule>
  </conditionalFormatting>
  <conditionalFormatting sqref="G43">
    <cfRule type="cellIs" dxfId="38" priority="91" stopIfTrue="1" operator="notEqual">
      <formula>0</formula>
    </cfRule>
  </conditionalFormatting>
  <conditionalFormatting sqref="G55">
    <cfRule type="cellIs" dxfId="37" priority="90" stopIfTrue="1" operator="notEqual">
      <formula>0</formula>
    </cfRule>
  </conditionalFormatting>
  <conditionalFormatting sqref="G56">
    <cfRule type="cellIs" dxfId="36" priority="89" stopIfTrue="1" operator="notEqual">
      <formula>0</formula>
    </cfRule>
  </conditionalFormatting>
  <conditionalFormatting sqref="G70">
    <cfRule type="cellIs" dxfId="35" priority="88" stopIfTrue="1" operator="notEqual">
      <formula>0</formula>
    </cfRule>
  </conditionalFormatting>
  <conditionalFormatting sqref="G82">
    <cfRule type="cellIs" dxfId="34" priority="87" stopIfTrue="1" operator="notEqual">
      <formula>0</formula>
    </cfRule>
  </conditionalFormatting>
  <conditionalFormatting sqref="G93">
    <cfRule type="cellIs" dxfId="33" priority="86" stopIfTrue="1" operator="notEqual">
      <formula>0</formula>
    </cfRule>
  </conditionalFormatting>
  <conditionalFormatting sqref="G94">
    <cfRule type="cellIs" dxfId="32" priority="85" stopIfTrue="1" operator="notEqual">
      <formula>0</formula>
    </cfRule>
  </conditionalFormatting>
  <conditionalFormatting sqref="G108">
    <cfRule type="cellIs" dxfId="31" priority="84" stopIfTrue="1" operator="notEqual">
      <formula>0</formula>
    </cfRule>
  </conditionalFormatting>
  <conditionalFormatting sqref="G109">
    <cfRule type="cellIs" dxfId="30" priority="83" stopIfTrue="1" operator="notEqual">
      <formula>0</formula>
    </cfRule>
  </conditionalFormatting>
  <conditionalFormatting sqref="L186">
    <cfRule type="cellIs" dxfId="29" priority="82" stopIfTrue="1" operator="notEqual">
      <formula>0</formula>
    </cfRule>
  </conditionalFormatting>
  <conditionalFormatting sqref="J186">
    <cfRule type="cellIs" dxfId="28" priority="80" stopIfTrue="1" operator="greaterThan">
      <formula>0</formula>
    </cfRule>
  </conditionalFormatting>
  <conditionalFormatting sqref="H171:H173">
    <cfRule type="cellIs" priority="79" stopIfTrue="1" operator="equal">
      <formula>";;;"</formula>
    </cfRule>
  </conditionalFormatting>
  <conditionalFormatting sqref="H171">
    <cfRule type="cellIs" dxfId="27" priority="78" stopIfTrue="1" operator="equal">
      <formula>0</formula>
    </cfRule>
  </conditionalFormatting>
  <conditionalFormatting sqref="H172">
    <cfRule type="cellIs" dxfId="26" priority="77" stopIfTrue="1" operator="equal">
      <formula>0</formula>
    </cfRule>
  </conditionalFormatting>
  <conditionalFormatting sqref="H173">
    <cfRule type="cellIs" dxfId="25" priority="76" stopIfTrue="1" operator="equal">
      <formula>0</formula>
    </cfRule>
  </conditionalFormatting>
  <conditionalFormatting sqref="H173">
    <cfRule type="cellIs" dxfId="24" priority="75" stopIfTrue="1" operator="equal">
      <formula>0</formula>
    </cfRule>
  </conditionalFormatting>
  <conditionalFormatting sqref="H171">
    <cfRule type="cellIs" dxfId="23" priority="74" stopIfTrue="1" operator="equal">
      <formula>0</formula>
    </cfRule>
  </conditionalFormatting>
  <conditionalFormatting sqref="G15">
    <cfRule type="cellIs" dxfId="22" priority="73" stopIfTrue="1" operator="notEqual">
      <formula>0</formula>
    </cfRule>
  </conditionalFormatting>
  <conditionalFormatting sqref="G7">
    <cfRule type="containsText" dxfId="21" priority="71" stopIfTrue="1" operator="containsText" text="Included in error count">
      <formula>NOT(ISERROR(SEARCH("Included in error count",G7)))</formula>
    </cfRule>
    <cfRule type="cellIs" dxfId="20" priority="72" stopIfTrue="1" operator="equal">
      <formula>1</formula>
    </cfRule>
  </conditionalFormatting>
  <conditionalFormatting sqref="G35">
    <cfRule type="containsText" dxfId="19" priority="69" stopIfTrue="1" operator="containsText" text="Included in error count">
      <formula>NOT(ISERROR(SEARCH("Included in error count",G35)))</formula>
    </cfRule>
    <cfRule type="cellIs" dxfId="18" priority="70" stopIfTrue="1" operator="equal">
      <formula>1</formula>
    </cfRule>
  </conditionalFormatting>
  <conditionalFormatting sqref="G63">
    <cfRule type="containsText" dxfId="17" priority="67" stopIfTrue="1" operator="containsText" text="Included in error count">
      <formula>NOT(ISERROR(SEARCH("Included in error count",G63)))</formula>
    </cfRule>
    <cfRule type="cellIs" dxfId="16" priority="68" stopIfTrue="1" operator="equal">
      <formula>1</formula>
    </cfRule>
  </conditionalFormatting>
  <conditionalFormatting sqref="G64">
    <cfRule type="containsText" dxfId="15" priority="65" stopIfTrue="1" operator="containsText" text="Included in error count">
      <formula>NOT(ISERROR(SEARCH("Included in error count",G64)))</formula>
    </cfRule>
    <cfRule type="cellIs" dxfId="14" priority="66" stopIfTrue="1" operator="equal">
      <formula>1</formula>
    </cfRule>
  </conditionalFormatting>
  <conditionalFormatting sqref="G68">
    <cfRule type="containsText" dxfId="13" priority="61" stopIfTrue="1" operator="containsText" text="Included in error count">
      <formula>NOT(ISERROR(SEARCH("Included in error count",G68)))</formula>
    </cfRule>
    <cfRule type="cellIs" dxfId="12" priority="62" stopIfTrue="1" operator="equal">
      <formula>1</formula>
    </cfRule>
  </conditionalFormatting>
  <conditionalFormatting sqref="G75">
    <cfRule type="containsText" dxfId="11" priority="59" stopIfTrue="1" operator="containsText" text="Included in error count">
      <formula>NOT(ISERROR(SEARCH("Included in error count",G75)))</formula>
    </cfRule>
    <cfRule type="cellIs" dxfId="10" priority="60" stopIfTrue="1" operator="equal">
      <formula>1</formula>
    </cfRule>
  </conditionalFormatting>
  <conditionalFormatting sqref="G84">
    <cfRule type="containsText" dxfId="9" priority="57" stopIfTrue="1" operator="containsText" text="Included in error count">
      <formula>NOT(ISERROR(SEARCH("Included in error count",G84)))</formula>
    </cfRule>
    <cfRule type="cellIs" dxfId="8" priority="58" stopIfTrue="1" operator="equal">
      <formula>1</formula>
    </cfRule>
  </conditionalFormatting>
  <conditionalFormatting sqref="G171">
    <cfRule type="containsText" dxfId="7" priority="46" stopIfTrue="1" operator="containsText" text="Included in error count">
      <formula>NOT(ISERROR(SEARCH("Included in error count",G171)))</formula>
    </cfRule>
    <cfRule type="cellIs" dxfId="6" priority="47" stopIfTrue="1" operator="equal">
      <formula>1</formula>
    </cfRule>
  </conditionalFormatting>
  <conditionalFormatting sqref="G172">
    <cfRule type="containsText" dxfId="5" priority="44" stopIfTrue="1" operator="containsText" text="Included in error count">
      <formula>NOT(ISERROR(SEARCH("Included in error count",G172)))</formula>
    </cfRule>
    <cfRule type="cellIs" dxfId="4" priority="45" stopIfTrue="1" operator="equal">
      <formula>1</formula>
    </cfRule>
  </conditionalFormatting>
  <conditionalFormatting sqref="G173">
    <cfRule type="containsText" dxfId="3" priority="42" stopIfTrue="1" operator="containsText" text="Included in error count">
      <formula>NOT(ISERROR(SEARCH("Included in error count",G173)))</formula>
    </cfRule>
    <cfRule type="cellIs" dxfId="2" priority="43" stopIfTrue="1" operator="equal">
      <formula>1</formula>
    </cfRule>
  </conditionalFormatting>
  <conditionalFormatting sqref="G98">
    <cfRule type="containsText" dxfId="1" priority="40" stopIfTrue="1" operator="containsText" text="Included in error count">
      <formula>NOT(ISERROR(SEARCH("Included in error count",G98)))</formula>
    </cfRule>
    <cfRule type="cellIs" dxfId="0" priority="41" stopIfTrue="1" operator="equal">
      <formula>1</formula>
    </cfRule>
  </conditionalFormatting>
  <dataValidations disablePrompts="1" count="3">
    <dataValidation type="list" allowBlank="1" showInputMessage="1" showErrorMessage="1" sqref="L179" xr:uid="{00000000-0002-0000-0200-000000000000}">
      <formula1>$T$1:$T$5</formula1>
    </dataValidation>
    <dataValidation type="list" allowBlank="1" showInputMessage="1" showErrorMessage="1" sqref="L178" xr:uid="{00000000-0002-0000-0200-000001000000}">
      <formula1>$T$1:$T$7</formula1>
    </dataValidation>
    <dataValidation type="list" allowBlank="1" showInputMessage="1" showErrorMessage="1" sqref="L180" xr:uid="{00000000-0002-0000-0200-000002000000}">
      <formula1>$T$1:$T$2</formula1>
    </dataValidation>
  </dataValidations>
  <pageMargins left="0.7" right="0.7" top="0.75" bottom="0.75" header="0.3" footer="0.3"/>
  <pageSetup scale="50" fitToHeight="0" orientation="landscape" r:id="rId1"/>
  <ignoredErrors>
    <ignoredError sqref="F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1"/>
  <sheetViews>
    <sheetView showGridLines="0" workbookViewId="0"/>
  </sheetViews>
  <sheetFormatPr defaultRowHeight="15" x14ac:dyDescent="0.25"/>
  <cols>
    <col min="2" max="2" width="10.42578125" bestFit="1" customWidth="1"/>
    <col min="3" max="3" width="29.85546875" customWidth="1"/>
    <col min="4" max="4" width="40.5703125" customWidth="1"/>
    <col min="5" max="5" width="3.7109375" customWidth="1"/>
    <col min="6" max="6" width="13.42578125" customWidth="1"/>
    <col min="7" max="7" width="3.5703125" customWidth="1"/>
    <col min="8" max="8" width="14.140625" customWidth="1"/>
  </cols>
  <sheetData>
    <row r="1" spans="1:8" s="77" customFormat="1" x14ac:dyDescent="0.25"/>
    <row r="2" spans="1:8" ht="54.75" customHeight="1" x14ac:dyDescent="0.25">
      <c r="A2" s="691" t="s">
        <v>131</v>
      </c>
      <c r="B2" s="691"/>
      <c r="C2" s="691"/>
      <c r="D2" s="691"/>
      <c r="E2" s="691"/>
      <c r="F2" s="130"/>
      <c r="G2" s="130"/>
      <c r="H2" s="129"/>
    </row>
    <row r="3" spans="1:8" x14ac:dyDescent="0.25">
      <c r="A3" s="77"/>
      <c r="B3" s="77"/>
      <c r="C3" s="77"/>
      <c r="D3" s="77"/>
      <c r="E3" s="77"/>
      <c r="F3" s="77"/>
      <c r="G3" s="77"/>
      <c r="H3" s="77"/>
    </row>
    <row r="4" spans="1:8" ht="15.75" x14ac:dyDescent="0.25">
      <c r="A4" s="81"/>
      <c r="B4" s="82">
        <f>'Collection Worksheet'!D2</f>
        <v>0</v>
      </c>
      <c r="C4" s="83"/>
      <c r="D4" s="84"/>
      <c r="E4" s="85"/>
      <c r="F4" s="88">
        <f>'Collection Worksheet'!F5</f>
        <v>2019</v>
      </c>
      <c r="G4" s="81"/>
      <c r="H4" s="88">
        <f>'Collection Worksheet'!F5</f>
        <v>2019</v>
      </c>
    </row>
    <row r="5" spans="1:8" ht="38.25" x14ac:dyDescent="0.3">
      <c r="A5" s="86"/>
      <c r="B5" s="87" t="s">
        <v>91</v>
      </c>
      <c r="C5" s="86"/>
      <c r="D5" s="86"/>
      <c r="E5" s="86"/>
      <c r="F5" s="88" t="s">
        <v>92</v>
      </c>
      <c r="G5" s="86"/>
      <c r="H5" s="89" t="s">
        <v>93</v>
      </c>
    </row>
    <row r="6" spans="1:8" x14ac:dyDescent="0.25">
      <c r="A6" s="81"/>
      <c r="B6" s="90" t="s">
        <v>94</v>
      </c>
      <c r="C6" s="81"/>
      <c r="D6" s="91"/>
      <c r="E6" s="91"/>
      <c r="F6" s="91"/>
      <c r="G6" s="91"/>
      <c r="H6" s="91"/>
    </row>
    <row r="7" spans="1:8" x14ac:dyDescent="0.25">
      <c r="A7" s="81"/>
      <c r="B7" s="91" t="s">
        <v>95</v>
      </c>
      <c r="C7" s="81"/>
      <c r="D7" s="91"/>
      <c r="E7" s="91" t="s">
        <v>40</v>
      </c>
      <c r="F7" s="92">
        <f>IMPORT!L32</f>
        <v>0</v>
      </c>
      <c r="G7" s="93"/>
      <c r="H7" s="92">
        <f>F7</f>
        <v>0</v>
      </c>
    </row>
    <row r="8" spans="1:8" ht="44.25" customHeight="1" x14ac:dyDescent="0.25">
      <c r="A8" s="81"/>
      <c r="B8" s="688" t="s">
        <v>96</v>
      </c>
      <c r="C8" s="688"/>
      <c r="D8" s="688"/>
      <c r="E8" s="91" t="s">
        <v>40</v>
      </c>
      <c r="F8" s="94">
        <f>IMPORT!L33</f>
        <v>0</v>
      </c>
      <c r="G8" s="95"/>
      <c r="H8" s="95"/>
    </row>
    <row r="9" spans="1:8" x14ac:dyDescent="0.25">
      <c r="A9" s="81"/>
      <c r="B9" s="81"/>
      <c r="C9" s="91" t="s">
        <v>264</v>
      </c>
      <c r="D9" s="81"/>
      <c r="E9" s="91" t="s">
        <v>40</v>
      </c>
      <c r="F9" s="96">
        <f>IMPORT!L37</f>
        <v>0</v>
      </c>
      <c r="G9" s="95"/>
      <c r="H9" s="96">
        <f>F9</f>
        <v>0</v>
      </c>
    </row>
    <row r="10" spans="1:8" x14ac:dyDescent="0.25">
      <c r="A10" s="81"/>
      <c r="B10" s="81"/>
      <c r="C10" s="91" t="s">
        <v>97</v>
      </c>
      <c r="D10" s="81"/>
      <c r="E10" s="91" t="s">
        <v>40</v>
      </c>
      <c r="F10" s="96">
        <f>IMPORT!L164</f>
        <v>0</v>
      </c>
      <c r="G10" s="95"/>
      <c r="H10" s="96">
        <f>F10</f>
        <v>0</v>
      </c>
    </row>
    <row r="11" spans="1:8" x14ac:dyDescent="0.25">
      <c r="A11" s="81"/>
      <c r="B11" s="81"/>
      <c r="C11" s="91" t="s">
        <v>98</v>
      </c>
      <c r="D11" s="81"/>
      <c r="E11" s="91" t="s">
        <v>40</v>
      </c>
      <c r="F11" s="97">
        <f>IMPORT!L38</f>
        <v>0</v>
      </c>
      <c r="G11" s="98"/>
      <c r="H11" s="97">
        <f>F11</f>
        <v>0</v>
      </c>
    </row>
    <row r="12" spans="1:8" x14ac:dyDescent="0.25">
      <c r="A12" s="81"/>
      <c r="B12" s="99" t="s">
        <v>99</v>
      </c>
      <c r="C12" s="100" t="s">
        <v>100</v>
      </c>
      <c r="D12" s="101"/>
      <c r="E12" s="102" t="s">
        <v>40</v>
      </c>
      <c r="F12" s="103">
        <f>F7+F8-SUM(F9:F11)</f>
        <v>0</v>
      </c>
      <c r="G12" s="104"/>
      <c r="H12" s="103">
        <f>H7+H8-SUM(H9:H11)</f>
        <v>0</v>
      </c>
    </row>
    <row r="13" spans="1:8" x14ac:dyDescent="0.25">
      <c r="A13" s="81"/>
      <c r="B13" s="81"/>
      <c r="C13" s="91"/>
      <c r="D13" s="91"/>
      <c r="E13" s="91" t="s">
        <v>40</v>
      </c>
      <c r="F13" s="91"/>
      <c r="G13" s="91"/>
      <c r="H13" s="91"/>
    </row>
    <row r="14" spans="1:8" x14ac:dyDescent="0.25">
      <c r="A14" s="81"/>
      <c r="B14" s="91" t="s">
        <v>101</v>
      </c>
      <c r="C14" s="81"/>
      <c r="D14" s="91"/>
      <c r="E14" s="91" t="s">
        <v>40</v>
      </c>
      <c r="F14" s="105">
        <f>IMPORT!L43</f>
        <v>0</v>
      </c>
      <c r="G14" s="91"/>
      <c r="H14" s="91"/>
    </row>
    <row r="15" spans="1:8" x14ac:dyDescent="0.25">
      <c r="A15" s="81"/>
      <c r="B15" s="91" t="s">
        <v>102</v>
      </c>
      <c r="C15" s="81"/>
      <c r="D15" s="91"/>
      <c r="E15" s="91" t="s">
        <v>40</v>
      </c>
      <c r="F15" s="106">
        <f>F14-F12</f>
        <v>0</v>
      </c>
      <c r="G15" s="91"/>
      <c r="H15" s="91"/>
    </row>
    <row r="16" spans="1:8" x14ac:dyDescent="0.25">
      <c r="A16" s="81"/>
      <c r="B16" s="107" t="s">
        <v>103</v>
      </c>
      <c r="C16" s="81"/>
      <c r="D16" s="91"/>
      <c r="E16" s="91"/>
      <c r="F16" s="91"/>
      <c r="G16" s="91"/>
      <c r="H16" s="91"/>
    </row>
    <row r="17" spans="1:8" x14ac:dyDescent="0.25">
      <c r="A17" s="77"/>
      <c r="B17" s="108" t="s">
        <v>104</v>
      </c>
      <c r="C17" s="91" t="s">
        <v>105</v>
      </c>
      <c r="D17" s="81"/>
      <c r="E17" s="91" t="s">
        <v>40</v>
      </c>
      <c r="F17" s="109">
        <f>IMPORT!L41</f>
        <v>0</v>
      </c>
      <c r="G17" s="91"/>
      <c r="H17" s="91"/>
    </row>
    <row r="18" spans="1:8" ht="15.75" thickBot="1" x14ac:dyDescent="0.3">
      <c r="A18" s="77"/>
      <c r="B18" s="99" t="s">
        <v>99</v>
      </c>
      <c r="C18" s="100" t="s">
        <v>106</v>
      </c>
      <c r="D18" s="101"/>
      <c r="E18" s="102" t="s">
        <v>40</v>
      </c>
      <c r="F18" s="110">
        <f>(F15-SUM(F17:F17))</f>
        <v>0</v>
      </c>
      <c r="G18" s="91"/>
      <c r="H18" s="91"/>
    </row>
    <row r="19" spans="1:8" ht="15.75" thickTop="1" x14ac:dyDescent="0.25">
      <c r="A19" s="77"/>
      <c r="B19" s="81"/>
      <c r="C19" s="91"/>
      <c r="D19" s="91"/>
      <c r="E19" s="91"/>
      <c r="F19" s="91"/>
      <c r="G19" s="91"/>
      <c r="H19" s="91"/>
    </row>
    <row r="20" spans="1:8" ht="15.75" thickBot="1" x14ac:dyDescent="0.3">
      <c r="A20" s="77"/>
      <c r="B20" s="91" t="s">
        <v>107</v>
      </c>
      <c r="C20" s="81"/>
      <c r="D20" s="91"/>
      <c r="E20" s="91" t="s">
        <v>40</v>
      </c>
      <c r="F20" s="111">
        <f>IMPORT!L40</f>
        <v>0</v>
      </c>
      <c r="G20" s="91"/>
      <c r="H20" s="91"/>
    </row>
    <row r="21" spans="1:8" ht="16.5" thickTop="1" thickBot="1" x14ac:dyDescent="0.3">
      <c r="A21" s="77"/>
      <c r="B21" s="81"/>
      <c r="C21" s="112" t="str">
        <f>IF(F18&gt;F20, "Restricted-Stabilization by State Statute understated by ",IF(F20&gt;F18, "Restricted-Stabilization by State Statute overstated by ","Restricted-Stabilization by State Statutue Reportedly Correctly. "))</f>
        <v xml:space="preserve">Restricted-Stabilization by State Statutue Reportedly Correctly. </v>
      </c>
      <c r="D21" s="81"/>
      <c r="E21" s="91" t="s">
        <v>40</v>
      </c>
      <c r="F21" s="113">
        <f>ABS(F18-F20)</f>
        <v>0</v>
      </c>
      <c r="G21" s="91"/>
      <c r="H21" s="91"/>
    </row>
    <row r="22" spans="1:8" ht="50.25" customHeight="1" thickTop="1" x14ac:dyDescent="0.25">
      <c r="A22" s="77"/>
      <c r="B22" s="81"/>
      <c r="C22" s="689" t="str">
        <f>IF(F18&gt;F20,"Since Restricted-Stabilization by State Statute was understated, verfiy that the unit did not appropriate fund balance in excess of legal amount available in row 12 above.","")</f>
        <v/>
      </c>
      <c r="D22" s="689"/>
      <c r="E22" s="689"/>
      <c r="F22" s="689"/>
      <c r="G22" s="91"/>
      <c r="H22" s="91"/>
    </row>
    <row r="23" spans="1:8" x14ac:dyDescent="0.25">
      <c r="A23" s="77"/>
      <c r="B23" s="81"/>
      <c r="C23" s="690" t="s">
        <v>108</v>
      </c>
      <c r="D23" s="91"/>
      <c r="E23" s="91"/>
      <c r="F23" s="91"/>
      <c r="G23" s="91"/>
      <c r="H23" s="114" t="s">
        <v>109</v>
      </c>
    </row>
    <row r="24" spans="1:8" x14ac:dyDescent="0.25">
      <c r="A24" s="77"/>
      <c r="B24" s="81"/>
      <c r="C24" s="690"/>
      <c r="D24" s="91"/>
      <c r="E24" s="91"/>
      <c r="F24" s="88" t="s">
        <v>110</v>
      </c>
      <c r="G24" s="91"/>
      <c r="H24" s="88" t="s">
        <v>118</v>
      </c>
    </row>
    <row r="25" spans="1:8" x14ac:dyDescent="0.25">
      <c r="A25" s="77"/>
      <c r="B25" s="81"/>
      <c r="C25" s="90" t="s">
        <v>111</v>
      </c>
      <c r="D25" s="91"/>
      <c r="E25" s="91"/>
      <c r="F25" s="91"/>
      <c r="G25" s="91"/>
      <c r="H25" s="91"/>
    </row>
    <row r="26" spans="1:8" ht="25.15" customHeight="1" x14ac:dyDescent="0.25">
      <c r="A26" s="77"/>
      <c r="B26" s="81"/>
      <c r="C26" s="91" t="s">
        <v>112</v>
      </c>
      <c r="D26" s="91"/>
      <c r="E26" s="91" t="s">
        <v>40</v>
      </c>
      <c r="F26" s="92">
        <f>IMPORT!L48</f>
        <v>0</v>
      </c>
      <c r="G26" s="93"/>
      <c r="H26" s="115">
        <f>F26</f>
        <v>0</v>
      </c>
    </row>
    <row r="27" spans="1:8" x14ac:dyDescent="0.25">
      <c r="A27" s="77"/>
      <c r="B27" s="81"/>
      <c r="C27" s="108" t="s">
        <v>113</v>
      </c>
      <c r="D27" s="91"/>
      <c r="E27" s="91"/>
      <c r="F27" s="91"/>
      <c r="G27" s="91"/>
      <c r="H27" s="91"/>
    </row>
    <row r="28" spans="1:8" x14ac:dyDescent="0.25">
      <c r="A28" s="77"/>
      <c r="B28" s="81"/>
      <c r="C28" s="91" t="s">
        <v>114</v>
      </c>
      <c r="D28" s="81"/>
      <c r="E28" s="91" t="s">
        <v>40</v>
      </c>
      <c r="F28" s="125">
        <f>IMPORT!L50</f>
        <v>0</v>
      </c>
      <c r="G28" s="95"/>
      <c r="H28" s="116">
        <f>F28</f>
        <v>0</v>
      </c>
    </row>
    <row r="29" spans="1:8" x14ac:dyDescent="0.25">
      <c r="A29" s="77"/>
      <c r="B29" s="81"/>
      <c r="C29" s="91" t="s">
        <v>115</v>
      </c>
      <c r="D29" s="81"/>
      <c r="E29" s="91" t="s">
        <v>40</v>
      </c>
      <c r="F29" s="126">
        <f>IMPORT!L51+IMPORT!L52</f>
        <v>0</v>
      </c>
      <c r="G29" s="95"/>
      <c r="H29" s="117">
        <f>F29</f>
        <v>0</v>
      </c>
    </row>
    <row r="30" spans="1:8" ht="15.75" thickBot="1" x14ac:dyDescent="0.3">
      <c r="A30" s="77"/>
      <c r="B30" s="81"/>
      <c r="C30" s="91" t="s">
        <v>116</v>
      </c>
      <c r="D30" s="91"/>
      <c r="E30" s="91" t="s">
        <v>40</v>
      </c>
      <c r="F30" s="118">
        <f>SUM(F26:F28)-F29</f>
        <v>0</v>
      </c>
      <c r="G30" s="93"/>
      <c r="H30" s="118">
        <f>SUM(H26:H28)-H29</f>
        <v>0</v>
      </c>
    </row>
    <row r="31" spans="1:8" ht="15.75" thickTop="1" x14ac:dyDescent="0.25">
      <c r="A31" s="77"/>
      <c r="B31" s="81"/>
      <c r="C31" s="91"/>
      <c r="D31" s="91"/>
      <c r="E31" s="91"/>
      <c r="F31" s="91"/>
      <c r="G31" s="91"/>
      <c r="H31" s="91"/>
    </row>
    <row r="32" spans="1:8" ht="15.75" thickBot="1" x14ac:dyDescent="0.3">
      <c r="A32" s="77"/>
      <c r="B32" s="99" t="s">
        <v>99</v>
      </c>
      <c r="C32" s="112" t="s">
        <v>117</v>
      </c>
      <c r="D32" s="119"/>
      <c r="E32" s="112" t="s">
        <v>40</v>
      </c>
      <c r="F32" s="120" t="e">
        <f>F12/F30</f>
        <v>#DIV/0!</v>
      </c>
      <c r="G32" s="91"/>
      <c r="H32" s="120" t="e">
        <f>H12/H30</f>
        <v>#DIV/0!</v>
      </c>
    </row>
    <row r="33" spans="1:8" ht="15.75" thickTop="1" x14ac:dyDescent="0.25">
      <c r="A33" s="77"/>
      <c r="B33" s="77"/>
      <c r="C33" s="91"/>
      <c r="D33" s="91"/>
      <c r="E33" s="91"/>
      <c r="F33" s="91"/>
      <c r="G33" s="91"/>
      <c r="H33" s="91"/>
    </row>
    <row r="34" spans="1:8" ht="15.75" x14ac:dyDescent="0.25">
      <c r="A34" s="123"/>
      <c r="C34" s="122"/>
    </row>
    <row r="36" spans="1:8" x14ac:dyDescent="0.25">
      <c r="F36" s="124"/>
    </row>
    <row r="37" spans="1:8" x14ac:dyDescent="0.25">
      <c r="F37" s="121"/>
    </row>
    <row r="38" spans="1:8" x14ac:dyDescent="0.25">
      <c r="F38" s="121"/>
    </row>
    <row r="39" spans="1:8" x14ac:dyDescent="0.25">
      <c r="F39" s="121"/>
    </row>
    <row r="40" spans="1:8" x14ac:dyDescent="0.25">
      <c r="F40" s="121"/>
    </row>
    <row r="41" spans="1:8" x14ac:dyDescent="0.25">
      <c r="F41" s="121"/>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K467"/>
  <sheetViews>
    <sheetView workbookViewId="0">
      <pane xSplit="4" ySplit="1" topLeftCell="E2" activePane="bottomRight" state="frozen"/>
      <selection pane="topRight" activeCell="E1" sqref="E1"/>
      <selection pane="bottomLeft" activeCell="A2" sqref="A2"/>
      <selection pane="bottomRight" activeCell="C1" sqref="C1"/>
    </sheetView>
  </sheetViews>
  <sheetFormatPr defaultColWidth="21.7109375" defaultRowHeight="15" x14ac:dyDescent="0.25"/>
  <cols>
    <col min="1" max="1" width="11.140625" customWidth="1"/>
    <col min="2" max="2" width="9.42578125" customWidth="1"/>
    <col min="3" max="3" width="28" customWidth="1"/>
    <col min="4" max="4" width="12.5703125" customWidth="1"/>
    <col min="5" max="5" width="21.7109375" customWidth="1"/>
    <col min="6" max="6" width="18" customWidth="1"/>
    <col min="7" max="7" width="15.28515625" customWidth="1"/>
    <col min="8" max="8" width="18.85546875" customWidth="1"/>
    <col min="9" max="9" width="17.7109375" customWidth="1"/>
    <col min="10" max="10" width="17.5703125" customWidth="1"/>
    <col min="11" max="11" width="17" customWidth="1"/>
    <col min="12" max="90" width="21.7109375" customWidth="1"/>
  </cols>
  <sheetData>
    <row r="1" spans="1:141" ht="43.5" x14ac:dyDescent="0.25">
      <c r="A1" s="561" t="s">
        <v>904</v>
      </c>
      <c r="B1" s="561" t="s">
        <v>690</v>
      </c>
      <c r="C1" s="537"/>
      <c r="D1" s="561" t="s">
        <v>690</v>
      </c>
      <c r="E1" s="540" t="s">
        <v>905</v>
      </c>
      <c r="F1" s="540" t="s">
        <v>906</v>
      </c>
      <c r="G1" s="540" t="s">
        <v>907</v>
      </c>
      <c r="H1" s="540" t="s">
        <v>908</v>
      </c>
      <c r="I1" s="540" t="s">
        <v>909</v>
      </c>
      <c r="J1" s="540" t="s">
        <v>910</v>
      </c>
      <c r="K1" s="540" t="s">
        <v>911</v>
      </c>
      <c r="L1" s="540" t="s">
        <v>912</v>
      </c>
      <c r="M1" s="540" t="s">
        <v>913</v>
      </c>
      <c r="N1" s="540" t="s">
        <v>914</v>
      </c>
      <c r="O1" s="540" t="s">
        <v>915</v>
      </c>
      <c r="P1" s="540" t="s">
        <v>916</v>
      </c>
      <c r="Q1" s="540" t="s">
        <v>917</v>
      </c>
      <c r="R1" s="540" t="s">
        <v>918</v>
      </c>
      <c r="S1" s="540" t="s">
        <v>919</v>
      </c>
      <c r="T1" s="540" t="s">
        <v>920</v>
      </c>
      <c r="U1" s="540" t="s">
        <v>921</v>
      </c>
      <c r="V1" s="540" t="s">
        <v>922</v>
      </c>
      <c r="W1" s="540" t="s">
        <v>923</v>
      </c>
      <c r="X1" s="540" t="s">
        <v>924</v>
      </c>
      <c r="Y1" s="540" t="s">
        <v>925</v>
      </c>
      <c r="Z1" s="540" t="s">
        <v>926</v>
      </c>
      <c r="AA1" s="540" t="s">
        <v>927</v>
      </c>
      <c r="AB1" s="540" t="s">
        <v>928</v>
      </c>
      <c r="AC1" s="540" t="s">
        <v>929</v>
      </c>
      <c r="AD1" s="540" t="s">
        <v>930</v>
      </c>
      <c r="AE1" s="540" t="s">
        <v>931</v>
      </c>
      <c r="AF1" s="540" t="s">
        <v>932</v>
      </c>
      <c r="AG1" s="540" t="s">
        <v>933</v>
      </c>
      <c r="AH1" s="540" t="s">
        <v>934</v>
      </c>
      <c r="AI1" s="540" t="s">
        <v>935</v>
      </c>
      <c r="AJ1" s="540" t="s">
        <v>936</v>
      </c>
      <c r="AK1" s="540" t="s">
        <v>937</v>
      </c>
      <c r="AL1" s="540" t="s">
        <v>938</v>
      </c>
      <c r="AM1" s="540" t="s">
        <v>939</v>
      </c>
      <c r="AN1" s="540" t="s">
        <v>940</v>
      </c>
      <c r="AO1" s="540" t="s">
        <v>941</v>
      </c>
      <c r="AP1" s="540" t="s">
        <v>942</v>
      </c>
      <c r="AQ1" s="540" t="s">
        <v>943</v>
      </c>
      <c r="AR1" s="540" t="s">
        <v>944</v>
      </c>
      <c r="AS1" s="540" t="s">
        <v>945</v>
      </c>
      <c r="AT1" s="540" t="s">
        <v>946</v>
      </c>
      <c r="AU1" s="540" t="s">
        <v>947</v>
      </c>
      <c r="AV1" s="540" t="s">
        <v>948</v>
      </c>
      <c r="AW1" s="540" t="s">
        <v>949</v>
      </c>
      <c r="AX1" s="540" t="s">
        <v>950</v>
      </c>
      <c r="AY1" s="540" t="s">
        <v>951</v>
      </c>
      <c r="AZ1" s="540" t="s">
        <v>952</v>
      </c>
      <c r="BA1" s="540" t="s">
        <v>953</v>
      </c>
      <c r="BB1" s="540" t="s">
        <v>954</v>
      </c>
      <c r="BC1" s="540" t="s">
        <v>955</v>
      </c>
      <c r="BD1" s="540" t="s">
        <v>956</v>
      </c>
      <c r="BE1" s="540" t="s">
        <v>957</v>
      </c>
      <c r="BF1" s="540" t="s">
        <v>958</v>
      </c>
      <c r="BG1" s="540" t="s">
        <v>959</v>
      </c>
      <c r="BH1" s="540" t="s">
        <v>960</v>
      </c>
      <c r="BI1" s="540" t="s">
        <v>961</v>
      </c>
      <c r="BJ1" s="540" t="s">
        <v>962</v>
      </c>
      <c r="BK1" s="540" t="s">
        <v>963</v>
      </c>
      <c r="BL1" s="540" t="s">
        <v>964</v>
      </c>
      <c r="BM1" s="540" t="s">
        <v>965</v>
      </c>
      <c r="BN1" s="540" t="s">
        <v>966</v>
      </c>
      <c r="BO1" s="540" t="s">
        <v>967</v>
      </c>
      <c r="BP1" s="540" t="s">
        <v>968</v>
      </c>
      <c r="BQ1" s="540" t="s">
        <v>969</v>
      </c>
      <c r="BR1" s="540" t="s">
        <v>970</v>
      </c>
      <c r="BS1" s="540" t="s">
        <v>971</v>
      </c>
      <c r="BT1" s="540" t="s">
        <v>972</v>
      </c>
      <c r="BU1" s="540" t="s">
        <v>973</v>
      </c>
      <c r="BV1" s="540" t="s">
        <v>974</v>
      </c>
      <c r="BW1" s="540" t="s">
        <v>975</v>
      </c>
      <c r="BX1" s="540" t="s">
        <v>976</v>
      </c>
      <c r="BY1" s="540" t="s">
        <v>977</v>
      </c>
      <c r="BZ1" s="540" t="s">
        <v>978</v>
      </c>
      <c r="CA1" s="540" t="s">
        <v>979</v>
      </c>
      <c r="CB1" s="540" t="s">
        <v>980</v>
      </c>
      <c r="CC1" s="540" t="s">
        <v>981</v>
      </c>
      <c r="CD1" s="540" t="s">
        <v>982</v>
      </c>
      <c r="CE1" s="540" t="s">
        <v>983</v>
      </c>
      <c r="CF1" s="537"/>
      <c r="CG1" s="537"/>
      <c r="CH1" s="537"/>
      <c r="CI1" s="537"/>
      <c r="CJ1" s="537"/>
      <c r="CK1" s="537"/>
      <c r="CL1" s="537"/>
      <c r="CM1" s="537"/>
      <c r="CN1" s="537"/>
      <c r="CO1" s="537"/>
      <c r="CP1" s="537"/>
      <c r="CQ1" s="537"/>
      <c r="CR1" s="537"/>
      <c r="CS1" s="537"/>
      <c r="CT1" s="537"/>
      <c r="CU1" s="537"/>
      <c r="CV1" s="537"/>
      <c r="CW1" s="537"/>
      <c r="CX1" s="537"/>
      <c r="CY1" s="537"/>
      <c r="CZ1" s="537"/>
      <c r="DA1" s="537"/>
      <c r="DB1" s="537"/>
      <c r="DC1" s="537"/>
      <c r="DD1" s="537"/>
      <c r="DE1" s="537"/>
      <c r="DF1" s="537"/>
      <c r="DG1" s="537"/>
      <c r="DH1" s="537"/>
      <c r="DI1" s="537"/>
      <c r="DJ1" s="537"/>
      <c r="DK1" s="537"/>
      <c r="DL1" s="537"/>
      <c r="DM1" s="537"/>
      <c r="DN1" s="537"/>
      <c r="DO1" s="537"/>
      <c r="DP1" s="537"/>
      <c r="DQ1" s="537"/>
      <c r="DR1" s="537"/>
      <c r="DS1" s="537"/>
      <c r="DT1" s="537"/>
      <c r="DU1" s="537"/>
      <c r="DV1" s="537"/>
      <c r="DW1" s="537"/>
      <c r="DX1" s="537"/>
      <c r="DY1" s="537"/>
      <c r="DZ1" s="537"/>
      <c r="EA1" s="537"/>
      <c r="EB1" s="537"/>
      <c r="EC1" s="537"/>
      <c r="ED1" s="537"/>
      <c r="EE1" s="537"/>
      <c r="EF1" s="537"/>
      <c r="EG1" s="537"/>
      <c r="EH1" s="537"/>
      <c r="EI1" s="537"/>
      <c r="EJ1" s="537"/>
      <c r="EK1" s="537"/>
    </row>
    <row r="2" spans="1:141" x14ac:dyDescent="0.25">
      <c r="A2" s="546"/>
      <c r="B2" s="546"/>
      <c r="C2" s="546"/>
      <c r="D2" s="547" t="s">
        <v>379</v>
      </c>
      <c r="E2" s="548">
        <v>50254</v>
      </c>
      <c r="F2" s="549">
        <v>50255</v>
      </c>
      <c r="G2" s="549">
        <v>50256</v>
      </c>
      <c r="H2" s="549">
        <v>50558</v>
      </c>
      <c r="I2" s="549">
        <v>50566</v>
      </c>
      <c r="J2" s="549">
        <v>50562</v>
      </c>
      <c r="K2" s="548">
        <v>50257</v>
      </c>
      <c r="L2" s="546">
        <v>50555</v>
      </c>
      <c r="M2" s="546">
        <v>50445</v>
      </c>
      <c r="N2" s="550">
        <v>50452</v>
      </c>
      <c r="O2" s="546">
        <v>50563</v>
      </c>
      <c r="P2" s="546">
        <v>50258</v>
      </c>
      <c r="Q2" s="546">
        <v>50523</v>
      </c>
      <c r="R2" s="546">
        <v>50259</v>
      </c>
      <c r="S2" s="546">
        <v>50260</v>
      </c>
      <c r="T2" s="546">
        <v>50487</v>
      </c>
      <c r="U2" s="546">
        <v>50261</v>
      </c>
      <c r="V2" s="546">
        <v>50262</v>
      </c>
      <c r="W2" s="546">
        <v>50263</v>
      </c>
      <c r="X2" s="546">
        <v>50264</v>
      </c>
      <c r="Y2" s="546">
        <v>50265</v>
      </c>
      <c r="Z2" s="546">
        <v>50266</v>
      </c>
      <c r="AA2" s="546">
        <v>50267</v>
      </c>
      <c r="AB2" s="550">
        <v>50268</v>
      </c>
      <c r="AC2" s="550">
        <v>50269</v>
      </c>
      <c r="AD2" s="550">
        <v>50270</v>
      </c>
      <c r="AE2" s="550">
        <v>50271</v>
      </c>
      <c r="AF2" s="550">
        <v>50272</v>
      </c>
      <c r="AG2" s="550">
        <v>50273</v>
      </c>
      <c r="AH2" s="550">
        <v>50274</v>
      </c>
      <c r="AI2" s="550">
        <v>50480</v>
      </c>
      <c r="AJ2" s="550">
        <v>50275</v>
      </c>
      <c r="AK2" s="550">
        <v>50277</v>
      </c>
      <c r="AL2" s="550">
        <v>50276</v>
      </c>
      <c r="AM2" s="550">
        <v>50278</v>
      </c>
      <c r="AN2" s="550">
        <v>50279</v>
      </c>
      <c r="AO2" s="550">
        <v>50280</v>
      </c>
      <c r="AP2" s="550">
        <v>50281</v>
      </c>
      <c r="AQ2" s="550">
        <v>50478</v>
      </c>
      <c r="AR2" s="550">
        <v>50524</v>
      </c>
      <c r="AS2" s="550">
        <v>50282</v>
      </c>
      <c r="AT2" s="550">
        <v>50525</v>
      </c>
      <c r="AU2" s="550">
        <v>50283</v>
      </c>
      <c r="AV2" s="550">
        <v>50285</v>
      </c>
      <c r="AW2" s="550">
        <v>50553</v>
      </c>
      <c r="AX2" s="550">
        <v>50548</v>
      </c>
      <c r="AY2" s="550">
        <v>50284</v>
      </c>
      <c r="AZ2" s="550">
        <v>50286</v>
      </c>
      <c r="BA2" s="550">
        <v>50287</v>
      </c>
      <c r="BB2" s="550">
        <v>50288</v>
      </c>
      <c r="BC2" s="550">
        <v>50290</v>
      </c>
      <c r="BD2" s="550">
        <v>50564</v>
      </c>
      <c r="BE2" s="550">
        <v>50289</v>
      </c>
      <c r="BF2" s="550">
        <v>50291</v>
      </c>
      <c r="BG2" s="550">
        <v>50292</v>
      </c>
      <c r="BH2" s="550">
        <v>50293</v>
      </c>
      <c r="BI2" s="550">
        <v>50463</v>
      </c>
      <c r="BJ2" s="550">
        <v>50294</v>
      </c>
      <c r="BK2" s="550">
        <v>50538</v>
      </c>
      <c r="BL2" s="550">
        <v>50295</v>
      </c>
      <c r="BM2" s="550">
        <v>50296</v>
      </c>
      <c r="BN2" s="550">
        <v>50297</v>
      </c>
      <c r="BO2" s="550">
        <v>50449</v>
      </c>
      <c r="BP2" s="550">
        <v>50300</v>
      </c>
      <c r="BQ2" s="550">
        <v>50298</v>
      </c>
      <c r="BR2" s="550">
        <v>50299</v>
      </c>
      <c r="BS2" s="550">
        <v>50301</v>
      </c>
      <c r="BT2" s="550">
        <v>50302</v>
      </c>
      <c r="BU2" s="550">
        <v>50303</v>
      </c>
      <c r="BV2" s="550">
        <v>50304</v>
      </c>
      <c r="BW2" s="550">
        <v>50540</v>
      </c>
      <c r="BX2" s="550">
        <v>50305</v>
      </c>
      <c r="BY2" s="550">
        <v>50306</v>
      </c>
      <c r="BZ2" s="550">
        <v>50479</v>
      </c>
      <c r="CA2" s="550">
        <v>50307</v>
      </c>
      <c r="CB2" s="550">
        <v>50308</v>
      </c>
      <c r="CC2" s="550">
        <v>50309</v>
      </c>
      <c r="CD2" s="550">
        <v>50310</v>
      </c>
      <c r="CE2" s="550">
        <v>50311</v>
      </c>
      <c r="CF2" s="551"/>
      <c r="CG2" s="551"/>
      <c r="CH2" s="551"/>
      <c r="CI2" s="551"/>
      <c r="CJ2" s="551"/>
      <c r="CK2" s="551"/>
      <c r="CL2" s="551"/>
      <c r="CM2" s="551"/>
      <c r="CN2" s="551"/>
      <c r="CO2" s="551"/>
      <c r="CP2" s="551"/>
      <c r="CQ2" s="551"/>
      <c r="CR2" s="551"/>
      <c r="CS2" s="551"/>
      <c r="CT2" s="551"/>
      <c r="CU2" s="551"/>
      <c r="CV2" s="551"/>
      <c r="CW2" s="551"/>
      <c r="CX2" s="551"/>
      <c r="CY2" s="551"/>
      <c r="CZ2" s="551"/>
      <c r="DA2" s="551"/>
      <c r="DB2" s="551"/>
      <c r="DC2" s="551"/>
      <c r="DD2" s="551"/>
      <c r="DE2" s="551"/>
      <c r="DF2" s="551"/>
      <c r="DG2" s="551"/>
      <c r="DH2" s="551"/>
      <c r="DI2" s="551"/>
      <c r="DJ2" s="551"/>
      <c r="DK2" s="551"/>
      <c r="DL2" s="551"/>
      <c r="DM2" s="551"/>
      <c r="DN2" s="551"/>
      <c r="DO2" s="551"/>
      <c r="DP2" s="551"/>
      <c r="DQ2" s="551"/>
      <c r="DR2" s="551"/>
      <c r="DS2" s="551"/>
      <c r="DT2" s="551"/>
      <c r="DU2" s="551"/>
      <c r="DV2" s="551"/>
      <c r="DW2" s="551"/>
      <c r="DX2" s="551"/>
      <c r="DY2" s="551"/>
      <c r="DZ2" s="551"/>
      <c r="EA2" s="551"/>
      <c r="EB2" s="551"/>
      <c r="EC2" s="551"/>
      <c r="ED2" s="551"/>
      <c r="EE2" s="551"/>
      <c r="EF2" s="551"/>
      <c r="EG2" s="551"/>
      <c r="EH2" s="551"/>
      <c r="EI2" s="551"/>
      <c r="EJ2" s="551"/>
      <c r="EK2" s="551"/>
    </row>
    <row r="3" spans="1:141" x14ac:dyDescent="0.25">
      <c r="A3" s="640">
        <v>4</v>
      </c>
      <c r="B3" s="540">
        <v>4</v>
      </c>
      <c r="C3" s="536" t="s">
        <v>879</v>
      </c>
      <c r="D3" s="537" t="s">
        <v>380</v>
      </c>
      <c r="E3" s="543">
        <v>23599</v>
      </c>
      <c r="F3" s="544">
        <v>459</v>
      </c>
      <c r="G3" s="544">
        <v>2959</v>
      </c>
      <c r="H3" s="544">
        <v>59607</v>
      </c>
      <c r="I3" s="544">
        <v>38594</v>
      </c>
      <c r="J3" s="544">
        <v>72435</v>
      </c>
      <c r="K3" s="545">
        <v>630</v>
      </c>
      <c r="L3" s="542">
        <v>22887</v>
      </c>
      <c r="M3" s="542">
        <v>7165</v>
      </c>
      <c r="N3" s="541">
        <v>472372</v>
      </c>
      <c r="O3" s="541">
        <v>26786</v>
      </c>
      <c r="P3" s="541">
        <v>80719</v>
      </c>
      <c r="Q3" s="541">
        <v>892</v>
      </c>
      <c r="R3" s="541">
        <v>2694045</v>
      </c>
      <c r="S3" s="541">
        <v>68397</v>
      </c>
      <c r="T3" s="541">
        <v>3092</v>
      </c>
      <c r="U3" s="541">
        <v>3485464</v>
      </c>
      <c r="V3" s="541">
        <v>626827</v>
      </c>
      <c r="W3" s="541">
        <v>1235893</v>
      </c>
      <c r="X3" s="541">
        <v>1734722</v>
      </c>
      <c r="Y3" s="541">
        <v>0</v>
      </c>
      <c r="Z3" s="541">
        <v>1317037</v>
      </c>
      <c r="AA3" s="541">
        <v>49125</v>
      </c>
      <c r="AB3" s="542">
        <v>155093</v>
      </c>
      <c r="AC3" s="542">
        <v>85348</v>
      </c>
      <c r="AD3" s="542">
        <v>89381</v>
      </c>
      <c r="AE3" s="542">
        <v>233294</v>
      </c>
      <c r="AF3" s="542">
        <v>15778</v>
      </c>
      <c r="AG3" s="542">
        <v>534421</v>
      </c>
      <c r="AH3" s="542">
        <v>120764</v>
      </c>
      <c r="AI3" s="542">
        <v>6331</v>
      </c>
      <c r="AJ3" s="542">
        <v>2210464</v>
      </c>
      <c r="AK3" s="542">
        <v>7138</v>
      </c>
      <c r="AL3" s="542">
        <v>17582</v>
      </c>
      <c r="AM3" s="542">
        <v>0</v>
      </c>
      <c r="AN3" s="542">
        <v>525711</v>
      </c>
      <c r="AO3" s="542">
        <v>8697</v>
      </c>
      <c r="AP3" s="542">
        <v>0</v>
      </c>
      <c r="AQ3" s="542">
        <v>623</v>
      </c>
      <c r="AR3" s="542">
        <v>108371</v>
      </c>
      <c r="AS3" s="542">
        <v>153275</v>
      </c>
      <c r="AT3" s="542">
        <v>0</v>
      </c>
      <c r="AU3" s="542">
        <v>116432</v>
      </c>
      <c r="AV3" s="542">
        <v>12904</v>
      </c>
      <c r="AW3" s="542">
        <v>275240</v>
      </c>
      <c r="AX3" s="542">
        <v>66304</v>
      </c>
      <c r="AY3" s="542">
        <v>136678</v>
      </c>
      <c r="AZ3" s="542">
        <v>241531</v>
      </c>
      <c r="BA3" s="542">
        <v>41221</v>
      </c>
      <c r="BB3" s="542">
        <v>0</v>
      </c>
      <c r="BC3" s="542">
        <v>0</v>
      </c>
      <c r="BD3" s="542">
        <v>9278</v>
      </c>
      <c r="BE3" s="542">
        <v>334811</v>
      </c>
      <c r="BF3" s="542">
        <v>1434</v>
      </c>
      <c r="BG3" s="542">
        <v>7100</v>
      </c>
      <c r="BH3" s="542">
        <v>13361</v>
      </c>
      <c r="BI3" s="542">
        <v>1381</v>
      </c>
      <c r="BJ3" s="542">
        <v>7129</v>
      </c>
      <c r="BK3" s="542">
        <v>1946</v>
      </c>
      <c r="BL3" s="542">
        <v>116187</v>
      </c>
      <c r="BM3" s="542">
        <v>16543</v>
      </c>
      <c r="BN3" s="542">
        <v>285609</v>
      </c>
      <c r="BO3" s="542">
        <v>202913</v>
      </c>
      <c r="BP3" s="542">
        <v>28774</v>
      </c>
      <c r="BQ3" s="542">
        <v>0</v>
      </c>
      <c r="BR3" s="542">
        <v>978377</v>
      </c>
      <c r="BS3" s="542">
        <v>41709</v>
      </c>
      <c r="BT3" s="542">
        <v>889977</v>
      </c>
      <c r="BU3" s="542">
        <v>8599</v>
      </c>
      <c r="BV3" s="542">
        <v>139484</v>
      </c>
      <c r="BW3" s="542">
        <v>21307</v>
      </c>
      <c r="BX3" s="542">
        <v>110226</v>
      </c>
      <c r="BY3" s="542">
        <v>34752</v>
      </c>
      <c r="BZ3" s="542">
        <v>4756</v>
      </c>
      <c r="CA3" s="542">
        <v>0</v>
      </c>
      <c r="CB3" s="542">
        <v>1212</v>
      </c>
      <c r="CC3" s="542">
        <v>41917</v>
      </c>
      <c r="CD3" s="542">
        <v>0</v>
      </c>
      <c r="CE3" s="542">
        <v>1017</v>
      </c>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8"/>
      <c r="ED3" s="538"/>
      <c r="EE3" s="538"/>
      <c r="EF3" s="538"/>
      <c r="EG3" s="538"/>
      <c r="EH3" s="538"/>
      <c r="EI3" s="538"/>
      <c r="EJ3" s="538"/>
      <c r="EK3" s="538"/>
    </row>
    <row r="4" spans="1:141" ht="30" x14ac:dyDescent="0.25">
      <c r="A4" s="640">
        <v>5</v>
      </c>
      <c r="B4" s="540">
        <v>5</v>
      </c>
      <c r="C4" s="536" t="s">
        <v>139</v>
      </c>
      <c r="D4" s="537" t="s">
        <v>381</v>
      </c>
      <c r="E4" s="543">
        <v>0</v>
      </c>
      <c r="F4" s="544">
        <v>0</v>
      </c>
      <c r="G4" s="544">
        <v>0</v>
      </c>
      <c r="H4" s="544">
        <v>0</v>
      </c>
      <c r="I4" s="544">
        <v>0</v>
      </c>
      <c r="J4" s="544">
        <v>8815</v>
      </c>
      <c r="K4" s="545">
        <v>0</v>
      </c>
      <c r="L4" s="542">
        <v>0</v>
      </c>
      <c r="M4" s="542">
        <v>0</v>
      </c>
      <c r="N4" s="541">
        <v>48973</v>
      </c>
      <c r="O4" s="541">
        <v>0</v>
      </c>
      <c r="P4" s="541">
        <v>0</v>
      </c>
      <c r="Q4" s="541">
        <v>0</v>
      </c>
      <c r="R4" s="541">
        <v>5697</v>
      </c>
      <c r="S4" s="541">
        <v>1500</v>
      </c>
      <c r="T4" s="541">
        <v>0</v>
      </c>
      <c r="U4" s="541">
        <v>57155</v>
      </c>
      <c r="V4" s="541">
        <v>112323</v>
      </c>
      <c r="W4" s="541">
        <v>22375</v>
      </c>
      <c r="X4" s="541">
        <v>9683</v>
      </c>
      <c r="Y4" s="541">
        <v>0</v>
      </c>
      <c r="Z4" s="541">
        <v>24913</v>
      </c>
      <c r="AA4" s="541">
        <v>0</v>
      </c>
      <c r="AB4" s="542">
        <v>0</v>
      </c>
      <c r="AC4" s="542">
        <v>0</v>
      </c>
      <c r="AD4" s="542">
        <v>0</v>
      </c>
      <c r="AE4" s="542">
        <v>0</v>
      </c>
      <c r="AF4" s="542">
        <v>16809</v>
      </c>
      <c r="AG4" s="542">
        <v>0</v>
      </c>
      <c r="AH4" s="542">
        <v>592</v>
      </c>
      <c r="AI4" s="542">
        <v>0</v>
      </c>
      <c r="AJ4" s="542">
        <v>0</v>
      </c>
      <c r="AK4" s="542">
        <v>0</v>
      </c>
      <c r="AL4" s="542">
        <v>0</v>
      </c>
      <c r="AM4" s="542">
        <v>0</v>
      </c>
      <c r="AN4" s="542">
        <v>9535</v>
      </c>
      <c r="AO4" s="542">
        <v>1396</v>
      </c>
      <c r="AP4" s="542">
        <v>0</v>
      </c>
      <c r="AQ4" s="542">
        <v>0</v>
      </c>
      <c r="AR4" s="542">
        <v>0</v>
      </c>
      <c r="AS4" s="542">
        <v>14500000</v>
      </c>
      <c r="AT4" s="542">
        <v>0</v>
      </c>
      <c r="AU4" s="542">
        <v>0</v>
      </c>
      <c r="AV4" s="542">
        <v>0</v>
      </c>
      <c r="AW4" s="542">
        <v>0</v>
      </c>
      <c r="AX4" s="542">
        <v>0</v>
      </c>
      <c r="AY4" s="542">
        <v>0</v>
      </c>
      <c r="AZ4" s="542">
        <v>0</v>
      </c>
      <c r="BA4" s="542">
        <v>0</v>
      </c>
      <c r="BB4" s="542">
        <v>0</v>
      </c>
      <c r="BC4" s="542">
        <v>0</v>
      </c>
      <c r="BD4" s="542">
        <v>0</v>
      </c>
      <c r="BE4" s="542">
        <v>0</v>
      </c>
      <c r="BF4" s="542">
        <v>0</v>
      </c>
      <c r="BG4" s="542">
        <v>0</v>
      </c>
      <c r="BH4" s="542">
        <v>0</v>
      </c>
      <c r="BI4" s="542">
        <v>0</v>
      </c>
      <c r="BJ4" s="542">
        <v>0</v>
      </c>
      <c r="BK4" s="542">
        <v>0</v>
      </c>
      <c r="BL4" s="542">
        <v>0</v>
      </c>
      <c r="BM4" s="542">
        <v>0</v>
      </c>
      <c r="BN4" s="542">
        <v>0</v>
      </c>
      <c r="BO4" s="542">
        <v>53950</v>
      </c>
      <c r="BP4" s="542">
        <v>0</v>
      </c>
      <c r="BQ4" s="542">
        <v>0</v>
      </c>
      <c r="BR4" s="542">
        <v>0</v>
      </c>
      <c r="BS4" s="542">
        <v>0</v>
      </c>
      <c r="BT4" s="542">
        <v>0</v>
      </c>
      <c r="BU4" s="542">
        <v>1</v>
      </c>
      <c r="BV4" s="542">
        <v>469311</v>
      </c>
      <c r="BW4" s="542">
        <v>0</v>
      </c>
      <c r="BX4" s="542">
        <v>2591</v>
      </c>
      <c r="BY4" s="542">
        <v>0</v>
      </c>
      <c r="BZ4" s="542">
        <v>0</v>
      </c>
      <c r="CA4" s="542">
        <v>0</v>
      </c>
      <c r="CB4" s="542">
        <v>395</v>
      </c>
      <c r="CC4" s="542">
        <v>0</v>
      </c>
      <c r="CD4" s="542">
        <v>0</v>
      </c>
      <c r="CE4" s="542">
        <v>0</v>
      </c>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row>
    <row r="5" spans="1:141" x14ac:dyDescent="0.25">
      <c r="A5" s="640">
        <v>6</v>
      </c>
      <c r="B5" s="540">
        <v>6</v>
      </c>
      <c r="C5" s="536" t="s">
        <v>347</v>
      </c>
      <c r="D5" s="537" t="s">
        <v>382</v>
      </c>
      <c r="E5" s="543">
        <v>0</v>
      </c>
      <c r="F5" s="544">
        <v>0</v>
      </c>
      <c r="G5" s="544">
        <v>0</v>
      </c>
      <c r="H5" s="544">
        <v>0</v>
      </c>
      <c r="I5" s="544">
        <v>0</v>
      </c>
      <c r="J5" s="544">
        <v>0</v>
      </c>
      <c r="K5" s="545">
        <v>0</v>
      </c>
      <c r="L5" s="542">
        <v>0</v>
      </c>
      <c r="M5" s="542">
        <v>0</v>
      </c>
      <c r="N5" s="541">
        <v>0</v>
      </c>
      <c r="O5" s="541">
        <v>0</v>
      </c>
      <c r="P5" s="541">
        <v>0</v>
      </c>
      <c r="Q5" s="541">
        <v>0</v>
      </c>
      <c r="R5" s="541">
        <v>1934027</v>
      </c>
      <c r="S5" s="541">
        <v>0</v>
      </c>
      <c r="T5" s="541">
        <v>0</v>
      </c>
      <c r="U5" s="541">
        <v>596548</v>
      </c>
      <c r="V5" s="541">
        <v>0</v>
      </c>
      <c r="W5" s="541">
        <v>1172813</v>
      </c>
      <c r="X5" s="541">
        <v>2154895</v>
      </c>
      <c r="Y5" s="541">
        <v>0</v>
      </c>
      <c r="Z5" s="541">
        <v>228732</v>
      </c>
      <c r="AA5" s="541">
        <v>0</v>
      </c>
      <c r="AB5" s="542">
        <v>0</v>
      </c>
      <c r="AC5" s="542">
        <v>0</v>
      </c>
      <c r="AD5" s="542">
        <v>0</v>
      </c>
      <c r="AE5" s="542">
        <v>0</v>
      </c>
      <c r="AF5" s="542">
        <v>0</v>
      </c>
      <c r="AG5" s="542">
        <v>1212510</v>
      </c>
      <c r="AH5" s="542">
        <v>0</v>
      </c>
      <c r="AI5" s="542">
        <v>0</v>
      </c>
      <c r="AJ5" s="542">
        <v>867849</v>
      </c>
      <c r="AK5" s="542">
        <v>6410</v>
      </c>
      <c r="AL5" s="542">
        <v>0</v>
      </c>
      <c r="AM5" s="542">
        <v>0</v>
      </c>
      <c r="AN5" s="542">
        <v>383269</v>
      </c>
      <c r="AO5" s="542">
        <v>0</v>
      </c>
      <c r="AP5" s="542">
        <v>0</v>
      </c>
      <c r="AQ5" s="542">
        <v>0</v>
      </c>
      <c r="AR5" s="542">
        <v>0</v>
      </c>
      <c r="AS5" s="542">
        <v>0</v>
      </c>
      <c r="AT5" s="542">
        <v>0</v>
      </c>
      <c r="AU5" s="542">
        <v>0</v>
      </c>
      <c r="AV5" s="542">
        <v>0</v>
      </c>
      <c r="AW5" s="542">
        <v>0</v>
      </c>
      <c r="AX5" s="542">
        <v>0</v>
      </c>
      <c r="AY5" s="542">
        <v>0</v>
      </c>
      <c r="AZ5" s="542">
        <v>0</v>
      </c>
      <c r="BA5" s="542">
        <v>0</v>
      </c>
      <c r="BB5" s="542">
        <v>0</v>
      </c>
      <c r="BC5" s="542">
        <v>0</v>
      </c>
      <c r="BD5" s="542">
        <v>0</v>
      </c>
      <c r="BE5" s="542">
        <v>0</v>
      </c>
      <c r="BF5" s="542">
        <v>0</v>
      </c>
      <c r="BG5" s="542">
        <v>0</v>
      </c>
      <c r="BH5" s="542">
        <v>0</v>
      </c>
      <c r="BI5" s="542">
        <v>0</v>
      </c>
      <c r="BJ5" s="542">
        <v>0</v>
      </c>
      <c r="BK5" s="542">
        <v>0</v>
      </c>
      <c r="BL5" s="542">
        <v>0</v>
      </c>
      <c r="BM5" s="542">
        <v>0</v>
      </c>
      <c r="BN5" s="542">
        <v>0</v>
      </c>
      <c r="BO5" s="542">
        <v>0</v>
      </c>
      <c r="BP5" s="542">
        <v>0</v>
      </c>
      <c r="BQ5" s="542">
        <v>0</v>
      </c>
      <c r="BR5" s="542">
        <v>244196</v>
      </c>
      <c r="BS5" s="542">
        <v>0</v>
      </c>
      <c r="BT5" s="542">
        <v>0</v>
      </c>
      <c r="BU5" s="542">
        <v>0</v>
      </c>
      <c r="BV5" s="542">
        <v>0</v>
      </c>
      <c r="BW5" s="542">
        <v>0</v>
      </c>
      <c r="BX5" s="542">
        <v>0</v>
      </c>
      <c r="BY5" s="542">
        <v>0</v>
      </c>
      <c r="BZ5" s="542">
        <v>0</v>
      </c>
      <c r="CA5" s="542">
        <v>0</v>
      </c>
      <c r="CB5" s="542">
        <v>0</v>
      </c>
      <c r="CC5" s="542">
        <v>0</v>
      </c>
      <c r="CD5" s="542">
        <v>0</v>
      </c>
      <c r="CE5" s="542">
        <v>0</v>
      </c>
      <c r="CF5" s="538"/>
      <c r="CG5" s="538"/>
      <c r="CH5" s="538"/>
      <c r="CI5" s="538"/>
      <c r="CJ5" s="538"/>
      <c r="CK5" s="538"/>
      <c r="CL5" s="538"/>
      <c r="CM5" s="538"/>
      <c r="CN5" s="538"/>
      <c r="CO5" s="538"/>
      <c r="CP5" s="538"/>
      <c r="CQ5" s="538"/>
      <c r="CR5" s="538"/>
      <c r="CS5" s="538"/>
      <c r="CT5" s="538"/>
      <c r="CU5" s="538"/>
      <c r="CV5" s="538"/>
      <c r="CW5" s="538"/>
      <c r="CX5" s="538"/>
      <c r="CY5" s="538"/>
      <c r="CZ5" s="538"/>
      <c r="DA5" s="538"/>
      <c r="DB5" s="538"/>
      <c r="DC5" s="538"/>
      <c r="DD5" s="538"/>
      <c r="DE5" s="538"/>
      <c r="DF5" s="538"/>
      <c r="DG5" s="538"/>
      <c r="DH5" s="538"/>
      <c r="DI5" s="538"/>
      <c r="DJ5" s="538"/>
      <c r="DK5" s="538"/>
      <c r="DL5" s="538"/>
      <c r="DM5" s="538"/>
      <c r="DN5" s="538"/>
      <c r="DO5" s="538"/>
      <c r="DP5" s="538"/>
      <c r="DQ5" s="538"/>
      <c r="DR5" s="538"/>
      <c r="DS5" s="538"/>
      <c r="DT5" s="538"/>
      <c r="DU5" s="538"/>
      <c r="DV5" s="538"/>
      <c r="DW5" s="538"/>
      <c r="DX5" s="538"/>
      <c r="DY5" s="538"/>
      <c r="DZ5" s="538"/>
      <c r="EA5" s="538"/>
      <c r="EB5" s="538"/>
      <c r="EC5" s="538"/>
      <c r="ED5" s="538"/>
      <c r="EE5" s="538"/>
      <c r="EF5" s="538"/>
      <c r="EG5" s="538"/>
      <c r="EH5" s="538"/>
      <c r="EI5" s="538"/>
      <c r="EJ5" s="538"/>
      <c r="EK5" s="538"/>
    </row>
    <row r="6" spans="1:141" x14ac:dyDescent="0.25">
      <c r="A6" s="640">
        <v>7</v>
      </c>
      <c r="B6" s="540">
        <v>7</v>
      </c>
      <c r="C6" s="536" t="s">
        <v>288</v>
      </c>
      <c r="D6" s="537" t="s">
        <v>383</v>
      </c>
      <c r="E6" s="543">
        <v>0</v>
      </c>
      <c r="F6" s="544">
        <v>0</v>
      </c>
      <c r="G6" s="544">
        <v>0</v>
      </c>
      <c r="H6" s="544">
        <v>0</v>
      </c>
      <c r="I6" s="544">
        <v>0</v>
      </c>
      <c r="J6" s="544">
        <v>0</v>
      </c>
      <c r="K6" s="545">
        <v>0</v>
      </c>
      <c r="L6" s="542">
        <v>0</v>
      </c>
      <c r="M6" s="542">
        <v>0</v>
      </c>
      <c r="N6" s="541">
        <v>0</v>
      </c>
      <c r="O6" s="541">
        <v>0</v>
      </c>
      <c r="P6" s="541">
        <v>0</v>
      </c>
      <c r="Q6" s="541">
        <v>0</v>
      </c>
      <c r="R6" s="541">
        <v>826975</v>
      </c>
      <c r="S6" s="541">
        <v>2688</v>
      </c>
      <c r="T6" s="541">
        <v>5293</v>
      </c>
      <c r="U6" s="541">
        <v>197569</v>
      </c>
      <c r="V6" s="541">
        <v>31805</v>
      </c>
      <c r="W6" s="541">
        <v>170285</v>
      </c>
      <c r="X6" s="541">
        <v>13990</v>
      </c>
      <c r="Y6" s="541">
        <v>0</v>
      </c>
      <c r="Z6" s="541">
        <v>106555</v>
      </c>
      <c r="AA6" s="541">
        <v>8263</v>
      </c>
      <c r="AB6" s="542">
        <v>53671</v>
      </c>
      <c r="AC6" s="542">
        <v>0</v>
      </c>
      <c r="AD6" s="542">
        <v>0</v>
      </c>
      <c r="AE6" s="542">
        <v>35307</v>
      </c>
      <c r="AF6" s="542">
        <v>0</v>
      </c>
      <c r="AG6" s="542">
        <v>66336</v>
      </c>
      <c r="AH6" s="542">
        <v>6675</v>
      </c>
      <c r="AI6" s="542">
        <v>0</v>
      </c>
      <c r="AJ6" s="542">
        <v>132738</v>
      </c>
      <c r="AK6" s="542">
        <v>0</v>
      </c>
      <c r="AL6" s="542">
        <v>6157</v>
      </c>
      <c r="AM6" s="542">
        <v>0</v>
      </c>
      <c r="AN6" s="542">
        <v>49037</v>
      </c>
      <c r="AO6" s="542">
        <v>0</v>
      </c>
      <c r="AP6" s="542">
        <v>0</v>
      </c>
      <c r="AQ6" s="542">
        <v>0</v>
      </c>
      <c r="AR6" s="542">
        <v>0</v>
      </c>
      <c r="AS6" s="542">
        <v>502819</v>
      </c>
      <c r="AT6" s="542">
        <v>0</v>
      </c>
      <c r="AU6" s="542">
        <v>0</v>
      </c>
      <c r="AV6" s="542">
        <v>0</v>
      </c>
      <c r="AW6" s="542">
        <v>49548</v>
      </c>
      <c r="AX6" s="542">
        <v>0</v>
      </c>
      <c r="AY6" s="542">
        <v>0</v>
      </c>
      <c r="AZ6" s="542">
        <v>0</v>
      </c>
      <c r="BA6" s="542">
        <v>0</v>
      </c>
      <c r="BB6" s="542">
        <v>0</v>
      </c>
      <c r="BC6" s="542">
        <v>0</v>
      </c>
      <c r="BD6" s="542">
        <v>0</v>
      </c>
      <c r="BE6" s="542">
        <v>5153</v>
      </c>
      <c r="BF6" s="542">
        <v>4932</v>
      </c>
      <c r="BG6" s="542">
        <v>0</v>
      </c>
      <c r="BH6" s="542">
        <v>0</v>
      </c>
      <c r="BI6" s="542">
        <v>0</v>
      </c>
      <c r="BJ6" s="542">
        <v>0</v>
      </c>
      <c r="BK6" s="542">
        <v>0</v>
      </c>
      <c r="BL6" s="542">
        <v>0</v>
      </c>
      <c r="BM6" s="542">
        <v>2028</v>
      </c>
      <c r="BN6" s="542">
        <v>0</v>
      </c>
      <c r="BO6" s="542">
        <v>52904</v>
      </c>
      <c r="BP6" s="542">
        <v>6056</v>
      </c>
      <c r="BQ6" s="542">
        <v>0</v>
      </c>
      <c r="BR6" s="542">
        <v>59871</v>
      </c>
      <c r="BS6" s="542">
        <v>0</v>
      </c>
      <c r="BT6" s="542">
        <v>6127</v>
      </c>
      <c r="BU6" s="542">
        <v>0</v>
      </c>
      <c r="BV6" s="542">
        <v>0</v>
      </c>
      <c r="BW6" s="542">
        <v>350</v>
      </c>
      <c r="BX6" s="542">
        <v>0</v>
      </c>
      <c r="BY6" s="542">
        <v>0</v>
      </c>
      <c r="BZ6" s="542">
        <v>12876</v>
      </c>
      <c r="CA6" s="542">
        <v>0</v>
      </c>
      <c r="CB6" s="542">
        <v>0</v>
      </c>
      <c r="CC6" s="542">
        <v>980</v>
      </c>
      <c r="CD6" s="542">
        <v>0</v>
      </c>
      <c r="CE6" s="542">
        <v>0</v>
      </c>
      <c r="CF6" s="538"/>
      <c r="CG6" s="538"/>
      <c r="CH6" s="538"/>
      <c r="CI6" s="538"/>
      <c r="CJ6" s="538"/>
      <c r="CK6" s="538"/>
      <c r="CL6" s="538"/>
      <c r="CM6" s="538"/>
      <c r="CN6" s="538"/>
      <c r="CO6" s="538"/>
      <c r="CP6" s="538"/>
      <c r="CQ6" s="538"/>
      <c r="CR6" s="538"/>
      <c r="CS6" s="538"/>
      <c r="CT6" s="538"/>
      <c r="CU6" s="538"/>
      <c r="CV6" s="538"/>
      <c r="CW6" s="538"/>
      <c r="CX6" s="538"/>
      <c r="CY6" s="538"/>
      <c r="CZ6" s="538"/>
      <c r="DA6" s="538"/>
      <c r="DB6" s="538"/>
      <c r="DC6" s="538"/>
      <c r="DD6" s="538"/>
      <c r="DE6" s="538"/>
      <c r="DF6" s="538"/>
      <c r="DG6" s="538"/>
      <c r="DH6" s="538"/>
      <c r="DI6" s="538"/>
      <c r="DJ6" s="538"/>
      <c r="DK6" s="538"/>
      <c r="DL6" s="538"/>
      <c r="DM6" s="538"/>
      <c r="DN6" s="538"/>
      <c r="DO6" s="538"/>
      <c r="DP6" s="538"/>
      <c r="DQ6" s="538"/>
      <c r="DR6" s="538"/>
      <c r="DS6" s="538"/>
      <c r="DT6" s="538"/>
      <c r="DU6" s="538"/>
      <c r="DV6" s="538"/>
      <c r="DW6" s="538"/>
      <c r="DX6" s="538"/>
      <c r="DY6" s="538"/>
      <c r="DZ6" s="538"/>
      <c r="EA6" s="538"/>
      <c r="EB6" s="538"/>
      <c r="EC6" s="538"/>
      <c r="ED6" s="538"/>
      <c r="EE6" s="538"/>
      <c r="EF6" s="538"/>
      <c r="EG6" s="538"/>
      <c r="EH6" s="538"/>
      <c r="EI6" s="538"/>
      <c r="EJ6" s="538"/>
      <c r="EK6" s="538"/>
    </row>
    <row r="7" spans="1:141" ht="30" x14ac:dyDescent="0.25">
      <c r="A7" s="640">
        <v>9</v>
      </c>
      <c r="B7" s="540">
        <v>9</v>
      </c>
      <c r="C7" s="536" t="s">
        <v>290</v>
      </c>
      <c r="D7" s="537" t="s">
        <v>384</v>
      </c>
      <c r="E7" s="543">
        <v>177587</v>
      </c>
      <c r="F7" s="544">
        <v>120890</v>
      </c>
      <c r="G7" s="544">
        <v>851681</v>
      </c>
      <c r="H7" s="544">
        <v>3989338</v>
      </c>
      <c r="I7" s="544">
        <v>4476596</v>
      </c>
      <c r="J7" s="544">
        <v>4506715</v>
      </c>
      <c r="K7" s="545">
        <v>209770</v>
      </c>
      <c r="L7" s="542">
        <v>808753</v>
      </c>
      <c r="M7" s="542">
        <v>883797</v>
      </c>
      <c r="N7" s="541">
        <v>8583029</v>
      </c>
      <c r="O7" s="541">
        <v>600221</v>
      </c>
      <c r="P7" s="541">
        <v>7964680</v>
      </c>
      <c r="Q7" s="541">
        <v>260541</v>
      </c>
      <c r="R7" s="541">
        <v>28563016</v>
      </c>
      <c r="S7" s="541">
        <v>1762860</v>
      </c>
      <c r="T7" s="541">
        <v>211833</v>
      </c>
      <c r="U7" s="541">
        <v>32210633</v>
      </c>
      <c r="V7" s="541">
        <v>9766577</v>
      </c>
      <c r="W7" s="541">
        <v>18333205</v>
      </c>
      <c r="X7" s="541">
        <v>30079849</v>
      </c>
      <c r="Y7" s="541">
        <v>0</v>
      </c>
      <c r="Z7" s="541">
        <v>12693548</v>
      </c>
      <c r="AA7" s="541">
        <v>1564995</v>
      </c>
      <c r="AB7" s="542">
        <v>11998528</v>
      </c>
      <c r="AC7" s="542">
        <v>1114986</v>
      </c>
      <c r="AD7" s="542">
        <v>1630642</v>
      </c>
      <c r="AE7" s="542">
        <v>1091634</v>
      </c>
      <c r="AF7" s="542">
        <v>2975581</v>
      </c>
      <c r="AG7" s="542">
        <v>17178816</v>
      </c>
      <c r="AH7" s="542">
        <v>4798594</v>
      </c>
      <c r="AI7" s="542">
        <v>1140439</v>
      </c>
      <c r="AJ7" s="542">
        <v>19571904</v>
      </c>
      <c r="AK7" s="542">
        <v>2957676</v>
      </c>
      <c r="AL7" s="542">
        <v>676037</v>
      </c>
      <c r="AM7" s="542">
        <v>0</v>
      </c>
      <c r="AN7" s="542">
        <v>9359014</v>
      </c>
      <c r="AO7" s="542">
        <v>769719</v>
      </c>
      <c r="AP7" s="542">
        <v>0</v>
      </c>
      <c r="AQ7" s="542">
        <v>86996</v>
      </c>
      <c r="AR7" s="542">
        <v>1846428</v>
      </c>
      <c r="AS7" s="542">
        <v>3491801</v>
      </c>
      <c r="AT7" s="542">
        <v>0</v>
      </c>
      <c r="AU7" s="542">
        <v>1738696</v>
      </c>
      <c r="AV7" s="542">
        <v>386497</v>
      </c>
      <c r="AW7" s="542">
        <v>14713200</v>
      </c>
      <c r="AX7" s="542">
        <v>3685021</v>
      </c>
      <c r="AY7" s="542">
        <v>1720366</v>
      </c>
      <c r="AZ7" s="542">
        <v>14116928</v>
      </c>
      <c r="BA7" s="542">
        <v>1903166</v>
      </c>
      <c r="BB7" s="542">
        <v>0</v>
      </c>
      <c r="BC7" s="542">
        <v>88430</v>
      </c>
      <c r="BD7" s="542">
        <v>442603</v>
      </c>
      <c r="BE7" s="542">
        <v>5608672</v>
      </c>
      <c r="BF7" s="542">
        <v>495287</v>
      </c>
      <c r="BG7" s="542">
        <v>866303</v>
      </c>
      <c r="BH7" s="542">
        <v>124888</v>
      </c>
      <c r="BI7" s="542">
        <v>269293</v>
      </c>
      <c r="BJ7" s="542">
        <v>536143</v>
      </c>
      <c r="BK7" s="542">
        <v>283716</v>
      </c>
      <c r="BL7" s="542">
        <v>1534356</v>
      </c>
      <c r="BM7" s="542">
        <v>426086</v>
      </c>
      <c r="BN7" s="542">
        <v>847115</v>
      </c>
      <c r="BO7" s="542">
        <v>2815121</v>
      </c>
      <c r="BP7" s="542">
        <v>967930</v>
      </c>
      <c r="BQ7" s="542">
        <v>2053800</v>
      </c>
      <c r="BR7" s="542">
        <v>10641838</v>
      </c>
      <c r="BS7" s="542">
        <v>666505</v>
      </c>
      <c r="BT7" s="542">
        <v>18243308</v>
      </c>
      <c r="BU7" s="542">
        <v>742709</v>
      </c>
      <c r="BV7" s="542">
        <v>4792529</v>
      </c>
      <c r="BW7" s="542">
        <v>1105119</v>
      </c>
      <c r="BX7" s="542">
        <v>1344517</v>
      </c>
      <c r="BY7" s="542">
        <v>2030059</v>
      </c>
      <c r="BZ7" s="542">
        <v>335277</v>
      </c>
      <c r="CA7" s="542">
        <v>0</v>
      </c>
      <c r="CB7" s="542">
        <v>119027</v>
      </c>
      <c r="CC7" s="542">
        <v>368566</v>
      </c>
      <c r="CD7" s="542">
        <v>0</v>
      </c>
      <c r="CE7" s="542">
        <v>370445</v>
      </c>
      <c r="CF7" s="538"/>
      <c r="CG7" s="538"/>
      <c r="CH7" s="538"/>
      <c r="CI7" s="538"/>
      <c r="CJ7" s="538"/>
      <c r="CK7" s="538"/>
      <c r="CL7" s="538"/>
      <c r="CM7" s="538"/>
      <c r="CN7" s="538"/>
      <c r="CO7" s="538"/>
      <c r="CP7" s="538"/>
      <c r="CQ7" s="538"/>
      <c r="CR7" s="538"/>
      <c r="CS7" s="538"/>
      <c r="CT7" s="538"/>
      <c r="CU7" s="538"/>
      <c r="CV7" s="538"/>
      <c r="CW7" s="538"/>
      <c r="CX7" s="538"/>
      <c r="CY7" s="538"/>
      <c r="CZ7" s="538"/>
      <c r="DA7" s="538"/>
      <c r="DB7" s="538"/>
      <c r="DC7" s="538"/>
      <c r="DD7" s="538"/>
      <c r="DE7" s="538"/>
      <c r="DF7" s="538"/>
      <c r="DG7" s="538"/>
      <c r="DH7" s="538"/>
      <c r="DI7" s="538"/>
      <c r="DJ7" s="538"/>
      <c r="DK7" s="538"/>
      <c r="DL7" s="538"/>
      <c r="DM7" s="538"/>
      <c r="DN7" s="538"/>
      <c r="DO7" s="538"/>
      <c r="DP7" s="538"/>
      <c r="DQ7" s="538"/>
      <c r="DR7" s="538"/>
      <c r="DS7" s="538"/>
      <c r="DT7" s="538"/>
      <c r="DU7" s="538"/>
      <c r="DV7" s="538"/>
      <c r="DW7" s="538"/>
      <c r="DX7" s="538"/>
      <c r="DY7" s="538"/>
      <c r="DZ7" s="538"/>
      <c r="EA7" s="538"/>
      <c r="EB7" s="538"/>
      <c r="EC7" s="538"/>
      <c r="ED7" s="538"/>
      <c r="EE7" s="538"/>
      <c r="EF7" s="538"/>
      <c r="EG7" s="538"/>
      <c r="EH7" s="538"/>
      <c r="EI7" s="538"/>
      <c r="EJ7" s="538"/>
      <c r="EK7" s="538"/>
    </row>
    <row r="8" spans="1:141" x14ac:dyDescent="0.25">
      <c r="A8" s="640">
        <v>11</v>
      </c>
      <c r="B8" s="540">
        <v>11</v>
      </c>
      <c r="C8" s="536" t="s">
        <v>289</v>
      </c>
      <c r="D8" s="537" t="s">
        <v>385</v>
      </c>
      <c r="E8" s="543">
        <v>48258</v>
      </c>
      <c r="F8" s="544">
        <v>33882</v>
      </c>
      <c r="G8" s="544">
        <v>85731</v>
      </c>
      <c r="H8" s="544">
        <v>239355</v>
      </c>
      <c r="I8" s="544">
        <v>0</v>
      </c>
      <c r="J8" s="544">
        <v>0</v>
      </c>
      <c r="K8" s="545">
        <v>0</v>
      </c>
      <c r="L8" s="542">
        <v>0</v>
      </c>
      <c r="M8" s="542">
        <v>0</v>
      </c>
      <c r="N8" s="541">
        <v>277928</v>
      </c>
      <c r="O8" s="541">
        <v>70937</v>
      </c>
      <c r="P8" s="541">
        <v>0</v>
      </c>
      <c r="Q8" s="541">
        <v>0</v>
      </c>
      <c r="R8" s="541">
        <v>1250760</v>
      </c>
      <c r="S8" s="541">
        <v>272809</v>
      </c>
      <c r="T8" s="541">
        <v>0</v>
      </c>
      <c r="U8" s="541">
        <v>862828</v>
      </c>
      <c r="V8" s="541">
        <v>645025</v>
      </c>
      <c r="W8" s="541">
        <v>595665</v>
      </c>
      <c r="X8" s="541">
        <v>2191782</v>
      </c>
      <c r="Y8" s="541">
        <v>0</v>
      </c>
      <c r="Z8" s="541">
        <v>622942</v>
      </c>
      <c r="AA8" s="541">
        <v>127335</v>
      </c>
      <c r="AB8" s="542">
        <v>1226841</v>
      </c>
      <c r="AC8" s="542">
        <v>257555</v>
      </c>
      <c r="AD8" s="542">
        <v>41611</v>
      </c>
      <c r="AE8" s="542">
        <v>0</v>
      </c>
      <c r="AF8" s="542">
        <v>95445</v>
      </c>
      <c r="AG8" s="542">
        <v>106824</v>
      </c>
      <c r="AH8" s="542">
        <v>198701</v>
      </c>
      <c r="AI8" s="542">
        <v>50710</v>
      </c>
      <c r="AJ8" s="542">
        <v>0</v>
      </c>
      <c r="AK8" s="542">
        <v>151418</v>
      </c>
      <c r="AL8" s="542">
        <v>24969</v>
      </c>
      <c r="AM8" s="542">
        <v>0</v>
      </c>
      <c r="AN8" s="542">
        <v>233047</v>
      </c>
      <c r="AO8" s="542">
        <v>173145</v>
      </c>
      <c r="AP8" s="542">
        <v>0</v>
      </c>
      <c r="AQ8" s="542">
        <v>0</v>
      </c>
      <c r="AR8" s="542">
        <v>0</v>
      </c>
      <c r="AS8" s="542">
        <v>0</v>
      </c>
      <c r="AT8" s="542">
        <v>0</v>
      </c>
      <c r="AU8" s="542">
        <v>535921</v>
      </c>
      <c r="AV8" s="542">
        <v>41033</v>
      </c>
      <c r="AW8" s="542">
        <v>887206</v>
      </c>
      <c r="AX8" s="542">
        <v>0</v>
      </c>
      <c r="AY8" s="542">
        <v>111943</v>
      </c>
      <c r="AZ8" s="542">
        <v>14701</v>
      </c>
      <c r="BA8" s="542">
        <v>4186</v>
      </c>
      <c r="BB8" s="542">
        <v>0</v>
      </c>
      <c r="BC8" s="542">
        <v>0</v>
      </c>
      <c r="BD8" s="542">
        <v>0</v>
      </c>
      <c r="BE8" s="542">
        <v>637869</v>
      </c>
      <c r="BF8" s="542">
        <v>41195</v>
      </c>
      <c r="BG8" s="542">
        <v>63485</v>
      </c>
      <c r="BH8" s="542">
        <v>25685</v>
      </c>
      <c r="BI8" s="542">
        <v>0</v>
      </c>
      <c r="BJ8" s="542">
        <v>66253</v>
      </c>
      <c r="BK8" s="542">
        <v>44653</v>
      </c>
      <c r="BL8" s="542">
        <v>1676</v>
      </c>
      <c r="BM8" s="542">
        <v>96969</v>
      </c>
      <c r="BN8" s="542">
        <v>139035</v>
      </c>
      <c r="BO8" s="542">
        <v>81571</v>
      </c>
      <c r="BP8" s="542">
        <v>187204</v>
      </c>
      <c r="BQ8" s="542">
        <v>23979</v>
      </c>
      <c r="BR8" s="542">
        <v>0</v>
      </c>
      <c r="BS8" s="542">
        <v>203597</v>
      </c>
      <c r="BT8" s="542">
        <v>367237</v>
      </c>
      <c r="BU8" s="542">
        <v>18514</v>
      </c>
      <c r="BV8" s="542">
        <v>108204</v>
      </c>
      <c r="BW8" s="542">
        <v>0</v>
      </c>
      <c r="BX8" s="542">
        <v>191105</v>
      </c>
      <c r="BY8" s="542">
        <v>352813</v>
      </c>
      <c r="BZ8" s="542">
        <v>158253</v>
      </c>
      <c r="CA8" s="542">
        <v>0</v>
      </c>
      <c r="CB8" s="542">
        <v>7179</v>
      </c>
      <c r="CC8" s="542">
        <v>26673</v>
      </c>
      <c r="CD8" s="542">
        <v>0</v>
      </c>
      <c r="CE8" s="542">
        <v>22460</v>
      </c>
      <c r="CF8" s="538"/>
      <c r="CG8" s="538"/>
      <c r="CH8" s="538"/>
      <c r="CI8" s="538"/>
      <c r="CJ8" s="538"/>
      <c r="CK8" s="538"/>
      <c r="CL8" s="538"/>
      <c r="CM8" s="538"/>
      <c r="CN8" s="538"/>
      <c r="CO8" s="538"/>
      <c r="CP8" s="538"/>
      <c r="CQ8" s="538"/>
      <c r="CR8" s="538"/>
      <c r="CS8" s="538"/>
      <c r="CT8" s="538"/>
      <c r="CU8" s="538"/>
      <c r="CV8" s="538"/>
      <c r="CW8" s="538"/>
      <c r="CX8" s="538"/>
      <c r="CY8" s="538"/>
      <c r="CZ8" s="538"/>
      <c r="DA8" s="538"/>
      <c r="DB8" s="538"/>
      <c r="DC8" s="538"/>
      <c r="DD8" s="538"/>
      <c r="DE8" s="538"/>
      <c r="DF8" s="538"/>
      <c r="DG8" s="538"/>
      <c r="DH8" s="538"/>
      <c r="DI8" s="538"/>
      <c r="DJ8" s="538"/>
      <c r="DK8" s="538"/>
      <c r="DL8" s="538"/>
      <c r="DM8" s="538"/>
      <c r="DN8" s="538"/>
      <c r="DO8" s="538"/>
      <c r="DP8" s="538"/>
      <c r="DQ8" s="538"/>
      <c r="DR8" s="538"/>
      <c r="DS8" s="538"/>
      <c r="DT8" s="538"/>
      <c r="DU8" s="538"/>
      <c r="DV8" s="538"/>
      <c r="DW8" s="538"/>
      <c r="DX8" s="538"/>
      <c r="DY8" s="538"/>
      <c r="DZ8" s="538"/>
      <c r="EA8" s="538"/>
      <c r="EB8" s="538"/>
      <c r="EC8" s="538"/>
      <c r="ED8" s="538"/>
      <c r="EE8" s="538"/>
      <c r="EF8" s="538"/>
      <c r="EG8" s="538"/>
      <c r="EH8" s="538"/>
      <c r="EI8" s="538"/>
      <c r="EJ8" s="538"/>
      <c r="EK8" s="538"/>
    </row>
    <row r="9" spans="1:141" ht="45" x14ac:dyDescent="0.25">
      <c r="A9" s="640"/>
      <c r="B9" s="540">
        <v>12</v>
      </c>
      <c r="C9" s="536" t="s">
        <v>737</v>
      </c>
      <c r="D9" s="537" t="s">
        <v>386</v>
      </c>
      <c r="E9" s="543">
        <v>0</v>
      </c>
      <c r="F9" s="544">
        <v>0</v>
      </c>
      <c r="G9" s="544">
        <v>0</v>
      </c>
      <c r="H9" s="544">
        <v>0</v>
      </c>
      <c r="I9" s="544">
        <v>0</v>
      </c>
      <c r="J9" s="544">
        <v>0</v>
      </c>
      <c r="K9" s="545">
        <v>0</v>
      </c>
      <c r="L9" s="542">
        <v>0</v>
      </c>
      <c r="M9" s="542">
        <v>0</v>
      </c>
      <c r="N9" s="541">
        <v>0</v>
      </c>
      <c r="O9" s="541">
        <v>0</v>
      </c>
      <c r="P9" s="541">
        <v>0</v>
      </c>
      <c r="Q9" s="541">
        <v>0</v>
      </c>
      <c r="R9" s="541">
        <v>0</v>
      </c>
      <c r="S9" s="541">
        <v>0</v>
      </c>
      <c r="T9" s="541">
        <v>0</v>
      </c>
      <c r="U9" s="541">
        <v>0</v>
      </c>
      <c r="V9" s="541">
        <v>0</v>
      </c>
      <c r="W9" s="541">
        <v>0</v>
      </c>
      <c r="X9" s="541">
        <v>0</v>
      </c>
      <c r="Y9" s="541">
        <v>0</v>
      </c>
      <c r="Z9" s="541">
        <v>0</v>
      </c>
      <c r="AA9" s="541">
        <v>0</v>
      </c>
      <c r="AB9" s="542">
        <v>0</v>
      </c>
      <c r="AC9" s="542">
        <v>0</v>
      </c>
      <c r="AD9" s="542">
        <v>0</v>
      </c>
      <c r="AE9" s="542">
        <v>0</v>
      </c>
      <c r="AF9" s="542">
        <v>0</v>
      </c>
      <c r="AG9" s="542">
        <v>0</v>
      </c>
      <c r="AH9" s="542">
        <v>0</v>
      </c>
      <c r="AI9" s="542">
        <v>0</v>
      </c>
      <c r="AJ9" s="542">
        <v>0</v>
      </c>
      <c r="AK9" s="542">
        <v>0</v>
      </c>
      <c r="AL9" s="542">
        <v>0</v>
      </c>
      <c r="AM9" s="542">
        <v>0</v>
      </c>
      <c r="AN9" s="542">
        <v>0</v>
      </c>
      <c r="AO9" s="542">
        <v>0</v>
      </c>
      <c r="AP9" s="542">
        <v>0</v>
      </c>
      <c r="AQ9" s="542">
        <v>0</v>
      </c>
      <c r="AR9" s="542">
        <v>0</v>
      </c>
      <c r="AS9" s="542">
        <v>0</v>
      </c>
      <c r="AT9" s="542">
        <v>0</v>
      </c>
      <c r="AU9" s="542">
        <v>0</v>
      </c>
      <c r="AV9" s="542">
        <v>0</v>
      </c>
      <c r="AW9" s="542">
        <v>0</v>
      </c>
      <c r="AX9" s="542">
        <v>0</v>
      </c>
      <c r="AY9" s="542">
        <v>0</v>
      </c>
      <c r="AZ9" s="542">
        <v>0</v>
      </c>
      <c r="BA9" s="542">
        <v>0</v>
      </c>
      <c r="BB9" s="542">
        <v>0</v>
      </c>
      <c r="BC9" s="542">
        <v>0</v>
      </c>
      <c r="BD9" s="542">
        <v>0</v>
      </c>
      <c r="BE9" s="542">
        <v>0</v>
      </c>
      <c r="BF9" s="542">
        <v>0</v>
      </c>
      <c r="BG9" s="542">
        <v>0</v>
      </c>
      <c r="BH9" s="542">
        <v>0</v>
      </c>
      <c r="BI9" s="542">
        <v>0</v>
      </c>
      <c r="BJ9" s="542">
        <v>0</v>
      </c>
      <c r="BK9" s="542">
        <v>0</v>
      </c>
      <c r="BL9" s="542">
        <v>0</v>
      </c>
      <c r="BM9" s="542">
        <v>0</v>
      </c>
      <c r="BN9" s="542">
        <v>0</v>
      </c>
      <c r="BO9" s="542">
        <v>0</v>
      </c>
      <c r="BP9" s="542">
        <v>0</v>
      </c>
      <c r="BQ9" s="542">
        <v>0</v>
      </c>
      <c r="BR9" s="542">
        <v>0</v>
      </c>
      <c r="BS9" s="542">
        <v>0</v>
      </c>
      <c r="BT9" s="542">
        <v>0</v>
      </c>
      <c r="BU9" s="542">
        <v>0</v>
      </c>
      <c r="BV9" s="542">
        <v>0</v>
      </c>
      <c r="BW9" s="542">
        <v>0</v>
      </c>
      <c r="BX9" s="542">
        <v>0</v>
      </c>
      <c r="BY9" s="542">
        <v>0</v>
      </c>
      <c r="BZ9" s="542">
        <v>0</v>
      </c>
      <c r="CA9" s="542">
        <v>0</v>
      </c>
      <c r="CB9" s="542">
        <v>0</v>
      </c>
      <c r="CC9" s="542">
        <v>0</v>
      </c>
      <c r="CD9" s="542">
        <v>0</v>
      </c>
      <c r="CE9" s="542">
        <v>0</v>
      </c>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37"/>
      <c r="DV9" s="537"/>
      <c r="DW9" s="537"/>
      <c r="DX9" s="537"/>
      <c r="DY9" s="537"/>
      <c r="DZ9" s="537"/>
      <c r="EA9" s="537"/>
      <c r="EB9" s="537"/>
      <c r="EC9" s="537"/>
      <c r="ED9" s="537"/>
      <c r="EE9" s="537"/>
      <c r="EF9" s="537"/>
      <c r="EG9" s="537"/>
      <c r="EH9" s="537"/>
      <c r="EI9" s="537"/>
      <c r="EJ9" s="537"/>
      <c r="EK9" s="537"/>
    </row>
    <row r="10" spans="1:141" ht="45" x14ac:dyDescent="0.25">
      <c r="A10" s="640"/>
      <c r="B10" s="540">
        <v>13</v>
      </c>
      <c r="C10" s="536" t="s">
        <v>738</v>
      </c>
      <c r="D10" s="537" t="s">
        <v>387</v>
      </c>
      <c r="E10" s="543">
        <v>0</v>
      </c>
      <c r="F10" s="544">
        <v>0</v>
      </c>
      <c r="G10" s="544">
        <v>0</v>
      </c>
      <c r="H10" s="544">
        <v>0</v>
      </c>
      <c r="I10" s="544">
        <v>0</v>
      </c>
      <c r="J10" s="544">
        <v>0</v>
      </c>
      <c r="K10" s="545">
        <v>0</v>
      </c>
      <c r="L10" s="542">
        <v>0</v>
      </c>
      <c r="M10" s="542">
        <v>0</v>
      </c>
      <c r="N10" s="541">
        <v>0</v>
      </c>
      <c r="O10" s="541">
        <v>0</v>
      </c>
      <c r="P10" s="541">
        <v>0</v>
      </c>
      <c r="Q10" s="541">
        <v>0</v>
      </c>
      <c r="R10" s="541">
        <v>0</v>
      </c>
      <c r="S10" s="541">
        <v>0</v>
      </c>
      <c r="T10" s="541">
        <v>0</v>
      </c>
      <c r="U10" s="541">
        <v>0</v>
      </c>
      <c r="V10" s="541">
        <v>0</v>
      </c>
      <c r="W10" s="541">
        <v>0</v>
      </c>
      <c r="X10" s="541">
        <v>0</v>
      </c>
      <c r="Y10" s="541">
        <v>0</v>
      </c>
      <c r="Z10" s="541">
        <v>0</v>
      </c>
      <c r="AA10" s="541">
        <v>0</v>
      </c>
      <c r="AB10" s="542">
        <v>0</v>
      </c>
      <c r="AC10" s="542">
        <v>0</v>
      </c>
      <c r="AD10" s="542">
        <v>0</v>
      </c>
      <c r="AE10" s="542">
        <v>0</v>
      </c>
      <c r="AF10" s="542">
        <v>0</v>
      </c>
      <c r="AG10" s="542">
        <v>0</v>
      </c>
      <c r="AH10" s="542">
        <v>0</v>
      </c>
      <c r="AI10" s="542">
        <v>0</v>
      </c>
      <c r="AJ10" s="542">
        <v>0</v>
      </c>
      <c r="AK10" s="542">
        <v>0</v>
      </c>
      <c r="AL10" s="542">
        <v>0</v>
      </c>
      <c r="AM10" s="542">
        <v>0</v>
      </c>
      <c r="AN10" s="542">
        <v>0</v>
      </c>
      <c r="AO10" s="542">
        <v>0</v>
      </c>
      <c r="AP10" s="542">
        <v>0</v>
      </c>
      <c r="AQ10" s="542">
        <v>0</v>
      </c>
      <c r="AR10" s="542">
        <v>0</v>
      </c>
      <c r="AS10" s="542">
        <v>0</v>
      </c>
      <c r="AT10" s="542">
        <v>0</v>
      </c>
      <c r="AU10" s="542">
        <v>0</v>
      </c>
      <c r="AV10" s="542">
        <v>0</v>
      </c>
      <c r="AW10" s="542">
        <v>0</v>
      </c>
      <c r="AX10" s="542">
        <v>0</v>
      </c>
      <c r="AY10" s="542">
        <v>0</v>
      </c>
      <c r="AZ10" s="542">
        <v>0</v>
      </c>
      <c r="BA10" s="542">
        <v>0</v>
      </c>
      <c r="BB10" s="542">
        <v>0</v>
      </c>
      <c r="BC10" s="542">
        <v>0</v>
      </c>
      <c r="BD10" s="542">
        <v>0</v>
      </c>
      <c r="BE10" s="542">
        <v>0</v>
      </c>
      <c r="BF10" s="542">
        <v>0</v>
      </c>
      <c r="BG10" s="542">
        <v>0</v>
      </c>
      <c r="BH10" s="542">
        <v>0</v>
      </c>
      <c r="BI10" s="542">
        <v>0</v>
      </c>
      <c r="BJ10" s="542">
        <v>0</v>
      </c>
      <c r="BK10" s="542">
        <v>0</v>
      </c>
      <c r="BL10" s="542">
        <v>0</v>
      </c>
      <c r="BM10" s="542">
        <v>0</v>
      </c>
      <c r="BN10" s="542">
        <v>0</v>
      </c>
      <c r="BO10" s="542">
        <v>0</v>
      </c>
      <c r="BP10" s="542">
        <v>0</v>
      </c>
      <c r="BQ10" s="542">
        <v>0</v>
      </c>
      <c r="BR10" s="542">
        <v>0</v>
      </c>
      <c r="BS10" s="542">
        <v>0</v>
      </c>
      <c r="BT10" s="542">
        <v>0</v>
      </c>
      <c r="BU10" s="542">
        <v>0</v>
      </c>
      <c r="BV10" s="542">
        <v>0</v>
      </c>
      <c r="BW10" s="542">
        <v>0</v>
      </c>
      <c r="BX10" s="542">
        <v>0</v>
      </c>
      <c r="BY10" s="542">
        <v>0</v>
      </c>
      <c r="BZ10" s="542">
        <v>0</v>
      </c>
      <c r="CA10" s="542">
        <v>0</v>
      </c>
      <c r="CB10" s="542">
        <v>0</v>
      </c>
      <c r="CC10" s="542">
        <v>0</v>
      </c>
      <c r="CD10" s="542">
        <v>0</v>
      </c>
      <c r="CE10" s="542">
        <v>0</v>
      </c>
      <c r="CF10" s="537"/>
      <c r="CG10" s="537"/>
      <c r="CH10" s="537"/>
      <c r="CI10" s="537"/>
      <c r="CJ10" s="537"/>
      <c r="CK10" s="537"/>
      <c r="CL10" s="537"/>
      <c r="CM10" s="537"/>
      <c r="CN10" s="537"/>
      <c r="CO10" s="537"/>
      <c r="CP10" s="537"/>
      <c r="CQ10" s="537"/>
      <c r="CR10" s="537"/>
      <c r="CS10" s="537"/>
      <c r="CT10" s="537"/>
      <c r="CU10" s="537"/>
      <c r="CV10" s="537"/>
      <c r="CW10" s="537"/>
      <c r="CX10" s="537"/>
      <c r="CY10" s="537"/>
      <c r="CZ10" s="537"/>
      <c r="DA10" s="537"/>
      <c r="DB10" s="537"/>
      <c r="DC10" s="537"/>
      <c r="DD10" s="537"/>
      <c r="DE10" s="537"/>
      <c r="DF10" s="537"/>
      <c r="DG10" s="537"/>
      <c r="DH10" s="537"/>
      <c r="DI10" s="537"/>
      <c r="DJ10" s="537"/>
      <c r="DK10" s="537"/>
      <c r="DL10" s="537"/>
      <c r="DM10" s="537"/>
      <c r="DN10" s="537"/>
      <c r="DO10" s="537"/>
      <c r="DP10" s="537"/>
      <c r="DQ10" s="537"/>
      <c r="DR10" s="537"/>
      <c r="DS10" s="537"/>
      <c r="DT10" s="537"/>
      <c r="DU10" s="537"/>
      <c r="DV10" s="537"/>
      <c r="DW10" s="537"/>
      <c r="DX10" s="537"/>
      <c r="DY10" s="537"/>
      <c r="DZ10" s="537"/>
      <c r="EA10" s="537"/>
      <c r="EB10" s="537"/>
      <c r="EC10" s="537"/>
      <c r="ED10" s="537"/>
      <c r="EE10" s="537"/>
      <c r="EF10" s="537"/>
      <c r="EG10" s="537"/>
      <c r="EH10" s="537"/>
      <c r="EI10" s="537"/>
      <c r="EJ10" s="537"/>
      <c r="EK10" s="537"/>
    </row>
    <row r="11" spans="1:141" ht="45" x14ac:dyDescent="0.25">
      <c r="A11" s="640"/>
      <c r="B11" s="540">
        <v>14</v>
      </c>
      <c r="C11" s="536" t="s">
        <v>388</v>
      </c>
      <c r="D11" s="537" t="s">
        <v>389</v>
      </c>
      <c r="E11" s="543">
        <v>0</v>
      </c>
      <c r="F11" s="544">
        <v>0</v>
      </c>
      <c r="G11" s="544">
        <v>0</v>
      </c>
      <c r="H11" s="544">
        <v>0</v>
      </c>
      <c r="I11" s="544">
        <v>0</v>
      </c>
      <c r="J11" s="544">
        <v>0</v>
      </c>
      <c r="K11" s="545">
        <v>0</v>
      </c>
      <c r="L11" s="542">
        <v>0</v>
      </c>
      <c r="M11" s="542">
        <v>0</v>
      </c>
      <c r="N11" s="541">
        <v>0</v>
      </c>
      <c r="O11" s="541">
        <v>0</v>
      </c>
      <c r="P11" s="541">
        <v>0</v>
      </c>
      <c r="Q11" s="541">
        <v>0</v>
      </c>
      <c r="R11" s="541">
        <v>0</v>
      </c>
      <c r="S11" s="541">
        <v>0</v>
      </c>
      <c r="T11" s="541">
        <v>0</v>
      </c>
      <c r="U11" s="541">
        <v>0</v>
      </c>
      <c r="V11" s="541">
        <v>0</v>
      </c>
      <c r="W11" s="541">
        <v>0</v>
      </c>
      <c r="X11" s="541">
        <v>0</v>
      </c>
      <c r="Y11" s="541">
        <v>0</v>
      </c>
      <c r="Z11" s="541">
        <v>0</v>
      </c>
      <c r="AA11" s="541">
        <v>0</v>
      </c>
      <c r="AB11" s="542">
        <v>0</v>
      </c>
      <c r="AC11" s="542">
        <v>0</v>
      </c>
      <c r="AD11" s="542">
        <v>0</v>
      </c>
      <c r="AE11" s="542">
        <v>0</v>
      </c>
      <c r="AF11" s="542">
        <v>0</v>
      </c>
      <c r="AG11" s="542">
        <v>0</v>
      </c>
      <c r="AH11" s="542">
        <v>0</v>
      </c>
      <c r="AI11" s="542">
        <v>0</v>
      </c>
      <c r="AJ11" s="542">
        <v>0</v>
      </c>
      <c r="AK11" s="542">
        <v>0</v>
      </c>
      <c r="AL11" s="542">
        <v>0</v>
      </c>
      <c r="AM11" s="542">
        <v>0</v>
      </c>
      <c r="AN11" s="542">
        <v>0</v>
      </c>
      <c r="AO11" s="542">
        <v>0</v>
      </c>
      <c r="AP11" s="542">
        <v>0</v>
      </c>
      <c r="AQ11" s="542">
        <v>0</v>
      </c>
      <c r="AR11" s="542">
        <v>0</v>
      </c>
      <c r="AS11" s="542">
        <v>0</v>
      </c>
      <c r="AT11" s="542">
        <v>0</v>
      </c>
      <c r="AU11" s="542">
        <v>0</v>
      </c>
      <c r="AV11" s="542">
        <v>0</v>
      </c>
      <c r="AW11" s="542">
        <v>0</v>
      </c>
      <c r="AX11" s="542">
        <v>0</v>
      </c>
      <c r="AY11" s="542">
        <v>0</v>
      </c>
      <c r="AZ11" s="542">
        <v>0</v>
      </c>
      <c r="BA11" s="542">
        <v>0</v>
      </c>
      <c r="BB11" s="542">
        <v>0</v>
      </c>
      <c r="BC11" s="542">
        <v>0</v>
      </c>
      <c r="BD11" s="542">
        <v>0</v>
      </c>
      <c r="BE11" s="542">
        <v>0</v>
      </c>
      <c r="BF11" s="542">
        <v>0</v>
      </c>
      <c r="BG11" s="542">
        <v>0</v>
      </c>
      <c r="BH11" s="542">
        <v>0</v>
      </c>
      <c r="BI11" s="542">
        <v>0</v>
      </c>
      <c r="BJ11" s="542">
        <v>0</v>
      </c>
      <c r="BK11" s="542">
        <v>0</v>
      </c>
      <c r="BL11" s="542">
        <v>0</v>
      </c>
      <c r="BM11" s="542">
        <v>0</v>
      </c>
      <c r="BN11" s="542">
        <v>0</v>
      </c>
      <c r="BO11" s="542">
        <v>0</v>
      </c>
      <c r="BP11" s="542">
        <v>0</v>
      </c>
      <c r="BQ11" s="542">
        <v>0</v>
      </c>
      <c r="BR11" s="542">
        <v>0</v>
      </c>
      <c r="BS11" s="542">
        <v>0</v>
      </c>
      <c r="BT11" s="542">
        <v>0</v>
      </c>
      <c r="BU11" s="542">
        <v>0</v>
      </c>
      <c r="BV11" s="542">
        <v>0</v>
      </c>
      <c r="BW11" s="542">
        <v>0</v>
      </c>
      <c r="BX11" s="542">
        <v>0</v>
      </c>
      <c r="BY11" s="542">
        <v>0</v>
      </c>
      <c r="BZ11" s="542">
        <v>0</v>
      </c>
      <c r="CA11" s="542">
        <v>0</v>
      </c>
      <c r="CB11" s="542">
        <v>0</v>
      </c>
      <c r="CC11" s="542">
        <v>0</v>
      </c>
      <c r="CD11" s="542">
        <v>0</v>
      </c>
      <c r="CE11" s="542">
        <v>0</v>
      </c>
      <c r="CF11" s="537"/>
      <c r="CG11" s="537"/>
      <c r="CH11" s="537"/>
      <c r="CI11" s="537"/>
      <c r="CJ11" s="537"/>
      <c r="CK11" s="537"/>
      <c r="CL11" s="537"/>
      <c r="CM11" s="537"/>
      <c r="CN11" s="537"/>
      <c r="CO11" s="537"/>
      <c r="CP11" s="537"/>
      <c r="CQ11" s="537"/>
      <c r="CR11" s="537"/>
      <c r="CS11" s="537"/>
      <c r="CT11" s="537"/>
      <c r="CU11" s="537"/>
      <c r="CV11" s="537"/>
      <c r="CW11" s="537"/>
      <c r="CX11" s="537"/>
      <c r="CY11" s="537"/>
      <c r="CZ11" s="537"/>
      <c r="DA11" s="537"/>
      <c r="DB11" s="537"/>
      <c r="DC11" s="537"/>
      <c r="DD11" s="537"/>
      <c r="DE11" s="537"/>
      <c r="DF11" s="537"/>
      <c r="DG11" s="537"/>
      <c r="DH11" s="537"/>
      <c r="DI11" s="537"/>
      <c r="DJ11" s="537"/>
      <c r="DK11" s="537"/>
      <c r="DL11" s="537"/>
      <c r="DM11" s="537"/>
      <c r="DN11" s="537"/>
      <c r="DO11" s="537"/>
      <c r="DP11" s="537"/>
      <c r="DQ11" s="537"/>
      <c r="DR11" s="537"/>
      <c r="DS11" s="537"/>
      <c r="DT11" s="537"/>
      <c r="DU11" s="537"/>
      <c r="DV11" s="537"/>
      <c r="DW11" s="537"/>
      <c r="DX11" s="537"/>
      <c r="DY11" s="537"/>
      <c r="DZ11" s="537"/>
      <c r="EA11" s="537"/>
      <c r="EB11" s="537"/>
      <c r="EC11" s="537"/>
      <c r="ED11" s="537"/>
      <c r="EE11" s="537"/>
      <c r="EF11" s="537"/>
      <c r="EG11" s="537"/>
      <c r="EH11" s="537"/>
      <c r="EI11" s="537"/>
      <c r="EJ11" s="537"/>
      <c r="EK11" s="537"/>
    </row>
    <row r="12" spans="1:141" x14ac:dyDescent="0.25">
      <c r="A12" s="640">
        <v>16</v>
      </c>
      <c r="B12" s="540">
        <v>16</v>
      </c>
      <c r="C12" s="536" t="s">
        <v>292</v>
      </c>
      <c r="D12" s="537" t="s">
        <v>390</v>
      </c>
      <c r="E12" s="543">
        <v>279380</v>
      </c>
      <c r="F12" s="544">
        <v>69488</v>
      </c>
      <c r="G12" s="544">
        <v>773022</v>
      </c>
      <c r="H12" s="544">
        <v>1746880</v>
      </c>
      <c r="I12" s="544">
        <v>1585243</v>
      </c>
      <c r="J12" s="544">
        <v>3671432</v>
      </c>
      <c r="K12" s="545">
        <v>73678</v>
      </c>
      <c r="L12" s="542">
        <v>351867</v>
      </c>
      <c r="M12" s="542">
        <v>237823</v>
      </c>
      <c r="N12" s="541">
        <v>13841951</v>
      </c>
      <c r="O12" s="541">
        <v>507123</v>
      </c>
      <c r="P12" s="541">
        <v>5249468</v>
      </c>
      <c r="Q12" s="541">
        <v>74062</v>
      </c>
      <c r="R12" s="541">
        <v>36122150</v>
      </c>
      <c r="S12" s="541">
        <v>1666570</v>
      </c>
      <c r="T12" s="541">
        <v>37711</v>
      </c>
      <c r="U12" s="541">
        <v>68681937</v>
      </c>
      <c r="V12" s="541">
        <v>12718652</v>
      </c>
      <c r="W12" s="541">
        <v>20206820</v>
      </c>
      <c r="X12" s="541">
        <v>31478920</v>
      </c>
      <c r="Y12" s="541">
        <v>0</v>
      </c>
      <c r="Z12" s="541">
        <v>12189862</v>
      </c>
      <c r="AA12" s="541">
        <v>1166510</v>
      </c>
      <c r="AB12" s="542">
        <v>13090545</v>
      </c>
      <c r="AC12" s="542">
        <v>3916952</v>
      </c>
      <c r="AD12" s="542">
        <v>2315243</v>
      </c>
      <c r="AE12" s="542">
        <v>2057919</v>
      </c>
      <c r="AF12" s="542">
        <v>2051613</v>
      </c>
      <c r="AG12" s="542">
        <v>16195111</v>
      </c>
      <c r="AH12" s="542">
        <v>5433849</v>
      </c>
      <c r="AI12" s="542">
        <v>905087</v>
      </c>
      <c r="AJ12" s="542">
        <v>31629832</v>
      </c>
      <c r="AK12" s="542">
        <v>612293</v>
      </c>
      <c r="AL12" s="542">
        <v>878136</v>
      </c>
      <c r="AM12" s="542">
        <v>0</v>
      </c>
      <c r="AN12" s="542">
        <v>13003894</v>
      </c>
      <c r="AO12" s="542">
        <v>544654</v>
      </c>
      <c r="AP12" s="542">
        <v>0</v>
      </c>
      <c r="AQ12" s="542">
        <v>45933</v>
      </c>
      <c r="AR12" s="542">
        <v>3990083</v>
      </c>
      <c r="AS12" s="542">
        <v>6917493</v>
      </c>
      <c r="AT12" s="542">
        <v>0</v>
      </c>
      <c r="AU12" s="542">
        <v>2137972</v>
      </c>
      <c r="AV12" s="542">
        <v>139058</v>
      </c>
      <c r="AW12" s="542">
        <v>14060793</v>
      </c>
      <c r="AX12" s="542">
        <v>1682353</v>
      </c>
      <c r="AY12" s="542">
        <v>1567734</v>
      </c>
      <c r="AZ12" s="542">
        <v>7400909</v>
      </c>
      <c r="BA12" s="542">
        <v>956120</v>
      </c>
      <c r="BB12" s="542">
        <v>0</v>
      </c>
      <c r="BC12" s="542">
        <v>28969</v>
      </c>
      <c r="BD12" s="542">
        <v>241882</v>
      </c>
      <c r="BE12" s="542">
        <v>9041930</v>
      </c>
      <c r="BF12" s="542">
        <v>136372</v>
      </c>
      <c r="BG12" s="542">
        <v>498298</v>
      </c>
      <c r="BH12" s="542">
        <v>116755</v>
      </c>
      <c r="BI12" s="542">
        <v>79208</v>
      </c>
      <c r="BJ12" s="542">
        <v>216786</v>
      </c>
      <c r="BK12" s="542">
        <v>128718</v>
      </c>
      <c r="BL12" s="542">
        <v>3286289</v>
      </c>
      <c r="BM12" s="542">
        <v>885371</v>
      </c>
      <c r="BN12" s="542">
        <v>1582403</v>
      </c>
      <c r="BO12" s="542">
        <v>3854606</v>
      </c>
      <c r="BP12" s="542">
        <v>1154699</v>
      </c>
      <c r="BQ12" s="542">
        <v>1380843</v>
      </c>
      <c r="BR12" s="542">
        <v>18167909</v>
      </c>
      <c r="BS12" s="542">
        <v>782562</v>
      </c>
      <c r="BT12" s="542">
        <v>13305927</v>
      </c>
      <c r="BU12" s="542">
        <v>654072</v>
      </c>
      <c r="BV12" s="542">
        <v>4970464</v>
      </c>
      <c r="BW12" s="542">
        <v>580811</v>
      </c>
      <c r="BX12" s="542">
        <v>2048576</v>
      </c>
      <c r="BY12" s="542">
        <v>1004463</v>
      </c>
      <c r="BZ12" s="542">
        <v>86392</v>
      </c>
      <c r="CA12" s="542">
        <v>0</v>
      </c>
      <c r="CB12" s="542">
        <v>123464</v>
      </c>
      <c r="CC12" s="542">
        <v>952740</v>
      </c>
      <c r="CD12" s="542">
        <v>0</v>
      </c>
      <c r="CE12" s="542">
        <v>47906</v>
      </c>
      <c r="CF12" s="537"/>
      <c r="CG12" s="537"/>
      <c r="CH12" s="537"/>
      <c r="CI12" s="537"/>
      <c r="CJ12" s="537"/>
      <c r="CK12" s="537"/>
      <c r="CL12" s="537"/>
      <c r="CM12" s="537"/>
      <c r="CN12" s="537"/>
      <c r="CO12" s="537"/>
      <c r="CP12" s="537"/>
      <c r="CQ12" s="537"/>
      <c r="CR12" s="537"/>
      <c r="CS12" s="537"/>
      <c r="CT12" s="537"/>
      <c r="CU12" s="537"/>
      <c r="CV12" s="537"/>
      <c r="CW12" s="537"/>
      <c r="CX12" s="537"/>
      <c r="CY12" s="537"/>
      <c r="CZ12" s="537"/>
      <c r="DA12" s="537"/>
      <c r="DB12" s="537"/>
      <c r="DC12" s="537"/>
      <c r="DD12" s="537"/>
      <c r="DE12" s="537"/>
      <c r="DF12" s="537"/>
      <c r="DG12" s="537"/>
      <c r="DH12" s="537"/>
      <c r="DI12" s="537"/>
      <c r="DJ12" s="537"/>
      <c r="DK12" s="537"/>
      <c r="DL12" s="537"/>
      <c r="DM12" s="537"/>
      <c r="DN12" s="537"/>
      <c r="DO12" s="537"/>
      <c r="DP12" s="537"/>
      <c r="DQ12" s="537"/>
      <c r="DR12" s="537"/>
      <c r="DS12" s="537"/>
      <c r="DT12" s="537"/>
      <c r="DU12" s="537"/>
      <c r="DV12" s="537"/>
      <c r="DW12" s="537"/>
      <c r="DX12" s="537"/>
      <c r="DY12" s="537"/>
      <c r="DZ12" s="537"/>
      <c r="EA12" s="537"/>
      <c r="EB12" s="537"/>
      <c r="EC12" s="537"/>
      <c r="ED12" s="537"/>
      <c r="EE12" s="537"/>
      <c r="EF12" s="537"/>
      <c r="EG12" s="537"/>
      <c r="EH12" s="537"/>
      <c r="EI12" s="537"/>
      <c r="EJ12" s="537"/>
      <c r="EK12" s="537"/>
    </row>
    <row r="13" spans="1:141" x14ac:dyDescent="0.25">
      <c r="A13" s="640">
        <v>17</v>
      </c>
      <c r="B13" s="540">
        <v>17</v>
      </c>
      <c r="C13" s="536" t="s">
        <v>295</v>
      </c>
      <c r="D13" s="537" t="s">
        <v>391</v>
      </c>
      <c r="E13" s="543">
        <v>0</v>
      </c>
      <c r="F13" s="544">
        <v>0</v>
      </c>
      <c r="G13" s="544">
        <v>0</v>
      </c>
      <c r="H13" s="544">
        <v>0</v>
      </c>
      <c r="I13" s="544">
        <v>0</v>
      </c>
      <c r="J13" s="544">
        <v>0</v>
      </c>
      <c r="K13" s="545">
        <v>0</v>
      </c>
      <c r="L13" s="542">
        <v>0</v>
      </c>
      <c r="M13" s="542">
        <v>0</v>
      </c>
      <c r="N13" s="541">
        <v>352739</v>
      </c>
      <c r="O13" s="541">
        <v>0</v>
      </c>
      <c r="P13" s="541">
        <v>0</v>
      </c>
      <c r="Q13" s="541">
        <v>0</v>
      </c>
      <c r="R13" s="541">
        <v>764688</v>
      </c>
      <c r="S13" s="541">
        <v>0</v>
      </c>
      <c r="T13" s="541">
        <v>0</v>
      </c>
      <c r="U13" s="541">
        <v>0</v>
      </c>
      <c r="V13" s="541">
        <v>0</v>
      </c>
      <c r="W13" s="541">
        <v>504275</v>
      </c>
      <c r="X13" s="541">
        <v>72617</v>
      </c>
      <c r="Y13" s="541">
        <v>0</v>
      </c>
      <c r="Z13" s="541">
        <v>10000</v>
      </c>
      <c r="AA13" s="541">
        <v>0</v>
      </c>
      <c r="AB13" s="542">
        <v>0</v>
      </c>
      <c r="AC13" s="542">
        <v>0</v>
      </c>
      <c r="AD13" s="542">
        <v>0</v>
      </c>
      <c r="AE13" s="542">
        <v>0</v>
      </c>
      <c r="AF13" s="542">
        <v>99598</v>
      </c>
      <c r="AG13" s="542">
        <v>0</v>
      </c>
      <c r="AH13" s="542">
        <v>86498</v>
      </c>
      <c r="AI13" s="542">
        <v>0</v>
      </c>
      <c r="AJ13" s="542">
        <v>2925779</v>
      </c>
      <c r="AK13" s="542">
        <v>0</v>
      </c>
      <c r="AL13" s="542">
        <v>0</v>
      </c>
      <c r="AM13" s="542">
        <v>0</v>
      </c>
      <c r="AN13" s="542">
        <v>0</v>
      </c>
      <c r="AO13" s="542">
        <v>0</v>
      </c>
      <c r="AP13" s="542">
        <v>0</v>
      </c>
      <c r="AQ13" s="542">
        <v>0</v>
      </c>
      <c r="AR13" s="542">
        <v>0</v>
      </c>
      <c r="AS13" s="542">
        <v>0</v>
      </c>
      <c r="AT13" s="542">
        <v>0</v>
      </c>
      <c r="AU13" s="542">
        <v>0</v>
      </c>
      <c r="AV13" s="542">
        <v>55000</v>
      </c>
      <c r="AW13" s="542">
        <v>270417</v>
      </c>
      <c r="AX13" s="542">
        <v>0</v>
      </c>
      <c r="AY13" s="542">
        <v>0</v>
      </c>
      <c r="AZ13" s="542">
        <v>1218038</v>
      </c>
      <c r="BA13" s="542">
        <v>0</v>
      </c>
      <c r="BB13" s="542">
        <v>0</v>
      </c>
      <c r="BC13" s="542">
        <v>0</v>
      </c>
      <c r="BD13" s="542">
        <v>0</v>
      </c>
      <c r="BE13" s="542">
        <v>225975</v>
      </c>
      <c r="BF13" s="542">
        <v>0</v>
      </c>
      <c r="BG13" s="542">
        <v>0</v>
      </c>
      <c r="BH13" s="542">
        <v>0</v>
      </c>
      <c r="BI13" s="542">
        <v>0</v>
      </c>
      <c r="BJ13" s="542">
        <v>0</v>
      </c>
      <c r="BK13" s="542">
        <v>0</v>
      </c>
      <c r="BL13" s="542">
        <v>0</v>
      </c>
      <c r="BM13" s="542">
        <v>0</v>
      </c>
      <c r="BN13" s="542">
        <v>0</v>
      </c>
      <c r="BO13" s="542">
        <v>0</v>
      </c>
      <c r="BP13" s="542">
        <v>0</v>
      </c>
      <c r="BQ13" s="542">
        <v>7355</v>
      </c>
      <c r="BR13" s="542">
        <v>0</v>
      </c>
      <c r="BS13" s="542">
        <v>602000</v>
      </c>
      <c r="BT13" s="542">
        <v>36495</v>
      </c>
      <c r="BU13" s="542">
        <v>0</v>
      </c>
      <c r="BV13" s="542">
        <v>0</v>
      </c>
      <c r="BW13" s="542">
        <v>0</v>
      </c>
      <c r="BX13" s="542">
        <v>0</v>
      </c>
      <c r="BY13" s="542">
        <v>0</v>
      </c>
      <c r="BZ13" s="542">
        <v>0</v>
      </c>
      <c r="CA13" s="542">
        <v>0</v>
      </c>
      <c r="CB13" s="542">
        <v>0</v>
      </c>
      <c r="CC13" s="542">
        <v>0</v>
      </c>
      <c r="CD13" s="542">
        <v>0</v>
      </c>
      <c r="CE13" s="542">
        <v>0</v>
      </c>
      <c r="CF13" s="537"/>
      <c r="CG13" s="537"/>
      <c r="CH13" s="537"/>
      <c r="CI13" s="537"/>
      <c r="CJ13" s="537"/>
      <c r="CK13" s="537"/>
      <c r="CL13" s="537"/>
      <c r="CM13" s="537"/>
      <c r="CN13" s="537"/>
      <c r="CO13" s="537"/>
      <c r="CP13" s="537"/>
      <c r="CQ13" s="537"/>
      <c r="CR13" s="537"/>
      <c r="CS13" s="537"/>
      <c r="CT13" s="537"/>
      <c r="CU13" s="537"/>
      <c r="CV13" s="537"/>
      <c r="CW13" s="537"/>
      <c r="CX13" s="537"/>
      <c r="CY13" s="537"/>
      <c r="CZ13" s="537"/>
      <c r="DA13" s="537"/>
      <c r="DB13" s="537"/>
      <c r="DC13" s="537"/>
      <c r="DD13" s="537"/>
      <c r="DE13" s="537"/>
      <c r="DF13" s="537"/>
      <c r="DG13" s="537"/>
      <c r="DH13" s="537"/>
      <c r="DI13" s="537"/>
      <c r="DJ13" s="537"/>
      <c r="DK13" s="537"/>
      <c r="DL13" s="537"/>
      <c r="DM13" s="537"/>
      <c r="DN13" s="537"/>
      <c r="DO13" s="537"/>
      <c r="DP13" s="537"/>
      <c r="DQ13" s="537"/>
      <c r="DR13" s="537"/>
      <c r="DS13" s="537"/>
      <c r="DT13" s="537"/>
      <c r="DU13" s="537"/>
      <c r="DV13" s="537"/>
      <c r="DW13" s="537"/>
      <c r="DX13" s="537"/>
      <c r="DY13" s="537"/>
      <c r="DZ13" s="537"/>
      <c r="EA13" s="537"/>
      <c r="EB13" s="537"/>
      <c r="EC13" s="537"/>
      <c r="ED13" s="537"/>
      <c r="EE13" s="537"/>
      <c r="EF13" s="537"/>
      <c r="EG13" s="537"/>
      <c r="EH13" s="537"/>
      <c r="EI13" s="537"/>
      <c r="EJ13" s="537"/>
      <c r="EK13" s="537"/>
    </row>
    <row r="14" spans="1:141" x14ac:dyDescent="0.25">
      <c r="A14" s="640"/>
      <c r="B14" s="540">
        <v>19</v>
      </c>
      <c r="C14" s="536" t="s">
        <v>739</v>
      </c>
      <c r="D14" s="537" t="s">
        <v>392</v>
      </c>
      <c r="E14" s="543">
        <v>0</v>
      </c>
      <c r="F14" s="544">
        <v>0</v>
      </c>
      <c r="G14" s="544">
        <v>0</v>
      </c>
      <c r="H14" s="544">
        <v>0</v>
      </c>
      <c r="I14" s="544">
        <v>0</v>
      </c>
      <c r="J14" s="544">
        <v>0</v>
      </c>
      <c r="K14" s="545">
        <v>0</v>
      </c>
      <c r="L14" s="542">
        <v>0</v>
      </c>
      <c r="M14" s="542">
        <v>0</v>
      </c>
      <c r="N14" s="541">
        <v>0</v>
      </c>
      <c r="O14" s="541">
        <v>0</v>
      </c>
      <c r="P14" s="541">
        <v>0</v>
      </c>
      <c r="Q14" s="541">
        <v>0</v>
      </c>
      <c r="R14" s="541">
        <v>0</v>
      </c>
      <c r="S14" s="541">
        <v>0</v>
      </c>
      <c r="T14" s="541">
        <v>0</v>
      </c>
      <c r="U14" s="541">
        <v>0</v>
      </c>
      <c r="V14" s="541">
        <v>0</v>
      </c>
      <c r="W14" s="541">
        <v>0</v>
      </c>
      <c r="X14" s="541">
        <v>0</v>
      </c>
      <c r="Y14" s="541">
        <v>0</v>
      </c>
      <c r="Z14" s="541">
        <v>0</v>
      </c>
      <c r="AA14" s="541">
        <v>0</v>
      </c>
      <c r="AB14" s="542">
        <v>0</v>
      </c>
      <c r="AC14" s="542">
        <v>0</v>
      </c>
      <c r="AD14" s="542">
        <v>0</v>
      </c>
      <c r="AE14" s="542">
        <v>0</v>
      </c>
      <c r="AF14" s="542">
        <v>0</v>
      </c>
      <c r="AG14" s="542">
        <v>0</v>
      </c>
      <c r="AH14" s="542">
        <v>0</v>
      </c>
      <c r="AI14" s="542">
        <v>0</v>
      </c>
      <c r="AJ14" s="542">
        <v>0</v>
      </c>
      <c r="AK14" s="542">
        <v>0</v>
      </c>
      <c r="AL14" s="542">
        <v>0</v>
      </c>
      <c r="AM14" s="542">
        <v>0</v>
      </c>
      <c r="AN14" s="542">
        <v>0</v>
      </c>
      <c r="AO14" s="542">
        <v>0</v>
      </c>
      <c r="AP14" s="542">
        <v>0</v>
      </c>
      <c r="AQ14" s="542">
        <v>0</v>
      </c>
      <c r="AR14" s="542">
        <v>0</v>
      </c>
      <c r="AS14" s="542">
        <v>0</v>
      </c>
      <c r="AT14" s="542">
        <v>0</v>
      </c>
      <c r="AU14" s="542">
        <v>0</v>
      </c>
      <c r="AV14" s="542">
        <v>0</v>
      </c>
      <c r="AW14" s="542">
        <v>0</v>
      </c>
      <c r="AX14" s="542">
        <v>0</v>
      </c>
      <c r="AY14" s="542">
        <v>0</v>
      </c>
      <c r="AZ14" s="542">
        <v>0</v>
      </c>
      <c r="BA14" s="542">
        <v>0</v>
      </c>
      <c r="BB14" s="542">
        <v>0</v>
      </c>
      <c r="BC14" s="542">
        <v>0</v>
      </c>
      <c r="BD14" s="542">
        <v>0</v>
      </c>
      <c r="BE14" s="542">
        <v>0</v>
      </c>
      <c r="BF14" s="542">
        <v>0</v>
      </c>
      <c r="BG14" s="542">
        <v>0</v>
      </c>
      <c r="BH14" s="542">
        <v>0</v>
      </c>
      <c r="BI14" s="542">
        <v>0</v>
      </c>
      <c r="BJ14" s="542">
        <v>0</v>
      </c>
      <c r="BK14" s="542">
        <v>0</v>
      </c>
      <c r="BL14" s="542">
        <v>0</v>
      </c>
      <c r="BM14" s="542">
        <v>0</v>
      </c>
      <c r="BN14" s="542">
        <v>0</v>
      </c>
      <c r="BO14" s="542">
        <v>0</v>
      </c>
      <c r="BP14" s="542">
        <v>0</v>
      </c>
      <c r="BQ14" s="542">
        <v>0</v>
      </c>
      <c r="BR14" s="542">
        <v>0</v>
      </c>
      <c r="BS14" s="542">
        <v>0</v>
      </c>
      <c r="BT14" s="542">
        <v>0</v>
      </c>
      <c r="BU14" s="542">
        <v>0</v>
      </c>
      <c r="BV14" s="542">
        <v>0</v>
      </c>
      <c r="BW14" s="542">
        <v>0</v>
      </c>
      <c r="BX14" s="542">
        <v>0</v>
      </c>
      <c r="BY14" s="542">
        <v>0</v>
      </c>
      <c r="BZ14" s="542">
        <v>0</v>
      </c>
      <c r="CA14" s="542">
        <v>0</v>
      </c>
      <c r="CB14" s="542">
        <v>0</v>
      </c>
      <c r="CC14" s="542">
        <v>0</v>
      </c>
      <c r="CD14" s="542">
        <v>0</v>
      </c>
      <c r="CE14" s="542">
        <v>0</v>
      </c>
      <c r="CF14" s="537"/>
      <c r="CG14" s="537"/>
      <c r="CH14" s="537"/>
      <c r="CI14" s="537"/>
      <c r="CJ14" s="537"/>
      <c r="CK14" s="537"/>
      <c r="CL14" s="537"/>
      <c r="CM14" s="537"/>
      <c r="CN14" s="537"/>
      <c r="CO14" s="537"/>
      <c r="CP14" s="537"/>
      <c r="CQ14" s="537"/>
      <c r="CR14" s="537"/>
      <c r="CS14" s="537"/>
      <c r="CT14" s="537"/>
      <c r="CU14" s="537"/>
      <c r="CV14" s="537"/>
      <c r="CW14" s="537"/>
      <c r="CX14" s="537"/>
      <c r="CY14" s="537"/>
      <c r="CZ14" s="537"/>
      <c r="DA14" s="537"/>
      <c r="DB14" s="537"/>
      <c r="DC14" s="537"/>
      <c r="DD14" s="537"/>
      <c r="DE14" s="537"/>
      <c r="DF14" s="537"/>
      <c r="DG14" s="537"/>
      <c r="DH14" s="537"/>
      <c r="DI14" s="537"/>
      <c r="DJ14" s="537"/>
      <c r="DK14" s="537"/>
      <c r="DL14" s="537"/>
      <c r="DM14" s="537"/>
      <c r="DN14" s="537"/>
      <c r="DO14" s="537"/>
      <c r="DP14" s="537"/>
      <c r="DQ14" s="537"/>
      <c r="DR14" s="537"/>
      <c r="DS14" s="537"/>
      <c r="DT14" s="537"/>
      <c r="DU14" s="537"/>
      <c r="DV14" s="537"/>
      <c r="DW14" s="537"/>
      <c r="DX14" s="537"/>
      <c r="DY14" s="537"/>
      <c r="DZ14" s="537"/>
      <c r="EA14" s="537"/>
      <c r="EB14" s="537"/>
      <c r="EC14" s="537"/>
      <c r="ED14" s="537"/>
      <c r="EE14" s="537"/>
      <c r="EF14" s="537"/>
      <c r="EG14" s="537"/>
      <c r="EH14" s="537"/>
      <c r="EI14" s="537"/>
      <c r="EJ14" s="537"/>
      <c r="EK14" s="537"/>
    </row>
    <row r="15" spans="1:141" x14ac:dyDescent="0.25">
      <c r="A15" s="640">
        <v>20</v>
      </c>
      <c r="B15" s="540">
        <v>20</v>
      </c>
      <c r="C15" s="536" t="s">
        <v>296</v>
      </c>
      <c r="D15" s="537" t="s">
        <v>393</v>
      </c>
      <c r="E15" s="543">
        <v>0</v>
      </c>
      <c r="F15" s="544">
        <v>0</v>
      </c>
      <c r="G15" s="544">
        <v>0</v>
      </c>
      <c r="H15" s="544">
        <v>11046</v>
      </c>
      <c r="I15" s="544">
        <v>0</v>
      </c>
      <c r="J15" s="544">
        <v>0</v>
      </c>
      <c r="K15" s="545">
        <v>0</v>
      </c>
      <c r="L15" s="542">
        <v>0</v>
      </c>
      <c r="M15" s="542">
        <v>0</v>
      </c>
      <c r="N15" s="541">
        <v>0</v>
      </c>
      <c r="O15" s="541">
        <v>0</v>
      </c>
      <c r="P15" s="541">
        <v>0</v>
      </c>
      <c r="Q15" s="541">
        <v>0</v>
      </c>
      <c r="R15" s="541">
        <v>2934465</v>
      </c>
      <c r="S15" s="541">
        <v>525000</v>
      </c>
      <c r="T15" s="541">
        <v>0</v>
      </c>
      <c r="U15" s="541">
        <v>218379</v>
      </c>
      <c r="V15" s="541">
        <v>3440865</v>
      </c>
      <c r="W15" s="541">
        <v>0</v>
      </c>
      <c r="X15" s="541">
        <v>4849000</v>
      </c>
      <c r="Y15" s="541">
        <v>0</v>
      </c>
      <c r="Z15" s="541">
        <v>546257</v>
      </c>
      <c r="AA15" s="541">
        <v>0</v>
      </c>
      <c r="AB15" s="542">
        <v>0</v>
      </c>
      <c r="AC15" s="542">
        <v>14000</v>
      </c>
      <c r="AD15" s="542">
        <v>120000</v>
      </c>
      <c r="AE15" s="542">
        <v>0</v>
      </c>
      <c r="AF15" s="542">
        <v>0</v>
      </c>
      <c r="AG15" s="542">
        <v>12000</v>
      </c>
      <c r="AH15" s="542">
        <v>282389</v>
      </c>
      <c r="AI15" s="542">
        <v>0</v>
      </c>
      <c r="AJ15" s="542">
        <v>1178144</v>
      </c>
      <c r="AK15" s="542">
        <v>90299</v>
      </c>
      <c r="AL15" s="542">
        <v>0</v>
      </c>
      <c r="AM15" s="542">
        <v>0</v>
      </c>
      <c r="AN15" s="542">
        <v>0</v>
      </c>
      <c r="AO15" s="542">
        <v>0</v>
      </c>
      <c r="AP15" s="542">
        <v>0</v>
      </c>
      <c r="AQ15" s="542">
        <v>0</v>
      </c>
      <c r="AR15" s="542">
        <v>0</v>
      </c>
      <c r="AS15" s="542">
        <v>66795</v>
      </c>
      <c r="AT15" s="542">
        <v>0</v>
      </c>
      <c r="AU15" s="542">
        <v>0</v>
      </c>
      <c r="AV15" s="542">
        <v>0</v>
      </c>
      <c r="AW15" s="542">
        <v>1059532</v>
      </c>
      <c r="AX15" s="542">
        <v>0</v>
      </c>
      <c r="AY15" s="542">
        <v>0</v>
      </c>
      <c r="AZ15" s="542">
        <v>0</v>
      </c>
      <c r="BA15" s="542">
        <v>0</v>
      </c>
      <c r="BB15" s="542">
        <v>0</v>
      </c>
      <c r="BC15" s="542">
        <v>0</v>
      </c>
      <c r="BD15" s="542">
        <v>20000</v>
      </c>
      <c r="BE15" s="542">
        <v>98900</v>
      </c>
      <c r="BF15" s="542">
        <v>0</v>
      </c>
      <c r="BG15" s="542">
        <v>0</v>
      </c>
      <c r="BH15" s="542">
        <v>0</v>
      </c>
      <c r="BI15" s="542">
        <v>0</v>
      </c>
      <c r="BJ15" s="542">
        <v>0</v>
      </c>
      <c r="BK15" s="542">
        <v>0</v>
      </c>
      <c r="BL15" s="542">
        <v>0</v>
      </c>
      <c r="BM15" s="542">
        <v>0</v>
      </c>
      <c r="BN15" s="542">
        <v>34611</v>
      </c>
      <c r="BO15" s="542">
        <v>96000</v>
      </c>
      <c r="BP15" s="542">
        <v>0</v>
      </c>
      <c r="BQ15" s="542">
        <v>7355</v>
      </c>
      <c r="BR15" s="542">
        <v>344000</v>
      </c>
      <c r="BS15" s="542">
        <v>0</v>
      </c>
      <c r="BT15" s="542">
        <v>2318460</v>
      </c>
      <c r="BU15" s="542">
        <v>0</v>
      </c>
      <c r="BV15" s="542">
        <v>52580</v>
      </c>
      <c r="BW15" s="542">
        <v>22656</v>
      </c>
      <c r="BX15" s="542">
        <v>134295</v>
      </c>
      <c r="BY15" s="542">
        <v>95000</v>
      </c>
      <c r="BZ15" s="542">
        <v>0</v>
      </c>
      <c r="CA15" s="542">
        <v>0</v>
      </c>
      <c r="CB15" s="542">
        <v>0</v>
      </c>
      <c r="CC15" s="542">
        <v>0</v>
      </c>
      <c r="CD15" s="542">
        <v>0</v>
      </c>
      <c r="CE15" s="542">
        <v>0</v>
      </c>
      <c r="CF15" s="537"/>
      <c r="CG15" s="537"/>
      <c r="CH15" s="537"/>
      <c r="CI15" s="537"/>
      <c r="CJ15" s="537"/>
      <c r="CK15" s="537"/>
      <c r="CL15" s="537"/>
      <c r="CM15" s="537"/>
      <c r="CN15" s="537"/>
      <c r="CO15" s="537"/>
      <c r="CP15" s="537"/>
      <c r="CQ15" s="537"/>
      <c r="CR15" s="537"/>
      <c r="CS15" s="537"/>
      <c r="CT15" s="537"/>
      <c r="CU15" s="537"/>
      <c r="CV15" s="537"/>
      <c r="CW15" s="537"/>
      <c r="CX15" s="537"/>
      <c r="CY15" s="537"/>
      <c r="CZ15" s="537"/>
      <c r="DA15" s="537"/>
      <c r="DB15" s="537"/>
      <c r="DC15" s="537"/>
      <c r="DD15" s="537"/>
      <c r="DE15" s="537"/>
      <c r="DF15" s="537"/>
      <c r="DG15" s="537"/>
      <c r="DH15" s="537"/>
      <c r="DI15" s="537"/>
      <c r="DJ15" s="537"/>
      <c r="DK15" s="537"/>
      <c r="DL15" s="537"/>
      <c r="DM15" s="537"/>
      <c r="DN15" s="537"/>
      <c r="DO15" s="537"/>
      <c r="DP15" s="537"/>
      <c r="DQ15" s="537"/>
      <c r="DR15" s="537"/>
      <c r="DS15" s="537"/>
      <c r="DT15" s="537"/>
      <c r="DU15" s="537"/>
      <c r="DV15" s="537"/>
      <c r="DW15" s="537"/>
      <c r="DX15" s="537"/>
      <c r="DY15" s="537"/>
      <c r="DZ15" s="537"/>
      <c r="EA15" s="537"/>
      <c r="EB15" s="537"/>
      <c r="EC15" s="537"/>
      <c r="ED15" s="537"/>
      <c r="EE15" s="537"/>
      <c r="EF15" s="537"/>
      <c r="EG15" s="537"/>
      <c r="EH15" s="537"/>
      <c r="EI15" s="537"/>
      <c r="EJ15" s="537"/>
      <c r="EK15" s="537"/>
    </row>
    <row r="16" spans="1:141" ht="45" x14ac:dyDescent="0.25">
      <c r="A16" s="640"/>
      <c r="B16" s="540">
        <v>21</v>
      </c>
      <c r="C16" s="536" t="s">
        <v>740</v>
      </c>
      <c r="D16" s="537" t="s">
        <v>394</v>
      </c>
      <c r="E16" s="543">
        <v>0</v>
      </c>
      <c r="F16" s="544">
        <v>0</v>
      </c>
      <c r="G16" s="544">
        <v>0</v>
      </c>
      <c r="H16" s="544">
        <v>0</v>
      </c>
      <c r="I16" s="544">
        <v>0</v>
      </c>
      <c r="J16" s="544">
        <v>0</v>
      </c>
      <c r="K16" s="545">
        <v>0</v>
      </c>
      <c r="L16" s="542">
        <v>0</v>
      </c>
      <c r="M16" s="542">
        <v>0</v>
      </c>
      <c r="N16" s="541">
        <v>0</v>
      </c>
      <c r="O16" s="541">
        <v>0</v>
      </c>
      <c r="P16" s="541">
        <v>0</v>
      </c>
      <c r="Q16" s="541">
        <v>0</v>
      </c>
      <c r="R16" s="541">
        <v>0</v>
      </c>
      <c r="S16" s="541">
        <v>0</v>
      </c>
      <c r="T16" s="541">
        <v>0</v>
      </c>
      <c r="U16" s="541">
        <v>0</v>
      </c>
      <c r="V16" s="541">
        <v>0</v>
      </c>
      <c r="W16" s="541">
        <v>0</v>
      </c>
      <c r="X16" s="541">
        <v>0</v>
      </c>
      <c r="Y16" s="541">
        <v>0</v>
      </c>
      <c r="Z16" s="541">
        <v>0</v>
      </c>
      <c r="AA16" s="541">
        <v>0</v>
      </c>
      <c r="AB16" s="542">
        <v>0</v>
      </c>
      <c r="AC16" s="542">
        <v>0</v>
      </c>
      <c r="AD16" s="542">
        <v>0</v>
      </c>
      <c r="AE16" s="542">
        <v>0</v>
      </c>
      <c r="AF16" s="542">
        <v>0</v>
      </c>
      <c r="AG16" s="542">
        <v>0</v>
      </c>
      <c r="AH16" s="542">
        <v>0</v>
      </c>
      <c r="AI16" s="542">
        <v>0</v>
      </c>
      <c r="AJ16" s="542">
        <v>0</v>
      </c>
      <c r="AK16" s="542">
        <v>0</v>
      </c>
      <c r="AL16" s="542">
        <v>0</v>
      </c>
      <c r="AM16" s="542">
        <v>0</v>
      </c>
      <c r="AN16" s="542">
        <v>0</v>
      </c>
      <c r="AO16" s="542">
        <v>0</v>
      </c>
      <c r="AP16" s="542">
        <v>0</v>
      </c>
      <c r="AQ16" s="542">
        <v>0</v>
      </c>
      <c r="AR16" s="542">
        <v>0</v>
      </c>
      <c r="AS16" s="542">
        <v>0</v>
      </c>
      <c r="AT16" s="542">
        <v>0</v>
      </c>
      <c r="AU16" s="542">
        <v>0</v>
      </c>
      <c r="AV16" s="542">
        <v>0</v>
      </c>
      <c r="AW16" s="542">
        <v>0</v>
      </c>
      <c r="AX16" s="542">
        <v>0</v>
      </c>
      <c r="AY16" s="542">
        <v>0</v>
      </c>
      <c r="AZ16" s="542">
        <v>0</v>
      </c>
      <c r="BA16" s="542">
        <v>0</v>
      </c>
      <c r="BB16" s="542">
        <v>0</v>
      </c>
      <c r="BC16" s="542">
        <v>0</v>
      </c>
      <c r="BD16" s="542">
        <v>0</v>
      </c>
      <c r="BE16" s="542">
        <v>0</v>
      </c>
      <c r="BF16" s="542">
        <v>0</v>
      </c>
      <c r="BG16" s="542">
        <v>0</v>
      </c>
      <c r="BH16" s="542">
        <v>0</v>
      </c>
      <c r="BI16" s="542">
        <v>0</v>
      </c>
      <c r="BJ16" s="542">
        <v>0</v>
      </c>
      <c r="BK16" s="542">
        <v>0</v>
      </c>
      <c r="BL16" s="542">
        <v>0</v>
      </c>
      <c r="BM16" s="542">
        <v>0</v>
      </c>
      <c r="BN16" s="542">
        <v>0</v>
      </c>
      <c r="BO16" s="542">
        <v>0</v>
      </c>
      <c r="BP16" s="542">
        <v>0</v>
      </c>
      <c r="BQ16" s="542">
        <v>0</v>
      </c>
      <c r="BR16" s="542">
        <v>0</v>
      </c>
      <c r="BS16" s="542">
        <v>0</v>
      </c>
      <c r="BT16" s="542">
        <v>0</v>
      </c>
      <c r="BU16" s="542">
        <v>0</v>
      </c>
      <c r="BV16" s="542">
        <v>0</v>
      </c>
      <c r="BW16" s="542">
        <v>0</v>
      </c>
      <c r="BX16" s="542">
        <v>0</v>
      </c>
      <c r="BY16" s="542">
        <v>0</v>
      </c>
      <c r="BZ16" s="542">
        <v>0</v>
      </c>
      <c r="CA16" s="542">
        <v>0</v>
      </c>
      <c r="CB16" s="542">
        <v>0</v>
      </c>
      <c r="CC16" s="542">
        <v>0</v>
      </c>
      <c r="CD16" s="542">
        <v>0</v>
      </c>
      <c r="CE16" s="542">
        <v>0</v>
      </c>
      <c r="CF16" s="537"/>
      <c r="CG16" s="537"/>
      <c r="CH16" s="537"/>
      <c r="CI16" s="537"/>
      <c r="CJ16" s="537"/>
      <c r="CK16" s="537"/>
      <c r="CL16" s="537"/>
      <c r="CM16" s="537"/>
      <c r="CN16" s="537"/>
      <c r="CO16" s="537"/>
      <c r="CP16" s="537"/>
      <c r="CQ16" s="537"/>
      <c r="CR16" s="537"/>
      <c r="CS16" s="537"/>
      <c r="CT16" s="537"/>
      <c r="CU16" s="537"/>
      <c r="CV16" s="537"/>
      <c r="CW16" s="537"/>
      <c r="CX16" s="537"/>
      <c r="CY16" s="537"/>
      <c r="CZ16" s="537"/>
      <c r="DA16" s="537"/>
      <c r="DB16" s="537"/>
      <c r="DC16" s="537"/>
      <c r="DD16" s="537"/>
      <c r="DE16" s="537"/>
      <c r="DF16" s="537"/>
      <c r="DG16" s="537"/>
      <c r="DH16" s="537"/>
      <c r="DI16" s="537"/>
      <c r="DJ16" s="537"/>
      <c r="DK16" s="537"/>
      <c r="DL16" s="537"/>
      <c r="DM16" s="537"/>
      <c r="DN16" s="537"/>
      <c r="DO16" s="537"/>
      <c r="DP16" s="537"/>
      <c r="DQ16" s="537"/>
      <c r="DR16" s="537"/>
      <c r="DS16" s="537"/>
      <c r="DT16" s="537"/>
      <c r="DU16" s="537"/>
      <c r="DV16" s="537"/>
      <c r="DW16" s="537"/>
      <c r="DX16" s="537"/>
      <c r="DY16" s="537"/>
      <c r="DZ16" s="537"/>
      <c r="EA16" s="537"/>
      <c r="EB16" s="537"/>
      <c r="EC16" s="537"/>
      <c r="ED16" s="537"/>
      <c r="EE16" s="537"/>
      <c r="EF16" s="537"/>
      <c r="EG16" s="537"/>
      <c r="EH16" s="537"/>
      <c r="EI16" s="537"/>
      <c r="EJ16" s="537"/>
      <c r="EK16" s="537"/>
    </row>
    <row r="17" spans="1:83" x14ac:dyDescent="0.25">
      <c r="A17" s="640">
        <v>22</v>
      </c>
      <c r="B17" s="540">
        <v>22</v>
      </c>
      <c r="C17" s="536" t="s">
        <v>298</v>
      </c>
      <c r="D17" s="537" t="s">
        <v>395</v>
      </c>
      <c r="E17" s="543">
        <v>0</v>
      </c>
      <c r="F17" s="544">
        <v>0</v>
      </c>
      <c r="G17" s="544">
        <v>0</v>
      </c>
      <c r="H17" s="544">
        <v>0</v>
      </c>
      <c r="I17" s="544">
        <v>0</v>
      </c>
      <c r="J17" s="544">
        <v>0</v>
      </c>
      <c r="K17" s="545">
        <v>0</v>
      </c>
      <c r="L17" s="542">
        <v>0</v>
      </c>
      <c r="M17" s="542">
        <v>0</v>
      </c>
      <c r="N17" s="541">
        <v>0</v>
      </c>
      <c r="O17" s="541">
        <v>0</v>
      </c>
      <c r="P17" s="541">
        <v>0</v>
      </c>
      <c r="Q17" s="541">
        <v>0</v>
      </c>
      <c r="R17" s="541">
        <v>0</v>
      </c>
      <c r="S17" s="541">
        <v>0</v>
      </c>
      <c r="T17" s="541">
        <v>0</v>
      </c>
      <c r="U17" s="541">
        <v>12124</v>
      </c>
      <c r="V17" s="541">
        <v>16628</v>
      </c>
      <c r="W17" s="541">
        <v>0</v>
      </c>
      <c r="X17" s="541">
        <v>0</v>
      </c>
      <c r="Y17" s="541">
        <v>0</v>
      </c>
      <c r="Z17" s="541">
        <v>399104</v>
      </c>
      <c r="AA17" s="541">
        <v>2004</v>
      </c>
      <c r="AB17" s="542">
        <v>0</v>
      </c>
      <c r="AC17" s="542">
        <v>0</v>
      </c>
      <c r="AD17" s="542">
        <v>80163</v>
      </c>
      <c r="AE17" s="542">
        <v>0</v>
      </c>
      <c r="AF17" s="542">
        <v>18119</v>
      </c>
      <c r="AG17" s="542">
        <v>21594</v>
      </c>
      <c r="AH17" s="542">
        <v>7430</v>
      </c>
      <c r="AI17" s="542">
        <v>0</v>
      </c>
      <c r="AJ17" s="542">
        <v>138817</v>
      </c>
      <c r="AK17" s="542">
        <v>0</v>
      </c>
      <c r="AL17" s="542">
        <v>204</v>
      </c>
      <c r="AM17" s="542">
        <v>0</v>
      </c>
      <c r="AN17" s="542">
        <v>0</v>
      </c>
      <c r="AO17" s="542">
        <v>0</v>
      </c>
      <c r="AP17" s="542">
        <v>0</v>
      </c>
      <c r="AQ17" s="542">
        <v>0</v>
      </c>
      <c r="AR17" s="542">
        <v>175787</v>
      </c>
      <c r="AS17" s="542">
        <v>5125</v>
      </c>
      <c r="AT17" s="542">
        <v>0</v>
      </c>
      <c r="AU17" s="542">
        <v>220551</v>
      </c>
      <c r="AV17" s="542">
        <v>0</v>
      </c>
      <c r="AW17" s="542">
        <v>55495</v>
      </c>
      <c r="AX17" s="542">
        <v>0</v>
      </c>
      <c r="AY17" s="542">
        <v>0</v>
      </c>
      <c r="AZ17" s="542">
        <v>0</v>
      </c>
      <c r="BA17" s="542">
        <v>0</v>
      </c>
      <c r="BB17" s="542">
        <v>0</v>
      </c>
      <c r="BC17" s="542">
        <v>0</v>
      </c>
      <c r="BD17" s="542">
        <v>0</v>
      </c>
      <c r="BE17" s="542">
        <v>132</v>
      </c>
      <c r="BF17" s="542">
        <v>0</v>
      </c>
      <c r="BG17" s="542">
        <v>0</v>
      </c>
      <c r="BH17" s="542">
        <v>0</v>
      </c>
      <c r="BI17" s="542">
        <v>0</v>
      </c>
      <c r="BJ17" s="542">
        <v>0</v>
      </c>
      <c r="BK17" s="542">
        <v>0</v>
      </c>
      <c r="BL17" s="542">
        <v>0</v>
      </c>
      <c r="BM17" s="542">
        <v>0</v>
      </c>
      <c r="BN17" s="542">
        <v>8600</v>
      </c>
      <c r="BO17" s="542">
        <v>0</v>
      </c>
      <c r="BP17" s="542">
        <v>0</v>
      </c>
      <c r="BQ17" s="542">
        <v>500</v>
      </c>
      <c r="BR17" s="542">
        <v>47516</v>
      </c>
      <c r="BS17" s="542">
        <v>68194</v>
      </c>
      <c r="BT17" s="542">
        <v>0</v>
      </c>
      <c r="BU17" s="542">
        <v>0</v>
      </c>
      <c r="BV17" s="542">
        <v>0</v>
      </c>
      <c r="BW17" s="542">
        <v>0</v>
      </c>
      <c r="BX17" s="542">
        <v>-8044</v>
      </c>
      <c r="BY17" s="542">
        <v>0</v>
      </c>
      <c r="BZ17" s="542">
        <v>0</v>
      </c>
      <c r="CA17" s="542">
        <v>0</v>
      </c>
      <c r="CB17" s="542">
        <v>0</v>
      </c>
      <c r="CC17" s="542">
        <v>0</v>
      </c>
      <c r="CD17" s="542">
        <v>0</v>
      </c>
      <c r="CE17" s="542">
        <v>0</v>
      </c>
    </row>
    <row r="18" spans="1:83" ht="30" x14ac:dyDescent="0.25">
      <c r="A18" s="640">
        <v>23</v>
      </c>
      <c r="B18" s="540">
        <v>23</v>
      </c>
      <c r="C18" s="536" t="s">
        <v>301</v>
      </c>
      <c r="D18" s="537" t="s">
        <v>396</v>
      </c>
      <c r="E18" s="543">
        <v>20796</v>
      </c>
      <c r="F18" s="544">
        <v>36606</v>
      </c>
      <c r="G18" s="544">
        <v>65648</v>
      </c>
      <c r="H18" s="544">
        <v>261492</v>
      </c>
      <c r="I18" s="544">
        <v>650043</v>
      </c>
      <c r="J18" s="544">
        <v>942008</v>
      </c>
      <c r="K18" s="545">
        <v>18511</v>
      </c>
      <c r="L18" s="542">
        <v>104917</v>
      </c>
      <c r="M18" s="542">
        <v>7476</v>
      </c>
      <c r="N18" s="541">
        <v>1363902</v>
      </c>
      <c r="O18" s="541">
        <v>-81422</v>
      </c>
      <c r="P18" s="541">
        <v>-47891</v>
      </c>
      <c r="Q18" s="541">
        <v>15327</v>
      </c>
      <c r="R18" s="541">
        <v>1241888</v>
      </c>
      <c r="S18" s="541">
        <v>-160260</v>
      </c>
      <c r="T18" s="541">
        <v>-189</v>
      </c>
      <c r="U18" s="541">
        <v>4919048</v>
      </c>
      <c r="V18" s="541">
        <v>285183</v>
      </c>
      <c r="W18" s="541">
        <v>241704</v>
      </c>
      <c r="X18" s="541">
        <v>-152040</v>
      </c>
      <c r="Y18" s="541">
        <v>0</v>
      </c>
      <c r="Z18" s="541">
        <v>-658665</v>
      </c>
      <c r="AA18" s="541">
        <v>217541</v>
      </c>
      <c r="AB18" s="542">
        <v>1634287</v>
      </c>
      <c r="AC18" s="542">
        <v>-111089</v>
      </c>
      <c r="AD18" s="542">
        <v>-400840</v>
      </c>
      <c r="AE18" s="542">
        <v>-143447</v>
      </c>
      <c r="AF18" s="542">
        <v>-73644</v>
      </c>
      <c r="AG18" s="542">
        <v>3021483</v>
      </c>
      <c r="AH18" s="542">
        <v>65926</v>
      </c>
      <c r="AI18" s="542">
        <v>35858</v>
      </c>
      <c r="AJ18" s="542">
        <v>-1348807</v>
      </c>
      <c r="AK18" s="542">
        <v>278511</v>
      </c>
      <c r="AL18" s="542">
        <v>117335</v>
      </c>
      <c r="AM18" s="542">
        <v>0</v>
      </c>
      <c r="AN18" s="542">
        <v>502748</v>
      </c>
      <c r="AO18" s="542">
        <v>-54594</v>
      </c>
      <c r="AP18" s="542">
        <v>0</v>
      </c>
      <c r="AQ18" s="542">
        <v>7990</v>
      </c>
      <c r="AR18" s="542">
        <v>369848</v>
      </c>
      <c r="AS18" s="542">
        <v>-305012</v>
      </c>
      <c r="AT18" s="542">
        <v>0</v>
      </c>
      <c r="AU18" s="542">
        <v>-606169</v>
      </c>
      <c r="AV18" s="542">
        <v>1213</v>
      </c>
      <c r="AW18" s="542">
        <v>2214287</v>
      </c>
      <c r="AX18" s="542">
        <v>565656</v>
      </c>
      <c r="AY18" s="542">
        <v>34136</v>
      </c>
      <c r="AZ18" s="542">
        <v>2184930</v>
      </c>
      <c r="BA18" s="542">
        <v>61011</v>
      </c>
      <c r="BB18" s="542">
        <v>0</v>
      </c>
      <c r="BC18" s="542">
        <v>13069</v>
      </c>
      <c r="BD18" s="542">
        <v>45262</v>
      </c>
      <c r="BE18" s="542">
        <v>780637</v>
      </c>
      <c r="BF18" s="542">
        <v>-3825</v>
      </c>
      <c r="BG18" s="542">
        <v>209606</v>
      </c>
      <c r="BH18" s="542">
        <v>-5941</v>
      </c>
      <c r="BI18" s="542">
        <v>22448</v>
      </c>
      <c r="BJ18" s="542">
        <v>9978</v>
      </c>
      <c r="BK18" s="542">
        <v>-23052</v>
      </c>
      <c r="BL18" s="542">
        <v>76094</v>
      </c>
      <c r="BM18" s="542">
        <v>7298</v>
      </c>
      <c r="BN18" s="542">
        <v>-58089</v>
      </c>
      <c r="BO18" s="542">
        <v>332742</v>
      </c>
      <c r="BP18" s="542">
        <v>132732</v>
      </c>
      <c r="BQ18" s="542">
        <v>703860</v>
      </c>
      <c r="BR18" s="542">
        <v>8736</v>
      </c>
      <c r="BS18" s="542">
        <v>1934</v>
      </c>
      <c r="BT18" s="542">
        <v>265346</v>
      </c>
      <c r="BU18" s="542">
        <v>40970</v>
      </c>
      <c r="BV18" s="542">
        <v>665649</v>
      </c>
      <c r="BW18" s="542">
        <v>-43132</v>
      </c>
      <c r="BX18" s="542">
        <v>34802</v>
      </c>
      <c r="BY18" s="542">
        <v>169678</v>
      </c>
      <c r="BZ18" s="542">
        <v>1753</v>
      </c>
      <c r="CA18" s="542">
        <v>0</v>
      </c>
      <c r="CB18" s="542">
        <v>24445</v>
      </c>
      <c r="CC18" s="542">
        <v>-5755</v>
      </c>
      <c r="CD18" s="542">
        <v>0</v>
      </c>
      <c r="CE18" s="542">
        <v>-3503</v>
      </c>
    </row>
    <row r="19" spans="1:83" x14ac:dyDescent="0.25">
      <c r="A19" s="640"/>
      <c r="B19" s="540">
        <v>31</v>
      </c>
      <c r="C19" s="536" t="s">
        <v>741</v>
      </c>
      <c r="D19" s="537" t="s">
        <v>397</v>
      </c>
      <c r="E19" s="543">
        <v>0</v>
      </c>
      <c r="F19" s="544">
        <v>0</v>
      </c>
      <c r="G19" s="544">
        <v>0</v>
      </c>
      <c r="H19" s="544">
        <v>0</v>
      </c>
      <c r="I19" s="544">
        <v>0</v>
      </c>
      <c r="J19" s="544">
        <v>0</v>
      </c>
      <c r="K19" s="545">
        <v>0</v>
      </c>
      <c r="L19" s="542">
        <v>0</v>
      </c>
      <c r="M19" s="542">
        <v>0</v>
      </c>
      <c r="N19" s="541">
        <v>0</v>
      </c>
      <c r="O19" s="541">
        <v>0</v>
      </c>
      <c r="P19" s="541">
        <v>0</v>
      </c>
      <c r="Q19" s="541">
        <v>0</v>
      </c>
      <c r="R19" s="541">
        <v>0</v>
      </c>
      <c r="S19" s="541">
        <v>0</v>
      </c>
      <c r="T19" s="541">
        <v>0</v>
      </c>
      <c r="U19" s="541">
        <v>0</v>
      </c>
      <c r="V19" s="541">
        <v>0</v>
      </c>
      <c r="W19" s="541">
        <v>0</v>
      </c>
      <c r="X19" s="541">
        <v>0</v>
      </c>
      <c r="Y19" s="541">
        <v>0</v>
      </c>
      <c r="Z19" s="541">
        <v>0</v>
      </c>
      <c r="AA19" s="541">
        <v>0</v>
      </c>
      <c r="AB19" s="542">
        <v>0</v>
      </c>
      <c r="AC19" s="542">
        <v>0</v>
      </c>
      <c r="AD19" s="542">
        <v>0</v>
      </c>
      <c r="AE19" s="542">
        <v>0</v>
      </c>
      <c r="AF19" s="542">
        <v>0</v>
      </c>
      <c r="AG19" s="542">
        <v>0</v>
      </c>
      <c r="AH19" s="542">
        <v>0</v>
      </c>
      <c r="AI19" s="542">
        <v>0</v>
      </c>
      <c r="AJ19" s="542">
        <v>0</v>
      </c>
      <c r="AK19" s="542">
        <v>0</v>
      </c>
      <c r="AL19" s="542">
        <v>0</v>
      </c>
      <c r="AM19" s="542">
        <v>0</v>
      </c>
      <c r="AN19" s="542">
        <v>0</v>
      </c>
      <c r="AO19" s="542">
        <v>0</v>
      </c>
      <c r="AP19" s="542">
        <v>0</v>
      </c>
      <c r="AQ19" s="542">
        <v>0</v>
      </c>
      <c r="AR19" s="542">
        <v>0</v>
      </c>
      <c r="AS19" s="542">
        <v>0</v>
      </c>
      <c r="AT19" s="542">
        <v>0</v>
      </c>
      <c r="AU19" s="542">
        <v>0</v>
      </c>
      <c r="AV19" s="542">
        <v>0</v>
      </c>
      <c r="AW19" s="542">
        <v>0</v>
      </c>
      <c r="AX19" s="542">
        <v>0</v>
      </c>
      <c r="AY19" s="542">
        <v>0</v>
      </c>
      <c r="AZ19" s="542">
        <v>0</v>
      </c>
      <c r="BA19" s="542">
        <v>0</v>
      </c>
      <c r="BB19" s="542">
        <v>0</v>
      </c>
      <c r="BC19" s="542">
        <v>0</v>
      </c>
      <c r="BD19" s="542">
        <v>0</v>
      </c>
      <c r="BE19" s="542">
        <v>0</v>
      </c>
      <c r="BF19" s="542">
        <v>0</v>
      </c>
      <c r="BG19" s="542">
        <v>0</v>
      </c>
      <c r="BH19" s="542">
        <v>0</v>
      </c>
      <c r="BI19" s="542">
        <v>0</v>
      </c>
      <c r="BJ19" s="542">
        <v>0</v>
      </c>
      <c r="BK19" s="542">
        <v>0</v>
      </c>
      <c r="BL19" s="542">
        <v>0</v>
      </c>
      <c r="BM19" s="542">
        <v>0</v>
      </c>
      <c r="BN19" s="542">
        <v>0</v>
      </c>
      <c r="BO19" s="542">
        <v>0</v>
      </c>
      <c r="BP19" s="542">
        <v>0</v>
      </c>
      <c r="BQ19" s="542">
        <v>0</v>
      </c>
      <c r="BR19" s="542">
        <v>0</v>
      </c>
      <c r="BS19" s="542">
        <v>0</v>
      </c>
      <c r="BT19" s="542">
        <v>0</v>
      </c>
      <c r="BU19" s="542">
        <v>0</v>
      </c>
      <c r="BV19" s="542">
        <v>0</v>
      </c>
      <c r="BW19" s="542">
        <v>0</v>
      </c>
      <c r="BX19" s="542">
        <v>0</v>
      </c>
      <c r="BY19" s="542">
        <v>0</v>
      </c>
      <c r="BZ19" s="542">
        <v>0</v>
      </c>
      <c r="CA19" s="542">
        <v>0</v>
      </c>
      <c r="CB19" s="542">
        <v>0</v>
      </c>
      <c r="CC19" s="542">
        <v>0</v>
      </c>
      <c r="CD19" s="542">
        <v>0</v>
      </c>
      <c r="CE19" s="542">
        <v>0</v>
      </c>
    </row>
    <row r="20" spans="1:83" ht="60" x14ac:dyDescent="0.25">
      <c r="A20" s="640"/>
      <c r="B20" s="540">
        <v>32</v>
      </c>
      <c r="C20" s="570" t="s">
        <v>398</v>
      </c>
      <c r="D20" s="537" t="s">
        <v>399</v>
      </c>
      <c r="E20" s="543">
        <v>0</v>
      </c>
      <c r="F20" s="544">
        <v>0</v>
      </c>
      <c r="G20" s="544">
        <v>0</v>
      </c>
      <c r="H20" s="544">
        <v>0</v>
      </c>
      <c r="I20" s="544">
        <v>0</v>
      </c>
      <c r="J20" s="544">
        <v>0</v>
      </c>
      <c r="K20" s="545">
        <v>0</v>
      </c>
      <c r="L20" s="542">
        <v>0</v>
      </c>
      <c r="M20" s="542">
        <v>0</v>
      </c>
      <c r="N20" s="541">
        <v>0</v>
      </c>
      <c r="O20" s="541">
        <v>0</v>
      </c>
      <c r="P20" s="541">
        <v>0</v>
      </c>
      <c r="Q20" s="541">
        <v>0</v>
      </c>
      <c r="R20" s="541">
        <v>0</v>
      </c>
      <c r="S20" s="541">
        <v>0</v>
      </c>
      <c r="T20" s="541">
        <v>0</v>
      </c>
      <c r="U20" s="541">
        <v>0</v>
      </c>
      <c r="V20" s="541">
        <v>0</v>
      </c>
      <c r="W20" s="541">
        <v>0</v>
      </c>
      <c r="X20" s="541">
        <v>0</v>
      </c>
      <c r="Y20" s="541">
        <v>0</v>
      </c>
      <c r="Z20" s="541">
        <v>0</v>
      </c>
      <c r="AA20" s="541">
        <v>0</v>
      </c>
      <c r="AB20" s="542">
        <v>0</v>
      </c>
      <c r="AC20" s="542">
        <v>0</v>
      </c>
      <c r="AD20" s="542">
        <v>0</v>
      </c>
      <c r="AE20" s="542">
        <v>0</v>
      </c>
      <c r="AF20" s="542">
        <v>0</v>
      </c>
      <c r="AG20" s="542">
        <v>0</v>
      </c>
      <c r="AH20" s="542">
        <v>0</v>
      </c>
      <c r="AI20" s="542">
        <v>0</v>
      </c>
      <c r="AJ20" s="542">
        <v>0</v>
      </c>
      <c r="AK20" s="542">
        <v>0</v>
      </c>
      <c r="AL20" s="542">
        <v>0</v>
      </c>
      <c r="AM20" s="542">
        <v>0</v>
      </c>
      <c r="AN20" s="542">
        <v>0</v>
      </c>
      <c r="AO20" s="542">
        <v>0</v>
      </c>
      <c r="AP20" s="542">
        <v>0</v>
      </c>
      <c r="AQ20" s="542">
        <v>0</v>
      </c>
      <c r="AR20" s="542">
        <v>0</v>
      </c>
      <c r="AS20" s="542">
        <v>0</v>
      </c>
      <c r="AT20" s="542">
        <v>0</v>
      </c>
      <c r="AU20" s="542">
        <v>0</v>
      </c>
      <c r="AV20" s="542">
        <v>0</v>
      </c>
      <c r="AW20" s="542">
        <v>0</v>
      </c>
      <c r="AX20" s="542">
        <v>0</v>
      </c>
      <c r="AY20" s="542">
        <v>0</v>
      </c>
      <c r="AZ20" s="542">
        <v>0</v>
      </c>
      <c r="BA20" s="542">
        <v>0</v>
      </c>
      <c r="BB20" s="542">
        <v>0</v>
      </c>
      <c r="BC20" s="542">
        <v>0</v>
      </c>
      <c r="BD20" s="542">
        <v>0</v>
      </c>
      <c r="BE20" s="542">
        <v>0</v>
      </c>
      <c r="BF20" s="542">
        <v>0</v>
      </c>
      <c r="BG20" s="542">
        <v>0</v>
      </c>
      <c r="BH20" s="542">
        <v>0</v>
      </c>
      <c r="BI20" s="542">
        <v>0</v>
      </c>
      <c r="BJ20" s="542">
        <v>0</v>
      </c>
      <c r="BK20" s="542">
        <v>0</v>
      </c>
      <c r="BL20" s="542">
        <v>0</v>
      </c>
      <c r="BM20" s="542">
        <v>0</v>
      </c>
      <c r="BN20" s="542">
        <v>0</v>
      </c>
      <c r="BO20" s="542">
        <v>0</v>
      </c>
      <c r="BP20" s="542">
        <v>0</v>
      </c>
      <c r="BQ20" s="542">
        <v>0</v>
      </c>
      <c r="BR20" s="542">
        <v>0</v>
      </c>
      <c r="BS20" s="542">
        <v>0</v>
      </c>
      <c r="BT20" s="542">
        <v>0</v>
      </c>
      <c r="BU20" s="542">
        <v>0</v>
      </c>
      <c r="BV20" s="542">
        <v>0</v>
      </c>
      <c r="BW20" s="542">
        <v>0</v>
      </c>
      <c r="BX20" s="542">
        <v>0</v>
      </c>
      <c r="BY20" s="542">
        <v>0</v>
      </c>
      <c r="BZ20" s="542">
        <v>0</v>
      </c>
      <c r="CA20" s="542">
        <v>0</v>
      </c>
      <c r="CB20" s="542">
        <v>0</v>
      </c>
      <c r="CC20" s="542">
        <v>0</v>
      </c>
      <c r="CD20" s="542">
        <v>0</v>
      </c>
      <c r="CE20" s="542">
        <v>0</v>
      </c>
    </row>
    <row r="21" spans="1:83" ht="45" x14ac:dyDescent="0.25">
      <c r="A21" s="640"/>
      <c r="B21" s="540">
        <v>33</v>
      </c>
      <c r="C21" s="570" t="s">
        <v>400</v>
      </c>
      <c r="D21" s="537" t="s">
        <v>401</v>
      </c>
      <c r="E21" s="543">
        <v>0</v>
      </c>
      <c r="F21" s="544">
        <v>0</v>
      </c>
      <c r="G21" s="544">
        <v>0</v>
      </c>
      <c r="H21" s="544">
        <v>0</v>
      </c>
      <c r="I21" s="544">
        <v>0</v>
      </c>
      <c r="J21" s="544">
        <v>0</v>
      </c>
      <c r="K21" s="545">
        <v>0</v>
      </c>
      <c r="L21" s="542">
        <v>0</v>
      </c>
      <c r="M21" s="542">
        <v>0</v>
      </c>
      <c r="N21" s="541">
        <v>0</v>
      </c>
      <c r="O21" s="541">
        <v>0</v>
      </c>
      <c r="P21" s="541">
        <v>0</v>
      </c>
      <c r="Q21" s="541">
        <v>0</v>
      </c>
      <c r="R21" s="541">
        <v>0</v>
      </c>
      <c r="S21" s="541">
        <v>0</v>
      </c>
      <c r="T21" s="541">
        <v>0</v>
      </c>
      <c r="U21" s="541">
        <v>0</v>
      </c>
      <c r="V21" s="541">
        <v>0</v>
      </c>
      <c r="W21" s="541">
        <v>0</v>
      </c>
      <c r="X21" s="541">
        <v>0</v>
      </c>
      <c r="Y21" s="541">
        <v>0</v>
      </c>
      <c r="Z21" s="541">
        <v>0</v>
      </c>
      <c r="AA21" s="541">
        <v>0</v>
      </c>
      <c r="AB21" s="542">
        <v>0</v>
      </c>
      <c r="AC21" s="542">
        <v>0</v>
      </c>
      <c r="AD21" s="542">
        <v>0</v>
      </c>
      <c r="AE21" s="542">
        <v>0</v>
      </c>
      <c r="AF21" s="542">
        <v>0</v>
      </c>
      <c r="AG21" s="542">
        <v>0</v>
      </c>
      <c r="AH21" s="542">
        <v>0</v>
      </c>
      <c r="AI21" s="542">
        <v>0</v>
      </c>
      <c r="AJ21" s="542">
        <v>0</v>
      </c>
      <c r="AK21" s="542">
        <v>0</v>
      </c>
      <c r="AL21" s="542">
        <v>0</v>
      </c>
      <c r="AM21" s="542">
        <v>0</v>
      </c>
      <c r="AN21" s="542">
        <v>0</v>
      </c>
      <c r="AO21" s="542">
        <v>0</v>
      </c>
      <c r="AP21" s="542">
        <v>0</v>
      </c>
      <c r="AQ21" s="542">
        <v>0</v>
      </c>
      <c r="AR21" s="542">
        <v>0</v>
      </c>
      <c r="AS21" s="542">
        <v>0</v>
      </c>
      <c r="AT21" s="542">
        <v>0</v>
      </c>
      <c r="AU21" s="542">
        <v>0</v>
      </c>
      <c r="AV21" s="542">
        <v>0</v>
      </c>
      <c r="AW21" s="542">
        <v>0</v>
      </c>
      <c r="AX21" s="542">
        <v>0</v>
      </c>
      <c r="AY21" s="542">
        <v>0</v>
      </c>
      <c r="AZ21" s="542">
        <v>0</v>
      </c>
      <c r="BA21" s="542">
        <v>0</v>
      </c>
      <c r="BB21" s="542">
        <v>0</v>
      </c>
      <c r="BC21" s="542">
        <v>0</v>
      </c>
      <c r="BD21" s="542">
        <v>0</v>
      </c>
      <c r="BE21" s="542">
        <v>0</v>
      </c>
      <c r="BF21" s="542">
        <v>0</v>
      </c>
      <c r="BG21" s="542">
        <v>0</v>
      </c>
      <c r="BH21" s="542">
        <v>0</v>
      </c>
      <c r="BI21" s="542">
        <v>0</v>
      </c>
      <c r="BJ21" s="542">
        <v>0</v>
      </c>
      <c r="BK21" s="542">
        <v>0</v>
      </c>
      <c r="BL21" s="542">
        <v>0</v>
      </c>
      <c r="BM21" s="542">
        <v>0</v>
      </c>
      <c r="BN21" s="542">
        <v>0</v>
      </c>
      <c r="BO21" s="542">
        <v>0</v>
      </c>
      <c r="BP21" s="542">
        <v>0</v>
      </c>
      <c r="BQ21" s="542">
        <v>0</v>
      </c>
      <c r="BR21" s="542">
        <v>0</v>
      </c>
      <c r="BS21" s="542">
        <v>0</v>
      </c>
      <c r="BT21" s="542">
        <v>0</v>
      </c>
      <c r="BU21" s="542">
        <v>0</v>
      </c>
      <c r="BV21" s="542">
        <v>0</v>
      </c>
      <c r="BW21" s="542">
        <v>0</v>
      </c>
      <c r="BX21" s="542">
        <v>0</v>
      </c>
      <c r="BY21" s="542">
        <v>0</v>
      </c>
      <c r="BZ21" s="542">
        <v>0</v>
      </c>
      <c r="CA21" s="542">
        <v>0</v>
      </c>
      <c r="CB21" s="542">
        <v>0</v>
      </c>
      <c r="CC21" s="542">
        <v>0</v>
      </c>
      <c r="CD21" s="542">
        <v>0</v>
      </c>
      <c r="CE21" s="542">
        <v>0</v>
      </c>
    </row>
    <row r="22" spans="1:83" ht="25.5" x14ac:dyDescent="0.25">
      <c r="A22" s="640"/>
      <c r="B22" s="540">
        <v>34</v>
      </c>
      <c r="C22" s="539" t="s">
        <v>402</v>
      </c>
      <c r="D22" s="537" t="s">
        <v>403</v>
      </c>
      <c r="E22" s="543">
        <v>0</v>
      </c>
      <c r="F22" s="544">
        <v>0</v>
      </c>
      <c r="G22" s="544">
        <v>0</v>
      </c>
      <c r="H22" s="544">
        <v>0</v>
      </c>
      <c r="I22" s="544">
        <v>0</v>
      </c>
      <c r="J22" s="544">
        <v>0</v>
      </c>
      <c r="K22" s="545">
        <v>0</v>
      </c>
      <c r="L22" s="542">
        <v>0</v>
      </c>
      <c r="M22" s="542">
        <v>0</v>
      </c>
      <c r="N22" s="541">
        <v>0</v>
      </c>
      <c r="O22" s="541">
        <v>0</v>
      </c>
      <c r="P22" s="541">
        <v>0</v>
      </c>
      <c r="Q22" s="541">
        <v>0</v>
      </c>
      <c r="R22" s="541">
        <v>0</v>
      </c>
      <c r="S22" s="541">
        <v>0</v>
      </c>
      <c r="T22" s="541">
        <v>0</v>
      </c>
      <c r="U22" s="541">
        <v>0</v>
      </c>
      <c r="V22" s="541">
        <v>0</v>
      </c>
      <c r="W22" s="541">
        <v>0</v>
      </c>
      <c r="X22" s="541">
        <v>0</v>
      </c>
      <c r="Y22" s="541">
        <v>0</v>
      </c>
      <c r="Z22" s="541">
        <v>0</v>
      </c>
      <c r="AA22" s="541">
        <v>0</v>
      </c>
      <c r="AB22" s="542">
        <v>0</v>
      </c>
      <c r="AC22" s="542">
        <v>0</v>
      </c>
      <c r="AD22" s="542">
        <v>0</v>
      </c>
      <c r="AE22" s="542">
        <v>0</v>
      </c>
      <c r="AF22" s="542">
        <v>0</v>
      </c>
      <c r="AG22" s="542">
        <v>0</v>
      </c>
      <c r="AH22" s="542">
        <v>0</v>
      </c>
      <c r="AI22" s="542">
        <v>0</v>
      </c>
      <c r="AJ22" s="542">
        <v>0</v>
      </c>
      <c r="AK22" s="542">
        <v>0</v>
      </c>
      <c r="AL22" s="542">
        <v>0</v>
      </c>
      <c r="AM22" s="542">
        <v>0</v>
      </c>
      <c r="AN22" s="542">
        <v>0</v>
      </c>
      <c r="AO22" s="542">
        <v>0</v>
      </c>
      <c r="AP22" s="542">
        <v>0</v>
      </c>
      <c r="AQ22" s="542">
        <v>0</v>
      </c>
      <c r="AR22" s="542">
        <v>0</v>
      </c>
      <c r="AS22" s="542">
        <v>0</v>
      </c>
      <c r="AT22" s="542">
        <v>0</v>
      </c>
      <c r="AU22" s="542">
        <v>0</v>
      </c>
      <c r="AV22" s="542">
        <v>0</v>
      </c>
      <c r="AW22" s="542">
        <v>0</v>
      </c>
      <c r="AX22" s="542">
        <v>0</v>
      </c>
      <c r="AY22" s="542">
        <v>0</v>
      </c>
      <c r="AZ22" s="542">
        <v>0</v>
      </c>
      <c r="BA22" s="542">
        <v>0</v>
      </c>
      <c r="BB22" s="542">
        <v>0</v>
      </c>
      <c r="BC22" s="542">
        <v>0</v>
      </c>
      <c r="BD22" s="542">
        <v>0</v>
      </c>
      <c r="BE22" s="542">
        <v>0</v>
      </c>
      <c r="BF22" s="542">
        <v>0</v>
      </c>
      <c r="BG22" s="542">
        <v>0</v>
      </c>
      <c r="BH22" s="542">
        <v>0</v>
      </c>
      <c r="BI22" s="542">
        <v>0</v>
      </c>
      <c r="BJ22" s="542">
        <v>0</v>
      </c>
      <c r="BK22" s="542">
        <v>0</v>
      </c>
      <c r="BL22" s="542">
        <v>0</v>
      </c>
      <c r="BM22" s="542">
        <v>0</v>
      </c>
      <c r="BN22" s="542">
        <v>0</v>
      </c>
      <c r="BO22" s="542">
        <v>0</v>
      </c>
      <c r="BP22" s="542">
        <v>0</v>
      </c>
      <c r="BQ22" s="542">
        <v>0</v>
      </c>
      <c r="BR22" s="542">
        <v>0</v>
      </c>
      <c r="BS22" s="542">
        <v>0</v>
      </c>
      <c r="BT22" s="542">
        <v>0</v>
      </c>
      <c r="BU22" s="542">
        <v>0</v>
      </c>
      <c r="BV22" s="542">
        <v>0</v>
      </c>
      <c r="BW22" s="542">
        <v>0</v>
      </c>
      <c r="BX22" s="542">
        <v>0</v>
      </c>
      <c r="BY22" s="542">
        <v>0</v>
      </c>
      <c r="BZ22" s="542">
        <v>0</v>
      </c>
      <c r="CA22" s="542">
        <v>0</v>
      </c>
      <c r="CB22" s="542">
        <v>0</v>
      </c>
      <c r="CC22" s="542">
        <v>0</v>
      </c>
      <c r="CD22" s="542">
        <v>0</v>
      </c>
      <c r="CE22" s="542">
        <v>0</v>
      </c>
    </row>
    <row r="23" spans="1:83" ht="25.5" x14ac:dyDescent="0.25">
      <c r="A23" s="640"/>
      <c r="B23" s="540">
        <v>35</v>
      </c>
      <c r="C23" s="539" t="s">
        <v>742</v>
      </c>
      <c r="D23" s="537" t="s">
        <v>404</v>
      </c>
      <c r="E23" s="543">
        <v>0</v>
      </c>
      <c r="F23" s="544">
        <v>0</v>
      </c>
      <c r="G23" s="544">
        <v>0</v>
      </c>
      <c r="H23" s="544">
        <v>0</v>
      </c>
      <c r="I23" s="544">
        <v>0</v>
      </c>
      <c r="J23" s="544">
        <v>0</v>
      </c>
      <c r="K23" s="545">
        <v>0</v>
      </c>
      <c r="L23" s="542">
        <v>0</v>
      </c>
      <c r="M23" s="542">
        <v>0</v>
      </c>
      <c r="N23" s="541">
        <v>0</v>
      </c>
      <c r="O23" s="541">
        <v>0</v>
      </c>
      <c r="P23" s="541">
        <v>0</v>
      </c>
      <c r="Q23" s="541">
        <v>0</v>
      </c>
      <c r="R23" s="541">
        <v>0</v>
      </c>
      <c r="S23" s="541">
        <v>0</v>
      </c>
      <c r="T23" s="541">
        <v>0</v>
      </c>
      <c r="U23" s="541">
        <v>0</v>
      </c>
      <c r="V23" s="541">
        <v>0</v>
      </c>
      <c r="W23" s="541">
        <v>0</v>
      </c>
      <c r="X23" s="541">
        <v>0</v>
      </c>
      <c r="Y23" s="541">
        <v>0</v>
      </c>
      <c r="Z23" s="541">
        <v>0</v>
      </c>
      <c r="AA23" s="541">
        <v>0</v>
      </c>
      <c r="AB23" s="542">
        <v>0</v>
      </c>
      <c r="AC23" s="542">
        <v>0</v>
      </c>
      <c r="AD23" s="542">
        <v>0</v>
      </c>
      <c r="AE23" s="542">
        <v>0</v>
      </c>
      <c r="AF23" s="542">
        <v>0</v>
      </c>
      <c r="AG23" s="542">
        <v>0</v>
      </c>
      <c r="AH23" s="542">
        <v>0</v>
      </c>
      <c r="AI23" s="542">
        <v>0</v>
      </c>
      <c r="AJ23" s="542">
        <v>0</v>
      </c>
      <c r="AK23" s="542">
        <v>0</v>
      </c>
      <c r="AL23" s="542">
        <v>0</v>
      </c>
      <c r="AM23" s="542">
        <v>0</v>
      </c>
      <c r="AN23" s="542">
        <v>0</v>
      </c>
      <c r="AO23" s="542">
        <v>0</v>
      </c>
      <c r="AP23" s="542">
        <v>0</v>
      </c>
      <c r="AQ23" s="542">
        <v>0</v>
      </c>
      <c r="AR23" s="542">
        <v>0</v>
      </c>
      <c r="AS23" s="542">
        <v>0</v>
      </c>
      <c r="AT23" s="542">
        <v>0</v>
      </c>
      <c r="AU23" s="542">
        <v>0</v>
      </c>
      <c r="AV23" s="542">
        <v>0</v>
      </c>
      <c r="AW23" s="542">
        <v>0</v>
      </c>
      <c r="AX23" s="542">
        <v>0</v>
      </c>
      <c r="AY23" s="542">
        <v>0</v>
      </c>
      <c r="AZ23" s="542">
        <v>0</v>
      </c>
      <c r="BA23" s="542">
        <v>0</v>
      </c>
      <c r="BB23" s="542">
        <v>0</v>
      </c>
      <c r="BC23" s="542">
        <v>0</v>
      </c>
      <c r="BD23" s="542">
        <v>0</v>
      </c>
      <c r="BE23" s="542">
        <v>0</v>
      </c>
      <c r="BF23" s="542">
        <v>0</v>
      </c>
      <c r="BG23" s="542">
        <v>0</v>
      </c>
      <c r="BH23" s="542">
        <v>0</v>
      </c>
      <c r="BI23" s="542">
        <v>0</v>
      </c>
      <c r="BJ23" s="542">
        <v>0</v>
      </c>
      <c r="BK23" s="542">
        <v>0</v>
      </c>
      <c r="BL23" s="542">
        <v>0</v>
      </c>
      <c r="BM23" s="542">
        <v>0</v>
      </c>
      <c r="BN23" s="542">
        <v>0</v>
      </c>
      <c r="BO23" s="542">
        <v>0</v>
      </c>
      <c r="BP23" s="542">
        <v>0</v>
      </c>
      <c r="BQ23" s="542">
        <v>0</v>
      </c>
      <c r="BR23" s="542">
        <v>0</v>
      </c>
      <c r="BS23" s="542">
        <v>0</v>
      </c>
      <c r="BT23" s="542">
        <v>0</v>
      </c>
      <c r="BU23" s="542">
        <v>0</v>
      </c>
      <c r="BV23" s="542">
        <v>0</v>
      </c>
      <c r="BW23" s="542">
        <v>0</v>
      </c>
      <c r="BX23" s="542">
        <v>0</v>
      </c>
      <c r="BY23" s="542">
        <v>0</v>
      </c>
      <c r="BZ23" s="542">
        <v>0</v>
      </c>
      <c r="CA23" s="542">
        <v>0</v>
      </c>
      <c r="CB23" s="542">
        <v>0</v>
      </c>
      <c r="CC23" s="542">
        <v>0</v>
      </c>
      <c r="CD23" s="542">
        <v>0</v>
      </c>
      <c r="CE23" s="542">
        <v>0</v>
      </c>
    </row>
    <row r="24" spans="1:83" ht="38.25" x14ac:dyDescent="0.25">
      <c r="A24" s="640"/>
      <c r="B24" s="540">
        <v>36</v>
      </c>
      <c r="C24" s="539" t="s">
        <v>743</v>
      </c>
      <c r="D24" s="537" t="s">
        <v>405</v>
      </c>
      <c r="E24" s="543">
        <v>0</v>
      </c>
      <c r="F24" s="544">
        <v>0</v>
      </c>
      <c r="G24" s="544">
        <v>0</v>
      </c>
      <c r="H24" s="544">
        <v>0</v>
      </c>
      <c r="I24" s="544">
        <v>0</v>
      </c>
      <c r="J24" s="544">
        <v>0</v>
      </c>
      <c r="K24" s="545">
        <v>0</v>
      </c>
      <c r="L24" s="542">
        <v>0</v>
      </c>
      <c r="M24" s="542">
        <v>0</v>
      </c>
      <c r="N24" s="541">
        <v>0</v>
      </c>
      <c r="O24" s="541">
        <v>0</v>
      </c>
      <c r="P24" s="541">
        <v>0</v>
      </c>
      <c r="Q24" s="541">
        <v>0</v>
      </c>
      <c r="R24" s="541">
        <v>0</v>
      </c>
      <c r="S24" s="541">
        <v>0</v>
      </c>
      <c r="T24" s="541">
        <v>0</v>
      </c>
      <c r="U24" s="541">
        <v>0</v>
      </c>
      <c r="V24" s="541">
        <v>0</v>
      </c>
      <c r="W24" s="541">
        <v>0</v>
      </c>
      <c r="X24" s="541">
        <v>0</v>
      </c>
      <c r="Y24" s="541">
        <v>0</v>
      </c>
      <c r="Z24" s="541">
        <v>0</v>
      </c>
      <c r="AA24" s="541">
        <v>0</v>
      </c>
      <c r="AB24" s="542">
        <v>0</v>
      </c>
      <c r="AC24" s="542">
        <v>0</v>
      </c>
      <c r="AD24" s="542">
        <v>0</v>
      </c>
      <c r="AE24" s="542">
        <v>0</v>
      </c>
      <c r="AF24" s="542">
        <v>0</v>
      </c>
      <c r="AG24" s="542">
        <v>0</v>
      </c>
      <c r="AH24" s="542">
        <v>0</v>
      </c>
      <c r="AI24" s="542">
        <v>0</v>
      </c>
      <c r="AJ24" s="542">
        <v>0</v>
      </c>
      <c r="AK24" s="542">
        <v>0</v>
      </c>
      <c r="AL24" s="542">
        <v>0</v>
      </c>
      <c r="AM24" s="542">
        <v>0</v>
      </c>
      <c r="AN24" s="542">
        <v>0</v>
      </c>
      <c r="AO24" s="542">
        <v>0</v>
      </c>
      <c r="AP24" s="542">
        <v>0</v>
      </c>
      <c r="AQ24" s="542">
        <v>0</v>
      </c>
      <c r="AR24" s="542">
        <v>0</v>
      </c>
      <c r="AS24" s="542">
        <v>0</v>
      </c>
      <c r="AT24" s="542">
        <v>0</v>
      </c>
      <c r="AU24" s="542">
        <v>0</v>
      </c>
      <c r="AV24" s="542">
        <v>0</v>
      </c>
      <c r="AW24" s="542">
        <v>0</v>
      </c>
      <c r="AX24" s="542">
        <v>0</v>
      </c>
      <c r="AY24" s="542">
        <v>0</v>
      </c>
      <c r="AZ24" s="542">
        <v>0</v>
      </c>
      <c r="BA24" s="542">
        <v>0</v>
      </c>
      <c r="BB24" s="542">
        <v>0</v>
      </c>
      <c r="BC24" s="542">
        <v>0</v>
      </c>
      <c r="BD24" s="542">
        <v>0</v>
      </c>
      <c r="BE24" s="542">
        <v>0</v>
      </c>
      <c r="BF24" s="542">
        <v>0</v>
      </c>
      <c r="BG24" s="542">
        <v>0</v>
      </c>
      <c r="BH24" s="542">
        <v>0</v>
      </c>
      <c r="BI24" s="542">
        <v>0</v>
      </c>
      <c r="BJ24" s="542">
        <v>0</v>
      </c>
      <c r="BK24" s="542">
        <v>0</v>
      </c>
      <c r="BL24" s="542">
        <v>0</v>
      </c>
      <c r="BM24" s="542">
        <v>0</v>
      </c>
      <c r="BN24" s="542">
        <v>0</v>
      </c>
      <c r="BO24" s="542">
        <v>0</v>
      </c>
      <c r="BP24" s="542">
        <v>0</v>
      </c>
      <c r="BQ24" s="542">
        <v>0</v>
      </c>
      <c r="BR24" s="542">
        <v>0</v>
      </c>
      <c r="BS24" s="542">
        <v>0</v>
      </c>
      <c r="BT24" s="542">
        <v>0</v>
      </c>
      <c r="BU24" s="542">
        <v>0</v>
      </c>
      <c r="BV24" s="542">
        <v>0</v>
      </c>
      <c r="BW24" s="542">
        <v>0</v>
      </c>
      <c r="BX24" s="542">
        <v>0</v>
      </c>
      <c r="BY24" s="542">
        <v>0</v>
      </c>
      <c r="BZ24" s="542">
        <v>0</v>
      </c>
      <c r="CA24" s="542">
        <v>0</v>
      </c>
      <c r="CB24" s="542">
        <v>0</v>
      </c>
      <c r="CC24" s="542">
        <v>0</v>
      </c>
      <c r="CD24" s="542">
        <v>0</v>
      </c>
      <c r="CE24" s="542">
        <v>0</v>
      </c>
    </row>
    <row r="25" spans="1:83" ht="25.5" x14ac:dyDescent="0.25">
      <c r="A25" s="640"/>
      <c r="B25" s="540">
        <v>37</v>
      </c>
      <c r="C25" s="539" t="s">
        <v>406</v>
      </c>
      <c r="D25" s="537" t="s">
        <v>407</v>
      </c>
      <c r="E25" s="543">
        <v>0</v>
      </c>
      <c r="F25" s="544">
        <v>0</v>
      </c>
      <c r="G25" s="544">
        <v>0</v>
      </c>
      <c r="H25" s="544">
        <v>0</v>
      </c>
      <c r="I25" s="544">
        <v>0</v>
      </c>
      <c r="J25" s="544">
        <v>0</v>
      </c>
      <c r="K25" s="545">
        <v>0</v>
      </c>
      <c r="L25" s="542">
        <v>0</v>
      </c>
      <c r="M25" s="542">
        <v>0</v>
      </c>
      <c r="N25" s="541">
        <v>0</v>
      </c>
      <c r="O25" s="541">
        <v>0</v>
      </c>
      <c r="P25" s="541">
        <v>0</v>
      </c>
      <c r="Q25" s="541">
        <v>0</v>
      </c>
      <c r="R25" s="541">
        <v>0</v>
      </c>
      <c r="S25" s="541">
        <v>0</v>
      </c>
      <c r="T25" s="541">
        <v>0</v>
      </c>
      <c r="U25" s="541">
        <v>0</v>
      </c>
      <c r="V25" s="541">
        <v>0</v>
      </c>
      <c r="W25" s="541">
        <v>0</v>
      </c>
      <c r="X25" s="541">
        <v>0</v>
      </c>
      <c r="Y25" s="541">
        <v>0</v>
      </c>
      <c r="Z25" s="541">
        <v>0</v>
      </c>
      <c r="AA25" s="541">
        <v>0</v>
      </c>
      <c r="AB25" s="542">
        <v>0</v>
      </c>
      <c r="AC25" s="542">
        <v>0</v>
      </c>
      <c r="AD25" s="542">
        <v>0</v>
      </c>
      <c r="AE25" s="542">
        <v>0</v>
      </c>
      <c r="AF25" s="542">
        <v>0</v>
      </c>
      <c r="AG25" s="542">
        <v>0</v>
      </c>
      <c r="AH25" s="542">
        <v>0</v>
      </c>
      <c r="AI25" s="542">
        <v>0</v>
      </c>
      <c r="AJ25" s="542">
        <v>0</v>
      </c>
      <c r="AK25" s="542">
        <v>0</v>
      </c>
      <c r="AL25" s="542">
        <v>0</v>
      </c>
      <c r="AM25" s="542">
        <v>0</v>
      </c>
      <c r="AN25" s="542">
        <v>0</v>
      </c>
      <c r="AO25" s="542">
        <v>0</v>
      </c>
      <c r="AP25" s="542">
        <v>0</v>
      </c>
      <c r="AQ25" s="542">
        <v>0</v>
      </c>
      <c r="AR25" s="542">
        <v>0</v>
      </c>
      <c r="AS25" s="542">
        <v>0</v>
      </c>
      <c r="AT25" s="542">
        <v>0</v>
      </c>
      <c r="AU25" s="542">
        <v>0</v>
      </c>
      <c r="AV25" s="542">
        <v>0</v>
      </c>
      <c r="AW25" s="542">
        <v>0</v>
      </c>
      <c r="AX25" s="542">
        <v>0</v>
      </c>
      <c r="AY25" s="542">
        <v>0</v>
      </c>
      <c r="AZ25" s="542">
        <v>0</v>
      </c>
      <c r="BA25" s="542">
        <v>0</v>
      </c>
      <c r="BB25" s="542">
        <v>0</v>
      </c>
      <c r="BC25" s="542">
        <v>0</v>
      </c>
      <c r="BD25" s="542">
        <v>0</v>
      </c>
      <c r="BE25" s="542">
        <v>0</v>
      </c>
      <c r="BF25" s="542">
        <v>0</v>
      </c>
      <c r="BG25" s="542">
        <v>0</v>
      </c>
      <c r="BH25" s="542">
        <v>0</v>
      </c>
      <c r="BI25" s="542">
        <v>0</v>
      </c>
      <c r="BJ25" s="542">
        <v>0</v>
      </c>
      <c r="BK25" s="542">
        <v>0</v>
      </c>
      <c r="BL25" s="542">
        <v>0</v>
      </c>
      <c r="BM25" s="542">
        <v>0</v>
      </c>
      <c r="BN25" s="542">
        <v>0</v>
      </c>
      <c r="BO25" s="542">
        <v>0</v>
      </c>
      <c r="BP25" s="542">
        <v>0</v>
      </c>
      <c r="BQ25" s="542">
        <v>0</v>
      </c>
      <c r="BR25" s="542">
        <v>0</v>
      </c>
      <c r="BS25" s="542">
        <v>0</v>
      </c>
      <c r="BT25" s="542">
        <v>0</v>
      </c>
      <c r="BU25" s="542">
        <v>0</v>
      </c>
      <c r="BV25" s="542">
        <v>0</v>
      </c>
      <c r="BW25" s="542">
        <v>0</v>
      </c>
      <c r="BX25" s="542">
        <v>0</v>
      </c>
      <c r="BY25" s="542">
        <v>0</v>
      </c>
      <c r="BZ25" s="542">
        <v>0</v>
      </c>
      <c r="CA25" s="542">
        <v>0</v>
      </c>
      <c r="CB25" s="542">
        <v>0</v>
      </c>
      <c r="CC25" s="542">
        <v>0</v>
      </c>
      <c r="CD25" s="542">
        <v>0</v>
      </c>
      <c r="CE25" s="542">
        <v>0</v>
      </c>
    </row>
    <row r="26" spans="1:83" ht="25.5" x14ac:dyDescent="0.25">
      <c r="A26" s="640"/>
      <c r="B26" s="540">
        <v>38</v>
      </c>
      <c r="C26" s="539" t="s">
        <v>744</v>
      </c>
      <c r="D26" s="537" t="s">
        <v>408</v>
      </c>
      <c r="E26" s="543">
        <v>0</v>
      </c>
      <c r="F26" s="544">
        <v>0</v>
      </c>
      <c r="G26" s="544">
        <v>0</v>
      </c>
      <c r="H26" s="544">
        <v>0</v>
      </c>
      <c r="I26" s="544">
        <v>0</v>
      </c>
      <c r="J26" s="544">
        <v>0</v>
      </c>
      <c r="K26" s="545">
        <v>0</v>
      </c>
      <c r="L26" s="542">
        <v>0</v>
      </c>
      <c r="M26" s="542">
        <v>0</v>
      </c>
      <c r="N26" s="541">
        <v>0</v>
      </c>
      <c r="O26" s="541">
        <v>0</v>
      </c>
      <c r="P26" s="541">
        <v>0</v>
      </c>
      <c r="Q26" s="541">
        <v>0</v>
      </c>
      <c r="R26" s="541">
        <v>0</v>
      </c>
      <c r="S26" s="541">
        <v>0</v>
      </c>
      <c r="T26" s="541">
        <v>0</v>
      </c>
      <c r="U26" s="541">
        <v>0</v>
      </c>
      <c r="V26" s="541">
        <v>0</v>
      </c>
      <c r="W26" s="541">
        <v>0</v>
      </c>
      <c r="X26" s="541">
        <v>0</v>
      </c>
      <c r="Y26" s="541">
        <v>0</v>
      </c>
      <c r="Z26" s="541">
        <v>0</v>
      </c>
      <c r="AA26" s="541">
        <v>0</v>
      </c>
      <c r="AB26" s="542">
        <v>0</v>
      </c>
      <c r="AC26" s="542">
        <v>0</v>
      </c>
      <c r="AD26" s="542">
        <v>0</v>
      </c>
      <c r="AE26" s="542">
        <v>0</v>
      </c>
      <c r="AF26" s="542">
        <v>0</v>
      </c>
      <c r="AG26" s="542">
        <v>0</v>
      </c>
      <c r="AH26" s="542">
        <v>0</v>
      </c>
      <c r="AI26" s="542">
        <v>0</v>
      </c>
      <c r="AJ26" s="542">
        <v>0</v>
      </c>
      <c r="AK26" s="542">
        <v>0</v>
      </c>
      <c r="AL26" s="542">
        <v>0</v>
      </c>
      <c r="AM26" s="542">
        <v>0</v>
      </c>
      <c r="AN26" s="542">
        <v>0</v>
      </c>
      <c r="AO26" s="542">
        <v>0</v>
      </c>
      <c r="AP26" s="542">
        <v>0</v>
      </c>
      <c r="AQ26" s="542">
        <v>0</v>
      </c>
      <c r="AR26" s="542">
        <v>0</v>
      </c>
      <c r="AS26" s="542">
        <v>0</v>
      </c>
      <c r="AT26" s="542">
        <v>0</v>
      </c>
      <c r="AU26" s="542">
        <v>0</v>
      </c>
      <c r="AV26" s="542">
        <v>0</v>
      </c>
      <c r="AW26" s="542">
        <v>0</v>
      </c>
      <c r="AX26" s="542">
        <v>0</v>
      </c>
      <c r="AY26" s="542">
        <v>0</v>
      </c>
      <c r="AZ26" s="542">
        <v>0</v>
      </c>
      <c r="BA26" s="542">
        <v>0</v>
      </c>
      <c r="BB26" s="542">
        <v>0</v>
      </c>
      <c r="BC26" s="542">
        <v>0</v>
      </c>
      <c r="BD26" s="542">
        <v>0</v>
      </c>
      <c r="BE26" s="542">
        <v>0</v>
      </c>
      <c r="BF26" s="542">
        <v>0</v>
      </c>
      <c r="BG26" s="542">
        <v>0</v>
      </c>
      <c r="BH26" s="542">
        <v>0</v>
      </c>
      <c r="BI26" s="542">
        <v>0</v>
      </c>
      <c r="BJ26" s="542">
        <v>0</v>
      </c>
      <c r="BK26" s="542">
        <v>0</v>
      </c>
      <c r="BL26" s="542">
        <v>0</v>
      </c>
      <c r="BM26" s="542">
        <v>0</v>
      </c>
      <c r="BN26" s="542">
        <v>0</v>
      </c>
      <c r="BO26" s="542">
        <v>0</v>
      </c>
      <c r="BP26" s="542">
        <v>0</v>
      </c>
      <c r="BQ26" s="542">
        <v>0</v>
      </c>
      <c r="BR26" s="542">
        <v>0</v>
      </c>
      <c r="BS26" s="542">
        <v>0</v>
      </c>
      <c r="BT26" s="542">
        <v>0</v>
      </c>
      <c r="BU26" s="542">
        <v>0</v>
      </c>
      <c r="BV26" s="542">
        <v>0</v>
      </c>
      <c r="BW26" s="542">
        <v>0</v>
      </c>
      <c r="BX26" s="542">
        <v>0</v>
      </c>
      <c r="BY26" s="542">
        <v>0</v>
      </c>
      <c r="BZ26" s="542">
        <v>0</v>
      </c>
      <c r="CA26" s="542">
        <v>0</v>
      </c>
      <c r="CB26" s="542">
        <v>0</v>
      </c>
      <c r="CC26" s="542">
        <v>0</v>
      </c>
      <c r="CD26" s="542">
        <v>0</v>
      </c>
      <c r="CE26" s="542">
        <v>0</v>
      </c>
    </row>
    <row r="27" spans="1:83" ht="25.5" x14ac:dyDescent="0.25">
      <c r="A27" s="640"/>
      <c r="B27" s="540">
        <v>39</v>
      </c>
      <c r="C27" s="539" t="s">
        <v>409</v>
      </c>
      <c r="D27" s="537" t="s">
        <v>410</v>
      </c>
      <c r="E27" s="543">
        <v>0</v>
      </c>
      <c r="F27" s="544">
        <v>0</v>
      </c>
      <c r="G27" s="544">
        <v>0</v>
      </c>
      <c r="H27" s="544">
        <v>0</v>
      </c>
      <c r="I27" s="544">
        <v>0</v>
      </c>
      <c r="J27" s="544">
        <v>0</v>
      </c>
      <c r="K27" s="545">
        <v>0</v>
      </c>
      <c r="L27" s="542">
        <v>0</v>
      </c>
      <c r="M27" s="542">
        <v>0</v>
      </c>
      <c r="N27" s="541">
        <v>0</v>
      </c>
      <c r="O27" s="541">
        <v>0</v>
      </c>
      <c r="P27" s="541">
        <v>0</v>
      </c>
      <c r="Q27" s="541">
        <v>0</v>
      </c>
      <c r="R27" s="541">
        <v>0</v>
      </c>
      <c r="S27" s="541">
        <v>0</v>
      </c>
      <c r="T27" s="541">
        <v>0</v>
      </c>
      <c r="U27" s="541">
        <v>0</v>
      </c>
      <c r="V27" s="541">
        <v>0</v>
      </c>
      <c r="W27" s="541">
        <v>0</v>
      </c>
      <c r="X27" s="541">
        <v>0</v>
      </c>
      <c r="Y27" s="541">
        <v>0</v>
      </c>
      <c r="Z27" s="541">
        <v>0</v>
      </c>
      <c r="AA27" s="541">
        <v>0</v>
      </c>
      <c r="AB27" s="542">
        <v>0</v>
      </c>
      <c r="AC27" s="542">
        <v>0</v>
      </c>
      <c r="AD27" s="542">
        <v>0</v>
      </c>
      <c r="AE27" s="542">
        <v>0</v>
      </c>
      <c r="AF27" s="542">
        <v>0</v>
      </c>
      <c r="AG27" s="542">
        <v>0</v>
      </c>
      <c r="AH27" s="542">
        <v>0</v>
      </c>
      <c r="AI27" s="542">
        <v>0</v>
      </c>
      <c r="AJ27" s="542">
        <v>0</v>
      </c>
      <c r="AK27" s="542">
        <v>0</v>
      </c>
      <c r="AL27" s="542">
        <v>0</v>
      </c>
      <c r="AM27" s="542">
        <v>0</v>
      </c>
      <c r="AN27" s="542">
        <v>0</v>
      </c>
      <c r="AO27" s="542">
        <v>0</v>
      </c>
      <c r="AP27" s="542">
        <v>0</v>
      </c>
      <c r="AQ27" s="542">
        <v>0</v>
      </c>
      <c r="AR27" s="542">
        <v>0</v>
      </c>
      <c r="AS27" s="542">
        <v>0</v>
      </c>
      <c r="AT27" s="542">
        <v>0</v>
      </c>
      <c r="AU27" s="542">
        <v>0</v>
      </c>
      <c r="AV27" s="542">
        <v>0</v>
      </c>
      <c r="AW27" s="542">
        <v>0</v>
      </c>
      <c r="AX27" s="542">
        <v>0</v>
      </c>
      <c r="AY27" s="542">
        <v>0</v>
      </c>
      <c r="AZ27" s="542">
        <v>0</v>
      </c>
      <c r="BA27" s="542">
        <v>0</v>
      </c>
      <c r="BB27" s="542">
        <v>0</v>
      </c>
      <c r="BC27" s="542">
        <v>0</v>
      </c>
      <c r="BD27" s="542">
        <v>0</v>
      </c>
      <c r="BE27" s="542">
        <v>0</v>
      </c>
      <c r="BF27" s="542">
        <v>0</v>
      </c>
      <c r="BG27" s="542">
        <v>0</v>
      </c>
      <c r="BH27" s="542">
        <v>0</v>
      </c>
      <c r="BI27" s="542">
        <v>0</v>
      </c>
      <c r="BJ27" s="542">
        <v>0</v>
      </c>
      <c r="BK27" s="542">
        <v>0</v>
      </c>
      <c r="BL27" s="542">
        <v>0</v>
      </c>
      <c r="BM27" s="542">
        <v>0</v>
      </c>
      <c r="BN27" s="542">
        <v>0</v>
      </c>
      <c r="BO27" s="542">
        <v>0</v>
      </c>
      <c r="BP27" s="542">
        <v>0</v>
      </c>
      <c r="BQ27" s="542">
        <v>0</v>
      </c>
      <c r="BR27" s="542">
        <v>0</v>
      </c>
      <c r="BS27" s="542">
        <v>0</v>
      </c>
      <c r="BT27" s="542">
        <v>0</v>
      </c>
      <c r="BU27" s="542">
        <v>0</v>
      </c>
      <c r="BV27" s="542">
        <v>0</v>
      </c>
      <c r="BW27" s="542">
        <v>0</v>
      </c>
      <c r="BX27" s="542">
        <v>0</v>
      </c>
      <c r="BY27" s="542">
        <v>0</v>
      </c>
      <c r="BZ27" s="542">
        <v>0</v>
      </c>
      <c r="CA27" s="542">
        <v>0</v>
      </c>
      <c r="CB27" s="542">
        <v>0</v>
      </c>
      <c r="CC27" s="542">
        <v>0</v>
      </c>
      <c r="CD27" s="542">
        <v>0</v>
      </c>
      <c r="CE27" s="542">
        <v>0</v>
      </c>
    </row>
    <row r="28" spans="1:83" ht="25.5" x14ac:dyDescent="0.25">
      <c r="A28" s="640"/>
      <c r="B28" s="540">
        <v>40</v>
      </c>
      <c r="C28" s="539" t="s">
        <v>411</v>
      </c>
      <c r="D28" s="537" t="s">
        <v>412</v>
      </c>
      <c r="E28" s="543">
        <v>0</v>
      </c>
      <c r="F28" s="544">
        <v>0</v>
      </c>
      <c r="G28" s="544">
        <v>0</v>
      </c>
      <c r="H28" s="544">
        <v>0</v>
      </c>
      <c r="I28" s="544">
        <v>0</v>
      </c>
      <c r="J28" s="544">
        <v>0</v>
      </c>
      <c r="K28" s="545">
        <v>0</v>
      </c>
      <c r="L28" s="542">
        <v>0</v>
      </c>
      <c r="M28" s="542">
        <v>0</v>
      </c>
      <c r="N28" s="541">
        <v>0</v>
      </c>
      <c r="O28" s="541">
        <v>0</v>
      </c>
      <c r="P28" s="541">
        <v>0</v>
      </c>
      <c r="Q28" s="541">
        <v>0</v>
      </c>
      <c r="R28" s="541">
        <v>0</v>
      </c>
      <c r="S28" s="541">
        <v>0</v>
      </c>
      <c r="T28" s="541">
        <v>0</v>
      </c>
      <c r="U28" s="541">
        <v>0</v>
      </c>
      <c r="V28" s="541">
        <v>0</v>
      </c>
      <c r="W28" s="541">
        <v>0</v>
      </c>
      <c r="X28" s="541">
        <v>0</v>
      </c>
      <c r="Y28" s="541">
        <v>0</v>
      </c>
      <c r="Z28" s="541">
        <v>0</v>
      </c>
      <c r="AA28" s="541">
        <v>0</v>
      </c>
      <c r="AB28" s="542">
        <v>0</v>
      </c>
      <c r="AC28" s="542">
        <v>0</v>
      </c>
      <c r="AD28" s="542">
        <v>0</v>
      </c>
      <c r="AE28" s="542">
        <v>0</v>
      </c>
      <c r="AF28" s="542">
        <v>0</v>
      </c>
      <c r="AG28" s="542">
        <v>0</v>
      </c>
      <c r="AH28" s="542">
        <v>0</v>
      </c>
      <c r="AI28" s="542">
        <v>0</v>
      </c>
      <c r="AJ28" s="542">
        <v>0</v>
      </c>
      <c r="AK28" s="542">
        <v>0</v>
      </c>
      <c r="AL28" s="542">
        <v>0</v>
      </c>
      <c r="AM28" s="542">
        <v>0</v>
      </c>
      <c r="AN28" s="542">
        <v>0</v>
      </c>
      <c r="AO28" s="542">
        <v>0</v>
      </c>
      <c r="AP28" s="542">
        <v>0</v>
      </c>
      <c r="AQ28" s="542">
        <v>0</v>
      </c>
      <c r="AR28" s="542">
        <v>0</v>
      </c>
      <c r="AS28" s="542">
        <v>0</v>
      </c>
      <c r="AT28" s="542">
        <v>0</v>
      </c>
      <c r="AU28" s="542">
        <v>0</v>
      </c>
      <c r="AV28" s="542">
        <v>0</v>
      </c>
      <c r="AW28" s="542">
        <v>0</v>
      </c>
      <c r="AX28" s="542">
        <v>0</v>
      </c>
      <c r="AY28" s="542">
        <v>0</v>
      </c>
      <c r="AZ28" s="542">
        <v>0</v>
      </c>
      <c r="BA28" s="542">
        <v>0</v>
      </c>
      <c r="BB28" s="542">
        <v>0</v>
      </c>
      <c r="BC28" s="542">
        <v>0</v>
      </c>
      <c r="BD28" s="542">
        <v>0</v>
      </c>
      <c r="BE28" s="542">
        <v>0</v>
      </c>
      <c r="BF28" s="542">
        <v>0</v>
      </c>
      <c r="BG28" s="542">
        <v>0</v>
      </c>
      <c r="BH28" s="542">
        <v>0</v>
      </c>
      <c r="BI28" s="542">
        <v>0</v>
      </c>
      <c r="BJ28" s="542">
        <v>0</v>
      </c>
      <c r="BK28" s="542">
        <v>0</v>
      </c>
      <c r="BL28" s="542">
        <v>0</v>
      </c>
      <c r="BM28" s="542">
        <v>0</v>
      </c>
      <c r="BN28" s="542">
        <v>0</v>
      </c>
      <c r="BO28" s="542">
        <v>0</v>
      </c>
      <c r="BP28" s="542">
        <v>0</v>
      </c>
      <c r="BQ28" s="542">
        <v>0</v>
      </c>
      <c r="BR28" s="542">
        <v>0</v>
      </c>
      <c r="BS28" s="542">
        <v>0</v>
      </c>
      <c r="BT28" s="542">
        <v>0</v>
      </c>
      <c r="BU28" s="542">
        <v>0</v>
      </c>
      <c r="BV28" s="542">
        <v>0</v>
      </c>
      <c r="BW28" s="542">
        <v>0</v>
      </c>
      <c r="BX28" s="542">
        <v>0</v>
      </c>
      <c r="BY28" s="542">
        <v>0</v>
      </c>
      <c r="BZ28" s="542">
        <v>0</v>
      </c>
      <c r="CA28" s="542">
        <v>0</v>
      </c>
      <c r="CB28" s="542">
        <v>0</v>
      </c>
      <c r="CC28" s="542">
        <v>0</v>
      </c>
      <c r="CD28" s="542">
        <v>0</v>
      </c>
      <c r="CE28" s="542">
        <v>0</v>
      </c>
    </row>
    <row r="29" spans="1:83" ht="25.5" x14ac:dyDescent="0.25">
      <c r="A29" s="640"/>
      <c r="B29" s="540">
        <v>41</v>
      </c>
      <c r="C29" s="539" t="s">
        <v>413</v>
      </c>
      <c r="D29" s="537" t="s">
        <v>414</v>
      </c>
      <c r="E29" s="543">
        <v>0</v>
      </c>
      <c r="F29" s="544">
        <v>0</v>
      </c>
      <c r="G29" s="544">
        <v>0</v>
      </c>
      <c r="H29" s="544">
        <v>0</v>
      </c>
      <c r="I29" s="544">
        <v>0</v>
      </c>
      <c r="J29" s="544">
        <v>0</v>
      </c>
      <c r="K29" s="545">
        <v>0</v>
      </c>
      <c r="L29" s="542">
        <v>0</v>
      </c>
      <c r="M29" s="542">
        <v>0</v>
      </c>
      <c r="N29" s="541">
        <v>0</v>
      </c>
      <c r="O29" s="541">
        <v>0</v>
      </c>
      <c r="P29" s="541">
        <v>0</v>
      </c>
      <c r="Q29" s="541">
        <v>0</v>
      </c>
      <c r="R29" s="541">
        <v>0</v>
      </c>
      <c r="S29" s="541">
        <v>0</v>
      </c>
      <c r="T29" s="541">
        <v>0</v>
      </c>
      <c r="U29" s="541">
        <v>0</v>
      </c>
      <c r="V29" s="541">
        <v>0</v>
      </c>
      <c r="W29" s="541">
        <v>0</v>
      </c>
      <c r="X29" s="541">
        <v>0</v>
      </c>
      <c r="Y29" s="541">
        <v>0</v>
      </c>
      <c r="Z29" s="541">
        <v>0</v>
      </c>
      <c r="AA29" s="541">
        <v>0</v>
      </c>
      <c r="AB29" s="542">
        <v>0</v>
      </c>
      <c r="AC29" s="542">
        <v>0</v>
      </c>
      <c r="AD29" s="542">
        <v>0</v>
      </c>
      <c r="AE29" s="542">
        <v>0</v>
      </c>
      <c r="AF29" s="542">
        <v>0</v>
      </c>
      <c r="AG29" s="542">
        <v>0</v>
      </c>
      <c r="AH29" s="542">
        <v>0</v>
      </c>
      <c r="AI29" s="542">
        <v>0</v>
      </c>
      <c r="AJ29" s="542">
        <v>0</v>
      </c>
      <c r="AK29" s="542">
        <v>0</v>
      </c>
      <c r="AL29" s="542">
        <v>0</v>
      </c>
      <c r="AM29" s="542">
        <v>0</v>
      </c>
      <c r="AN29" s="542">
        <v>0</v>
      </c>
      <c r="AO29" s="542">
        <v>0</v>
      </c>
      <c r="AP29" s="542">
        <v>0</v>
      </c>
      <c r="AQ29" s="542">
        <v>0</v>
      </c>
      <c r="AR29" s="542">
        <v>0</v>
      </c>
      <c r="AS29" s="542">
        <v>0</v>
      </c>
      <c r="AT29" s="542">
        <v>0</v>
      </c>
      <c r="AU29" s="542">
        <v>0</v>
      </c>
      <c r="AV29" s="542">
        <v>0</v>
      </c>
      <c r="AW29" s="542">
        <v>0</v>
      </c>
      <c r="AX29" s="542">
        <v>0</v>
      </c>
      <c r="AY29" s="542">
        <v>0</v>
      </c>
      <c r="AZ29" s="542">
        <v>0</v>
      </c>
      <c r="BA29" s="542">
        <v>0</v>
      </c>
      <c r="BB29" s="542">
        <v>0</v>
      </c>
      <c r="BC29" s="542">
        <v>0</v>
      </c>
      <c r="BD29" s="542">
        <v>0</v>
      </c>
      <c r="BE29" s="542">
        <v>0</v>
      </c>
      <c r="BF29" s="542">
        <v>0</v>
      </c>
      <c r="BG29" s="542">
        <v>0</v>
      </c>
      <c r="BH29" s="542">
        <v>0</v>
      </c>
      <c r="BI29" s="542">
        <v>0</v>
      </c>
      <c r="BJ29" s="542">
        <v>0</v>
      </c>
      <c r="BK29" s="542">
        <v>0</v>
      </c>
      <c r="BL29" s="542">
        <v>0</v>
      </c>
      <c r="BM29" s="542">
        <v>0</v>
      </c>
      <c r="BN29" s="542">
        <v>0</v>
      </c>
      <c r="BO29" s="542">
        <v>0</v>
      </c>
      <c r="BP29" s="542">
        <v>0</v>
      </c>
      <c r="BQ29" s="542">
        <v>0</v>
      </c>
      <c r="BR29" s="542">
        <v>0</v>
      </c>
      <c r="BS29" s="542">
        <v>0</v>
      </c>
      <c r="BT29" s="542">
        <v>0</v>
      </c>
      <c r="BU29" s="542">
        <v>0</v>
      </c>
      <c r="BV29" s="542">
        <v>0</v>
      </c>
      <c r="BW29" s="542">
        <v>0</v>
      </c>
      <c r="BX29" s="542">
        <v>0</v>
      </c>
      <c r="BY29" s="542">
        <v>0</v>
      </c>
      <c r="BZ29" s="542">
        <v>0</v>
      </c>
      <c r="CA29" s="542">
        <v>0</v>
      </c>
      <c r="CB29" s="542">
        <v>0</v>
      </c>
      <c r="CC29" s="542">
        <v>0</v>
      </c>
      <c r="CD29" s="542">
        <v>0</v>
      </c>
      <c r="CE29" s="542">
        <v>0</v>
      </c>
    </row>
    <row r="30" spans="1:83" ht="45" x14ac:dyDescent="0.25">
      <c r="A30" s="640"/>
      <c r="B30" s="540">
        <v>43</v>
      </c>
      <c r="C30" s="536" t="s">
        <v>415</v>
      </c>
      <c r="D30" s="537" t="s">
        <v>416</v>
      </c>
      <c r="E30" s="543"/>
      <c r="F30" s="544"/>
      <c r="G30" s="544"/>
      <c r="H30" s="544"/>
      <c r="I30" s="544"/>
      <c r="J30" s="544"/>
      <c r="K30" s="545"/>
      <c r="L30" s="542"/>
      <c r="M30" s="542"/>
      <c r="N30" s="541"/>
      <c r="O30" s="541"/>
      <c r="P30" s="541"/>
      <c r="Q30" s="541"/>
      <c r="R30" s="541"/>
      <c r="S30" s="541"/>
      <c r="T30" s="541"/>
      <c r="U30" s="541"/>
      <c r="V30" s="541"/>
      <c r="W30" s="541"/>
      <c r="X30" s="541"/>
      <c r="Y30" s="541"/>
      <c r="Z30" s="541"/>
      <c r="AA30" s="541"/>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2"/>
      <c r="AY30" s="542"/>
      <c r="AZ30" s="542"/>
      <c r="BA30" s="542"/>
      <c r="BB30" s="542"/>
      <c r="BC30" s="542"/>
      <c r="BD30" s="542"/>
      <c r="BE30" s="542"/>
      <c r="BF30" s="542"/>
      <c r="BG30" s="542"/>
      <c r="BH30" s="542"/>
      <c r="BI30" s="542"/>
      <c r="BJ30" s="542"/>
      <c r="BK30" s="542"/>
      <c r="BL30" s="542"/>
      <c r="BM30" s="542"/>
      <c r="BN30" s="542"/>
      <c r="BO30" s="542"/>
      <c r="BP30" s="542"/>
      <c r="BQ30" s="542"/>
      <c r="BR30" s="542"/>
      <c r="BS30" s="542"/>
      <c r="BT30" s="542"/>
      <c r="BU30" s="542"/>
      <c r="BV30" s="542"/>
      <c r="BW30" s="542"/>
      <c r="BX30" s="542"/>
      <c r="BY30" s="542"/>
      <c r="BZ30" s="542"/>
      <c r="CA30" s="542"/>
      <c r="CB30" s="542"/>
      <c r="CC30" s="542"/>
      <c r="CD30" s="542"/>
      <c r="CE30" s="542"/>
    </row>
    <row r="31" spans="1:83" x14ac:dyDescent="0.25">
      <c r="A31" s="638">
        <v>44</v>
      </c>
      <c r="B31" s="540">
        <v>44</v>
      </c>
      <c r="C31" s="536" t="s">
        <v>880</v>
      </c>
      <c r="D31" s="537" t="s">
        <v>417</v>
      </c>
      <c r="E31" s="543">
        <v>206478</v>
      </c>
      <c r="F31" s="544">
        <v>0</v>
      </c>
      <c r="G31" s="544">
        <v>635041</v>
      </c>
      <c r="H31" s="544">
        <v>0</v>
      </c>
      <c r="I31" s="544">
        <v>0</v>
      </c>
      <c r="J31" s="544">
        <v>0</v>
      </c>
      <c r="K31" s="545">
        <v>60598</v>
      </c>
      <c r="L31" s="542">
        <v>0</v>
      </c>
      <c r="M31" s="542">
        <v>0</v>
      </c>
      <c r="N31" s="541">
        <v>0</v>
      </c>
      <c r="O31" s="541">
        <v>0</v>
      </c>
      <c r="P31" s="541">
        <v>1245684</v>
      </c>
      <c r="Q31" s="541">
        <v>0</v>
      </c>
      <c r="R31" s="541">
        <v>40900627</v>
      </c>
      <c r="S31" s="541">
        <v>891586</v>
      </c>
      <c r="T31" s="541">
        <v>0</v>
      </c>
      <c r="U31" s="541">
        <v>48262184</v>
      </c>
      <c r="V31" s="541">
        <v>14624302</v>
      </c>
      <c r="W31" s="541">
        <v>18401753</v>
      </c>
      <c r="X31" s="541">
        <v>0</v>
      </c>
      <c r="Y31" s="541">
        <v>0</v>
      </c>
      <c r="Z31" s="541">
        <v>6076299</v>
      </c>
      <c r="AA31" s="541">
        <v>1382492</v>
      </c>
      <c r="AB31" s="542">
        <v>12520728</v>
      </c>
      <c r="AC31" s="542">
        <v>277983</v>
      </c>
      <c r="AD31" s="542">
        <v>749074</v>
      </c>
      <c r="AE31" s="542">
        <v>1296726</v>
      </c>
      <c r="AF31" s="542">
        <v>2010350</v>
      </c>
      <c r="AG31" s="542">
        <v>3635620</v>
      </c>
      <c r="AH31" s="542">
        <v>2624705</v>
      </c>
      <c r="AI31" s="542">
        <v>134070</v>
      </c>
      <c r="AJ31" s="542">
        <v>17912407</v>
      </c>
      <c r="AK31" s="542">
        <v>776241</v>
      </c>
      <c r="AL31" s="542">
        <v>376353</v>
      </c>
      <c r="AM31" s="542">
        <v>0</v>
      </c>
      <c r="AN31" s="542">
        <v>4000503</v>
      </c>
      <c r="AO31" s="542">
        <v>387678</v>
      </c>
      <c r="AP31" s="542">
        <v>0</v>
      </c>
      <c r="AQ31" s="542">
        <v>0</v>
      </c>
      <c r="AR31" s="542">
        <v>0</v>
      </c>
      <c r="AS31" s="542">
        <v>3904635</v>
      </c>
      <c r="AT31" s="542">
        <v>0</v>
      </c>
      <c r="AU31" s="542">
        <v>980249</v>
      </c>
      <c r="AV31" s="542">
        <v>0</v>
      </c>
      <c r="AW31" s="542">
        <v>29559534</v>
      </c>
      <c r="AX31" s="542">
        <v>0</v>
      </c>
      <c r="AY31" s="542">
        <v>1929004</v>
      </c>
      <c r="AZ31" s="542">
        <v>5666524</v>
      </c>
      <c r="BA31" s="542">
        <v>923394</v>
      </c>
      <c r="BB31" s="542">
        <v>0</v>
      </c>
      <c r="BC31" s="542">
        <v>0</v>
      </c>
      <c r="BD31" s="542">
        <v>110687</v>
      </c>
      <c r="BE31" s="542">
        <v>8884015</v>
      </c>
      <c r="BF31" s="542">
        <v>0</v>
      </c>
      <c r="BG31" s="542">
        <v>175981</v>
      </c>
      <c r="BH31" s="542">
        <v>116236</v>
      </c>
      <c r="BI31" s="542">
        <v>0</v>
      </c>
      <c r="BJ31" s="542">
        <v>173068</v>
      </c>
      <c r="BK31" s="542">
        <v>0</v>
      </c>
      <c r="BL31" s="542">
        <v>2480726</v>
      </c>
      <c r="BM31" s="542">
        <v>188260</v>
      </c>
      <c r="BN31" s="542">
        <v>296187</v>
      </c>
      <c r="BO31" s="542">
        <v>893381</v>
      </c>
      <c r="BP31" s="542">
        <v>631667</v>
      </c>
      <c r="BQ31" s="542">
        <v>770084</v>
      </c>
      <c r="BR31" s="542">
        <v>0</v>
      </c>
      <c r="BS31" s="542">
        <v>653276</v>
      </c>
      <c r="BT31" s="542">
        <v>0</v>
      </c>
      <c r="BU31" s="542">
        <v>625704</v>
      </c>
      <c r="BV31" s="542">
        <v>3917194</v>
      </c>
      <c r="BW31" s="542">
        <v>0</v>
      </c>
      <c r="BX31" s="542">
        <v>2160647</v>
      </c>
      <c r="BY31" s="542">
        <v>1028450</v>
      </c>
      <c r="BZ31" s="542">
        <v>17006</v>
      </c>
      <c r="CA31" s="542">
        <v>0</v>
      </c>
      <c r="CB31" s="542">
        <v>20194</v>
      </c>
      <c r="CC31" s="542">
        <v>200894</v>
      </c>
      <c r="CD31" s="542">
        <v>0</v>
      </c>
      <c r="CE31" s="542">
        <v>6828</v>
      </c>
    </row>
    <row r="32" spans="1:83" x14ac:dyDescent="0.25">
      <c r="A32" s="638">
        <v>45</v>
      </c>
      <c r="B32" s="540">
        <v>45</v>
      </c>
      <c r="C32" s="536" t="s">
        <v>881</v>
      </c>
      <c r="D32" s="537" t="s">
        <v>418</v>
      </c>
      <c r="E32" s="543">
        <v>17044</v>
      </c>
      <c r="F32" s="544">
        <v>0</v>
      </c>
      <c r="G32" s="544">
        <v>67376</v>
      </c>
      <c r="H32" s="544">
        <v>0</v>
      </c>
      <c r="I32" s="544">
        <v>0</v>
      </c>
      <c r="J32" s="544">
        <v>0</v>
      </c>
      <c r="K32" s="545">
        <v>125309</v>
      </c>
      <c r="L32" s="542">
        <v>0</v>
      </c>
      <c r="M32" s="542">
        <v>0</v>
      </c>
      <c r="N32" s="541">
        <v>0</v>
      </c>
      <c r="O32" s="541">
        <v>0</v>
      </c>
      <c r="P32" s="541">
        <v>230714</v>
      </c>
      <c r="Q32" s="541">
        <v>0</v>
      </c>
      <c r="R32" s="541">
        <v>2607168</v>
      </c>
      <c r="S32" s="541">
        <v>71309</v>
      </c>
      <c r="T32" s="541">
        <v>0</v>
      </c>
      <c r="U32" s="541">
        <v>6652644</v>
      </c>
      <c r="V32" s="541">
        <v>2832155</v>
      </c>
      <c r="W32" s="541">
        <v>2709432</v>
      </c>
      <c r="X32" s="541">
        <v>0</v>
      </c>
      <c r="Y32" s="541">
        <v>0</v>
      </c>
      <c r="Z32" s="541">
        <v>1847875</v>
      </c>
      <c r="AA32" s="541">
        <v>81983</v>
      </c>
      <c r="AB32" s="542">
        <v>439365</v>
      </c>
      <c r="AC32" s="542">
        <v>866689</v>
      </c>
      <c r="AD32" s="542">
        <v>187548</v>
      </c>
      <c r="AE32" s="542">
        <v>799684</v>
      </c>
      <c r="AF32" s="542">
        <v>58665</v>
      </c>
      <c r="AG32" s="542">
        <v>260968</v>
      </c>
      <c r="AH32" s="542">
        <v>235105</v>
      </c>
      <c r="AI32" s="542">
        <v>319964</v>
      </c>
      <c r="AJ32" s="542">
        <v>5242983</v>
      </c>
      <c r="AK32" s="542">
        <v>18297</v>
      </c>
      <c r="AL32" s="542">
        <v>40250</v>
      </c>
      <c r="AM32" s="542">
        <v>0</v>
      </c>
      <c r="AN32" s="542">
        <v>1916122</v>
      </c>
      <c r="AO32" s="542">
        <v>63264</v>
      </c>
      <c r="AP32" s="542">
        <v>0</v>
      </c>
      <c r="AQ32" s="542">
        <v>0</v>
      </c>
      <c r="AR32" s="542">
        <v>0</v>
      </c>
      <c r="AS32" s="542">
        <v>1002191</v>
      </c>
      <c r="AT32" s="542">
        <v>0</v>
      </c>
      <c r="AU32" s="542">
        <v>348610</v>
      </c>
      <c r="AV32" s="542">
        <v>0</v>
      </c>
      <c r="AW32" s="542">
        <v>4472300</v>
      </c>
      <c r="AX32" s="542">
        <v>0</v>
      </c>
      <c r="AY32" s="542">
        <v>118786</v>
      </c>
      <c r="AZ32" s="542">
        <v>211358</v>
      </c>
      <c r="BA32" s="542">
        <v>107434</v>
      </c>
      <c r="BB32" s="542">
        <v>0</v>
      </c>
      <c r="BC32" s="542">
        <v>0</v>
      </c>
      <c r="BD32" s="542">
        <v>146196</v>
      </c>
      <c r="BE32" s="542">
        <v>2928033</v>
      </c>
      <c r="BF32" s="542">
        <v>0</v>
      </c>
      <c r="BG32" s="542">
        <v>107922</v>
      </c>
      <c r="BH32" s="542">
        <v>5856</v>
      </c>
      <c r="BI32" s="542">
        <v>0</v>
      </c>
      <c r="BJ32" s="542">
        <v>8977</v>
      </c>
      <c r="BK32" s="542">
        <v>0</v>
      </c>
      <c r="BL32" s="542">
        <v>181873</v>
      </c>
      <c r="BM32" s="542">
        <v>887034</v>
      </c>
      <c r="BN32" s="542">
        <v>148705</v>
      </c>
      <c r="BO32" s="542">
        <v>108994</v>
      </c>
      <c r="BP32" s="542">
        <v>78297</v>
      </c>
      <c r="BQ32" s="542">
        <v>96770</v>
      </c>
      <c r="BR32" s="542">
        <v>0</v>
      </c>
      <c r="BS32" s="542">
        <v>13497</v>
      </c>
      <c r="BT32" s="542">
        <v>0</v>
      </c>
      <c r="BU32" s="542">
        <v>41882</v>
      </c>
      <c r="BV32" s="542">
        <v>461217</v>
      </c>
      <c r="BW32" s="542">
        <v>0</v>
      </c>
      <c r="BX32" s="542">
        <v>1178344</v>
      </c>
      <c r="BY32" s="542">
        <v>17367</v>
      </c>
      <c r="BZ32" s="542">
        <v>5453</v>
      </c>
      <c r="CA32" s="542">
        <v>0</v>
      </c>
      <c r="CB32" s="542">
        <v>30699</v>
      </c>
      <c r="CC32" s="542">
        <v>113636</v>
      </c>
      <c r="CD32" s="542">
        <v>0</v>
      </c>
      <c r="CE32" s="542">
        <v>2630</v>
      </c>
    </row>
    <row r="33" spans="1:83" ht="45" x14ac:dyDescent="0.25">
      <c r="A33" s="638"/>
      <c r="B33" s="540">
        <v>46</v>
      </c>
      <c r="C33" s="536" t="s">
        <v>745</v>
      </c>
      <c r="D33" s="537" t="s">
        <v>419</v>
      </c>
      <c r="E33" s="543"/>
      <c r="F33" s="544"/>
      <c r="G33" s="544"/>
      <c r="H33" s="544"/>
      <c r="I33" s="544"/>
      <c r="J33" s="544"/>
      <c r="K33" s="545"/>
      <c r="L33" s="542"/>
      <c r="M33" s="542"/>
      <c r="N33" s="541"/>
      <c r="O33" s="541"/>
      <c r="P33" s="541"/>
      <c r="Q33" s="541"/>
      <c r="R33" s="541"/>
      <c r="S33" s="541"/>
      <c r="T33" s="541"/>
      <c r="U33" s="541"/>
      <c r="V33" s="541"/>
      <c r="W33" s="541"/>
      <c r="X33" s="541"/>
      <c r="Y33" s="541"/>
      <c r="Z33" s="541"/>
      <c r="AA33" s="541"/>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2"/>
      <c r="AY33" s="542"/>
      <c r="AZ33" s="542"/>
      <c r="BA33" s="542"/>
      <c r="BB33" s="542"/>
      <c r="BC33" s="542"/>
      <c r="BD33" s="542"/>
      <c r="BE33" s="542"/>
      <c r="BF33" s="542"/>
      <c r="BG33" s="542"/>
      <c r="BH33" s="542"/>
      <c r="BI33" s="542"/>
      <c r="BJ33" s="542"/>
      <c r="BK33" s="542"/>
      <c r="BL33" s="542"/>
      <c r="BM33" s="542"/>
      <c r="BN33" s="542"/>
      <c r="BO33" s="542"/>
      <c r="BP33" s="542"/>
      <c r="BQ33" s="542"/>
      <c r="BR33" s="542"/>
      <c r="BS33" s="542"/>
      <c r="BT33" s="542"/>
      <c r="BU33" s="542"/>
      <c r="BV33" s="542"/>
      <c r="BW33" s="542"/>
      <c r="BX33" s="542"/>
      <c r="BY33" s="542"/>
      <c r="BZ33" s="542"/>
      <c r="CA33" s="542"/>
      <c r="CB33" s="542"/>
      <c r="CC33" s="542"/>
      <c r="CD33" s="542"/>
      <c r="CE33" s="542"/>
    </row>
    <row r="34" spans="1:83" x14ac:dyDescent="0.25">
      <c r="A34" s="640">
        <v>47</v>
      </c>
      <c r="B34" s="540">
        <v>47</v>
      </c>
      <c r="C34" s="536" t="s">
        <v>882</v>
      </c>
      <c r="D34" s="537" t="s">
        <v>420</v>
      </c>
      <c r="E34" s="543">
        <v>0</v>
      </c>
      <c r="F34" s="544">
        <v>0</v>
      </c>
      <c r="G34" s="544">
        <v>0</v>
      </c>
      <c r="H34" s="544">
        <v>0</v>
      </c>
      <c r="I34" s="544">
        <v>0</v>
      </c>
      <c r="J34" s="544">
        <v>0</v>
      </c>
      <c r="K34" s="545">
        <v>0</v>
      </c>
      <c r="L34" s="542">
        <v>0</v>
      </c>
      <c r="M34" s="542">
        <v>0</v>
      </c>
      <c r="N34" s="541">
        <v>0</v>
      </c>
      <c r="O34" s="541">
        <v>0</v>
      </c>
      <c r="P34" s="541">
        <v>0</v>
      </c>
      <c r="Q34" s="541">
        <v>0</v>
      </c>
      <c r="R34" s="541">
        <v>56438222</v>
      </c>
      <c r="S34" s="541">
        <v>0</v>
      </c>
      <c r="T34" s="541">
        <v>0</v>
      </c>
      <c r="U34" s="541">
        <v>0</v>
      </c>
      <c r="V34" s="541">
        <v>0</v>
      </c>
      <c r="W34" s="541">
        <v>11391214</v>
      </c>
      <c r="X34" s="541">
        <v>0</v>
      </c>
      <c r="Y34" s="541">
        <v>0</v>
      </c>
      <c r="Z34" s="541">
        <v>0</v>
      </c>
      <c r="AA34" s="541">
        <v>0</v>
      </c>
      <c r="AB34" s="542">
        <v>0</v>
      </c>
      <c r="AC34" s="542">
        <v>0</v>
      </c>
      <c r="AD34" s="542">
        <v>0</v>
      </c>
      <c r="AE34" s="542">
        <v>0</v>
      </c>
      <c r="AF34" s="542">
        <v>0</v>
      </c>
      <c r="AG34" s="542">
        <v>0</v>
      </c>
      <c r="AH34" s="542">
        <v>0</v>
      </c>
      <c r="AI34" s="542">
        <v>0</v>
      </c>
      <c r="AJ34" s="542">
        <v>28233494</v>
      </c>
      <c r="AK34" s="542">
        <v>0</v>
      </c>
      <c r="AL34" s="542">
        <v>0</v>
      </c>
      <c r="AM34" s="542">
        <v>0</v>
      </c>
      <c r="AN34" s="542">
        <v>7188825</v>
      </c>
      <c r="AO34" s="542">
        <v>0</v>
      </c>
      <c r="AP34" s="542">
        <v>0</v>
      </c>
      <c r="AQ34" s="542">
        <v>0</v>
      </c>
      <c r="AR34" s="542">
        <v>0</v>
      </c>
      <c r="AS34" s="542">
        <v>0</v>
      </c>
      <c r="AT34" s="542">
        <v>0</v>
      </c>
      <c r="AU34" s="542">
        <v>0</v>
      </c>
      <c r="AV34" s="542">
        <v>782768</v>
      </c>
      <c r="AW34" s="542">
        <v>0</v>
      </c>
      <c r="AX34" s="542">
        <v>0</v>
      </c>
      <c r="AY34" s="542">
        <v>0</v>
      </c>
      <c r="AZ34" s="542">
        <v>0</v>
      </c>
      <c r="BA34" s="542">
        <v>0</v>
      </c>
      <c r="BB34" s="542">
        <v>0</v>
      </c>
      <c r="BC34" s="542">
        <v>0</v>
      </c>
      <c r="BD34" s="542">
        <v>0</v>
      </c>
      <c r="BE34" s="542">
        <v>0</v>
      </c>
      <c r="BF34" s="542">
        <v>0</v>
      </c>
      <c r="BG34" s="542">
        <v>0</v>
      </c>
      <c r="BH34" s="542">
        <v>0</v>
      </c>
      <c r="BI34" s="542">
        <v>0</v>
      </c>
      <c r="BJ34" s="542">
        <v>0</v>
      </c>
      <c r="BK34" s="542">
        <v>0</v>
      </c>
      <c r="BL34" s="542">
        <v>0</v>
      </c>
      <c r="BM34" s="542">
        <v>847259</v>
      </c>
      <c r="BN34" s="542">
        <v>0</v>
      </c>
      <c r="BO34" s="542">
        <v>0</v>
      </c>
      <c r="BP34" s="542">
        <v>0</v>
      </c>
      <c r="BQ34" s="542">
        <v>0</v>
      </c>
      <c r="BR34" s="542">
        <v>0</v>
      </c>
      <c r="BS34" s="542">
        <v>430732</v>
      </c>
      <c r="BT34" s="542">
        <v>3965390</v>
      </c>
      <c r="BU34" s="542">
        <v>0</v>
      </c>
      <c r="BV34" s="542">
        <v>0</v>
      </c>
      <c r="BW34" s="542">
        <v>0</v>
      </c>
      <c r="BX34" s="542">
        <v>0</v>
      </c>
      <c r="BY34" s="542">
        <v>0</v>
      </c>
      <c r="BZ34" s="542">
        <v>0</v>
      </c>
      <c r="CA34" s="542">
        <v>0</v>
      </c>
      <c r="CB34" s="542">
        <v>0</v>
      </c>
      <c r="CC34" s="542">
        <v>0</v>
      </c>
      <c r="CD34" s="542">
        <v>0</v>
      </c>
      <c r="CE34" s="542">
        <v>0</v>
      </c>
    </row>
    <row r="35" spans="1:83" ht="30" x14ac:dyDescent="0.25">
      <c r="A35" s="640">
        <v>48</v>
      </c>
      <c r="B35" s="571">
        <v>48</v>
      </c>
      <c r="C35" s="536" t="s">
        <v>145</v>
      </c>
      <c r="D35" s="537" t="s">
        <v>421</v>
      </c>
      <c r="E35" s="543">
        <v>0</v>
      </c>
      <c r="F35" s="544">
        <v>0</v>
      </c>
      <c r="G35" s="544">
        <v>0</v>
      </c>
      <c r="H35" s="544">
        <v>0</v>
      </c>
      <c r="I35" s="544">
        <v>0</v>
      </c>
      <c r="J35" s="544">
        <v>0</v>
      </c>
      <c r="K35" s="545">
        <v>0</v>
      </c>
      <c r="L35" s="542">
        <v>0</v>
      </c>
      <c r="M35" s="542">
        <v>0</v>
      </c>
      <c r="N35" s="541">
        <v>0</v>
      </c>
      <c r="O35" s="541">
        <v>0</v>
      </c>
      <c r="P35" s="541">
        <v>0</v>
      </c>
      <c r="Q35" s="541">
        <v>0</v>
      </c>
      <c r="R35" s="541">
        <v>6744242</v>
      </c>
      <c r="S35" s="541">
        <v>0</v>
      </c>
      <c r="T35" s="541">
        <v>0</v>
      </c>
      <c r="U35" s="541">
        <v>0</v>
      </c>
      <c r="V35" s="541">
        <v>0</v>
      </c>
      <c r="W35" s="541">
        <v>3012140</v>
      </c>
      <c r="X35" s="541">
        <v>0</v>
      </c>
      <c r="Y35" s="541">
        <v>0</v>
      </c>
      <c r="Z35" s="541">
        <v>0</v>
      </c>
      <c r="AA35" s="541">
        <v>0</v>
      </c>
      <c r="AB35" s="542">
        <v>0</v>
      </c>
      <c r="AC35" s="542">
        <v>0</v>
      </c>
      <c r="AD35" s="542">
        <v>0</v>
      </c>
      <c r="AE35" s="542">
        <v>0</v>
      </c>
      <c r="AF35" s="542">
        <v>0</v>
      </c>
      <c r="AG35" s="542">
        <v>0</v>
      </c>
      <c r="AH35" s="542">
        <v>0</v>
      </c>
      <c r="AI35" s="542">
        <v>0</v>
      </c>
      <c r="AJ35" s="542">
        <v>5833691</v>
      </c>
      <c r="AK35" s="542">
        <v>0</v>
      </c>
      <c r="AL35" s="542">
        <v>0</v>
      </c>
      <c r="AM35" s="542">
        <v>0</v>
      </c>
      <c r="AN35" s="542">
        <v>2070127</v>
      </c>
      <c r="AO35" s="542">
        <v>0</v>
      </c>
      <c r="AP35" s="542">
        <v>0</v>
      </c>
      <c r="AQ35" s="542">
        <v>0</v>
      </c>
      <c r="AR35" s="542">
        <v>0</v>
      </c>
      <c r="AS35" s="542">
        <v>0</v>
      </c>
      <c r="AT35" s="542">
        <v>0</v>
      </c>
      <c r="AU35" s="542">
        <v>0</v>
      </c>
      <c r="AV35" s="542">
        <v>25924</v>
      </c>
      <c r="AW35" s="542">
        <v>0</v>
      </c>
      <c r="AX35" s="542">
        <v>0</v>
      </c>
      <c r="AY35" s="542">
        <v>0</v>
      </c>
      <c r="AZ35" s="542">
        <v>0</v>
      </c>
      <c r="BA35" s="542">
        <v>0</v>
      </c>
      <c r="BB35" s="542">
        <v>0</v>
      </c>
      <c r="BC35" s="542">
        <v>0</v>
      </c>
      <c r="BD35" s="542">
        <v>0</v>
      </c>
      <c r="BE35" s="542">
        <v>0</v>
      </c>
      <c r="BF35" s="542">
        <v>0</v>
      </c>
      <c r="BG35" s="542">
        <v>0</v>
      </c>
      <c r="BH35" s="542">
        <v>0</v>
      </c>
      <c r="BI35" s="542">
        <v>0</v>
      </c>
      <c r="BJ35" s="542">
        <v>0</v>
      </c>
      <c r="BK35" s="542">
        <v>0</v>
      </c>
      <c r="BL35" s="542">
        <v>0</v>
      </c>
      <c r="BM35" s="542">
        <v>172969</v>
      </c>
      <c r="BN35" s="542">
        <v>0</v>
      </c>
      <c r="BO35" s="542">
        <v>0</v>
      </c>
      <c r="BP35" s="542">
        <v>0</v>
      </c>
      <c r="BQ35" s="542">
        <v>0</v>
      </c>
      <c r="BR35" s="542">
        <v>0</v>
      </c>
      <c r="BS35" s="542">
        <v>186111</v>
      </c>
      <c r="BT35" s="542">
        <v>1039224</v>
      </c>
      <c r="BU35" s="542">
        <v>0</v>
      </c>
      <c r="BV35" s="542">
        <v>0</v>
      </c>
      <c r="BW35" s="542">
        <v>0</v>
      </c>
      <c r="BX35" s="542">
        <v>0</v>
      </c>
      <c r="BY35" s="542">
        <v>0</v>
      </c>
      <c r="BZ35" s="542">
        <v>0</v>
      </c>
      <c r="CA35" s="542">
        <v>0</v>
      </c>
      <c r="CB35" s="542">
        <v>0</v>
      </c>
      <c r="CC35" s="542">
        <v>0</v>
      </c>
      <c r="CD35" s="542">
        <v>0</v>
      </c>
      <c r="CE35" s="542">
        <v>0</v>
      </c>
    </row>
    <row r="36" spans="1:83" ht="30" x14ac:dyDescent="0.25">
      <c r="A36" s="638">
        <v>49</v>
      </c>
      <c r="B36" s="571">
        <v>49</v>
      </c>
      <c r="C36" s="536" t="s">
        <v>314</v>
      </c>
      <c r="D36" s="537" t="s">
        <v>422</v>
      </c>
      <c r="E36" s="543">
        <v>41359</v>
      </c>
      <c r="F36" s="544">
        <v>0</v>
      </c>
      <c r="G36" s="544">
        <v>170767</v>
      </c>
      <c r="H36" s="544">
        <v>0</v>
      </c>
      <c r="I36" s="544">
        <v>0</v>
      </c>
      <c r="J36" s="544">
        <v>0</v>
      </c>
      <c r="K36" s="545">
        <v>65065</v>
      </c>
      <c r="L36" s="542">
        <v>0</v>
      </c>
      <c r="M36" s="542">
        <v>0</v>
      </c>
      <c r="N36" s="541">
        <v>0</v>
      </c>
      <c r="O36" s="541">
        <v>0</v>
      </c>
      <c r="P36" s="541">
        <v>716864</v>
      </c>
      <c r="Q36" s="541">
        <v>0</v>
      </c>
      <c r="R36" s="541">
        <v>2740685</v>
      </c>
      <c r="S36" s="541">
        <v>77464</v>
      </c>
      <c r="T36" s="541">
        <v>0</v>
      </c>
      <c r="U36" s="541">
        <v>4658295</v>
      </c>
      <c r="V36" s="541">
        <v>1698619</v>
      </c>
      <c r="W36" s="541">
        <v>2465075</v>
      </c>
      <c r="X36" s="541">
        <v>0</v>
      </c>
      <c r="Y36" s="541">
        <v>0</v>
      </c>
      <c r="Z36" s="541">
        <v>1848947</v>
      </c>
      <c r="AA36" s="541">
        <v>430580</v>
      </c>
      <c r="AB36" s="542">
        <v>1159579</v>
      </c>
      <c r="AC36" s="542">
        <v>583380</v>
      </c>
      <c r="AD36" s="542">
        <v>125838</v>
      </c>
      <c r="AE36" s="542">
        <v>216844</v>
      </c>
      <c r="AF36" s="542">
        <v>709902</v>
      </c>
      <c r="AG36" s="542">
        <v>360573</v>
      </c>
      <c r="AH36" s="542">
        <v>315806</v>
      </c>
      <c r="AI36" s="542">
        <v>146337</v>
      </c>
      <c r="AJ36" s="542">
        <v>3620103</v>
      </c>
      <c r="AK36" s="542">
        <v>66361</v>
      </c>
      <c r="AL36" s="542">
        <v>227187</v>
      </c>
      <c r="AM36" s="542">
        <v>0</v>
      </c>
      <c r="AN36" s="542">
        <v>1991667</v>
      </c>
      <c r="AO36" s="542">
        <v>75595</v>
      </c>
      <c r="AP36" s="542">
        <v>0</v>
      </c>
      <c r="AQ36" s="542">
        <v>0</v>
      </c>
      <c r="AR36" s="542">
        <v>0</v>
      </c>
      <c r="AS36" s="542">
        <v>823917</v>
      </c>
      <c r="AT36" s="542">
        <v>0</v>
      </c>
      <c r="AU36" s="542">
        <v>358712</v>
      </c>
      <c r="AV36" s="542">
        <v>0</v>
      </c>
      <c r="AW36" s="542">
        <v>3799926</v>
      </c>
      <c r="AX36" s="542">
        <v>0</v>
      </c>
      <c r="AY36" s="542">
        <v>233677</v>
      </c>
      <c r="AZ36" s="542">
        <v>125778</v>
      </c>
      <c r="BA36" s="542">
        <v>205732</v>
      </c>
      <c r="BB36" s="542">
        <v>0</v>
      </c>
      <c r="BC36" s="542">
        <v>0</v>
      </c>
      <c r="BD36" s="542">
        <v>27233</v>
      </c>
      <c r="BE36" s="542">
        <v>1078825</v>
      </c>
      <c r="BF36" s="542">
        <v>0</v>
      </c>
      <c r="BG36" s="542">
        <v>66384</v>
      </c>
      <c r="BH36" s="542">
        <v>73507</v>
      </c>
      <c r="BI36" s="542">
        <v>0</v>
      </c>
      <c r="BJ36" s="542">
        <v>92493</v>
      </c>
      <c r="BK36" s="542">
        <v>0</v>
      </c>
      <c r="BL36" s="542">
        <v>478832</v>
      </c>
      <c r="BM36" s="542">
        <v>189849</v>
      </c>
      <c r="BN36" s="542">
        <v>376715</v>
      </c>
      <c r="BO36" s="542">
        <v>163828</v>
      </c>
      <c r="BP36" s="542">
        <v>110354</v>
      </c>
      <c r="BQ36" s="542">
        <v>43118</v>
      </c>
      <c r="BR36" s="542">
        <v>0</v>
      </c>
      <c r="BS36" s="542">
        <v>204342</v>
      </c>
      <c r="BT36" s="542">
        <v>0</v>
      </c>
      <c r="BU36" s="542">
        <v>268369</v>
      </c>
      <c r="BV36" s="542">
        <v>610254</v>
      </c>
      <c r="BW36" s="542">
        <v>0</v>
      </c>
      <c r="BX36" s="542">
        <v>402532</v>
      </c>
      <c r="BY36" s="542">
        <v>67344</v>
      </c>
      <c r="BZ36" s="542">
        <v>18215</v>
      </c>
      <c r="CA36" s="542">
        <v>0</v>
      </c>
      <c r="CB36" s="542">
        <v>156061</v>
      </c>
      <c r="CC36" s="542">
        <v>166199</v>
      </c>
      <c r="CD36" s="542">
        <v>0</v>
      </c>
      <c r="CE36" s="542">
        <v>30020</v>
      </c>
    </row>
    <row r="37" spans="1:83" x14ac:dyDescent="0.25">
      <c r="A37" s="638">
        <v>50</v>
      </c>
      <c r="B37" s="571">
        <v>50</v>
      </c>
      <c r="C37" s="536" t="s">
        <v>119</v>
      </c>
      <c r="D37" s="537" t="s">
        <v>423</v>
      </c>
      <c r="E37" s="543">
        <v>59850</v>
      </c>
      <c r="F37" s="544">
        <v>0</v>
      </c>
      <c r="G37" s="544">
        <v>-31897</v>
      </c>
      <c r="H37" s="544">
        <v>0</v>
      </c>
      <c r="I37" s="544">
        <v>0</v>
      </c>
      <c r="J37" s="544">
        <v>0</v>
      </c>
      <c r="K37" s="545">
        <v>-73025</v>
      </c>
      <c r="L37" s="542">
        <v>0</v>
      </c>
      <c r="M37" s="542">
        <v>0</v>
      </c>
      <c r="N37" s="541">
        <v>0</v>
      </c>
      <c r="O37" s="541">
        <v>0</v>
      </c>
      <c r="P37" s="541">
        <v>181318</v>
      </c>
      <c r="Q37" s="541">
        <v>0</v>
      </c>
      <c r="R37" s="541">
        <v>4672898</v>
      </c>
      <c r="S37" s="541">
        <v>65690</v>
      </c>
      <c r="T37" s="541">
        <v>0</v>
      </c>
      <c r="U37" s="541">
        <v>8879223</v>
      </c>
      <c r="V37" s="541">
        <v>862436</v>
      </c>
      <c r="W37" s="541">
        <v>1557345</v>
      </c>
      <c r="X37" s="541">
        <v>0</v>
      </c>
      <c r="Y37" s="541">
        <v>0</v>
      </c>
      <c r="Z37" s="541">
        <v>370899</v>
      </c>
      <c r="AA37" s="541">
        <v>-127854</v>
      </c>
      <c r="AB37" s="542">
        <v>802087</v>
      </c>
      <c r="AC37" s="542">
        <v>2335608</v>
      </c>
      <c r="AD37" s="542">
        <v>-122295</v>
      </c>
      <c r="AE37" s="542">
        <v>118477</v>
      </c>
      <c r="AF37" s="542">
        <v>-210603</v>
      </c>
      <c r="AG37" s="542">
        <v>-215857</v>
      </c>
      <c r="AH37" s="542">
        <v>1656231</v>
      </c>
      <c r="AI37" s="542">
        <v>-247241</v>
      </c>
      <c r="AJ37" s="542">
        <v>3159232</v>
      </c>
      <c r="AK37" s="542">
        <v>34796</v>
      </c>
      <c r="AL37" s="542">
        <v>-44167</v>
      </c>
      <c r="AM37" s="542">
        <v>0</v>
      </c>
      <c r="AN37" s="542">
        <v>223778</v>
      </c>
      <c r="AO37" s="542">
        <v>-36948</v>
      </c>
      <c r="AP37" s="542">
        <v>0</v>
      </c>
      <c r="AQ37" s="542">
        <v>0</v>
      </c>
      <c r="AR37" s="542">
        <v>0</v>
      </c>
      <c r="AS37" s="542">
        <v>959203</v>
      </c>
      <c r="AT37" s="542">
        <v>0</v>
      </c>
      <c r="AU37" s="542">
        <v>263577</v>
      </c>
      <c r="AV37" s="542">
        <v>0</v>
      </c>
      <c r="AW37" s="542">
        <v>3708024</v>
      </c>
      <c r="AX37" s="542">
        <v>0</v>
      </c>
      <c r="AY37" s="542">
        <v>244114</v>
      </c>
      <c r="AZ37" s="542">
        <v>486108</v>
      </c>
      <c r="BA37" s="542">
        <v>-139937</v>
      </c>
      <c r="BB37" s="542">
        <v>0</v>
      </c>
      <c r="BC37" s="542">
        <v>0</v>
      </c>
      <c r="BD37" s="542">
        <v>-4332</v>
      </c>
      <c r="BE37" s="542">
        <v>2081283</v>
      </c>
      <c r="BF37" s="542">
        <v>0</v>
      </c>
      <c r="BG37" s="542">
        <v>17739</v>
      </c>
      <c r="BH37" s="542">
        <v>-38166</v>
      </c>
      <c r="BI37" s="542">
        <v>0</v>
      </c>
      <c r="BJ37" s="542">
        <v>-21893</v>
      </c>
      <c r="BK37" s="542">
        <v>0</v>
      </c>
      <c r="BL37" s="542">
        <v>563079</v>
      </c>
      <c r="BM37" s="542">
        <v>262</v>
      </c>
      <c r="BN37" s="542">
        <v>-118186</v>
      </c>
      <c r="BO37" s="542">
        <v>118868</v>
      </c>
      <c r="BP37" s="542">
        <v>24229</v>
      </c>
      <c r="BQ37" s="542">
        <v>86858</v>
      </c>
      <c r="BR37" s="542">
        <v>0</v>
      </c>
      <c r="BS37" s="542">
        <v>-174244</v>
      </c>
      <c r="BT37" s="542">
        <v>0</v>
      </c>
      <c r="BU37" s="542">
        <v>-154582</v>
      </c>
      <c r="BV37" s="542">
        <v>216950</v>
      </c>
      <c r="BW37" s="542">
        <v>0</v>
      </c>
      <c r="BX37" s="542">
        <v>2160617</v>
      </c>
      <c r="BY37" s="542">
        <v>13244</v>
      </c>
      <c r="BZ37" s="542">
        <v>-21847</v>
      </c>
      <c r="CA37" s="542">
        <v>0</v>
      </c>
      <c r="CB37" s="542">
        <v>-147313</v>
      </c>
      <c r="CC37" s="542">
        <v>-51354</v>
      </c>
      <c r="CD37" s="542">
        <v>0</v>
      </c>
      <c r="CE37" s="542">
        <v>-27153</v>
      </c>
    </row>
    <row r="38" spans="1:83" ht="30" x14ac:dyDescent="0.25">
      <c r="A38" s="638">
        <v>51</v>
      </c>
      <c r="B38" s="571">
        <v>51</v>
      </c>
      <c r="C38" s="536" t="s">
        <v>332</v>
      </c>
      <c r="D38" s="537" t="s">
        <v>424</v>
      </c>
      <c r="E38" s="543">
        <v>74691</v>
      </c>
      <c r="F38" s="544">
        <v>0</v>
      </c>
      <c r="G38" s="544">
        <v>136160</v>
      </c>
      <c r="H38" s="544">
        <v>0</v>
      </c>
      <c r="I38" s="544">
        <v>0</v>
      </c>
      <c r="J38" s="544">
        <v>0</v>
      </c>
      <c r="K38" s="545">
        <v>13198</v>
      </c>
      <c r="L38" s="542">
        <v>0</v>
      </c>
      <c r="M38" s="542">
        <v>0</v>
      </c>
      <c r="N38" s="541">
        <v>0</v>
      </c>
      <c r="O38" s="541">
        <v>0</v>
      </c>
      <c r="P38" s="541">
        <v>613307</v>
      </c>
      <c r="Q38" s="541">
        <v>0</v>
      </c>
      <c r="R38" s="541">
        <v>9427854</v>
      </c>
      <c r="S38" s="541">
        <v>177723</v>
      </c>
      <c r="T38" s="541">
        <v>0</v>
      </c>
      <c r="U38" s="541">
        <v>11954609</v>
      </c>
      <c r="V38" s="541">
        <v>3420451</v>
      </c>
      <c r="W38" s="541">
        <v>4803741</v>
      </c>
      <c r="X38" s="541">
        <v>0</v>
      </c>
      <c r="Y38" s="541">
        <v>0</v>
      </c>
      <c r="Z38" s="541">
        <v>2589709</v>
      </c>
      <c r="AA38" s="541">
        <v>318158</v>
      </c>
      <c r="AB38" s="542">
        <v>1650054</v>
      </c>
      <c r="AC38" s="542">
        <v>557250</v>
      </c>
      <c r="AD38" s="542">
        <v>-6956</v>
      </c>
      <c r="AE38" s="542">
        <v>411455</v>
      </c>
      <c r="AF38" s="542">
        <v>148372</v>
      </c>
      <c r="AG38" s="542">
        <v>-3980</v>
      </c>
      <c r="AH38" s="542">
        <v>931484</v>
      </c>
      <c r="AI38" s="542">
        <v>-4777</v>
      </c>
      <c r="AJ38" s="542">
        <v>7268732</v>
      </c>
      <c r="AK38" s="542">
        <v>34259</v>
      </c>
      <c r="AL38" s="542">
        <v>203401</v>
      </c>
      <c r="AM38" s="542">
        <v>0</v>
      </c>
      <c r="AN38" s="542">
        <v>1795145</v>
      </c>
      <c r="AO38" s="542">
        <v>-13911</v>
      </c>
      <c r="AP38" s="542">
        <v>0</v>
      </c>
      <c r="AQ38" s="542">
        <v>0</v>
      </c>
      <c r="AR38" s="542">
        <v>0</v>
      </c>
      <c r="AS38" s="542">
        <v>1347021</v>
      </c>
      <c r="AT38" s="542">
        <v>0</v>
      </c>
      <c r="AU38" s="542">
        <v>102847</v>
      </c>
      <c r="AV38" s="542">
        <v>0</v>
      </c>
      <c r="AW38" s="542">
        <v>10791977</v>
      </c>
      <c r="AX38" s="542">
        <v>0</v>
      </c>
      <c r="AY38" s="542">
        <v>488265</v>
      </c>
      <c r="AZ38" s="542">
        <v>663161</v>
      </c>
      <c r="BA38" s="542">
        <v>55472</v>
      </c>
      <c r="BB38" s="542">
        <v>0</v>
      </c>
      <c r="BC38" s="542">
        <v>0</v>
      </c>
      <c r="BD38" s="542">
        <v>12302</v>
      </c>
      <c r="BE38" s="542">
        <v>2328029</v>
      </c>
      <c r="BF38" s="542">
        <v>0</v>
      </c>
      <c r="BG38" s="542">
        <v>61883</v>
      </c>
      <c r="BH38" s="542">
        <v>35341</v>
      </c>
      <c r="BI38" s="542">
        <v>0</v>
      </c>
      <c r="BJ38" s="542">
        <v>66871</v>
      </c>
      <c r="BK38" s="542">
        <v>0</v>
      </c>
      <c r="BL38" s="542">
        <v>385656</v>
      </c>
      <c r="BM38" s="542">
        <v>157358</v>
      </c>
      <c r="BN38" s="542">
        <v>39755</v>
      </c>
      <c r="BO38" s="542">
        <v>324354</v>
      </c>
      <c r="BP38" s="542">
        <v>201164</v>
      </c>
      <c r="BQ38" s="542">
        <v>133286</v>
      </c>
      <c r="BR38" s="542">
        <v>0</v>
      </c>
      <c r="BS38" s="542">
        <v>322195</v>
      </c>
      <c r="BT38" s="542">
        <v>0</v>
      </c>
      <c r="BU38" s="542">
        <v>108020</v>
      </c>
      <c r="BV38" s="542">
        <v>1296623</v>
      </c>
      <c r="BW38" s="542">
        <v>0</v>
      </c>
      <c r="BX38" s="542">
        <v>218128</v>
      </c>
      <c r="BY38" s="542">
        <v>4401</v>
      </c>
      <c r="BZ38" s="542">
        <v>0</v>
      </c>
      <c r="CA38" s="542">
        <v>0</v>
      </c>
      <c r="CB38" s="542">
        <v>23088</v>
      </c>
      <c r="CC38" s="542">
        <v>140305</v>
      </c>
      <c r="CD38" s="542">
        <v>0</v>
      </c>
      <c r="CE38" s="542">
        <v>2866</v>
      </c>
    </row>
    <row r="39" spans="1:83" ht="30" x14ac:dyDescent="0.25">
      <c r="A39" s="640">
        <v>52</v>
      </c>
      <c r="B39" s="571">
        <v>52</v>
      </c>
      <c r="C39" s="536" t="s">
        <v>325</v>
      </c>
      <c r="D39" s="537" t="s">
        <v>425</v>
      </c>
      <c r="E39" s="543">
        <v>0</v>
      </c>
      <c r="F39" s="544">
        <v>0</v>
      </c>
      <c r="G39" s="544">
        <v>0</v>
      </c>
      <c r="H39" s="544">
        <v>0</v>
      </c>
      <c r="I39" s="544">
        <v>0</v>
      </c>
      <c r="J39" s="544">
        <v>0</v>
      </c>
      <c r="K39" s="545">
        <v>0</v>
      </c>
      <c r="L39" s="542">
        <v>0</v>
      </c>
      <c r="M39" s="542">
        <v>0</v>
      </c>
      <c r="N39" s="541">
        <v>0</v>
      </c>
      <c r="O39" s="541">
        <v>0</v>
      </c>
      <c r="P39" s="541">
        <v>0</v>
      </c>
      <c r="Q39" s="541">
        <v>0</v>
      </c>
      <c r="R39" s="541">
        <v>2630050</v>
      </c>
      <c r="S39" s="541">
        <v>0</v>
      </c>
      <c r="T39" s="541">
        <v>0</v>
      </c>
      <c r="U39" s="541">
        <v>0</v>
      </c>
      <c r="V39" s="541">
        <v>0</v>
      </c>
      <c r="W39" s="541">
        <v>833335</v>
      </c>
      <c r="X39" s="541">
        <v>0</v>
      </c>
      <c r="Y39" s="541">
        <v>0</v>
      </c>
      <c r="Z39" s="541">
        <v>0</v>
      </c>
      <c r="AA39" s="541">
        <v>0</v>
      </c>
      <c r="AB39" s="542">
        <v>0</v>
      </c>
      <c r="AC39" s="542">
        <v>0</v>
      </c>
      <c r="AD39" s="542">
        <v>0</v>
      </c>
      <c r="AE39" s="542">
        <v>0</v>
      </c>
      <c r="AF39" s="542">
        <v>0</v>
      </c>
      <c r="AG39" s="542">
        <v>0</v>
      </c>
      <c r="AH39" s="542">
        <v>0</v>
      </c>
      <c r="AI39" s="542">
        <v>0</v>
      </c>
      <c r="AJ39" s="542">
        <v>2335090</v>
      </c>
      <c r="AK39" s="542">
        <v>0</v>
      </c>
      <c r="AL39" s="542">
        <v>0</v>
      </c>
      <c r="AM39" s="542">
        <v>0</v>
      </c>
      <c r="AN39" s="542">
        <v>786408</v>
      </c>
      <c r="AO39" s="542">
        <v>0</v>
      </c>
      <c r="AP39" s="542">
        <v>0</v>
      </c>
      <c r="AQ39" s="542">
        <v>0</v>
      </c>
      <c r="AR39" s="542">
        <v>0</v>
      </c>
      <c r="AS39" s="542">
        <v>0</v>
      </c>
      <c r="AT39" s="542">
        <v>0</v>
      </c>
      <c r="AU39" s="542">
        <v>0</v>
      </c>
      <c r="AV39" s="542">
        <v>2746</v>
      </c>
      <c r="AW39" s="542">
        <v>0</v>
      </c>
      <c r="AX39" s="542">
        <v>0</v>
      </c>
      <c r="AY39" s="542">
        <v>0</v>
      </c>
      <c r="AZ39" s="542">
        <v>0</v>
      </c>
      <c r="BA39" s="542">
        <v>0</v>
      </c>
      <c r="BB39" s="542">
        <v>0</v>
      </c>
      <c r="BC39" s="542">
        <v>0</v>
      </c>
      <c r="BD39" s="542">
        <v>0</v>
      </c>
      <c r="BE39" s="542">
        <v>0</v>
      </c>
      <c r="BF39" s="542">
        <v>0</v>
      </c>
      <c r="BG39" s="542">
        <v>0</v>
      </c>
      <c r="BH39" s="542">
        <v>0</v>
      </c>
      <c r="BI39" s="542">
        <v>0</v>
      </c>
      <c r="BJ39" s="542">
        <v>0</v>
      </c>
      <c r="BK39" s="542">
        <v>0</v>
      </c>
      <c r="BL39" s="542">
        <v>0</v>
      </c>
      <c r="BM39" s="542">
        <v>36273</v>
      </c>
      <c r="BN39" s="542">
        <v>0</v>
      </c>
      <c r="BO39" s="542">
        <v>0</v>
      </c>
      <c r="BP39" s="542">
        <v>0</v>
      </c>
      <c r="BQ39" s="542">
        <v>0</v>
      </c>
      <c r="BR39" s="542">
        <v>0</v>
      </c>
      <c r="BS39" s="542">
        <v>91071</v>
      </c>
      <c r="BT39" s="542">
        <v>428866</v>
      </c>
      <c r="BU39" s="542">
        <v>0</v>
      </c>
      <c r="BV39" s="542">
        <v>0</v>
      </c>
      <c r="BW39" s="542">
        <v>0</v>
      </c>
      <c r="BX39" s="542">
        <v>0</v>
      </c>
      <c r="BY39" s="542">
        <v>0</v>
      </c>
      <c r="BZ39" s="542">
        <v>0</v>
      </c>
      <c r="CA39" s="542">
        <v>0</v>
      </c>
      <c r="CB39" s="542">
        <v>0</v>
      </c>
      <c r="CC39" s="542">
        <v>0</v>
      </c>
      <c r="CD39" s="542">
        <v>0</v>
      </c>
      <c r="CE39" s="542">
        <v>0</v>
      </c>
    </row>
    <row r="40" spans="1:83" ht="30" x14ac:dyDescent="0.25">
      <c r="A40" s="640">
        <v>53</v>
      </c>
      <c r="B40" s="571">
        <v>53</v>
      </c>
      <c r="C40" s="536" t="s">
        <v>120</v>
      </c>
      <c r="D40" s="537" t="s">
        <v>426</v>
      </c>
      <c r="E40" s="543">
        <v>0</v>
      </c>
      <c r="F40" s="544">
        <v>0</v>
      </c>
      <c r="G40" s="544">
        <v>0</v>
      </c>
      <c r="H40" s="544">
        <v>0</v>
      </c>
      <c r="I40" s="544">
        <v>0</v>
      </c>
      <c r="J40" s="544">
        <v>0</v>
      </c>
      <c r="K40" s="545">
        <v>0</v>
      </c>
      <c r="L40" s="542">
        <v>0</v>
      </c>
      <c r="M40" s="542">
        <v>0</v>
      </c>
      <c r="N40" s="541">
        <v>0</v>
      </c>
      <c r="O40" s="541">
        <v>0</v>
      </c>
      <c r="P40" s="541">
        <v>0</v>
      </c>
      <c r="Q40" s="541">
        <v>0</v>
      </c>
      <c r="R40" s="541">
        <v>2279763</v>
      </c>
      <c r="S40" s="541">
        <v>0</v>
      </c>
      <c r="T40" s="541">
        <v>0</v>
      </c>
      <c r="U40" s="541">
        <v>0</v>
      </c>
      <c r="V40" s="541">
        <v>0</v>
      </c>
      <c r="W40" s="541">
        <v>-127711</v>
      </c>
      <c r="X40" s="541">
        <v>0</v>
      </c>
      <c r="Y40" s="541">
        <v>0</v>
      </c>
      <c r="Z40" s="541">
        <v>0</v>
      </c>
      <c r="AA40" s="541">
        <v>0</v>
      </c>
      <c r="AB40" s="542">
        <v>0</v>
      </c>
      <c r="AC40" s="542">
        <v>0</v>
      </c>
      <c r="AD40" s="542">
        <v>0</v>
      </c>
      <c r="AE40" s="542">
        <v>0</v>
      </c>
      <c r="AF40" s="542">
        <v>0</v>
      </c>
      <c r="AG40" s="542">
        <v>0</v>
      </c>
      <c r="AH40" s="542">
        <v>0</v>
      </c>
      <c r="AI40" s="542">
        <v>0</v>
      </c>
      <c r="AJ40" s="542">
        <v>4857124</v>
      </c>
      <c r="AK40" s="542">
        <v>0</v>
      </c>
      <c r="AL40" s="542">
        <v>0</v>
      </c>
      <c r="AM40" s="542">
        <v>0</v>
      </c>
      <c r="AN40" s="542">
        <v>885954</v>
      </c>
      <c r="AO40" s="542">
        <v>0</v>
      </c>
      <c r="AP40" s="542">
        <v>0</v>
      </c>
      <c r="AQ40" s="542">
        <v>0</v>
      </c>
      <c r="AR40" s="542">
        <v>0</v>
      </c>
      <c r="AS40" s="542">
        <v>0</v>
      </c>
      <c r="AT40" s="542">
        <v>0</v>
      </c>
      <c r="AU40" s="542">
        <v>0</v>
      </c>
      <c r="AV40" s="542">
        <v>-32921</v>
      </c>
      <c r="AW40" s="542">
        <v>0</v>
      </c>
      <c r="AX40" s="542">
        <v>0</v>
      </c>
      <c r="AY40" s="542">
        <v>0</v>
      </c>
      <c r="AZ40" s="542">
        <v>0</v>
      </c>
      <c r="BA40" s="542">
        <v>0</v>
      </c>
      <c r="BB40" s="542">
        <v>0</v>
      </c>
      <c r="BC40" s="542">
        <v>0</v>
      </c>
      <c r="BD40" s="542">
        <v>0</v>
      </c>
      <c r="BE40" s="542">
        <v>0</v>
      </c>
      <c r="BF40" s="542">
        <v>0</v>
      </c>
      <c r="BG40" s="542">
        <v>0</v>
      </c>
      <c r="BH40" s="542">
        <v>0</v>
      </c>
      <c r="BI40" s="542">
        <v>0</v>
      </c>
      <c r="BJ40" s="542">
        <v>0</v>
      </c>
      <c r="BK40" s="542">
        <v>0</v>
      </c>
      <c r="BL40" s="542">
        <v>0</v>
      </c>
      <c r="BM40" s="542">
        <v>223308</v>
      </c>
      <c r="BN40" s="542">
        <v>0</v>
      </c>
      <c r="BO40" s="542">
        <v>0</v>
      </c>
      <c r="BP40" s="542">
        <v>0</v>
      </c>
      <c r="BQ40" s="542">
        <v>0</v>
      </c>
      <c r="BR40" s="542">
        <v>0</v>
      </c>
      <c r="BS40" s="542">
        <v>-300887</v>
      </c>
      <c r="BT40" s="542">
        <v>697895</v>
      </c>
      <c r="BU40" s="542">
        <v>0</v>
      </c>
      <c r="BV40" s="542">
        <v>0</v>
      </c>
      <c r="BW40" s="542">
        <v>0</v>
      </c>
      <c r="BX40" s="542">
        <v>0</v>
      </c>
      <c r="BY40" s="542">
        <v>0</v>
      </c>
      <c r="BZ40" s="542">
        <v>0</v>
      </c>
      <c r="CA40" s="542">
        <v>0</v>
      </c>
      <c r="CB40" s="542">
        <v>0</v>
      </c>
      <c r="CC40" s="542">
        <v>0</v>
      </c>
      <c r="CD40" s="542">
        <v>0</v>
      </c>
      <c r="CE40" s="542">
        <v>0</v>
      </c>
    </row>
    <row r="41" spans="1:83" ht="30" x14ac:dyDescent="0.25">
      <c r="A41" s="640">
        <v>55</v>
      </c>
      <c r="B41" s="571">
        <v>54</v>
      </c>
      <c r="C41" s="536" t="s">
        <v>746</v>
      </c>
      <c r="D41" s="537" t="s">
        <v>427</v>
      </c>
      <c r="E41" s="543">
        <v>0</v>
      </c>
      <c r="F41" s="544">
        <v>0</v>
      </c>
      <c r="G41" s="544">
        <v>0</v>
      </c>
      <c r="H41" s="544">
        <v>0</v>
      </c>
      <c r="I41" s="544">
        <v>0</v>
      </c>
      <c r="J41" s="544">
        <v>0</v>
      </c>
      <c r="K41" s="545">
        <v>0</v>
      </c>
      <c r="L41" s="542">
        <v>0</v>
      </c>
      <c r="M41" s="542">
        <v>0</v>
      </c>
      <c r="N41" s="541">
        <v>0</v>
      </c>
      <c r="O41" s="541">
        <v>0</v>
      </c>
      <c r="P41" s="541">
        <v>0</v>
      </c>
      <c r="Q41" s="541">
        <v>0</v>
      </c>
      <c r="R41" s="541">
        <v>0</v>
      </c>
      <c r="S41" s="541">
        <v>0</v>
      </c>
      <c r="T41" s="541">
        <v>0</v>
      </c>
      <c r="U41" s="541">
        <v>0</v>
      </c>
      <c r="V41" s="541">
        <v>0</v>
      </c>
      <c r="W41" s="541">
        <v>0</v>
      </c>
      <c r="X41" s="541">
        <v>0</v>
      </c>
      <c r="Y41" s="541">
        <v>0</v>
      </c>
      <c r="Z41" s="541">
        <v>0</v>
      </c>
      <c r="AA41" s="541">
        <v>0</v>
      </c>
      <c r="AB41" s="542">
        <v>0</v>
      </c>
      <c r="AC41" s="542">
        <v>0</v>
      </c>
      <c r="AD41" s="542">
        <v>0</v>
      </c>
      <c r="AE41" s="542">
        <v>0</v>
      </c>
      <c r="AF41" s="542">
        <v>0</v>
      </c>
      <c r="AG41" s="542">
        <v>0</v>
      </c>
      <c r="AH41" s="542">
        <v>0</v>
      </c>
      <c r="AI41" s="542">
        <v>0</v>
      </c>
      <c r="AJ41" s="542">
        <v>0</v>
      </c>
      <c r="AK41" s="542">
        <v>0</v>
      </c>
      <c r="AL41" s="542">
        <v>0</v>
      </c>
      <c r="AM41" s="542">
        <v>0</v>
      </c>
      <c r="AN41" s="542">
        <v>0</v>
      </c>
      <c r="AO41" s="542">
        <v>0</v>
      </c>
      <c r="AP41" s="542">
        <v>0</v>
      </c>
      <c r="AQ41" s="542">
        <v>0</v>
      </c>
      <c r="AR41" s="542">
        <v>0</v>
      </c>
      <c r="AS41" s="542">
        <v>0</v>
      </c>
      <c r="AT41" s="542">
        <v>0</v>
      </c>
      <c r="AU41" s="542">
        <v>0</v>
      </c>
      <c r="AV41" s="542">
        <v>0</v>
      </c>
      <c r="AW41" s="542">
        <v>0</v>
      </c>
      <c r="AX41" s="542">
        <v>0</v>
      </c>
      <c r="AY41" s="542">
        <v>0</v>
      </c>
      <c r="AZ41" s="542">
        <v>0</v>
      </c>
      <c r="BA41" s="542">
        <v>0</v>
      </c>
      <c r="BB41" s="542">
        <v>0</v>
      </c>
      <c r="BC41" s="542">
        <v>0</v>
      </c>
      <c r="BD41" s="542">
        <v>0</v>
      </c>
      <c r="BE41" s="542">
        <v>0</v>
      </c>
      <c r="BF41" s="542">
        <v>0</v>
      </c>
      <c r="BG41" s="542">
        <v>0</v>
      </c>
      <c r="BH41" s="542">
        <v>0</v>
      </c>
      <c r="BI41" s="542">
        <v>0</v>
      </c>
      <c r="BJ41" s="542">
        <v>0</v>
      </c>
      <c r="BK41" s="542">
        <v>0</v>
      </c>
      <c r="BL41" s="542">
        <v>0</v>
      </c>
      <c r="BM41" s="542">
        <v>0</v>
      </c>
      <c r="BN41" s="542">
        <v>0</v>
      </c>
      <c r="BO41" s="542">
        <v>0</v>
      </c>
      <c r="BP41" s="542">
        <v>0</v>
      </c>
      <c r="BQ41" s="542">
        <v>0</v>
      </c>
      <c r="BR41" s="542">
        <v>0</v>
      </c>
      <c r="BS41" s="542">
        <v>0</v>
      </c>
      <c r="BT41" s="542">
        <v>0</v>
      </c>
      <c r="BU41" s="542">
        <v>0</v>
      </c>
      <c r="BV41" s="542">
        <v>0</v>
      </c>
      <c r="BW41" s="542">
        <v>0</v>
      </c>
      <c r="BX41" s="542">
        <v>0</v>
      </c>
      <c r="BY41" s="542">
        <v>0</v>
      </c>
      <c r="BZ41" s="542">
        <v>0</v>
      </c>
      <c r="CA41" s="542">
        <v>0</v>
      </c>
      <c r="CB41" s="542">
        <v>0</v>
      </c>
      <c r="CC41" s="542">
        <v>0</v>
      </c>
      <c r="CD41" s="542">
        <v>0</v>
      </c>
      <c r="CE41" s="542">
        <v>0</v>
      </c>
    </row>
    <row r="42" spans="1:83" ht="30" x14ac:dyDescent="0.25">
      <c r="A42" s="640"/>
      <c r="B42" s="571">
        <v>55</v>
      </c>
      <c r="C42" s="536" t="s">
        <v>335</v>
      </c>
      <c r="D42" s="537" t="s">
        <v>428</v>
      </c>
      <c r="E42" s="543">
        <v>0</v>
      </c>
      <c r="F42" s="544">
        <v>0</v>
      </c>
      <c r="G42" s="544">
        <v>0</v>
      </c>
      <c r="H42" s="544">
        <v>0</v>
      </c>
      <c r="I42" s="544">
        <v>0</v>
      </c>
      <c r="J42" s="544">
        <v>0</v>
      </c>
      <c r="K42" s="545">
        <v>0</v>
      </c>
      <c r="L42" s="542">
        <v>0</v>
      </c>
      <c r="M42" s="542">
        <v>0</v>
      </c>
      <c r="N42" s="541">
        <v>0</v>
      </c>
      <c r="O42" s="541">
        <v>0</v>
      </c>
      <c r="P42" s="541">
        <v>0</v>
      </c>
      <c r="Q42" s="541">
        <v>0</v>
      </c>
      <c r="R42" s="541">
        <v>5389874</v>
      </c>
      <c r="S42" s="541">
        <v>0</v>
      </c>
      <c r="T42" s="541">
        <v>0</v>
      </c>
      <c r="U42" s="541">
        <v>0</v>
      </c>
      <c r="V42" s="541">
        <v>0</v>
      </c>
      <c r="W42" s="541">
        <v>1132720</v>
      </c>
      <c r="X42" s="541">
        <v>0</v>
      </c>
      <c r="Y42" s="541">
        <v>0</v>
      </c>
      <c r="Z42" s="541">
        <v>0</v>
      </c>
      <c r="AA42" s="541">
        <v>0</v>
      </c>
      <c r="AB42" s="542">
        <v>0</v>
      </c>
      <c r="AC42" s="542">
        <v>0</v>
      </c>
      <c r="AD42" s="542">
        <v>0</v>
      </c>
      <c r="AE42" s="542">
        <v>0</v>
      </c>
      <c r="AF42" s="542">
        <v>0</v>
      </c>
      <c r="AG42" s="542">
        <v>0</v>
      </c>
      <c r="AH42" s="542">
        <v>0</v>
      </c>
      <c r="AI42" s="542">
        <v>0</v>
      </c>
      <c r="AJ42" s="542">
        <v>10003845</v>
      </c>
      <c r="AK42" s="542">
        <v>0</v>
      </c>
      <c r="AL42" s="542">
        <v>0</v>
      </c>
      <c r="AM42" s="542">
        <v>0</v>
      </c>
      <c r="AN42" s="542">
        <v>1099936</v>
      </c>
      <c r="AO42" s="542">
        <v>0</v>
      </c>
      <c r="AP42" s="542">
        <v>0</v>
      </c>
      <c r="AQ42" s="542">
        <v>0</v>
      </c>
      <c r="AR42" s="542">
        <v>0</v>
      </c>
      <c r="AS42" s="542">
        <v>0</v>
      </c>
      <c r="AT42" s="542">
        <v>0</v>
      </c>
      <c r="AU42" s="542">
        <v>0</v>
      </c>
      <c r="AV42" s="542">
        <v>14390</v>
      </c>
      <c r="AW42" s="542">
        <v>0</v>
      </c>
      <c r="AX42" s="542">
        <v>0</v>
      </c>
      <c r="AY42" s="542">
        <v>0</v>
      </c>
      <c r="AZ42" s="542">
        <v>0</v>
      </c>
      <c r="BA42" s="542">
        <v>0</v>
      </c>
      <c r="BB42" s="542">
        <v>0</v>
      </c>
      <c r="BC42" s="542">
        <v>0</v>
      </c>
      <c r="BD42" s="542">
        <v>0</v>
      </c>
      <c r="BE42" s="542">
        <v>0</v>
      </c>
      <c r="BF42" s="542">
        <v>0</v>
      </c>
      <c r="BG42" s="542">
        <v>0</v>
      </c>
      <c r="BH42" s="542">
        <v>0</v>
      </c>
      <c r="BI42" s="542">
        <v>0</v>
      </c>
      <c r="BJ42" s="542">
        <v>0</v>
      </c>
      <c r="BK42" s="542">
        <v>0</v>
      </c>
      <c r="BL42" s="542">
        <v>0</v>
      </c>
      <c r="BM42" s="542">
        <v>222695</v>
      </c>
      <c r="BN42" s="542">
        <v>0</v>
      </c>
      <c r="BO42" s="542">
        <v>0</v>
      </c>
      <c r="BP42" s="542">
        <v>0</v>
      </c>
      <c r="BQ42" s="542">
        <v>0</v>
      </c>
      <c r="BR42" s="542">
        <v>0</v>
      </c>
      <c r="BS42" s="542">
        <v>282669</v>
      </c>
      <c r="BT42" s="542">
        <v>2062400</v>
      </c>
      <c r="BU42" s="542">
        <v>0</v>
      </c>
      <c r="BV42" s="542">
        <v>0</v>
      </c>
      <c r="BW42" s="542">
        <v>0</v>
      </c>
      <c r="BX42" s="542">
        <v>0</v>
      </c>
      <c r="BY42" s="542">
        <v>0</v>
      </c>
      <c r="BZ42" s="542">
        <v>0</v>
      </c>
      <c r="CA42" s="542">
        <v>0</v>
      </c>
      <c r="CB42" s="542">
        <v>0</v>
      </c>
      <c r="CC42" s="542">
        <v>0</v>
      </c>
      <c r="CD42" s="542">
        <v>0</v>
      </c>
      <c r="CE42" s="542">
        <v>0</v>
      </c>
    </row>
    <row r="43" spans="1:83" ht="30" x14ac:dyDescent="0.25">
      <c r="A43" s="640">
        <v>61</v>
      </c>
      <c r="B43" s="571">
        <v>61</v>
      </c>
      <c r="C43" s="536" t="s">
        <v>350</v>
      </c>
      <c r="D43" s="537" t="s">
        <v>429</v>
      </c>
      <c r="E43" s="564">
        <v>100</v>
      </c>
      <c r="F43" s="565">
        <v>99.16</v>
      </c>
      <c r="G43" s="565">
        <v>95.7</v>
      </c>
      <c r="H43" s="565">
        <v>98.01</v>
      </c>
      <c r="I43" s="565">
        <v>97.62</v>
      </c>
      <c r="J43" s="565">
        <v>99.19</v>
      </c>
      <c r="K43" s="566">
        <v>97.38</v>
      </c>
      <c r="L43" s="567">
        <v>99.34</v>
      </c>
      <c r="M43" s="567">
        <v>98.13</v>
      </c>
      <c r="N43" s="568">
        <v>99.55</v>
      </c>
      <c r="O43" s="568">
        <v>97.46</v>
      </c>
      <c r="P43" s="568">
        <v>98.9</v>
      </c>
      <c r="Q43" s="568">
        <v>99.58</v>
      </c>
      <c r="R43" s="568">
        <v>99.1</v>
      </c>
      <c r="S43" s="568">
        <v>100</v>
      </c>
      <c r="T43" s="568">
        <v>0</v>
      </c>
      <c r="U43" s="568">
        <v>99.18</v>
      </c>
      <c r="V43" s="568">
        <v>99.23</v>
      </c>
      <c r="W43" s="568">
        <v>98.71</v>
      </c>
      <c r="X43" s="568">
        <v>99.94</v>
      </c>
      <c r="Y43" s="568">
        <v>0</v>
      </c>
      <c r="Z43" s="568">
        <v>98.87</v>
      </c>
      <c r="AA43" s="568">
        <v>95.16</v>
      </c>
      <c r="AB43" s="567">
        <v>99.19</v>
      </c>
      <c r="AC43" s="567">
        <v>97.22</v>
      </c>
      <c r="AD43" s="567">
        <v>97.89</v>
      </c>
      <c r="AE43" s="567">
        <v>97.83</v>
      </c>
      <c r="AF43" s="567">
        <v>94.94</v>
      </c>
      <c r="AG43" s="567">
        <v>99.99</v>
      </c>
      <c r="AH43" s="567">
        <v>98.1</v>
      </c>
      <c r="AI43" s="567">
        <v>93.34</v>
      </c>
      <c r="AJ43" s="567">
        <v>99.39</v>
      </c>
      <c r="AK43" s="567">
        <v>99.6</v>
      </c>
      <c r="AL43" s="567">
        <v>95</v>
      </c>
      <c r="AM43" s="567">
        <v>0</v>
      </c>
      <c r="AN43" s="567">
        <v>97.91</v>
      </c>
      <c r="AO43" s="567">
        <v>98.24</v>
      </c>
      <c r="AP43" s="567">
        <v>0</v>
      </c>
      <c r="AQ43" s="567">
        <v>0</v>
      </c>
      <c r="AR43" s="567">
        <v>99.09</v>
      </c>
      <c r="AS43" s="567">
        <v>96.63</v>
      </c>
      <c r="AT43" s="567">
        <v>0</v>
      </c>
      <c r="AU43" s="567">
        <v>97.88</v>
      </c>
      <c r="AV43" s="567">
        <v>90.1</v>
      </c>
      <c r="AW43" s="567">
        <v>99.21</v>
      </c>
      <c r="AX43" s="567">
        <v>99.61</v>
      </c>
      <c r="AY43" s="567">
        <v>98.4</v>
      </c>
      <c r="AZ43" s="567">
        <v>96.72</v>
      </c>
      <c r="BA43" s="567">
        <v>99.09</v>
      </c>
      <c r="BB43" s="567">
        <v>0</v>
      </c>
      <c r="BC43" s="567">
        <v>0</v>
      </c>
      <c r="BD43" s="567">
        <v>99.51</v>
      </c>
      <c r="BE43" s="567">
        <v>98.72</v>
      </c>
      <c r="BF43" s="567">
        <v>97.84</v>
      </c>
      <c r="BG43" s="567">
        <v>94.71</v>
      </c>
      <c r="BH43" s="567">
        <v>77.459999999999994</v>
      </c>
      <c r="BI43" s="567">
        <v>97.47</v>
      </c>
      <c r="BJ43" s="567">
        <v>94.12</v>
      </c>
      <c r="BK43" s="567">
        <v>95.08</v>
      </c>
      <c r="BL43" s="567">
        <v>93</v>
      </c>
      <c r="BM43" s="567">
        <v>97.77</v>
      </c>
      <c r="BN43" s="567">
        <v>98.86</v>
      </c>
      <c r="BO43" s="567">
        <v>99.88</v>
      </c>
      <c r="BP43" s="567">
        <v>100</v>
      </c>
      <c r="BQ43" s="567">
        <v>99.39</v>
      </c>
      <c r="BR43" s="567">
        <v>99.93</v>
      </c>
      <c r="BS43" s="567">
        <v>95.54</v>
      </c>
      <c r="BT43" s="567">
        <v>99.69</v>
      </c>
      <c r="BU43" s="567">
        <v>97.07</v>
      </c>
      <c r="BV43" s="567">
        <v>99.61</v>
      </c>
      <c r="BW43" s="567">
        <v>98.68</v>
      </c>
      <c r="BX43" s="567">
        <v>90.93</v>
      </c>
      <c r="BY43" s="567">
        <v>90.48</v>
      </c>
      <c r="BZ43" s="567">
        <v>99.3</v>
      </c>
      <c r="CA43" s="567">
        <v>0</v>
      </c>
      <c r="CB43" s="567">
        <v>97.11</v>
      </c>
      <c r="CC43" s="567">
        <v>99.95</v>
      </c>
      <c r="CD43" s="567">
        <v>0</v>
      </c>
      <c r="CE43" s="567">
        <v>91.21</v>
      </c>
    </row>
    <row r="44" spans="1:83" ht="30" x14ac:dyDescent="0.25">
      <c r="A44" s="638">
        <v>80</v>
      </c>
      <c r="B44" s="571">
        <v>80</v>
      </c>
      <c r="C44" s="536" t="s">
        <v>304</v>
      </c>
      <c r="D44" s="537" t="s">
        <v>430</v>
      </c>
      <c r="E44" s="543">
        <v>132994</v>
      </c>
      <c r="F44" s="544">
        <v>0</v>
      </c>
      <c r="G44" s="544">
        <v>533631</v>
      </c>
      <c r="H44" s="544">
        <v>0</v>
      </c>
      <c r="I44" s="544">
        <v>0</v>
      </c>
      <c r="J44" s="544">
        <v>0</v>
      </c>
      <c r="K44" s="545">
        <v>4371</v>
      </c>
      <c r="L44" s="542">
        <v>0</v>
      </c>
      <c r="M44" s="542">
        <v>0</v>
      </c>
      <c r="N44" s="541">
        <v>0</v>
      </c>
      <c r="O44" s="541">
        <v>0</v>
      </c>
      <c r="P44" s="541">
        <v>802283</v>
      </c>
      <c r="Q44" s="541">
        <v>0</v>
      </c>
      <c r="R44" s="541">
        <v>38737173</v>
      </c>
      <c r="S44" s="541">
        <v>833600</v>
      </c>
      <c r="T44" s="541">
        <v>0</v>
      </c>
      <c r="U44" s="541">
        <v>43621632</v>
      </c>
      <c r="V44" s="541">
        <v>12961588</v>
      </c>
      <c r="W44" s="541">
        <v>16951032</v>
      </c>
      <c r="X44" s="541">
        <v>0</v>
      </c>
      <c r="Y44" s="541">
        <v>0</v>
      </c>
      <c r="Z44" s="541">
        <v>4862639</v>
      </c>
      <c r="AA44" s="541">
        <v>1194216</v>
      </c>
      <c r="AB44" s="542">
        <v>11431418</v>
      </c>
      <c r="AC44" s="542">
        <v>0</v>
      </c>
      <c r="AD44" s="542">
        <v>615394</v>
      </c>
      <c r="AE44" s="542">
        <v>757546</v>
      </c>
      <c r="AF44" s="542">
        <v>1832053</v>
      </c>
      <c r="AG44" s="542">
        <v>3037231</v>
      </c>
      <c r="AH44" s="542">
        <v>2255734</v>
      </c>
      <c r="AI44" s="542">
        <v>67625</v>
      </c>
      <c r="AJ44" s="542">
        <v>15557372</v>
      </c>
      <c r="AK44" s="542">
        <v>754831</v>
      </c>
      <c r="AL44" s="542">
        <v>302981</v>
      </c>
      <c r="AM44" s="542">
        <v>0</v>
      </c>
      <c r="AN44" s="542">
        <v>2778990</v>
      </c>
      <c r="AO44" s="542">
        <v>329753</v>
      </c>
      <c r="AP44" s="542">
        <v>0</v>
      </c>
      <c r="AQ44" s="542">
        <v>0</v>
      </c>
      <c r="AR44" s="542">
        <v>0</v>
      </c>
      <c r="AS44" s="542">
        <v>3194228</v>
      </c>
      <c r="AT44" s="542">
        <v>0</v>
      </c>
      <c r="AU44" s="542">
        <v>516386</v>
      </c>
      <c r="AV44" s="542">
        <v>0</v>
      </c>
      <c r="AW44" s="542">
        <v>26010834</v>
      </c>
      <c r="AX44" s="542">
        <v>0</v>
      </c>
      <c r="AY44" s="542">
        <v>1601587</v>
      </c>
      <c r="AZ44" s="542">
        <v>5055852</v>
      </c>
      <c r="BA44" s="542">
        <v>836195</v>
      </c>
      <c r="BB44" s="542">
        <v>0</v>
      </c>
      <c r="BC44" s="542">
        <v>0</v>
      </c>
      <c r="BD44" s="542">
        <v>92949</v>
      </c>
      <c r="BE44" s="542">
        <v>7204293</v>
      </c>
      <c r="BF44" s="542">
        <v>0</v>
      </c>
      <c r="BG44" s="542">
        <v>135003</v>
      </c>
      <c r="BH44" s="542">
        <v>93765</v>
      </c>
      <c r="BI44" s="542">
        <v>0</v>
      </c>
      <c r="BJ44" s="542">
        <v>153128</v>
      </c>
      <c r="BK44" s="542">
        <v>0</v>
      </c>
      <c r="BL44" s="542">
        <v>1861581</v>
      </c>
      <c r="BM44" s="542">
        <v>42495</v>
      </c>
      <c r="BN44" s="542">
        <v>57048</v>
      </c>
      <c r="BO44" s="542">
        <v>692013</v>
      </c>
      <c r="BP44" s="542">
        <v>519283</v>
      </c>
      <c r="BQ44" s="542">
        <v>758799</v>
      </c>
      <c r="BR44" s="542">
        <v>0</v>
      </c>
      <c r="BS44" s="542">
        <v>494410</v>
      </c>
      <c r="BT44" s="542">
        <v>0</v>
      </c>
      <c r="BU44" s="542">
        <v>544438</v>
      </c>
      <c r="BV44" s="542">
        <v>3306614</v>
      </c>
      <c r="BW44" s="542">
        <v>0</v>
      </c>
      <c r="BX44" s="542">
        <v>158244</v>
      </c>
      <c r="BY44" s="542">
        <v>937440</v>
      </c>
      <c r="BZ44" s="542">
        <v>3129</v>
      </c>
      <c r="CA44" s="542">
        <v>0</v>
      </c>
      <c r="CB44" s="542">
        <v>4565</v>
      </c>
      <c r="CC44" s="542">
        <v>116419</v>
      </c>
      <c r="CD44" s="542">
        <v>0</v>
      </c>
      <c r="CE44" s="542">
        <v>6828</v>
      </c>
    </row>
    <row r="45" spans="1:83" x14ac:dyDescent="0.25">
      <c r="A45" s="638">
        <v>81</v>
      </c>
      <c r="B45" s="571">
        <v>81</v>
      </c>
      <c r="C45" s="536" t="s">
        <v>305</v>
      </c>
      <c r="D45" s="537" t="s">
        <v>431</v>
      </c>
      <c r="E45" s="543">
        <v>40200</v>
      </c>
      <c r="F45" s="544">
        <v>0</v>
      </c>
      <c r="G45" s="544">
        <v>42433</v>
      </c>
      <c r="H45" s="544">
        <v>0</v>
      </c>
      <c r="I45" s="544">
        <v>0</v>
      </c>
      <c r="J45" s="544">
        <v>0</v>
      </c>
      <c r="K45" s="545">
        <v>25303</v>
      </c>
      <c r="L45" s="542">
        <v>0</v>
      </c>
      <c r="M45" s="542">
        <v>0</v>
      </c>
      <c r="N45" s="541">
        <v>0</v>
      </c>
      <c r="O45" s="541">
        <v>0</v>
      </c>
      <c r="P45" s="541">
        <v>283354</v>
      </c>
      <c r="Q45" s="541">
        <v>0</v>
      </c>
      <c r="R45" s="541">
        <v>1846903</v>
      </c>
      <c r="S45" s="541">
        <v>33212</v>
      </c>
      <c r="T45" s="541">
        <v>0</v>
      </c>
      <c r="U45" s="541">
        <v>3938702</v>
      </c>
      <c r="V45" s="541">
        <v>1318248</v>
      </c>
      <c r="W45" s="541">
        <v>1134870</v>
      </c>
      <c r="X45" s="541">
        <v>0</v>
      </c>
      <c r="Y45" s="541">
        <v>0</v>
      </c>
      <c r="Z45" s="541">
        <v>765965</v>
      </c>
      <c r="AA45" s="541">
        <v>124183</v>
      </c>
      <c r="AB45" s="542">
        <v>1024609</v>
      </c>
      <c r="AC45" s="542">
        <v>277983</v>
      </c>
      <c r="AD45" s="542">
        <v>133680</v>
      </c>
      <c r="AE45" s="542">
        <v>85293</v>
      </c>
      <c r="AF45" s="542">
        <v>146662</v>
      </c>
      <c r="AG45" s="542">
        <v>453814</v>
      </c>
      <c r="AH45" s="542">
        <v>315879</v>
      </c>
      <c r="AI45" s="542">
        <v>65044</v>
      </c>
      <c r="AJ45" s="542">
        <v>2355035</v>
      </c>
      <c r="AK45" s="542">
        <v>21410</v>
      </c>
      <c r="AL45" s="542">
        <v>72709</v>
      </c>
      <c r="AM45" s="542">
        <v>0</v>
      </c>
      <c r="AN45" s="542">
        <v>972349</v>
      </c>
      <c r="AO45" s="542">
        <v>56807</v>
      </c>
      <c r="AP45" s="542">
        <v>0</v>
      </c>
      <c r="AQ45" s="542">
        <v>0</v>
      </c>
      <c r="AR45" s="542">
        <v>0</v>
      </c>
      <c r="AS45" s="542">
        <v>483630</v>
      </c>
      <c r="AT45" s="542">
        <v>0</v>
      </c>
      <c r="AU45" s="542">
        <v>183945</v>
      </c>
      <c r="AV45" s="542">
        <v>0</v>
      </c>
      <c r="AW45" s="542">
        <v>3046091</v>
      </c>
      <c r="AX45" s="542">
        <v>0</v>
      </c>
      <c r="AY45" s="542">
        <v>123419</v>
      </c>
      <c r="AZ45" s="542">
        <v>576728</v>
      </c>
      <c r="BA45" s="542">
        <v>71002</v>
      </c>
      <c r="BB45" s="542">
        <v>0</v>
      </c>
      <c r="BC45" s="542">
        <v>0</v>
      </c>
      <c r="BD45" s="542">
        <v>17738</v>
      </c>
      <c r="BE45" s="542">
        <v>651232</v>
      </c>
      <c r="BF45" s="542">
        <v>0</v>
      </c>
      <c r="BG45" s="542">
        <v>28228</v>
      </c>
      <c r="BH45" s="542">
        <v>3297</v>
      </c>
      <c r="BI45" s="542">
        <v>0</v>
      </c>
      <c r="BJ45" s="542">
        <v>19165</v>
      </c>
      <c r="BK45" s="542">
        <v>0</v>
      </c>
      <c r="BL45" s="542">
        <v>123403</v>
      </c>
      <c r="BM45" s="542">
        <v>113999</v>
      </c>
      <c r="BN45" s="542">
        <v>135189</v>
      </c>
      <c r="BO45" s="542">
        <v>201368</v>
      </c>
      <c r="BP45" s="542">
        <v>102440</v>
      </c>
      <c r="BQ45" s="542">
        <v>11285</v>
      </c>
      <c r="BR45" s="542">
        <v>0</v>
      </c>
      <c r="BS45" s="542">
        <v>83440</v>
      </c>
      <c r="BT45" s="542">
        <v>0</v>
      </c>
      <c r="BU45" s="542">
        <v>69648</v>
      </c>
      <c r="BV45" s="542">
        <v>377035</v>
      </c>
      <c r="BW45" s="542">
        <v>0</v>
      </c>
      <c r="BX45" s="542">
        <v>438049</v>
      </c>
      <c r="BY45" s="542">
        <v>27505</v>
      </c>
      <c r="BZ45" s="542">
        <v>1524</v>
      </c>
      <c r="CA45" s="542">
        <v>0</v>
      </c>
      <c r="CB45" s="542">
        <v>15629</v>
      </c>
      <c r="CC45" s="542">
        <v>65768</v>
      </c>
      <c r="CD45" s="542">
        <v>0</v>
      </c>
      <c r="CE45" s="542">
        <v>0</v>
      </c>
    </row>
    <row r="46" spans="1:83" ht="30" x14ac:dyDescent="0.25">
      <c r="A46" s="638">
        <v>82</v>
      </c>
      <c r="B46" s="571">
        <v>82</v>
      </c>
      <c r="C46" s="536" t="s">
        <v>667</v>
      </c>
      <c r="D46" s="537" t="s">
        <v>432</v>
      </c>
      <c r="E46" s="543">
        <v>110000</v>
      </c>
      <c r="F46" s="544">
        <v>0</v>
      </c>
      <c r="G46" s="544">
        <v>126000</v>
      </c>
      <c r="H46" s="544">
        <v>0</v>
      </c>
      <c r="I46" s="544">
        <v>0</v>
      </c>
      <c r="J46" s="544">
        <v>0</v>
      </c>
      <c r="K46" s="545">
        <v>445000</v>
      </c>
      <c r="L46" s="542">
        <v>0</v>
      </c>
      <c r="M46" s="542">
        <v>0</v>
      </c>
      <c r="N46" s="541">
        <v>0</v>
      </c>
      <c r="O46" s="541">
        <v>0</v>
      </c>
      <c r="P46" s="541">
        <v>0</v>
      </c>
      <c r="Q46" s="541">
        <v>0</v>
      </c>
      <c r="R46" s="541">
        <v>25352778</v>
      </c>
      <c r="S46" s="541">
        <v>552769</v>
      </c>
      <c r="T46" s="541">
        <v>0</v>
      </c>
      <c r="U46" s="541">
        <v>62112990</v>
      </c>
      <c r="V46" s="541">
        <v>18178152</v>
      </c>
      <c r="W46" s="541">
        <v>19488884</v>
      </c>
      <c r="X46" s="541">
        <v>0</v>
      </c>
      <c r="Y46" s="541">
        <v>0</v>
      </c>
      <c r="Z46" s="541">
        <v>8839653</v>
      </c>
      <c r="AA46" s="541">
        <v>1184000</v>
      </c>
      <c r="AB46" s="542">
        <v>3976703</v>
      </c>
      <c r="AC46" s="542">
        <v>7515052</v>
      </c>
      <c r="AD46" s="542">
        <v>909006</v>
      </c>
      <c r="AE46" s="542">
        <v>2318996</v>
      </c>
      <c r="AF46" s="542">
        <v>395040</v>
      </c>
      <c r="AG46" s="542">
        <v>146783</v>
      </c>
      <c r="AH46" s="542">
        <v>259133</v>
      </c>
      <c r="AI46" s="542">
        <v>502104</v>
      </c>
      <c r="AJ46" s="542">
        <v>36091897</v>
      </c>
      <c r="AK46" s="542">
        <v>0</v>
      </c>
      <c r="AL46" s="542">
        <v>880150</v>
      </c>
      <c r="AM46" s="542">
        <v>0</v>
      </c>
      <c r="AN46" s="542">
        <v>9775574</v>
      </c>
      <c r="AO46" s="542">
        <v>305500</v>
      </c>
      <c r="AP46" s="542">
        <v>0</v>
      </c>
      <c r="AQ46" s="542">
        <v>0</v>
      </c>
      <c r="AR46" s="542">
        <v>0</v>
      </c>
      <c r="AS46" s="542">
        <v>2010503</v>
      </c>
      <c r="AT46" s="542">
        <v>0</v>
      </c>
      <c r="AU46" s="542">
        <v>2020887</v>
      </c>
      <c r="AV46" s="542">
        <v>0</v>
      </c>
      <c r="AW46" s="542">
        <v>90520067</v>
      </c>
      <c r="AX46" s="542">
        <v>0</v>
      </c>
      <c r="AY46" s="542">
        <v>1055557</v>
      </c>
      <c r="AZ46" s="542">
        <v>0</v>
      </c>
      <c r="BA46" s="542">
        <v>775000</v>
      </c>
      <c r="BB46" s="542">
        <v>0</v>
      </c>
      <c r="BC46" s="542">
        <v>0</v>
      </c>
      <c r="BD46" s="542">
        <v>0</v>
      </c>
      <c r="BE46" s="542">
        <v>6677673</v>
      </c>
      <c r="BF46" s="542">
        <v>0</v>
      </c>
      <c r="BG46" s="542">
        <v>425964</v>
      </c>
      <c r="BH46" s="542">
        <v>0</v>
      </c>
      <c r="BI46" s="542">
        <v>0</v>
      </c>
      <c r="BJ46" s="542">
        <v>88919</v>
      </c>
      <c r="BK46" s="542">
        <v>0</v>
      </c>
      <c r="BL46" s="542">
        <v>1031488</v>
      </c>
      <c r="BM46" s="542">
        <v>1080000</v>
      </c>
      <c r="BN46" s="542">
        <v>696095</v>
      </c>
      <c r="BO46" s="542">
        <v>2876000</v>
      </c>
      <c r="BP46" s="542">
        <v>976628</v>
      </c>
      <c r="BQ46" s="542">
        <v>14331</v>
      </c>
      <c r="BR46" s="542">
        <v>0</v>
      </c>
      <c r="BS46" s="542">
        <v>0</v>
      </c>
      <c r="BT46" s="542">
        <v>0</v>
      </c>
      <c r="BU46" s="542">
        <v>1029926</v>
      </c>
      <c r="BV46" s="542">
        <v>1599822</v>
      </c>
      <c r="BW46" s="542">
        <v>0</v>
      </c>
      <c r="BX46" s="542">
        <v>725998</v>
      </c>
      <c r="BY46" s="542">
        <v>0</v>
      </c>
      <c r="BZ46" s="542">
        <v>0</v>
      </c>
      <c r="CA46" s="542">
        <v>0</v>
      </c>
      <c r="CB46" s="542">
        <v>408000</v>
      </c>
      <c r="CC46" s="542">
        <v>1291184</v>
      </c>
      <c r="CD46" s="542">
        <v>0</v>
      </c>
      <c r="CE46" s="542">
        <v>0</v>
      </c>
    </row>
    <row r="47" spans="1:83" x14ac:dyDescent="0.25">
      <c r="A47" s="638">
        <v>83</v>
      </c>
      <c r="B47" s="571">
        <v>83</v>
      </c>
      <c r="C47" s="536" t="s">
        <v>121</v>
      </c>
      <c r="D47" s="537" t="s">
        <v>433</v>
      </c>
      <c r="E47" s="543">
        <v>904083</v>
      </c>
      <c r="F47" s="544">
        <v>0</v>
      </c>
      <c r="G47" s="544">
        <v>4118399</v>
      </c>
      <c r="H47" s="544">
        <v>0</v>
      </c>
      <c r="I47" s="544">
        <v>0</v>
      </c>
      <c r="J47" s="544">
        <v>0</v>
      </c>
      <c r="K47" s="545">
        <v>2019841</v>
      </c>
      <c r="L47" s="542">
        <v>0</v>
      </c>
      <c r="M47" s="542">
        <v>0</v>
      </c>
      <c r="N47" s="541">
        <v>0</v>
      </c>
      <c r="O47" s="541">
        <v>0</v>
      </c>
      <c r="P47" s="541">
        <v>13808303</v>
      </c>
      <c r="Q47" s="541">
        <v>0</v>
      </c>
      <c r="R47" s="541">
        <v>95309158</v>
      </c>
      <c r="S47" s="541">
        <v>1920550</v>
      </c>
      <c r="T47" s="541">
        <v>0</v>
      </c>
      <c r="U47" s="541">
        <v>114544739</v>
      </c>
      <c r="V47" s="541">
        <v>46233929</v>
      </c>
      <c r="W47" s="541">
        <v>56091359</v>
      </c>
      <c r="X47" s="541">
        <v>0</v>
      </c>
      <c r="Y47" s="541">
        <v>0</v>
      </c>
      <c r="Z47" s="541">
        <v>37366921</v>
      </c>
      <c r="AA47" s="541">
        <v>10199867</v>
      </c>
      <c r="AB47" s="542">
        <v>29490179</v>
      </c>
      <c r="AC47" s="542">
        <v>17181229</v>
      </c>
      <c r="AD47" s="542">
        <v>3335009</v>
      </c>
      <c r="AE47" s="542">
        <v>5025536</v>
      </c>
      <c r="AF47" s="542">
        <v>12662165</v>
      </c>
      <c r="AG47" s="542">
        <v>9161756</v>
      </c>
      <c r="AH47" s="542">
        <v>10175473</v>
      </c>
      <c r="AI47" s="542">
        <v>3525356</v>
      </c>
      <c r="AJ47" s="542">
        <v>95998130</v>
      </c>
      <c r="AK47" s="542">
        <v>2387899</v>
      </c>
      <c r="AL47" s="542">
        <v>4075547</v>
      </c>
      <c r="AM47" s="542">
        <v>0</v>
      </c>
      <c r="AN47" s="542">
        <v>22968647</v>
      </c>
      <c r="AO47" s="542">
        <v>1132295</v>
      </c>
      <c r="AP47" s="542">
        <v>0</v>
      </c>
      <c r="AQ47" s="542">
        <v>0</v>
      </c>
      <c r="AR47" s="542">
        <v>0</v>
      </c>
      <c r="AS47" s="542">
        <v>19693470</v>
      </c>
      <c r="AT47" s="542">
        <v>0</v>
      </c>
      <c r="AU47" s="542">
        <v>9971482</v>
      </c>
      <c r="AV47" s="542">
        <v>0</v>
      </c>
      <c r="AW47" s="542">
        <v>48049461</v>
      </c>
      <c r="AX47" s="542">
        <v>0</v>
      </c>
      <c r="AY47" s="542">
        <v>6992642</v>
      </c>
      <c r="AZ47" s="542">
        <v>10149425</v>
      </c>
      <c r="BA47" s="542">
        <v>6118160</v>
      </c>
      <c r="BB47" s="542">
        <v>0</v>
      </c>
      <c r="BC47" s="542">
        <v>0</v>
      </c>
      <c r="BD47" s="542">
        <v>658309</v>
      </c>
      <c r="BE47" s="542">
        <v>25131631</v>
      </c>
      <c r="BF47" s="542">
        <v>0</v>
      </c>
      <c r="BG47" s="542">
        <v>2543738</v>
      </c>
      <c r="BH47" s="542">
        <v>2502159</v>
      </c>
      <c r="BI47" s="542">
        <v>0</v>
      </c>
      <c r="BJ47" s="542">
        <v>3198562</v>
      </c>
      <c r="BK47" s="542">
        <v>0</v>
      </c>
      <c r="BL47" s="542">
        <v>13801133</v>
      </c>
      <c r="BM47" s="542">
        <v>4810741</v>
      </c>
      <c r="BN47" s="542">
        <v>5656882</v>
      </c>
      <c r="BO47" s="542">
        <v>1372902</v>
      </c>
      <c r="BP47" s="542">
        <v>1875391</v>
      </c>
      <c r="BQ47" s="542">
        <v>1291512</v>
      </c>
      <c r="BR47" s="542">
        <v>0</v>
      </c>
      <c r="BS47" s="542">
        <v>5205590</v>
      </c>
      <c r="BT47" s="542">
        <v>0</v>
      </c>
      <c r="BU47" s="542">
        <v>6482649</v>
      </c>
      <c r="BV47" s="542">
        <v>14459416</v>
      </c>
      <c r="BW47" s="542">
        <v>0</v>
      </c>
      <c r="BX47" s="542">
        <v>10350947</v>
      </c>
      <c r="BY47" s="542">
        <v>3109950</v>
      </c>
      <c r="BZ47" s="542">
        <v>679286</v>
      </c>
      <c r="CA47" s="542">
        <v>0</v>
      </c>
      <c r="CB47" s="542">
        <v>4586233</v>
      </c>
      <c r="CC47" s="542">
        <v>2907484</v>
      </c>
      <c r="CD47" s="542">
        <v>0</v>
      </c>
      <c r="CE47" s="542">
        <v>856583</v>
      </c>
    </row>
    <row r="48" spans="1:83" ht="30" x14ac:dyDescent="0.25">
      <c r="A48" s="638">
        <v>84</v>
      </c>
      <c r="B48" s="571">
        <v>84</v>
      </c>
      <c r="C48" s="536" t="s">
        <v>313</v>
      </c>
      <c r="D48" s="537" t="s">
        <v>434</v>
      </c>
      <c r="E48" s="543">
        <v>391560</v>
      </c>
      <c r="F48" s="544">
        <v>0</v>
      </c>
      <c r="G48" s="544">
        <v>535293</v>
      </c>
      <c r="H48" s="544">
        <v>0</v>
      </c>
      <c r="I48" s="544">
        <v>0</v>
      </c>
      <c r="J48" s="544">
        <v>0</v>
      </c>
      <c r="K48" s="545">
        <v>114408</v>
      </c>
      <c r="L48" s="542">
        <v>0</v>
      </c>
      <c r="M48" s="542">
        <v>0</v>
      </c>
      <c r="N48" s="541">
        <v>0</v>
      </c>
      <c r="O48" s="541">
        <v>0</v>
      </c>
      <c r="P48" s="541">
        <v>2951993</v>
      </c>
      <c r="Q48" s="541">
        <v>0</v>
      </c>
      <c r="R48" s="541">
        <v>17249868</v>
      </c>
      <c r="S48" s="541">
        <v>333751</v>
      </c>
      <c r="T48" s="541">
        <v>0</v>
      </c>
      <c r="U48" s="541">
        <v>23326863</v>
      </c>
      <c r="V48" s="541">
        <v>7299837</v>
      </c>
      <c r="W48" s="541">
        <v>11279966</v>
      </c>
      <c r="X48" s="541">
        <v>0</v>
      </c>
      <c r="Y48" s="541">
        <v>0</v>
      </c>
      <c r="Z48" s="541">
        <v>6031408</v>
      </c>
      <c r="AA48" s="541">
        <v>1085639</v>
      </c>
      <c r="AB48" s="542">
        <v>6805333</v>
      </c>
      <c r="AC48" s="542">
        <v>2799882</v>
      </c>
      <c r="AD48" s="542">
        <v>1071032</v>
      </c>
      <c r="AE48" s="542">
        <v>1386469</v>
      </c>
      <c r="AF48" s="542">
        <v>1597137</v>
      </c>
      <c r="AG48" s="542">
        <v>2699601</v>
      </c>
      <c r="AH48" s="542">
        <v>4076165</v>
      </c>
      <c r="AI48" s="542">
        <v>270056</v>
      </c>
      <c r="AJ48" s="542">
        <v>21790683</v>
      </c>
      <c r="AK48" s="542">
        <v>250173</v>
      </c>
      <c r="AL48" s="542">
        <v>505092</v>
      </c>
      <c r="AM48" s="542">
        <v>0</v>
      </c>
      <c r="AN48" s="542">
        <v>7191570</v>
      </c>
      <c r="AO48" s="542">
        <v>351252</v>
      </c>
      <c r="AP48" s="542">
        <v>0</v>
      </c>
      <c r="AQ48" s="542">
        <v>0</v>
      </c>
      <c r="AR48" s="542">
        <v>0</v>
      </c>
      <c r="AS48" s="542">
        <v>3034038</v>
      </c>
      <c r="AT48" s="542">
        <v>0</v>
      </c>
      <c r="AU48" s="542">
        <v>1281606</v>
      </c>
      <c r="AV48" s="542">
        <v>0</v>
      </c>
      <c r="AW48" s="542">
        <v>18086111</v>
      </c>
      <c r="AX48" s="542">
        <v>0</v>
      </c>
      <c r="AY48" s="542">
        <v>1129859</v>
      </c>
      <c r="AZ48" s="542">
        <v>2700479</v>
      </c>
      <c r="BA48" s="542">
        <v>520709</v>
      </c>
      <c r="BB48" s="542">
        <v>0</v>
      </c>
      <c r="BC48" s="542">
        <v>0</v>
      </c>
      <c r="BD48" s="542">
        <v>116977</v>
      </c>
      <c r="BE48" s="542">
        <v>6647697</v>
      </c>
      <c r="BF48" s="542">
        <v>0</v>
      </c>
      <c r="BG48" s="542">
        <v>242356</v>
      </c>
      <c r="BH48" s="542">
        <v>127590</v>
      </c>
      <c r="BI48" s="542">
        <v>0</v>
      </c>
      <c r="BJ48" s="542">
        <v>161359</v>
      </c>
      <c r="BK48" s="542">
        <v>0</v>
      </c>
      <c r="BL48" s="542">
        <v>2925405</v>
      </c>
      <c r="BM48" s="542">
        <v>647737</v>
      </c>
      <c r="BN48" s="542">
        <v>891246</v>
      </c>
      <c r="BO48" s="542">
        <v>735730</v>
      </c>
      <c r="BP48" s="542">
        <v>820322</v>
      </c>
      <c r="BQ48" s="542">
        <v>452005</v>
      </c>
      <c r="BR48" s="542">
        <v>0</v>
      </c>
      <c r="BS48" s="542">
        <v>761069</v>
      </c>
      <c r="BT48" s="542">
        <v>0</v>
      </c>
      <c r="BU48" s="542">
        <v>596036</v>
      </c>
      <c r="BV48" s="542">
        <v>3195698</v>
      </c>
      <c r="BW48" s="542">
        <v>0</v>
      </c>
      <c r="BX48" s="542">
        <v>1901075</v>
      </c>
      <c r="BY48" s="542">
        <v>269893</v>
      </c>
      <c r="BZ48" s="542">
        <v>13210</v>
      </c>
      <c r="CA48" s="542">
        <v>0</v>
      </c>
      <c r="CB48" s="542">
        <v>164736</v>
      </c>
      <c r="CC48" s="542">
        <v>692291</v>
      </c>
      <c r="CD48" s="542">
        <v>0</v>
      </c>
      <c r="CE48" s="542">
        <v>21211</v>
      </c>
    </row>
    <row r="49" spans="1:83" ht="30" x14ac:dyDescent="0.25">
      <c r="A49" s="638">
        <v>85</v>
      </c>
      <c r="B49" s="571">
        <v>85</v>
      </c>
      <c r="C49" s="536" t="s">
        <v>315</v>
      </c>
      <c r="D49" s="537" t="s">
        <v>435</v>
      </c>
      <c r="E49" s="543">
        <v>325202</v>
      </c>
      <c r="F49" s="544">
        <v>0</v>
      </c>
      <c r="G49" s="544">
        <v>564327</v>
      </c>
      <c r="H49" s="544">
        <v>0</v>
      </c>
      <c r="I49" s="544">
        <v>0</v>
      </c>
      <c r="J49" s="544">
        <v>0</v>
      </c>
      <c r="K49" s="545">
        <v>178628</v>
      </c>
      <c r="L49" s="542">
        <v>0</v>
      </c>
      <c r="M49" s="542">
        <v>0</v>
      </c>
      <c r="N49" s="541">
        <v>0</v>
      </c>
      <c r="O49" s="541">
        <v>0</v>
      </c>
      <c r="P49" s="541">
        <v>2772704</v>
      </c>
      <c r="Q49" s="541">
        <v>0</v>
      </c>
      <c r="R49" s="541">
        <v>11500304</v>
      </c>
      <c r="S49" s="541">
        <v>259821</v>
      </c>
      <c r="T49" s="541">
        <v>0</v>
      </c>
      <c r="U49" s="541">
        <v>16590975</v>
      </c>
      <c r="V49" s="541">
        <v>5743290</v>
      </c>
      <c r="W49" s="541">
        <v>9410317</v>
      </c>
      <c r="X49" s="541">
        <v>0</v>
      </c>
      <c r="Y49" s="541">
        <v>0</v>
      </c>
      <c r="Z49" s="541">
        <v>5500125</v>
      </c>
      <c r="AA49" s="541">
        <v>1196604</v>
      </c>
      <c r="AB49" s="542">
        <v>6463158</v>
      </c>
      <c r="AC49" s="542">
        <v>2711036</v>
      </c>
      <c r="AD49" s="542">
        <v>1175985</v>
      </c>
      <c r="AE49" s="542">
        <v>1211597</v>
      </c>
      <c r="AF49" s="542">
        <v>2166573</v>
      </c>
      <c r="AG49" s="542">
        <v>3077764</v>
      </c>
      <c r="AH49" s="542">
        <v>3308474</v>
      </c>
      <c r="AI49" s="542">
        <v>503543</v>
      </c>
      <c r="AJ49" s="542">
        <v>17790681</v>
      </c>
      <c r="AK49" s="542">
        <v>284151</v>
      </c>
      <c r="AL49" s="542">
        <v>508696</v>
      </c>
      <c r="AM49" s="542">
        <v>0</v>
      </c>
      <c r="AN49" s="542">
        <v>7243045</v>
      </c>
      <c r="AO49" s="542">
        <v>485985</v>
      </c>
      <c r="AP49" s="542">
        <v>0</v>
      </c>
      <c r="AQ49" s="542">
        <v>0</v>
      </c>
      <c r="AR49" s="542">
        <v>0</v>
      </c>
      <c r="AS49" s="542">
        <v>2733327</v>
      </c>
      <c r="AT49" s="542">
        <v>0</v>
      </c>
      <c r="AU49" s="542">
        <v>1471395</v>
      </c>
      <c r="AV49" s="542">
        <v>0</v>
      </c>
      <c r="AW49" s="542">
        <v>12187627</v>
      </c>
      <c r="AX49" s="542">
        <v>0</v>
      </c>
      <c r="AY49" s="542">
        <v>888182</v>
      </c>
      <c r="AZ49" s="542">
        <v>2317099</v>
      </c>
      <c r="BA49" s="542">
        <v>719833</v>
      </c>
      <c r="BB49" s="542">
        <v>0</v>
      </c>
      <c r="BC49" s="542">
        <v>0</v>
      </c>
      <c r="BD49" s="542">
        <v>122046</v>
      </c>
      <c r="BE49" s="542">
        <v>4345005</v>
      </c>
      <c r="BF49" s="542">
        <v>0</v>
      </c>
      <c r="BG49" s="542">
        <v>240305</v>
      </c>
      <c r="BH49" s="542">
        <v>165756</v>
      </c>
      <c r="BI49" s="542">
        <v>0</v>
      </c>
      <c r="BJ49" s="542">
        <v>183515</v>
      </c>
      <c r="BK49" s="542">
        <v>0</v>
      </c>
      <c r="BL49" s="542">
        <v>2708746</v>
      </c>
      <c r="BM49" s="542">
        <v>626378</v>
      </c>
      <c r="BN49" s="542">
        <v>1144653</v>
      </c>
      <c r="BO49" s="542">
        <v>576169</v>
      </c>
      <c r="BP49" s="542">
        <v>763279</v>
      </c>
      <c r="BQ49" s="542">
        <v>364377</v>
      </c>
      <c r="BR49" s="542">
        <v>0</v>
      </c>
      <c r="BS49" s="542">
        <v>630313</v>
      </c>
      <c r="BT49" s="542">
        <v>0</v>
      </c>
      <c r="BU49" s="542">
        <v>750189</v>
      </c>
      <c r="BV49" s="542">
        <v>2960501</v>
      </c>
      <c r="BW49" s="542">
        <v>0</v>
      </c>
      <c r="BX49" s="542">
        <v>2096569</v>
      </c>
      <c r="BY49" s="542">
        <v>352329</v>
      </c>
      <c r="BZ49" s="542">
        <v>35057</v>
      </c>
      <c r="CA49" s="542">
        <v>0</v>
      </c>
      <c r="CB49" s="542">
        <v>302283</v>
      </c>
      <c r="CC49" s="542">
        <v>719105</v>
      </c>
      <c r="CD49" s="542">
        <v>0</v>
      </c>
      <c r="CE49" s="542">
        <v>48365</v>
      </c>
    </row>
    <row r="50" spans="1:83" x14ac:dyDescent="0.25">
      <c r="A50" s="638">
        <v>88</v>
      </c>
      <c r="B50" s="571">
        <v>88</v>
      </c>
      <c r="C50" s="536" t="s">
        <v>312</v>
      </c>
      <c r="D50" s="537" t="s">
        <v>436</v>
      </c>
      <c r="E50" s="543">
        <v>297742</v>
      </c>
      <c r="F50" s="544">
        <v>0</v>
      </c>
      <c r="G50" s="544">
        <v>474874</v>
      </c>
      <c r="H50" s="544">
        <v>0</v>
      </c>
      <c r="I50" s="544">
        <v>0</v>
      </c>
      <c r="J50" s="544">
        <v>0</v>
      </c>
      <c r="K50" s="545">
        <v>113608</v>
      </c>
      <c r="L50" s="542">
        <v>0</v>
      </c>
      <c r="M50" s="542">
        <v>0</v>
      </c>
      <c r="N50" s="541">
        <v>0</v>
      </c>
      <c r="O50" s="541">
        <v>0</v>
      </c>
      <c r="P50" s="541">
        <v>2747357</v>
      </c>
      <c r="Q50" s="541">
        <v>0</v>
      </c>
      <c r="R50" s="541">
        <v>16313261</v>
      </c>
      <c r="S50" s="541">
        <v>285901</v>
      </c>
      <c r="T50" s="541">
        <v>0</v>
      </c>
      <c r="U50" s="541">
        <v>22579457</v>
      </c>
      <c r="V50" s="541">
        <v>6976210</v>
      </c>
      <c r="W50" s="541">
        <v>11279966</v>
      </c>
      <c r="X50" s="541">
        <v>0</v>
      </c>
      <c r="Y50" s="541">
        <v>0</v>
      </c>
      <c r="Z50" s="541">
        <v>6006765</v>
      </c>
      <c r="AA50" s="541">
        <v>1049723</v>
      </c>
      <c r="AB50" s="542">
        <v>5687782</v>
      </c>
      <c r="AC50" s="542">
        <v>2760439</v>
      </c>
      <c r="AD50" s="542">
        <v>1015900</v>
      </c>
      <c r="AE50" s="542">
        <v>1325800</v>
      </c>
      <c r="AF50" s="542">
        <v>1559077</v>
      </c>
      <c r="AG50" s="542">
        <v>2631286</v>
      </c>
      <c r="AH50" s="542">
        <v>3936470</v>
      </c>
      <c r="AI50" s="542">
        <v>239711</v>
      </c>
      <c r="AJ50" s="542">
        <v>20911424</v>
      </c>
      <c r="AK50" s="542">
        <v>246863</v>
      </c>
      <c r="AL50" s="542">
        <v>500892</v>
      </c>
      <c r="AM50" s="542">
        <v>0</v>
      </c>
      <c r="AN50" s="542">
        <v>6731110</v>
      </c>
      <c r="AO50" s="542">
        <v>345948</v>
      </c>
      <c r="AP50" s="542">
        <v>0</v>
      </c>
      <c r="AQ50" s="542">
        <v>0</v>
      </c>
      <c r="AR50" s="542">
        <v>0</v>
      </c>
      <c r="AS50" s="542">
        <v>2951710</v>
      </c>
      <c r="AT50" s="542">
        <v>0</v>
      </c>
      <c r="AU50" s="542">
        <v>1180107</v>
      </c>
      <c r="AV50" s="542">
        <v>0</v>
      </c>
      <c r="AW50" s="542">
        <v>17369237</v>
      </c>
      <c r="AX50" s="542">
        <v>0</v>
      </c>
      <c r="AY50" s="542">
        <v>985665</v>
      </c>
      <c r="AZ50" s="542">
        <v>2594480</v>
      </c>
      <c r="BA50" s="542">
        <v>396338</v>
      </c>
      <c r="BB50" s="542">
        <v>0</v>
      </c>
      <c r="BC50" s="542">
        <v>0</v>
      </c>
      <c r="BD50" s="542">
        <v>110941</v>
      </c>
      <c r="BE50" s="542">
        <v>5710404</v>
      </c>
      <c r="BF50" s="542">
        <v>0</v>
      </c>
      <c r="BG50" s="542">
        <v>235845</v>
      </c>
      <c r="BH50" s="542">
        <v>127590</v>
      </c>
      <c r="BI50" s="542">
        <v>0</v>
      </c>
      <c r="BJ50" s="542">
        <v>161359</v>
      </c>
      <c r="BK50" s="542">
        <v>0</v>
      </c>
      <c r="BL50" s="542">
        <v>2925405</v>
      </c>
      <c r="BM50" s="542">
        <v>592276</v>
      </c>
      <c r="BN50" s="542">
        <v>850167</v>
      </c>
      <c r="BO50" s="542">
        <v>725042</v>
      </c>
      <c r="BP50" s="542">
        <v>743239</v>
      </c>
      <c r="BQ50" s="542">
        <v>452005</v>
      </c>
      <c r="BR50" s="542">
        <v>0</v>
      </c>
      <c r="BS50" s="542">
        <v>690036</v>
      </c>
      <c r="BT50" s="542">
        <v>0</v>
      </c>
      <c r="BU50" s="542">
        <v>577506</v>
      </c>
      <c r="BV50" s="542">
        <v>2965740</v>
      </c>
      <c r="BW50" s="542">
        <v>0</v>
      </c>
      <c r="BX50" s="542">
        <v>1901075</v>
      </c>
      <c r="BY50" s="542">
        <v>264659</v>
      </c>
      <c r="BZ50" s="542">
        <v>13210</v>
      </c>
      <c r="CA50" s="542">
        <v>0</v>
      </c>
      <c r="CB50" s="542">
        <v>164618</v>
      </c>
      <c r="CC50" s="542">
        <v>643313</v>
      </c>
      <c r="CD50" s="542">
        <v>0</v>
      </c>
      <c r="CE50" s="542">
        <v>21211</v>
      </c>
    </row>
    <row r="51" spans="1:83" x14ac:dyDescent="0.25">
      <c r="A51" s="638">
        <v>89</v>
      </c>
      <c r="B51" s="571">
        <v>89</v>
      </c>
      <c r="C51" s="536" t="s">
        <v>316</v>
      </c>
      <c r="D51" s="537" t="s">
        <v>437</v>
      </c>
      <c r="E51" s="543">
        <v>6527</v>
      </c>
      <c r="F51" s="544">
        <v>0</v>
      </c>
      <c r="G51" s="544">
        <v>5189</v>
      </c>
      <c r="H51" s="544">
        <v>0</v>
      </c>
      <c r="I51" s="544">
        <v>0</v>
      </c>
      <c r="J51" s="544">
        <v>0</v>
      </c>
      <c r="K51" s="545">
        <v>8805</v>
      </c>
      <c r="L51" s="542">
        <v>0</v>
      </c>
      <c r="M51" s="542">
        <v>0</v>
      </c>
      <c r="N51" s="541">
        <v>0</v>
      </c>
      <c r="O51" s="541">
        <v>0</v>
      </c>
      <c r="P51" s="541">
        <v>0</v>
      </c>
      <c r="Q51" s="541">
        <v>0</v>
      </c>
      <c r="R51" s="541">
        <v>839106</v>
      </c>
      <c r="S51" s="541">
        <v>12126</v>
      </c>
      <c r="T51" s="541">
        <v>0</v>
      </c>
      <c r="U51" s="541">
        <v>2785413</v>
      </c>
      <c r="V51" s="541">
        <v>376356</v>
      </c>
      <c r="W51" s="541">
        <v>436664</v>
      </c>
      <c r="X51" s="541">
        <v>0</v>
      </c>
      <c r="Y51" s="541">
        <v>0</v>
      </c>
      <c r="Z51" s="541">
        <v>312352</v>
      </c>
      <c r="AA51" s="541">
        <v>40716</v>
      </c>
      <c r="AB51" s="542">
        <v>106720</v>
      </c>
      <c r="AC51" s="542">
        <v>402240</v>
      </c>
      <c r="AD51" s="542">
        <v>27845</v>
      </c>
      <c r="AE51" s="542">
        <v>59134</v>
      </c>
      <c r="AF51" s="542">
        <v>0</v>
      </c>
      <c r="AG51" s="542">
        <v>4880</v>
      </c>
      <c r="AH51" s="542">
        <v>4392</v>
      </c>
      <c r="AI51" s="542">
        <v>13953</v>
      </c>
      <c r="AJ51" s="542">
        <v>879571</v>
      </c>
      <c r="AK51" s="542">
        <v>0</v>
      </c>
      <c r="AL51" s="542">
        <v>40564</v>
      </c>
      <c r="AM51" s="542">
        <v>0</v>
      </c>
      <c r="AN51" s="542">
        <v>268831</v>
      </c>
      <c r="AO51" s="542">
        <v>17833</v>
      </c>
      <c r="AP51" s="542">
        <v>0</v>
      </c>
      <c r="AQ51" s="542">
        <v>0</v>
      </c>
      <c r="AR51" s="542">
        <v>0</v>
      </c>
      <c r="AS51" s="542">
        <v>32651</v>
      </c>
      <c r="AT51" s="542">
        <v>0</v>
      </c>
      <c r="AU51" s="542">
        <v>50150</v>
      </c>
      <c r="AV51" s="542">
        <v>0</v>
      </c>
      <c r="AW51" s="542">
        <v>3169100</v>
      </c>
      <c r="AX51" s="542">
        <v>0</v>
      </c>
      <c r="AY51" s="542">
        <v>0</v>
      </c>
      <c r="AZ51" s="542">
        <v>0</v>
      </c>
      <c r="BA51" s="542">
        <v>36073</v>
      </c>
      <c r="BB51" s="542">
        <v>0</v>
      </c>
      <c r="BC51" s="542">
        <v>0</v>
      </c>
      <c r="BD51" s="542">
        <v>0</v>
      </c>
      <c r="BE51" s="542">
        <v>112480</v>
      </c>
      <c r="BF51" s="542">
        <v>0</v>
      </c>
      <c r="BG51" s="542">
        <v>1299</v>
      </c>
      <c r="BH51" s="542">
        <v>0</v>
      </c>
      <c r="BI51" s="542">
        <v>0</v>
      </c>
      <c r="BJ51" s="542">
        <v>0</v>
      </c>
      <c r="BK51" s="542">
        <v>0</v>
      </c>
      <c r="BL51" s="542">
        <v>55030</v>
      </c>
      <c r="BM51" s="542">
        <v>21127</v>
      </c>
      <c r="BN51" s="542">
        <v>31113</v>
      </c>
      <c r="BO51" s="542">
        <v>121296</v>
      </c>
      <c r="BP51" s="542">
        <v>33210</v>
      </c>
      <c r="BQ51" s="542">
        <v>1875</v>
      </c>
      <c r="BR51" s="542">
        <v>0</v>
      </c>
      <c r="BS51" s="542">
        <v>0</v>
      </c>
      <c r="BT51" s="542">
        <v>0</v>
      </c>
      <c r="BU51" s="542">
        <v>28118</v>
      </c>
      <c r="BV51" s="542">
        <v>20128</v>
      </c>
      <c r="BW51" s="542">
        <v>0</v>
      </c>
      <c r="BX51" s="542">
        <v>25810</v>
      </c>
      <c r="BY51" s="542">
        <v>0</v>
      </c>
      <c r="BZ51" s="542">
        <v>0</v>
      </c>
      <c r="CA51" s="542">
        <v>0</v>
      </c>
      <c r="CB51" s="542">
        <v>9856</v>
      </c>
      <c r="CC51" s="542">
        <v>50015</v>
      </c>
      <c r="CD51" s="542">
        <v>0</v>
      </c>
      <c r="CE51" s="542">
        <v>0</v>
      </c>
    </row>
    <row r="52" spans="1:83" ht="30" x14ac:dyDescent="0.25">
      <c r="A52" s="640">
        <v>90</v>
      </c>
      <c r="B52" s="571">
        <v>90</v>
      </c>
      <c r="C52" s="536" t="s">
        <v>309</v>
      </c>
      <c r="D52" s="537" t="s">
        <v>438</v>
      </c>
      <c r="E52" s="543">
        <v>0</v>
      </c>
      <c r="F52" s="544">
        <v>0</v>
      </c>
      <c r="G52" s="544">
        <v>0</v>
      </c>
      <c r="H52" s="544">
        <v>0</v>
      </c>
      <c r="I52" s="544">
        <v>0</v>
      </c>
      <c r="J52" s="544">
        <v>0</v>
      </c>
      <c r="K52" s="545">
        <v>0</v>
      </c>
      <c r="L52" s="542">
        <v>0</v>
      </c>
      <c r="M52" s="542">
        <v>0</v>
      </c>
      <c r="N52" s="541">
        <v>0</v>
      </c>
      <c r="O52" s="541">
        <v>0</v>
      </c>
      <c r="P52" s="541">
        <v>0</v>
      </c>
      <c r="Q52" s="541">
        <v>0</v>
      </c>
      <c r="R52" s="541">
        <v>43678776</v>
      </c>
      <c r="S52" s="541">
        <v>0</v>
      </c>
      <c r="T52" s="541">
        <v>0</v>
      </c>
      <c r="U52" s="541">
        <v>0</v>
      </c>
      <c r="V52" s="541">
        <v>0</v>
      </c>
      <c r="W52" s="541">
        <v>7439565</v>
      </c>
      <c r="X52" s="541">
        <v>0</v>
      </c>
      <c r="Y52" s="541">
        <v>0</v>
      </c>
      <c r="Z52" s="541">
        <v>0</v>
      </c>
      <c r="AA52" s="541">
        <v>0</v>
      </c>
      <c r="AB52" s="542">
        <v>0</v>
      </c>
      <c r="AC52" s="542">
        <v>0</v>
      </c>
      <c r="AD52" s="542">
        <v>0</v>
      </c>
      <c r="AE52" s="542">
        <v>0</v>
      </c>
      <c r="AF52" s="542">
        <v>0</v>
      </c>
      <c r="AG52" s="542">
        <v>0</v>
      </c>
      <c r="AH52" s="542">
        <v>0</v>
      </c>
      <c r="AI52" s="542">
        <v>0</v>
      </c>
      <c r="AJ52" s="542">
        <v>19109285</v>
      </c>
      <c r="AK52" s="542">
        <v>0</v>
      </c>
      <c r="AL52" s="542">
        <v>0</v>
      </c>
      <c r="AM52" s="542">
        <v>0</v>
      </c>
      <c r="AN52" s="542">
        <v>4862551</v>
      </c>
      <c r="AO52" s="542">
        <v>0</v>
      </c>
      <c r="AP52" s="542">
        <v>0</v>
      </c>
      <c r="AQ52" s="542">
        <v>0</v>
      </c>
      <c r="AR52" s="542">
        <v>0</v>
      </c>
      <c r="AS52" s="542">
        <v>0</v>
      </c>
      <c r="AT52" s="542">
        <v>0</v>
      </c>
      <c r="AU52" s="542">
        <v>0</v>
      </c>
      <c r="AV52" s="542">
        <v>734063</v>
      </c>
      <c r="AW52" s="542">
        <v>0</v>
      </c>
      <c r="AX52" s="542">
        <v>0</v>
      </c>
      <c r="AY52" s="542">
        <v>0</v>
      </c>
      <c r="AZ52" s="542">
        <v>0</v>
      </c>
      <c r="BA52" s="542">
        <v>0</v>
      </c>
      <c r="BB52" s="542">
        <v>0</v>
      </c>
      <c r="BC52" s="542">
        <v>0</v>
      </c>
      <c r="BD52" s="542">
        <v>0</v>
      </c>
      <c r="BE52" s="542">
        <v>0</v>
      </c>
      <c r="BF52" s="542">
        <v>0</v>
      </c>
      <c r="BG52" s="542">
        <v>0</v>
      </c>
      <c r="BH52" s="542">
        <v>0</v>
      </c>
      <c r="BI52" s="542">
        <v>0</v>
      </c>
      <c r="BJ52" s="542">
        <v>0</v>
      </c>
      <c r="BK52" s="542">
        <v>0</v>
      </c>
      <c r="BL52" s="542">
        <v>0</v>
      </c>
      <c r="BM52" s="542">
        <v>614853</v>
      </c>
      <c r="BN52" s="542">
        <v>0</v>
      </c>
      <c r="BO52" s="542">
        <v>0</v>
      </c>
      <c r="BP52" s="542">
        <v>0</v>
      </c>
      <c r="BQ52" s="542">
        <v>0</v>
      </c>
      <c r="BR52" s="542">
        <v>0</v>
      </c>
      <c r="BS52" s="542">
        <v>65662</v>
      </c>
      <c r="BT52" s="542">
        <v>1614644</v>
      </c>
      <c r="BU52" s="542">
        <v>0</v>
      </c>
      <c r="BV52" s="542">
        <v>0</v>
      </c>
      <c r="BW52" s="542">
        <v>0</v>
      </c>
      <c r="BX52" s="542">
        <v>0</v>
      </c>
      <c r="BY52" s="542">
        <v>0</v>
      </c>
      <c r="BZ52" s="542">
        <v>0</v>
      </c>
      <c r="CA52" s="542">
        <v>0</v>
      </c>
      <c r="CB52" s="542">
        <v>0</v>
      </c>
      <c r="CC52" s="542">
        <v>0</v>
      </c>
      <c r="CD52" s="542">
        <v>0</v>
      </c>
      <c r="CE52" s="542">
        <v>0</v>
      </c>
    </row>
    <row r="53" spans="1:83" x14ac:dyDescent="0.25">
      <c r="A53" s="640">
        <v>91</v>
      </c>
      <c r="B53" s="571">
        <v>91</v>
      </c>
      <c r="C53" s="536" t="s">
        <v>310</v>
      </c>
      <c r="D53" s="537" t="s">
        <v>439</v>
      </c>
      <c r="E53" s="543">
        <v>0</v>
      </c>
      <c r="F53" s="544">
        <v>0</v>
      </c>
      <c r="G53" s="544">
        <v>0</v>
      </c>
      <c r="H53" s="544">
        <v>0</v>
      </c>
      <c r="I53" s="544">
        <v>0</v>
      </c>
      <c r="J53" s="544">
        <v>0</v>
      </c>
      <c r="K53" s="545">
        <v>0</v>
      </c>
      <c r="L53" s="542">
        <v>0</v>
      </c>
      <c r="M53" s="542">
        <v>0</v>
      </c>
      <c r="N53" s="541">
        <v>0</v>
      </c>
      <c r="O53" s="541">
        <v>0</v>
      </c>
      <c r="P53" s="541">
        <v>0</v>
      </c>
      <c r="Q53" s="541">
        <v>0</v>
      </c>
      <c r="R53" s="541">
        <v>9451293</v>
      </c>
      <c r="S53" s="541">
        <v>0</v>
      </c>
      <c r="T53" s="541">
        <v>0</v>
      </c>
      <c r="U53" s="541">
        <v>0</v>
      </c>
      <c r="V53" s="541">
        <v>0</v>
      </c>
      <c r="W53" s="541">
        <v>3898477</v>
      </c>
      <c r="X53" s="541">
        <v>0</v>
      </c>
      <c r="Y53" s="541">
        <v>0</v>
      </c>
      <c r="Z53" s="541">
        <v>0</v>
      </c>
      <c r="AA53" s="541">
        <v>0</v>
      </c>
      <c r="AB53" s="542">
        <v>0</v>
      </c>
      <c r="AC53" s="542">
        <v>0</v>
      </c>
      <c r="AD53" s="542">
        <v>0</v>
      </c>
      <c r="AE53" s="542">
        <v>0</v>
      </c>
      <c r="AF53" s="542">
        <v>0</v>
      </c>
      <c r="AG53" s="542">
        <v>0</v>
      </c>
      <c r="AH53" s="542">
        <v>0</v>
      </c>
      <c r="AI53" s="542">
        <v>0</v>
      </c>
      <c r="AJ53" s="542">
        <v>6882364</v>
      </c>
      <c r="AK53" s="542">
        <v>0</v>
      </c>
      <c r="AL53" s="542">
        <v>0</v>
      </c>
      <c r="AM53" s="542">
        <v>0</v>
      </c>
      <c r="AN53" s="542">
        <v>1594139</v>
      </c>
      <c r="AO53" s="542">
        <v>0</v>
      </c>
      <c r="AP53" s="542">
        <v>0</v>
      </c>
      <c r="AQ53" s="542">
        <v>0</v>
      </c>
      <c r="AR53" s="542">
        <v>0</v>
      </c>
      <c r="AS53" s="542">
        <v>0</v>
      </c>
      <c r="AT53" s="542">
        <v>0</v>
      </c>
      <c r="AU53" s="542">
        <v>0</v>
      </c>
      <c r="AV53" s="542">
        <v>40535</v>
      </c>
      <c r="AW53" s="542">
        <v>0</v>
      </c>
      <c r="AX53" s="542">
        <v>0</v>
      </c>
      <c r="AY53" s="542">
        <v>0</v>
      </c>
      <c r="AZ53" s="542">
        <v>0</v>
      </c>
      <c r="BA53" s="542">
        <v>0</v>
      </c>
      <c r="BB53" s="542">
        <v>0</v>
      </c>
      <c r="BC53" s="542">
        <v>0</v>
      </c>
      <c r="BD53" s="542">
        <v>0</v>
      </c>
      <c r="BE53" s="542">
        <v>0</v>
      </c>
      <c r="BF53" s="542">
        <v>0</v>
      </c>
      <c r="BG53" s="542">
        <v>0</v>
      </c>
      <c r="BH53" s="542">
        <v>0</v>
      </c>
      <c r="BI53" s="542">
        <v>0</v>
      </c>
      <c r="BJ53" s="542">
        <v>0</v>
      </c>
      <c r="BK53" s="542">
        <v>0</v>
      </c>
      <c r="BL53" s="542">
        <v>0</v>
      </c>
      <c r="BM53" s="542">
        <v>151633</v>
      </c>
      <c r="BN53" s="542">
        <v>0</v>
      </c>
      <c r="BO53" s="542">
        <v>0</v>
      </c>
      <c r="BP53" s="542">
        <v>0</v>
      </c>
      <c r="BQ53" s="542">
        <v>0</v>
      </c>
      <c r="BR53" s="542">
        <v>0</v>
      </c>
      <c r="BS53" s="542">
        <v>292248</v>
      </c>
      <c r="BT53" s="542">
        <v>1896740</v>
      </c>
      <c r="BU53" s="542">
        <v>0</v>
      </c>
      <c r="BV53" s="542">
        <v>0</v>
      </c>
      <c r="BW53" s="542">
        <v>0</v>
      </c>
      <c r="BX53" s="542">
        <v>0</v>
      </c>
      <c r="BY53" s="542">
        <v>0</v>
      </c>
      <c r="BZ53" s="542">
        <v>0</v>
      </c>
      <c r="CA53" s="542">
        <v>0</v>
      </c>
      <c r="CB53" s="542">
        <v>0</v>
      </c>
      <c r="CC53" s="542">
        <v>0</v>
      </c>
      <c r="CD53" s="542">
        <v>0</v>
      </c>
      <c r="CE53" s="542">
        <v>0</v>
      </c>
    </row>
    <row r="54" spans="1:83" x14ac:dyDescent="0.25">
      <c r="A54" s="640"/>
      <c r="B54" s="571">
        <v>92</v>
      </c>
      <c r="C54" s="536" t="s">
        <v>747</v>
      </c>
      <c r="D54" s="537" t="s">
        <v>440</v>
      </c>
      <c r="E54" s="543">
        <v>0</v>
      </c>
      <c r="F54" s="544">
        <v>0</v>
      </c>
      <c r="G54" s="544">
        <v>0</v>
      </c>
      <c r="H54" s="544">
        <v>0</v>
      </c>
      <c r="I54" s="544">
        <v>0</v>
      </c>
      <c r="J54" s="544">
        <v>0</v>
      </c>
      <c r="K54" s="545">
        <v>0</v>
      </c>
      <c r="L54" s="542">
        <v>0</v>
      </c>
      <c r="M54" s="542">
        <v>0</v>
      </c>
      <c r="N54" s="541">
        <v>0</v>
      </c>
      <c r="O54" s="541">
        <v>0</v>
      </c>
      <c r="P54" s="541">
        <v>0</v>
      </c>
      <c r="Q54" s="541">
        <v>0</v>
      </c>
      <c r="R54" s="541">
        <v>0</v>
      </c>
      <c r="S54" s="541">
        <v>0</v>
      </c>
      <c r="T54" s="541">
        <v>0</v>
      </c>
      <c r="U54" s="541">
        <v>0</v>
      </c>
      <c r="V54" s="541">
        <v>0</v>
      </c>
      <c r="W54" s="541">
        <v>0</v>
      </c>
      <c r="X54" s="541">
        <v>0</v>
      </c>
      <c r="Y54" s="541">
        <v>0</v>
      </c>
      <c r="Z54" s="541">
        <v>0</v>
      </c>
      <c r="AA54" s="541">
        <v>0</v>
      </c>
      <c r="AB54" s="542">
        <v>0</v>
      </c>
      <c r="AC54" s="542">
        <v>0</v>
      </c>
      <c r="AD54" s="542">
        <v>0</v>
      </c>
      <c r="AE54" s="542">
        <v>0</v>
      </c>
      <c r="AF54" s="542">
        <v>0</v>
      </c>
      <c r="AG54" s="542">
        <v>0</v>
      </c>
      <c r="AH54" s="542">
        <v>0</v>
      </c>
      <c r="AI54" s="542">
        <v>0</v>
      </c>
      <c r="AJ54" s="542">
        <v>0</v>
      </c>
      <c r="AK54" s="542">
        <v>0</v>
      </c>
      <c r="AL54" s="542">
        <v>0</v>
      </c>
      <c r="AM54" s="542">
        <v>0</v>
      </c>
      <c r="AN54" s="542">
        <v>0</v>
      </c>
      <c r="AO54" s="542">
        <v>0</v>
      </c>
      <c r="AP54" s="542">
        <v>0</v>
      </c>
      <c r="AQ54" s="542">
        <v>0</v>
      </c>
      <c r="AR54" s="542">
        <v>0</v>
      </c>
      <c r="AS54" s="542">
        <v>0</v>
      </c>
      <c r="AT54" s="542">
        <v>0</v>
      </c>
      <c r="AU54" s="542">
        <v>0</v>
      </c>
      <c r="AV54" s="542">
        <v>0</v>
      </c>
      <c r="AW54" s="542">
        <v>0</v>
      </c>
      <c r="AX54" s="542">
        <v>0</v>
      </c>
      <c r="AY54" s="542">
        <v>0</v>
      </c>
      <c r="AZ54" s="542">
        <v>0</v>
      </c>
      <c r="BA54" s="542">
        <v>0</v>
      </c>
      <c r="BB54" s="542">
        <v>0</v>
      </c>
      <c r="BC54" s="542">
        <v>0</v>
      </c>
      <c r="BD54" s="542">
        <v>0</v>
      </c>
      <c r="BE54" s="542">
        <v>0</v>
      </c>
      <c r="BF54" s="542">
        <v>0</v>
      </c>
      <c r="BG54" s="542">
        <v>0</v>
      </c>
      <c r="BH54" s="542">
        <v>0</v>
      </c>
      <c r="BI54" s="542">
        <v>0</v>
      </c>
      <c r="BJ54" s="542">
        <v>0</v>
      </c>
      <c r="BK54" s="542">
        <v>0</v>
      </c>
      <c r="BL54" s="542">
        <v>0</v>
      </c>
      <c r="BM54" s="542">
        <v>0</v>
      </c>
      <c r="BN54" s="542">
        <v>0</v>
      </c>
      <c r="BO54" s="542">
        <v>0</v>
      </c>
      <c r="BP54" s="542">
        <v>0</v>
      </c>
      <c r="BQ54" s="542">
        <v>0</v>
      </c>
      <c r="BR54" s="542">
        <v>0</v>
      </c>
      <c r="BS54" s="542">
        <v>0</v>
      </c>
      <c r="BT54" s="542">
        <v>0</v>
      </c>
      <c r="BU54" s="542">
        <v>0</v>
      </c>
      <c r="BV54" s="542">
        <v>0</v>
      </c>
      <c r="BW54" s="542">
        <v>0</v>
      </c>
      <c r="BX54" s="542">
        <v>0</v>
      </c>
      <c r="BY54" s="542">
        <v>0</v>
      </c>
      <c r="BZ54" s="542">
        <v>0</v>
      </c>
      <c r="CA54" s="542">
        <v>0</v>
      </c>
      <c r="CB54" s="542">
        <v>0</v>
      </c>
      <c r="CC54" s="542">
        <v>0</v>
      </c>
      <c r="CD54" s="542">
        <v>0</v>
      </c>
      <c r="CE54" s="542">
        <v>0</v>
      </c>
    </row>
    <row r="55" spans="1:83" ht="30" x14ac:dyDescent="0.25">
      <c r="A55" s="640">
        <v>93</v>
      </c>
      <c r="B55" s="571">
        <v>93</v>
      </c>
      <c r="C55" s="536" t="s">
        <v>323</v>
      </c>
      <c r="D55" s="537" t="s">
        <v>441</v>
      </c>
      <c r="E55" s="543">
        <v>0</v>
      </c>
      <c r="F55" s="544">
        <v>0</v>
      </c>
      <c r="G55" s="544">
        <v>0</v>
      </c>
      <c r="H55" s="544">
        <v>0</v>
      </c>
      <c r="I55" s="544">
        <v>0</v>
      </c>
      <c r="J55" s="544">
        <v>0</v>
      </c>
      <c r="K55" s="545">
        <v>0</v>
      </c>
      <c r="L55" s="542">
        <v>0</v>
      </c>
      <c r="M55" s="542">
        <v>0</v>
      </c>
      <c r="N55" s="541">
        <v>0</v>
      </c>
      <c r="O55" s="541">
        <v>0</v>
      </c>
      <c r="P55" s="541">
        <v>0</v>
      </c>
      <c r="Q55" s="541">
        <v>0</v>
      </c>
      <c r="R55" s="541">
        <v>63878607</v>
      </c>
      <c r="S55" s="541">
        <v>0</v>
      </c>
      <c r="T55" s="541">
        <v>0</v>
      </c>
      <c r="U55" s="541">
        <v>0</v>
      </c>
      <c r="V55" s="541">
        <v>0</v>
      </c>
      <c r="W55" s="541">
        <v>31923645</v>
      </c>
      <c r="X55" s="541">
        <v>0</v>
      </c>
      <c r="Y55" s="541">
        <v>0</v>
      </c>
      <c r="Z55" s="541">
        <v>0</v>
      </c>
      <c r="AA55" s="541">
        <v>0</v>
      </c>
      <c r="AB55" s="542">
        <v>0</v>
      </c>
      <c r="AC55" s="542">
        <v>0</v>
      </c>
      <c r="AD55" s="542">
        <v>0</v>
      </c>
      <c r="AE55" s="542">
        <v>0</v>
      </c>
      <c r="AF55" s="542">
        <v>0</v>
      </c>
      <c r="AG55" s="542">
        <v>0</v>
      </c>
      <c r="AH55" s="542">
        <v>0</v>
      </c>
      <c r="AI55" s="542">
        <v>0</v>
      </c>
      <c r="AJ55" s="542">
        <v>53878097</v>
      </c>
      <c r="AK55" s="542">
        <v>0</v>
      </c>
      <c r="AL55" s="542">
        <v>0</v>
      </c>
      <c r="AM55" s="542">
        <v>0</v>
      </c>
      <c r="AN55" s="542">
        <v>15658169</v>
      </c>
      <c r="AO55" s="542">
        <v>0</v>
      </c>
      <c r="AP55" s="542">
        <v>0</v>
      </c>
      <c r="AQ55" s="542">
        <v>0</v>
      </c>
      <c r="AR55" s="542">
        <v>0</v>
      </c>
      <c r="AS55" s="542">
        <v>0</v>
      </c>
      <c r="AT55" s="542">
        <v>0</v>
      </c>
      <c r="AU55" s="542">
        <v>0</v>
      </c>
      <c r="AV55" s="542">
        <v>364983</v>
      </c>
      <c r="AW55" s="542">
        <v>0</v>
      </c>
      <c r="AX55" s="542">
        <v>0</v>
      </c>
      <c r="AY55" s="542">
        <v>0</v>
      </c>
      <c r="AZ55" s="542">
        <v>0</v>
      </c>
      <c r="BA55" s="542">
        <v>0</v>
      </c>
      <c r="BB55" s="542">
        <v>0</v>
      </c>
      <c r="BC55" s="542">
        <v>0</v>
      </c>
      <c r="BD55" s="542">
        <v>0</v>
      </c>
      <c r="BE55" s="542">
        <v>0</v>
      </c>
      <c r="BF55" s="542">
        <v>0</v>
      </c>
      <c r="BG55" s="542">
        <v>0</v>
      </c>
      <c r="BH55" s="542">
        <v>0</v>
      </c>
      <c r="BI55" s="542">
        <v>0</v>
      </c>
      <c r="BJ55" s="542">
        <v>0</v>
      </c>
      <c r="BK55" s="542">
        <v>0</v>
      </c>
      <c r="BL55" s="542">
        <v>0</v>
      </c>
      <c r="BM55" s="542">
        <v>1141048</v>
      </c>
      <c r="BN55" s="542">
        <v>0</v>
      </c>
      <c r="BO55" s="542">
        <v>0</v>
      </c>
      <c r="BP55" s="542">
        <v>0</v>
      </c>
      <c r="BQ55" s="542">
        <v>0</v>
      </c>
      <c r="BR55" s="542">
        <v>0</v>
      </c>
      <c r="BS55" s="542">
        <v>2655267</v>
      </c>
      <c r="BT55" s="542">
        <v>11958082</v>
      </c>
      <c r="BU55" s="542">
        <v>0</v>
      </c>
      <c r="BV55" s="542">
        <v>0</v>
      </c>
      <c r="BW55" s="542">
        <v>0</v>
      </c>
      <c r="BX55" s="542">
        <v>0</v>
      </c>
      <c r="BY55" s="542">
        <v>0</v>
      </c>
      <c r="BZ55" s="542">
        <v>0</v>
      </c>
      <c r="CA55" s="542">
        <v>0</v>
      </c>
      <c r="CB55" s="542">
        <v>0</v>
      </c>
      <c r="CC55" s="542">
        <v>0</v>
      </c>
      <c r="CD55" s="542">
        <v>0</v>
      </c>
      <c r="CE55" s="542">
        <v>0</v>
      </c>
    </row>
    <row r="56" spans="1:83" ht="30" x14ac:dyDescent="0.25">
      <c r="A56" s="640">
        <v>94</v>
      </c>
      <c r="B56" s="571">
        <v>94</v>
      </c>
      <c r="C56" s="536" t="s">
        <v>326</v>
      </c>
      <c r="D56" s="537" t="s">
        <v>442</v>
      </c>
      <c r="E56" s="543">
        <v>0</v>
      </c>
      <c r="F56" s="544">
        <v>0</v>
      </c>
      <c r="G56" s="544">
        <v>0</v>
      </c>
      <c r="H56" s="544">
        <v>0</v>
      </c>
      <c r="I56" s="544">
        <v>0</v>
      </c>
      <c r="J56" s="544">
        <v>0</v>
      </c>
      <c r="K56" s="545">
        <v>0</v>
      </c>
      <c r="L56" s="542">
        <v>0</v>
      </c>
      <c r="M56" s="542">
        <v>0</v>
      </c>
      <c r="N56" s="541">
        <v>0</v>
      </c>
      <c r="O56" s="541">
        <v>0</v>
      </c>
      <c r="P56" s="541">
        <v>0</v>
      </c>
      <c r="Q56" s="541">
        <v>0</v>
      </c>
      <c r="R56" s="541">
        <v>60045645</v>
      </c>
      <c r="S56" s="541">
        <v>0</v>
      </c>
      <c r="T56" s="541">
        <v>0</v>
      </c>
      <c r="U56" s="541">
        <v>0</v>
      </c>
      <c r="V56" s="541">
        <v>0</v>
      </c>
      <c r="W56" s="541">
        <v>31439014</v>
      </c>
      <c r="X56" s="541">
        <v>0</v>
      </c>
      <c r="Y56" s="541">
        <v>0</v>
      </c>
      <c r="Z56" s="541">
        <v>0</v>
      </c>
      <c r="AA56" s="541">
        <v>0</v>
      </c>
      <c r="AB56" s="542">
        <v>0</v>
      </c>
      <c r="AC56" s="542">
        <v>0</v>
      </c>
      <c r="AD56" s="542">
        <v>0</v>
      </c>
      <c r="AE56" s="542">
        <v>0</v>
      </c>
      <c r="AF56" s="542">
        <v>0</v>
      </c>
      <c r="AG56" s="542">
        <v>0</v>
      </c>
      <c r="AH56" s="542">
        <v>0</v>
      </c>
      <c r="AI56" s="542">
        <v>0</v>
      </c>
      <c r="AJ56" s="542">
        <v>46218705</v>
      </c>
      <c r="AK56" s="542">
        <v>0</v>
      </c>
      <c r="AL56" s="542">
        <v>0</v>
      </c>
      <c r="AM56" s="542">
        <v>0</v>
      </c>
      <c r="AN56" s="542">
        <v>15501291</v>
      </c>
      <c r="AO56" s="542">
        <v>0</v>
      </c>
      <c r="AP56" s="542">
        <v>0</v>
      </c>
      <c r="AQ56" s="542">
        <v>0</v>
      </c>
      <c r="AR56" s="542">
        <v>0</v>
      </c>
      <c r="AS56" s="542">
        <v>0</v>
      </c>
      <c r="AT56" s="542">
        <v>0</v>
      </c>
      <c r="AU56" s="542">
        <v>0</v>
      </c>
      <c r="AV56" s="542">
        <v>353457</v>
      </c>
      <c r="AW56" s="542">
        <v>0</v>
      </c>
      <c r="AX56" s="542">
        <v>0</v>
      </c>
      <c r="AY56" s="542">
        <v>0</v>
      </c>
      <c r="AZ56" s="542">
        <v>0</v>
      </c>
      <c r="BA56" s="542">
        <v>0</v>
      </c>
      <c r="BB56" s="542">
        <v>0</v>
      </c>
      <c r="BC56" s="542">
        <v>0</v>
      </c>
      <c r="BD56" s="542">
        <v>0</v>
      </c>
      <c r="BE56" s="542">
        <v>0</v>
      </c>
      <c r="BF56" s="542">
        <v>0</v>
      </c>
      <c r="BG56" s="542">
        <v>0</v>
      </c>
      <c r="BH56" s="542">
        <v>0</v>
      </c>
      <c r="BI56" s="542">
        <v>0</v>
      </c>
      <c r="BJ56" s="542">
        <v>0</v>
      </c>
      <c r="BK56" s="542">
        <v>0</v>
      </c>
      <c r="BL56" s="542">
        <v>0</v>
      </c>
      <c r="BM56" s="542">
        <v>905555</v>
      </c>
      <c r="BN56" s="542">
        <v>0</v>
      </c>
      <c r="BO56" s="542">
        <v>0</v>
      </c>
      <c r="BP56" s="542">
        <v>0</v>
      </c>
      <c r="BQ56" s="542">
        <v>0</v>
      </c>
      <c r="BR56" s="542">
        <v>0</v>
      </c>
      <c r="BS56" s="542">
        <v>2651193</v>
      </c>
      <c r="BT56" s="542">
        <v>11268929</v>
      </c>
      <c r="BU56" s="542">
        <v>0</v>
      </c>
      <c r="BV56" s="542">
        <v>0</v>
      </c>
      <c r="BW56" s="542">
        <v>0</v>
      </c>
      <c r="BX56" s="542">
        <v>0</v>
      </c>
      <c r="BY56" s="542">
        <v>0</v>
      </c>
      <c r="BZ56" s="542">
        <v>0</v>
      </c>
      <c r="CA56" s="542">
        <v>0</v>
      </c>
      <c r="CB56" s="542">
        <v>0</v>
      </c>
      <c r="CC56" s="542">
        <v>0</v>
      </c>
      <c r="CD56" s="542">
        <v>0</v>
      </c>
      <c r="CE56" s="542">
        <v>0</v>
      </c>
    </row>
    <row r="57" spans="1:83" x14ac:dyDescent="0.25">
      <c r="A57" s="640">
        <v>97</v>
      </c>
      <c r="B57" s="571">
        <v>97</v>
      </c>
      <c r="C57" s="536" t="s">
        <v>322</v>
      </c>
      <c r="D57" s="537" t="s">
        <v>443</v>
      </c>
      <c r="E57" s="543">
        <v>0</v>
      </c>
      <c r="F57" s="544">
        <v>0</v>
      </c>
      <c r="G57" s="544">
        <v>0</v>
      </c>
      <c r="H57" s="544">
        <v>0</v>
      </c>
      <c r="I57" s="544">
        <v>0</v>
      </c>
      <c r="J57" s="544">
        <v>0</v>
      </c>
      <c r="K57" s="545">
        <v>0</v>
      </c>
      <c r="L57" s="542">
        <v>0</v>
      </c>
      <c r="M57" s="542">
        <v>0</v>
      </c>
      <c r="N57" s="541">
        <v>0</v>
      </c>
      <c r="O57" s="541">
        <v>0</v>
      </c>
      <c r="P57" s="541">
        <v>0</v>
      </c>
      <c r="Q57" s="541">
        <v>0</v>
      </c>
      <c r="R57" s="541">
        <v>63473572</v>
      </c>
      <c r="S57" s="541">
        <v>0</v>
      </c>
      <c r="T57" s="541">
        <v>0</v>
      </c>
      <c r="U57" s="541">
        <v>0</v>
      </c>
      <c r="V57" s="541">
        <v>0</v>
      </c>
      <c r="W57" s="541">
        <v>31923645</v>
      </c>
      <c r="X57" s="541">
        <v>0</v>
      </c>
      <c r="Y57" s="541">
        <v>0</v>
      </c>
      <c r="Z57" s="541">
        <v>0</v>
      </c>
      <c r="AA57" s="541">
        <v>0</v>
      </c>
      <c r="AB57" s="542">
        <v>0</v>
      </c>
      <c r="AC57" s="542">
        <v>0</v>
      </c>
      <c r="AD57" s="542">
        <v>0</v>
      </c>
      <c r="AE57" s="542">
        <v>0</v>
      </c>
      <c r="AF57" s="542">
        <v>0</v>
      </c>
      <c r="AG57" s="542">
        <v>0</v>
      </c>
      <c r="AH57" s="542">
        <v>0</v>
      </c>
      <c r="AI57" s="542">
        <v>0</v>
      </c>
      <c r="AJ57" s="542">
        <v>53660543</v>
      </c>
      <c r="AK57" s="542">
        <v>0</v>
      </c>
      <c r="AL57" s="542">
        <v>0</v>
      </c>
      <c r="AM57" s="542">
        <v>0</v>
      </c>
      <c r="AN57" s="542">
        <v>15110800</v>
      </c>
      <c r="AO57" s="542">
        <v>0</v>
      </c>
      <c r="AP57" s="542">
        <v>0</v>
      </c>
      <c r="AQ57" s="542">
        <v>0</v>
      </c>
      <c r="AR57" s="542">
        <v>0</v>
      </c>
      <c r="AS57" s="542">
        <v>0</v>
      </c>
      <c r="AT57" s="542">
        <v>0</v>
      </c>
      <c r="AU57" s="542">
        <v>0</v>
      </c>
      <c r="AV57" s="542">
        <v>364983</v>
      </c>
      <c r="AW57" s="542">
        <v>0</v>
      </c>
      <c r="AX57" s="542">
        <v>0</v>
      </c>
      <c r="AY57" s="542">
        <v>0</v>
      </c>
      <c r="AZ57" s="542">
        <v>0</v>
      </c>
      <c r="BA57" s="542">
        <v>0</v>
      </c>
      <c r="BB57" s="542">
        <v>0</v>
      </c>
      <c r="BC57" s="542">
        <v>0</v>
      </c>
      <c r="BD57" s="542">
        <v>0</v>
      </c>
      <c r="BE57" s="542">
        <v>0</v>
      </c>
      <c r="BF57" s="542">
        <v>0</v>
      </c>
      <c r="BG57" s="542">
        <v>0</v>
      </c>
      <c r="BH57" s="542">
        <v>0</v>
      </c>
      <c r="BI57" s="542">
        <v>0</v>
      </c>
      <c r="BJ57" s="542">
        <v>0</v>
      </c>
      <c r="BK57" s="542">
        <v>0</v>
      </c>
      <c r="BL57" s="542">
        <v>0</v>
      </c>
      <c r="BM57" s="542">
        <v>1139255</v>
      </c>
      <c r="BN57" s="542">
        <v>0</v>
      </c>
      <c r="BO57" s="542">
        <v>0</v>
      </c>
      <c r="BP57" s="542">
        <v>0</v>
      </c>
      <c r="BQ57" s="542">
        <v>0</v>
      </c>
      <c r="BR57" s="542">
        <v>0</v>
      </c>
      <c r="BS57" s="542">
        <v>2518766</v>
      </c>
      <c r="BT57" s="542">
        <v>11894135</v>
      </c>
      <c r="BU57" s="542">
        <v>0</v>
      </c>
      <c r="BV57" s="542">
        <v>0</v>
      </c>
      <c r="BW57" s="542">
        <v>0</v>
      </c>
      <c r="BX57" s="542">
        <v>0</v>
      </c>
      <c r="BY57" s="542">
        <v>0</v>
      </c>
      <c r="BZ57" s="542">
        <v>0</v>
      </c>
      <c r="CA57" s="542">
        <v>0</v>
      </c>
      <c r="CB57" s="542">
        <v>0</v>
      </c>
      <c r="CC57" s="542">
        <v>0</v>
      </c>
      <c r="CD57" s="542">
        <v>0</v>
      </c>
      <c r="CE57" s="542">
        <v>0</v>
      </c>
    </row>
    <row r="58" spans="1:83" x14ac:dyDescent="0.25">
      <c r="A58" s="640">
        <v>98</v>
      </c>
      <c r="B58" s="571">
        <v>98</v>
      </c>
      <c r="C58" s="536" t="s">
        <v>327</v>
      </c>
      <c r="D58" s="537" t="s">
        <v>444</v>
      </c>
      <c r="E58" s="543">
        <v>0</v>
      </c>
      <c r="F58" s="544">
        <v>0</v>
      </c>
      <c r="G58" s="544">
        <v>0</v>
      </c>
      <c r="H58" s="544">
        <v>0</v>
      </c>
      <c r="I58" s="544">
        <v>0</v>
      </c>
      <c r="J58" s="544">
        <v>0</v>
      </c>
      <c r="K58" s="545">
        <v>0</v>
      </c>
      <c r="L58" s="542">
        <v>0</v>
      </c>
      <c r="M58" s="542">
        <v>0</v>
      </c>
      <c r="N58" s="541">
        <v>0</v>
      </c>
      <c r="O58" s="541">
        <v>0</v>
      </c>
      <c r="P58" s="541">
        <v>0</v>
      </c>
      <c r="Q58" s="541">
        <v>0</v>
      </c>
      <c r="R58" s="541">
        <v>718193</v>
      </c>
      <c r="S58" s="541">
        <v>0</v>
      </c>
      <c r="T58" s="541">
        <v>0</v>
      </c>
      <c r="U58" s="541">
        <v>0</v>
      </c>
      <c r="V58" s="541">
        <v>0</v>
      </c>
      <c r="W58" s="541">
        <v>7896</v>
      </c>
      <c r="X58" s="541">
        <v>0</v>
      </c>
      <c r="Y58" s="541">
        <v>0</v>
      </c>
      <c r="Z58" s="541">
        <v>0</v>
      </c>
      <c r="AA58" s="541">
        <v>0</v>
      </c>
      <c r="AB58" s="542">
        <v>0</v>
      </c>
      <c r="AC58" s="542">
        <v>0</v>
      </c>
      <c r="AD58" s="542">
        <v>0</v>
      </c>
      <c r="AE58" s="542">
        <v>0</v>
      </c>
      <c r="AF58" s="542">
        <v>0</v>
      </c>
      <c r="AG58" s="542">
        <v>0</v>
      </c>
      <c r="AH58" s="542">
        <v>0</v>
      </c>
      <c r="AI58" s="542">
        <v>0</v>
      </c>
      <c r="AJ58" s="542">
        <v>212251</v>
      </c>
      <c r="AK58" s="542">
        <v>0</v>
      </c>
      <c r="AL58" s="542">
        <v>0</v>
      </c>
      <c r="AM58" s="542">
        <v>0</v>
      </c>
      <c r="AN58" s="542">
        <v>148362</v>
      </c>
      <c r="AO58" s="542">
        <v>0</v>
      </c>
      <c r="AP58" s="542">
        <v>0</v>
      </c>
      <c r="AQ58" s="542">
        <v>0</v>
      </c>
      <c r="AR58" s="542">
        <v>0</v>
      </c>
      <c r="AS58" s="542">
        <v>0</v>
      </c>
      <c r="AT58" s="542">
        <v>0</v>
      </c>
      <c r="AU58" s="542">
        <v>0</v>
      </c>
      <c r="AV58" s="542">
        <v>0</v>
      </c>
      <c r="AW58" s="542">
        <v>0</v>
      </c>
      <c r="AX58" s="542">
        <v>0</v>
      </c>
      <c r="AY58" s="542">
        <v>0</v>
      </c>
      <c r="AZ58" s="542">
        <v>0</v>
      </c>
      <c r="BA58" s="542">
        <v>0</v>
      </c>
      <c r="BB58" s="542">
        <v>0</v>
      </c>
      <c r="BC58" s="542">
        <v>0</v>
      </c>
      <c r="BD58" s="542">
        <v>0</v>
      </c>
      <c r="BE58" s="542">
        <v>0</v>
      </c>
      <c r="BF58" s="542">
        <v>0</v>
      </c>
      <c r="BG58" s="542">
        <v>0</v>
      </c>
      <c r="BH58" s="542">
        <v>0</v>
      </c>
      <c r="BI58" s="542">
        <v>0</v>
      </c>
      <c r="BJ58" s="542">
        <v>0</v>
      </c>
      <c r="BK58" s="542">
        <v>0</v>
      </c>
      <c r="BL58" s="542">
        <v>0</v>
      </c>
      <c r="BM58" s="542">
        <v>14104</v>
      </c>
      <c r="BN58" s="542">
        <v>0</v>
      </c>
      <c r="BO58" s="542">
        <v>0</v>
      </c>
      <c r="BP58" s="542">
        <v>0</v>
      </c>
      <c r="BQ58" s="542">
        <v>0</v>
      </c>
      <c r="BR58" s="542">
        <v>0</v>
      </c>
      <c r="BS58" s="542">
        <v>8058</v>
      </c>
      <c r="BT58" s="542">
        <v>0</v>
      </c>
      <c r="BU58" s="542">
        <v>0</v>
      </c>
      <c r="BV58" s="542">
        <v>0</v>
      </c>
      <c r="BW58" s="542">
        <v>0</v>
      </c>
      <c r="BX58" s="542">
        <v>0</v>
      </c>
      <c r="BY58" s="542">
        <v>0</v>
      </c>
      <c r="BZ58" s="542">
        <v>0</v>
      </c>
      <c r="CA58" s="542">
        <v>0</v>
      </c>
      <c r="CB58" s="542">
        <v>0</v>
      </c>
      <c r="CC58" s="542">
        <v>0</v>
      </c>
      <c r="CD58" s="542">
        <v>0</v>
      </c>
      <c r="CE58" s="542">
        <v>0</v>
      </c>
    </row>
    <row r="59" spans="1:83" ht="30" x14ac:dyDescent="0.25">
      <c r="A59" s="640">
        <v>99</v>
      </c>
      <c r="B59" s="571">
        <v>99</v>
      </c>
      <c r="C59" s="536" t="s">
        <v>324</v>
      </c>
      <c r="D59" s="537" t="s">
        <v>445</v>
      </c>
      <c r="E59" s="543">
        <v>0</v>
      </c>
      <c r="F59" s="544">
        <v>0</v>
      </c>
      <c r="G59" s="544">
        <v>0</v>
      </c>
      <c r="H59" s="544">
        <v>0</v>
      </c>
      <c r="I59" s="544">
        <v>0</v>
      </c>
      <c r="J59" s="544">
        <v>0</v>
      </c>
      <c r="K59" s="545">
        <v>0</v>
      </c>
      <c r="L59" s="542">
        <v>0</v>
      </c>
      <c r="M59" s="542">
        <v>0</v>
      </c>
      <c r="N59" s="541">
        <v>0</v>
      </c>
      <c r="O59" s="541">
        <v>0</v>
      </c>
      <c r="P59" s="541">
        <v>0</v>
      </c>
      <c r="Q59" s="541">
        <v>0</v>
      </c>
      <c r="R59" s="541">
        <v>52523790</v>
      </c>
      <c r="S59" s="541">
        <v>0</v>
      </c>
      <c r="T59" s="541">
        <v>0</v>
      </c>
      <c r="U59" s="541">
        <v>0</v>
      </c>
      <c r="V59" s="541">
        <v>0</v>
      </c>
      <c r="W59" s="541">
        <v>27227149</v>
      </c>
      <c r="X59" s="541">
        <v>0</v>
      </c>
      <c r="Y59" s="541">
        <v>0</v>
      </c>
      <c r="Z59" s="541">
        <v>0</v>
      </c>
      <c r="AA59" s="541">
        <v>0</v>
      </c>
      <c r="AB59" s="542">
        <v>0</v>
      </c>
      <c r="AC59" s="542">
        <v>0</v>
      </c>
      <c r="AD59" s="542">
        <v>0</v>
      </c>
      <c r="AE59" s="542">
        <v>0</v>
      </c>
      <c r="AF59" s="542">
        <v>0</v>
      </c>
      <c r="AG59" s="542">
        <v>0</v>
      </c>
      <c r="AH59" s="542">
        <v>0</v>
      </c>
      <c r="AI59" s="542">
        <v>0</v>
      </c>
      <c r="AJ59" s="542">
        <v>36980853</v>
      </c>
      <c r="AK59" s="542">
        <v>0</v>
      </c>
      <c r="AL59" s="542">
        <v>0</v>
      </c>
      <c r="AM59" s="542">
        <v>0</v>
      </c>
      <c r="AN59" s="542">
        <v>11120804</v>
      </c>
      <c r="AO59" s="542">
        <v>0</v>
      </c>
      <c r="AP59" s="542">
        <v>0</v>
      </c>
      <c r="AQ59" s="542">
        <v>0</v>
      </c>
      <c r="AR59" s="542">
        <v>0</v>
      </c>
      <c r="AS59" s="542">
        <v>0</v>
      </c>
      <c r="AT59" s="542">
        <v>0</v>
      </c>
      <c r="AU59" s="542">
        <v>0</v>
      </c>
      <c r="AV59" s="542">
        <v>296077</v>
      </c>
      <c r="AW59" s="542">
        <v>0</v>
      </c>
      <c r="AX59" s="542">
        <v>0</v>
      </c>
      <c r="AY59" s="542">
        <v>0</v>
      </c>
      <c r="AZ59" s="542">
        <v>0</v>
      </c>
      <c r="BA59" s="542">
        <v>0</v>
      </c>
      <c r="BB59" s="542">
        <v>0</v>
      </c>
      <c r="BC59" s="542">
        <v>0</v>
      </c>
      <c r="BD59" s="542">
        <v>0</v>
      </c>
      <c r="BE59" s="542">
        <v>0</v>
      </c>
      <c r="BF59" s="542">
        <v>0</v>
      </c>
      <c r="BG59" s="542">
        <v>0</v>
      </c>
      <c r="BH59" s="542">
        <v>0</v>
      </c>
      <c r="BI59" s="542">
        <v>0</v>
      </c>
      <c r="BJ59" s="542">
        <v>0</v>
      </c>
      <c r="BK59" s="542">
        <v>0</v>
      </c>
      <c r="BL59" s="542">
        <v>0</v>
      </c>
      <c r="BM59" s="542">
        <v>660422</v>
      </c>
      <c r="BN59" s="542">
        <v>0</v>
      </c>
      <c r="BO59" s="542">
        <v>0</v>
      </c>
      <c r="BP59" s="542">
        <v>0</v>
      </c>
      <c r="BQ59" s="542">
        <v>0</v>
      </c>
      <c r="BR59" s="542">
        <v>0</v>
      </c>
      <c r="BS59" s="542">
        <v>1631173</v>
      </c>
      <c r="BT59" s="542">
        <v>9749175</v>
      </c>
      <c r="BU59" s="542">
        <v>0</v>
      </c>
      <c r="BV59" s="542">
        <v>0</v>
      </c>
      <c r="BW59" s="542">
        <v>0</v>
      </c>
      <c r="BX59" s="542">
        <v>0</v>
      </c>
      <c r="BY59" s="542">
        <v>0</v>
      </c>
      <c r="BZ59" s="542">
        <v>0</v>
      </c>
      <c r="CA59" s="542">
        <v>0</v>
      </c>
      <c r="CB59" s="542">
        <v>0</v>
      </c>
      <c r="CC59" s="542">
        <v>0</v>
      </c>
      <c r="CD59" s="542">
        <v>0</v>
      </c>
      <c r="CE59" s="542">
        <v>0</v>
      </c>
    </row>
    <row r="60" spans="1:83" ht="30" x14ac:dyDescent="0.25">
      <c r="A60" s="640">
        <v>100</v>
      </c>
      <c r="B60" s="571">
        <v>100</v>
      </c>
      <c r="C60" s="536" t="s">
        <v>337</v>
      </c>
      <c r="D60" s="537" t="s">
        <v>446</v>
      </c>
      <c r="E60" s="543">
        <v>0</v>
      </c>
      <c r="F60" s="544">
        <v>0</v>
      </c>
      <c r="G60" s="544">
        <v>0</v>
      </c>
      <c r="H60" s="544">
        <v>0</v>
      </c>
      <c r="I60" s="544">
        <v>0</v>
      </c>
      <c r="J60" s="544">
        <v>0</v>
      </c>
      <c r="K60" s="545">
        <v>0</v>
      </c>
      <c r="L60" s="542">
        <v>0</v>
      </c>
      <c r="M60" s="542">
        <v>0</v>
      </c>
      <c r="N60" s="541">
        <v>0</v>
      </c>
      <c r="O60" s="541">
        <v>0</v>
      </c>
      <c r="P60" s="541">
        <v>0</v>
      </c>
      <c r="Q60" s="541">
        <v>0</v>
      </c>
      <c r="R60" s="541">
        <v>1025397</v>
      </c>
      <c r="S60" s="541">
        <v>0</v>
      </c>
      <c r="T60" s="541">
        <v>0</v>
      </c>
      <c r="U60" s="541">
        <v>0</v>
      </c>
      <c r="V60" s="541">
        <v>0</v>
      </c>
      <c r="W60" s="541">
        <v>107181</v>
      </c>
      <c r="X60" s="541">
        <v>0</v>
      </c>
      <c r="Y60" s="541">
        <v>0</v>
      </c>
      <c r="Z60" s="541">
        <v>0</v>
      </c>
      <c r="AA60" s="541">
        <v>0</v>
      </c>
      <c r="AB60" s="542">
        <v>0</v>
      </c>
      <c r="AC60" s="542">
        <v>0</v>
      </c>
      <c r="AD60" s="542">
        <v>0</v>
      </c>
      <c r="AE60" s="542">
        <v>0</v>
      </c>
      <c r="AF60" s="542">
        <v>0</v>
      </c>
      <c r="AG60" s="542">
        <v>0</v>
      </c>
      <c r="AH60" s="542">
        <v>0</v>
      </c>
      <c r="AI60" s="542">
        <v>0</v>
      </c>
      <c r="AJ60" s="542">
        <v>1640481</v>
      </c>
      <c r="AK60" s="542">
        <v>0</v>
      </c>
      <c r="AL60" s="542">
        <v>0</v>
      </c>
      <c r="AM60" s="542">
        <v>0</v>
      </c>
      <c r="AN60" s="542">
        <v>735428</v>
      </c>
      <c r="AO60" s="542">
        <v>0</v>
      </c>
      <c r="AP60" s="542">
        <v>0</v>
      </c>
      <c r="AQ60" s="542">
        <v>0</v>
      </c>
      <c r="AR60" s="542">
        <v>0</v>
      </c>
      <c r="AS60" s="542">
        <v>0</v>
      </c>
      <c r="AT60" s="542">
        <v>0</v>
      </c>
      <c r="AU60" s="542">
        <v>0</v>
      </c>
      <c r="AV60" s="542">
        <v>0</v>
      </c>
      <c r="AW60" s="542">
        <v>0</v>
      </c>
      <c r="AX60" s="542">
        <v>0</v>
      </c>
      <c r="AY60" s="542">
        <v>0</v>
      </c>
      <c r="AZ60" s="542">
        <v>0</v>
      </c>
      <c r="BA60" s="542">
        <v>0</v>
      </c>
      <c r="BB60" s="542">
        <v>0</v>
      </c>
      <c r="BC60" s="542">
        <v>0</v>
      </c>
      <c r="BD60" s="542">
        <v>0</v>
      </c>
      <c r="BE60" s="542">
        <v>0</v>
      </c>
      <c r="BF60" s="542">
        <v>0</v>
      </c>
      <c r="BG60" s="542">
        <v>0</v>
      </c>
      <c r="BH60" s="542">
        <v>0</v>
      </c>
      <c r="BI60" s="542">
        <v>0</v>
      </c>
      <c r="BJ60" s="542">
        <v>0</v>
      </c>
      <c r="BK60" s="542">
        <v>0</v>
      </c>
      <c r="BL60" s="542">
        <v>0</v>
      </c>
      <c r="BM60" s="542">
        <v>53305</v>
      </c>
      <c r="BN60" s="542">
        <v>0</v>
      </c>
      <c r="BO60" s="542">
        <v>0</v>
      </c>
      <c r="BP60" s="542">
        <v>0</v>
      </c>
      <c r="BQ60" s="542">
        <v>0</v>
      </c>
      <c r="BR60" s="542">
        <v>0</v>
      </c>
      <c r="BS60" s="542">
        <v>6387</v>
      </c>
      <c r="BT60" s="542">
        <v>0</v>
      </c>
      <c r="BU60" s="542">
        <v>0</v>
      </c>
      <c r="BV60" s="542">
        <v>0</v>
      </c>
      <c r="BW60" s="542">
        <v>0</v>
      </c>
      <c r="BX60" s="542">
        <v>0</v>
      </c>
      <c r="BY60" s="542">
        <v>0</v>
      </c>
      <c r="BZ60" s="542">
        <v>0</v>
      </c>
      <c r="CA60" s="542">
        <v>0</v>
      </c>
      <c r="CB60" s="542">
        <v>0</v>
      </c>
      <c r="CC60" s="542">
        <v>0</v>
      </c>
      <c r="CD60" s="542">
        <v>0</v>
      </c>
      <c r="CE60" s="542">
        <v>0</v>
      </c>
    </row>
    <row r="61" spans="1:83" ht="30" x14ac:dyDescent="0.25">
      <c r="A61" s="640">
        <v>101</v>
      </c>
      <c r="B61" s="571">
        <v>101</v>
      </c>
      <c r="C61" s="536" t="s">
        <v>336</v>
      </c>
      <c r="D61" s="537" t="s">
        <v>447</v>
      </c>
      <c r="E61" s="543">
        <v>0</v>
      </c>
      <c r="F61" s="544">
        <v>0</v>
      </c>
      <c r="G61" s="544">
        <v>0</v>
      </c>
      <c r="H61" s="544">
        <v>0</v>
      </c>
      <c r="I61" s="544">
        <v>0</v>
      </c>
      <c r="J61" s="544">
        <v>0</v>
      </c>
      <c r="K61" s="545">
        <v>0</v>
      </c>
      <c r="L61" s="542">
        <v>0</v>
      </c>
      <c r="M61" s="542">
        <v>0</v>
      </c>
      <c r="N61" s="541">
        <v>0</v>
      </c>
      <c r="O61" s="541">
        <v>0</v>
      </c>
      <c r="P61" s="541">
        <v>0</v>
      </c>
      <c r="Q61" s="541">
        <v>0</v>
      </c>
      <c r="R61" s="541">
        <v>3466653</v>
      </c>
      <c r="S61" s="541">
        <v>0</v>
      </c>
      <c r="T61" s="541">
        <v>0</v>
      </c>
      <c r="U61" s="541">
        <v>0</v>
      </c>
      <c r="V61" s="541">
        <v>0</v>
      </c>
      <c r="W61" s="541">
        <v>707034</v>
      </c>
      <c r="X61" s="541">
        <v>0</v>
      </c>
      <c r="Y61" s="541">
        <v>0</v>
      </c>
      <c r="Z61" s="541">
        <v>0</v>
      </c>
      <c r="AA61" s="541">
        <v>0</v>
      </c>
      <c r="AB61" s="542">
        <v>0</v>
      </c>
      <c r="AC61" s="542">
        <v>0</v>
      </c>
      <c r="AD61" s="542">
        <v>0</v>
      </c>
      <c r="AE61" s="542">
        <v>0</v>
      </c>
      <c r="AF61" s="542">
        <v>0</v>
      </c>
      <c r="AG61" s="542">
        <v>0</v>
      </c>
      <c r="AH61" s="542">
        <v>0</v>
      </c>
      <c r="AI61" s="542">
        <v>0</v>
      </c>
      <c r="AJ61" s="542">
        <v>3790387</v>
      </c>
      <c r="AK61" s="542">
        <v>0</v>
      </c>
      <c r="AL61" s="542">
        <v>0</v>
      </c>
      <c r="AM61" s="542">
        <v>0</v>
      </c>
      <c r="AN61" s="542">
        <v>141113</v>
      </c>
      <c r="AO61" s="542">
        <v>0</v>
      </c>
      <c r="AP61" s="542">
        <v>0</v>
      </c>
      <c r="AQ61" s="542">
        <v>0</v>
      </c>
      <c r="AR61" s="542">
        <v>0</v>
      </c>
      <c r="AS61" s="542">
        <v>0</v>
      </c>
      <c r="AT61" s="542">
        <v>0</v>
      </c>
      <c r="AU61" s="542">
        <v>0</v>
      </c>
      <c r="AV61" s="542">
        <v>0</v>
      </c>
      <c r="AW61" s="542">
        <v>0</v>
      </c>
      <c r="AX61" s="542">
        <v>0</v>
      </c>
      <c r="AY61" s="542">
        <v>0</v>
      </c>
      <c r="AZ61" s="542">
        <v>0</v>
      </c>
      <c r="BA61" s="542">
        <v>0</v>
      </c>
      <c r="BB61" s="542">
        <v>0</v>
      </c>
      <c r="BC61" s="542">
        <v>0</v>
      </c>
      <c r="BD61" s="542">
        <v>0</v>
      </c>
      <c r="BE61" s="542">
        <v>0</v>
      </c>
      <c r="BF61" s="542">
        <v>0</v>
      </c>
      <c r="BG61" s="542">
        <v>0</v>
      </c>
      <c r="BH61" s="542">
        <v>0</v>
      </c>
      <c r="BI61" s="542">
        <v>0</v>
      </c>
      <c r="BJ61" s="542">
        <v>0</v>
      </c>
      <c r="BK61" s="542">
        <v>0</v>
      </c>
      <c r="BL61" s="542">
        <v>0</v>
      </c>
      <c r="BM61" s="542">
        <v>4298</v>
      </c>
      <c r="BN61" s="542">
        <v>0</v>
      </c>
      <c r="BO61" s="542">
        <v>0</v>
      </c>
      <c r="BP61" s="542">
        <v>0</v>
      </c>
      <c r="BQ61" s="542">
        <v>0</v>
      </c>
      <c r="BR61" s="542">
        <v>0</v>
      </c>
      <c r="BS61" s="542">
        <v>86372</v>
      </c>
      <c r="BT61" s="542">
        <v>3097896</v>
      </c>
      <c r="BU61" s="542">
        <v>0</v>
      </c>
      <c r="BV61" s="542">
        <v>0</v>
      </c>
      <c r="BW61" s="542">
        <v>0</v>
      </c>
      <c r="BX61" s="542">
        <v>0</v>
      </c>
      <c r="BY61" s="542">
        <v>0</v>
      </c>
      <c r="BZ61" s="542">
        <v>0</v>
      </c>
      <c r="CA61" s="542">
        <v>0</v>
      </c>
      <c r="CB61" s="542">
        <v>0</v>
      </c>
      <c r="CC61" s="542">
        <v>0</v>
      </c>
      <c r="CD61" s="542">
        <v>0</v>
      </c>
      <c r="CE61" s="542">
        <v>0</v>
      </c>
    </row>
    <row r="62" spans="1:83" ht="30" x14ac:dyDescent="0.25">
      <c r="A62" s="640">
        <v>102</v>
      </c>
      <c r="B62" s="571">
        <v>102</v>
      </c>
      <c r="C62" s="536" t="s">
        <v>351</v>
      </c>
      <c r="D62" s="537" t="s">
        <v>448</v>
      </c>
      <c r="E62" s="564">
        <v>100</v>
      </c>
      <c r="F62" s="565">
        <v>99.06</v>
      </c>
      <c r="G62" s="565">
        <v>95.16</v>
      </c>
      <c r="H62" s="565">
        <v>97.78</v>
      </c>
      <c r="I62" s="565">
        <v>97.3</v>
      </c>
      <c r="J62" s="565">
        <v>99.12</v>
      </c>
      <c r="K62" s="566">
        <v>97.13</v>
      </c>
      <c r="L62" s="567">
        <v>99.27</v>
      </c>
      <c r="M62" s="567">
        <v>98.01</v>
      </c>
      <c r="N62" s="568">
        <v>99.5</v>
      </c>
      <c r="O62" s="568">
        <v>97.02</v>
      </c>
      <c r="P62" s="568">
        <v>98.85</v>
      </c>
      <c r="Q62" s="568">
        <v>99.49</v>
      </c>
      <c r="R62" s="568">
        <v>99.02</v>
      </c>
      <c r="S62" s="568">
        <v>100</v>
      </c>
      <c r="T62" s="568">
        <v>0</v>
      </c>
      <c r="U62" s="568">
        <v>99.18</v>
      </c>
      <c r="V62" s="568">
        <v>99.19</v>
      </c>
      <c r="W62" s="568">
        <v>98.61</v>
      </c>
      <c r="X62" s="568">
        <v>99.94</v>
      </c>
      <c r="Y62" s="568">
        <v>0</v>
      </c>
      <c r="Z62" s="568">
        <v>98.77</v>
      </c>
      <c r="AA62" s="568">
        <v>94.73</v>
      </c>
      <c r="AB62" s="567">
        <v>99.11</v>
      </c>
      <c r="AC62" s="567">
        <v>96.93</v>
      </c>
      <c r="AD62" s="567">
        <v>97.68</v>
      </c>
      <c r="AE62" s="567">
        <v>97.49</v>
      </c>
      <c r="AF62" s="567">
        <v>94.76</v>
      </c>
      <c r="AG62" s="567">
        <v>99.99</v>
      </c>
      <c r="AH62" s="567">
        <v>97.84</v>
      </c>
      <c r="AI62" s="567">
        <v>92.71</v>
      </c>
      <c r="AJ62" s="567">
        <v>99.33</v>
      </c>
      <c r="AK62" s="567">
        <v>99.58</v>
      </c>
      <c r="AL62" s="567">
        <v>94.53</v>
      </c>
      <c r="AM62" s="567">
        <v>0</v>
      </c>
      <c r="AN62" s="567">
        <v>97.72</v>
      </c>
      <c r="AO62" s="567">
        <v>98.07</v>
      </c>
      <c r="AP62" s="567">
        <v>0</v>
      </c>
      <c r="AQ62" s="567">
        <v>0</v>
      </c>
      <c r="AR62" s="567">
        <v>99.08</v>
      </c>
      <c r="AS62" s="567">
        <v>96.34</v>
      </c>
      <c r="AT62" s="567">
        <v>0</v>
      </c>
      <c r="AU62" s="567">
        <v>97.74</v>
      </c>
      <c r="AV62" s="567">
        <v>88.38</v>
      </c>
      <c r="AW62" s="567">
        <v>99.19</v>
      </c>
      <c r="AX62" s="567">
        <v>99.57</v>
      </c>
      <c r="AY62" s="567">
        <v>98.1</v>
      </c>
      <c r="AZ62" s="567">
        <v>96.67</v>
      </c>
      <c r="BA62" s="567">
        <v>99.04</v>
      </c>
      <c r="BB62" s="567">
        <v>0</v>
      </c>
      <c r="BC62" s="567">
        <v>0</v>
      </c>
      <c r="BD62" s="567">
        <v>99.46</v>
      </c>
      <c r="BE62" s="567">
        <v>98.6</v>
      </c>
      <c r="BF62" s="567">
        <v>97.7</v>
      </c>
      <c r="BG62" s="567">
        <v>93.99</v>
      </c>
      <c r="BH62" s="567">
        <v>74.86</v>
      </c>
      <c r="BI62" s="567">
        <v>97.37</v>
      </c>
      <c r="BJ62" s="567">
        <v>93.06</v>
      </c>
      <c r="BK62" s="567">
        <v>94.74</v>
      </c>
      <c r="BL62" s="567">
        <v>92.66</v>
      </c>
      <c r="BM62" s="567">
        <v>97.58</v>
      </c>
      <c r="BN62" s="567">
        <v>99.17</v>
      </c>
      <c r="BO62" s="567">
        <v>99.89</v>
      </c>
      <c r="BP62" s="567">
        <v>100</v>
      </c>
      <c r="BQ62" s="567">
        <v>99.29</v>
      </c>
      <c r="BR62" s="567">
        <v>99.93</v>
      </c>
      <c r="BS62" s="567">
        <v>94.69</v>
      </c>
      <c r="BT62" s="567">
        <v>99.67</v>
      </c>
      <c r="BU62" s="567">
        <v>96.81</v>
      </c>
      <c r="BV62" s="567">
        <v>99.57</v>
      </c>
      <c r="BW62" s="567">
        <v>98.54</v>
      </c>
      <c r="BX62" s="567">
        <v>90.17</v>
      </c>
      <c r="BY62" s="567">
        <v>89.02</v>
      </c>
      <c r="BZ62" s="567">
        <v>99.21</v>
      </c>
      <c r="CA62" s="567">
        <v>0</v>
      </c>
      <c r="CB62" s="567">
        <v>96.58</v>
      </c>
      <c r="CC62" s="567">
        <v>99.95</v>
      </c>
      <c r="CD62" s="567">
        <v>0</v>
      </c>
      <c r="CE62" s="567">
        <v>89.32</v>
      </c>
    </row>
    <row r="63" spans="1:83" x14ac:dyDescent="0.25">
      <c r="A63" s="640">
        <v>103</v>
      </c>
      <c r="B63" s="571">
        <v>103</v>
      </c>
      <c r="C63" s="536" t="s">
        <v>352</v>
      </c>
      <c r="D63" s="537" t="s">
        <v>449</v>
      </c>
      <c r="E63" s="564">
        <v>100</v>
      </c>
      <c r="F63" s="565">
        <v>100</v>
      </c>
      <c r="G63" s="565">
        <v>100</v>
      </c>
      <c r="H63" s="565">
        <v>99.93</v>
      </c>
      <c r="I63" s="565">
        <v>100</v>
      </c>
      <c r="J63" s="565">
        <v>100</v>
      </c>
      <c r="K63" s="566">
        <v>100</v>
      </c>
      <c r="L63" s="567">
        <v>100</v>
      </c>
      <c r="M63" s="567">
        <v>100</v>
      </c>
      <c r="N63" s="568">
        <v>100</v>
      </c>
      <c r="O63" s="568">
        <v>100</v>
      </c>
      <c r="P63" s="568">
        <v>100</v>
      </c>
      <c r="Q63" s="568">
        <v>100</v>
      </c>
      <c r="R63" s="568">
        <v>100</v>
      </c>
      <c r="S63" s="568">
        <v>100</v>
      </c>
      <c r="T63" s="568">
        <v>0</v>
      </c>
      <c r="U63" s="568">
        <v>99.13</v>
      </c>
      <c r="V63" s="568">
        <v>100</v>
      </c>
      <c r="W63" s="568">
        <v>100</v>
      </c>
      <c r="X63" s="568">
        <v>99.99</v>
      </c>
      <c r="Y63" s="568">
        <v>0</v>
      </c>
      <c r="Z63" s="568">
        <v>100</v>
      </c>
      <c r="AA63" s="568">
        <v>100</v>
      </c>
      <c r="AB63" s="567">
        <v>100</v>
      </c>
      <c r="AC63" s="567">
        <v>100</v>
      </c>
      <c r="AD63" s="567">
        <v>100</v>
      </c>
      <c r="AE63" s="567">
        <v>100</v>
      </c>
      <c r="AF63" s="567">
        <v>98.36</v>
      </c>
      <c r="AG63" s="567">
        <v>100</v>
      </c>
      <c r="AH63" s="567">
        <v>100</v>
      </c>
      <c r="AI63" s="567">
        <v>100</v>
      </c>
      <c r="AJ63" s="567">
        <v>100</v>
      </c>
      <c r="AK63" s="567">
        <v>100</v>
      </c>
      <c r="AL63" s="567">
        <v>100</v>
      </c>
      <c r="AM63" s="567">
        <v>0</v>
      </c>
      <c r="AN63" s="567">
        <v>99.99</v>
      </c>
      <c r="AO63" s="567">
        <v>100</v>
      </c>
      <c r="AP63" s="567">
        <v>0</v>
      </c>
      <c r="AQ63" s="567">
        <v>0</v>
      </c>
      <c r="AR63" s="567">
        <v>100</v>
      </c>
      <c r="AS63" s="567">
        <v>100</v>
      </c>
      <c r="AT63" s="567">
        <v>0</v>
      </c>
      <c r="AU63" s="567">
        <v>100</v>
      </c>
      <c r="AV63" s="567">
        <v>100</v>
      </c>
      <c r="AW63" s="567">
        <v>100</v>
      </c>
      <c r="AX63" s="567">
        <v>100</v>
      </c>
      <c r="AY63" s="567">
        <v>100</v>
      </c>
      <c r="AZ63" s="567">
        <v>100</v>
      </c>
      <c r="BA63" s="567">
        <v>100</v>
      </c>
      <c r="BB63" s="567">
        <v>0</v>
      </c>
      <c r="BC63" s="567">
        <v>0</v>
      </c>
      <c r="BD63" s="567">
        <v>100</v>
      </c>
      <c r="BE63" s="567">
        <v>99.91</v>
      </c>
      <c r="BF63" s="567">
        <v>100</v>
      </c>
      <c r="BG63" s="567">
        <v>100</v>
      </c>
      <c r="BH63" s="567">
        <v>100</v>
      </c>
      <c r="BI63" s="567">
        <v>100</v>
      </c>
      <c r="BJ63" s="567">
        <v>100</v>
      </c>
      <c r="BK63" s="567">
        <v>100</v>
      </c>
      <c r="BL63" s="567">
        <v>98.32</v>
      </c>
      <c r="BM63" s="567">
        <v>100</v>
      </c>
      <c r="BN63" s="567">
        <v>95.57</v>
      </c>
      <c r="BO63" s="567">
        <v>99.55</v>
      </c>
      <c r="BP63" s="567">
        <v>100</v>
      </c>
      <c r="BQ63" s="567">
        <v>100</v>
      </c>
      <c r="BR63" s="567">
        <v>100</v>
      </c>
      <c r="BS63" s="567">
        <v>100</v>
      </c>
      <c r="BT63" s="567">
        <v>100</v>
      </c>
      <c r="BU63" s="567">
        <v>100</v>
      </c>
      <c r="BV63" s="567">
        <v>100</v>
      </c>
      <c r="BW63" s="567">
        <v>100</v>
      </c>
      <c r="BX63" s="567">
        <v>100</v>
      </c>
      <c r="BY63" s="567">
        <v>100</v>
      </c>
      <c r="BZ63" s="567">
        <v>100</v>
      </c>
      <c r="CA63" s="567">
        <v>0</v>
      </c>
      <c r="CB63" s="567">
        <v>100</v>
      </c>
      <c r="CC63" s="567">
        <v>100</v>
      </c>
      <c r="CD63" s="567">
        <v>0</v>
      </c>
      <c r="CE63" s="567">
        <v>100</v>
      </c>
    </row>
    <row r="64" spans="1:83" x14ac:dyDescent="0.25">
      <c r="A64" s="640"/>
      <c r="B64" s="571">
        <v>104</v>
      </c>
      <c r="C64" s="539" t="s">
        <v>450</v>
      </c>
      <c r="D64" s="537" t="s">
        <v>451</v>
      </c>
      <c r="E64" s="543">
        <v>0</v>
      </c>
      <c r="F64" s="544">
        <v>0</v>
      </c>
      <c r="G64" s="544">
        <v>0</v>
      </c>
      <c r="H64" s="544">
        <v>0</v>
      </c>
      <c r="I64" s="544">
        <v>0</v>
      </c>
      <c r="J64" s="544">
        <v>0</v>
      </c>
      <c r="K64" s="545">
        <v>0</v>
      </c>
      <c r="L64" s="542">
        <v>0</v>
      </c>
      <c r="M64" s="542">
        <v>0</v>
      </c>
      <c r="N64" s="541">
        <v>0</v>
      </c>
      <c r="O64" s="541">
        <v>0</v>
      </c>
      <c r="P64" s="541">
        <v>0</v>
      </c>
      <c r="Q64" s="541">
        <v>0</v>
      </c>
      <c r="R64" s="541">
        <v>0</v>
      </c>
      <c r="S64" s="541">
        <v>0</v>
      </c>
      <c r="T64" s="541">
        <v>0</v>
      </c>
      <c r="U64" s="541">
        <v>0</v>
      </c>
      <c r="V64" s="541">
        <v>0</v>
      </c>
      <c r="W64" s="541">
        <v>0</v>
      </c>
      <c r="X64" s="541">
        <v>0</v>
      </c>
      <c r="Y64" s="541">
        <v>0</v>
      </c>
      <c r="Z64" s="541">
        <v>0</v>
      </c>
      <c r="AA64" s="541">
        <v>0</v>
      </c>
      <c r="AB64" s="542">
        <v>0</v>
      </c>
      <c r="AC64" s="542">
        <v>0</v>
      </c>
      <c r="AD64" s="542">
        <v>0</v>
      </c>
      <c r="AE64" s="542">
        <v>0</v>
      </c>
      <c r="AF64" s="542">
        <v>0</v>
      </c>
      <c r="AG64" s="542">
        <v>0</v>
      </c>
      <c r="AH64" s="542">
        <v>0</v>
      </c>
      <c r="AI64" s="542">
        <v>0</v>
      </c>
      <c r="AJ64" s="542">
        <v>0</v>
      </c>
      <c r="AK64" s="542">
        <v>0</v>
      </c>
      <c r="AL64" s="542">
        <v>0</v>
      </c>
      <c r="AM64" s="542">
        <v>0</v>
      </c>
      <c r="AN64" s="542">
        <v>0</v>
      </c>
      <c r="AO64" s="542">
        <v>0</v>
      </c>
      <c r="AP64" s="542">
        <v>0</v>
      </c>
      <c r="AQ64" s="542">
        <v>0</v>
      </c>
      <c r="AR64" s="542">
        <v>0</v>
      </c>
      <c r="AS64" s="542">
        <v>0</v>
      </c>
      <c r="AT64" s="542">
        <v>0</v>
      </c>
      <c r="AU64" s="542">
        <v>0</v>
      </c>
      <c r="AV64" s="542">
        <v>0</v>
      </c>
      <c r="AW64" s="542">
        <v>0</v>
      </c>
      <c r="AX64" s="542">
        <v>0</v>
      </c>
      <c r="AY64" s="542">
        <v>0</v>
      </c>
      <c r="AZ64" s="542">
        <v>0</v>
      </c>
      <c r="BA64" s="542">
        <v>0</v>
      </c>
      <c r="BB64" s="542">
        <v>0</v>
      </c>
      <c r="BC64" s="542">
        <v>0</v>
      </c>
      <c r="BD64" s="542">
        <v>0</v>
      </c>
      <c r="BE64" s="542">
        <v>0</v>
      </c>
      <c r="BF64" s="542">
        <v>0</v>
      </c>
      <c r="BG64" s="542">
        <v>0</v>
      </c>
      <c r="BH64" s="542">
        <v>0</v>
      </c>
      <c r="BI64" s="542">
        <v>0</v>
      </c>
      <c r="BJ64" s="542">
        <v>0</v>
      </c>
      <c r="BK64" s="542">
        <v>0</v>
      </c>
      <c r="BL64" s="542">
        <v>0</v>
      </c>
      <c r="BM64" s="542">
        <v>0</v>
      </c>
      <c r="BN64" s="542">
        <v>0</v>
      </c>
      <c r="BO64" s="542">
        <v>0</v>
      </c>
      <c r="BP64" s="542">
        <v>0</v>
      </c>
      <c r="BQ64" s="542">
        <v>0</v>
      </c>
      <c r="BR64" s="542">
        <v>0</v>
      </c>
      <c r="BS64" s="542">
        <v>0</v>
      </c>
      <c r="BT64" s="542">
        <v>0</v>
      </c>
      <c r="BU64" s="542">
        <v>0</v>
      </c>
      <c r="BV64" s="542">
        <v>0</v>
      </c>
      <c r="BW64" s="542">
        <v>0</v>
      </c>
      <c r="BX64" s="542">
        <v>0</v>
      </c>
      <c r="BY64" s="542">
        <v>0</v>
      </c>
      <c r="BZ64" s="542">
        <v>0</v>
      </c>
      <c r="CA64" s="542">
        <v>0</v>
      </c>
      <c r="CB64" s="542">
        <v>0</v>
      </c>
      <c r="CC64" s="542">
        <v>0</v>
      </c>
      <c r="CD64" s="542">
        <v>0</v>
      </c>
      <c r="CE64" s="542">
        <v>0</v>
      </c>
    </row>
    <row r="65" spans="1:83" ht="25.5" x14ac:dyDescent="0.25">
      <c r="A65" s="640"/>
      <c r="B65" s="571">
        <v>107</v>
      </c>
      <c r="C65" s="539" t="s">
        <v>748</v>
      </c>
      <c r="D65" s="537" t="s">
        <v>452</v>
      </c>
      <c r="E65" s="543">
        <v>0</v>
      </c>
      <c r="F65" s="544">
        <v>0</v>
      </c>
      <c r="G65" s="544">
        <v>0</v>
      </c>
      <c r="H65" s="544">
        <v>0</v>
      </c>
      <c r="I65" s="544">
        <v>0</v>
      </c>
      <c r="J65" s="544">
        <v>0</v>
      </c>
      <c r="K65" s="545">
        <v>0</v>
      </c>
      <c r="L65" s="542">
        <v>0</v>
      </c>
      <c r="M65" s="542">
        <v>0</v>
      </c>
      <c r="N65" s="541">
        <v>0</v>
      </c>
      <c r="O65" s="541">
        <v>0</v>
      </c>
      <c r="P65" s="541">
        <v>0</v>
      </c>
      <c r="Q65" s="541">
        <v>0</v>
      </c>
      <c r="R65" s="541">
        <v>0</v>
      </c>
      <c r="S65" s="541">
        <v>0</v>
      </c>
      <c r="T65" s="541">
        <v>0</v>
      </c>
      <c r="U65" s="541">
        <v>0</v>
      </c>
      <c r="V65" s="541">
        <v>0</v>
      </c>
      <c r="W65" s="541">
        <v>0</v>
      </c>
      <c r="X65" s="541">
        <v>0</v>
      </c>
      <c r="Y65" s="541">
        <v>0</v>
      </c>
      <c r="Z65" s="541">
        <v>0</v>
      </c>
      <c r="AA65" s="541">
        <v>0</v>
      </c>
      <c r="AB65" s="542">
        <v>0</v>
      </c>
      <c r="AC65" s="542">
        <v>0</v>
      </c>
      <c r="AD65" s="542">
        <v>0</v>
      </c>
      <c r="AE65" s="542">
        <v>0</v>
      </c>
      <c r="AF65" s="542">
        <v>0</v>
      </c>
      <c r="AG65" s="542">
        <v>0</v>
      </c>
      <c r="AH65" s="542">
        <v>0</v>
      </c>
      <c r="AI65" s="542">
        <v>0</v>
      </c>
      <c r="AJ65" s="542">
        <v>0</v>
      </c>
      <c r="AK65" s="542">
        <v>0</v>
      </c>
      <c r="AL65" s="542">
        <v>0</v>
      </c>
      <c r="AM65" s="542">
        <v>0</v>
      </c>
      <c r="AN65" s="542">
        <v>0</v>
      </c>
      <c r="AO65" s="542">
        <v>0</v>
      </c>
      <c r="AP65" s="542">
        <v>0</v>
      </c>
      <c r="AQ65" s="542">
        <v>0</v>
      </c>
      <c r="AR65" s="542">
        <v>0</v>
      </c>
      <c r="AS65" s="542">
        <v>0</v>
      </c>
      <c r="AT65" s="542">
        <v>0</v>
      </c>
      <c r="AU65" s="542">
        <v>0</v>
      </c>
      <c r="AV65" s="542">
        <v>0</v>
      </c>
      <c r="AW65" s="542">
        <v>0</v>
      </c>
      <c r="AX65" s="542">
        <v>0</v>
      </c>
      <c r="AY65" s="542">
        <v>0</v>
      </c>
      <c r="AZ65" s="542">
        <v>0</v>
      </c>
      <c r="BA65" s="542">
        <v>0</v>
      </c>
      <c r="BB65" s="542">
        <v>0</v>
      </c>
      <c r="BC65" s="542">
        <v>0</v>
      </c>
      <c r="BD65" s="542">
        <v>0</v>
      </c>
      <c r="BE65" s="542">
        <v>0</v>
      </c>
      <c r="BF65" s="542">
        <v>0</v>
      </c>
      <c r="BG65" s="542">
        <v>0</v>
      </c>
      <c r="BH65" s="542">
        <v>0</v>
      </c>
      <c r="BI65" s="542">
        <v>0</v>
      </c>
      <c r="BJ65" s="542">
        <v>0</v>
      </c>
      <c r="BK65" s="542">
        <v>0</v>
      </c>
      <c r="BL65" s="542">
        <v>0</v>
      </c>
      <c r="BM65" s="542">
        <v>0</v>
      </c>
      <c r="BN65" s="542">
        <v>0</v>
      </c>
      <c r="BO65" s="542">
        <v>0</v>
      </c>
      <c r="BP65" s="542">
        <v>0</v>
      </c>
      <c r="BQ65" s="542">
        <v>0</v>
      </c>
      <c r="BR65" s="542">
        <v>0</v>
      </c>
      <c r="BS65" s="542">
        <v>0</v>
      </c>
      <c r="BT65" s="542">
        <v>0</v>
      </c>
      <c r="BU65" s="542">
        <v>0</v>
      </c>
      <c r="BV65" s="542">
        <v>0</v>
      </c>
      <c r="BW65" s="542">
        <v>0</v>
      </c>
      <c r="BX65" s="542">
        <v>0</v>
      </c>
      <c r="BY65" s="542">
        <v>0</v>
      </c>
      <c r="BZ65" s="542">
        <v>0</v>
      </c>
      <c r="CA65" s="542">
        <v>0</v>
      </c>
      <c r="CB65" s="542">
        <v>0</v>
      </c>
      <c r="CC65" s="542">
        <v>0</v>
      </c>
      <c r="CD65" s="542">
        <v>0</v>
      </c>
      <c r="CE65" s="542">
        <v>0</v>
      </c>
    </row>
    <row r="66" spans="1:83" ht="38.25" x14ac:dyDescent="0.25">
      <c r="A66" s="640"/>
      <c r="B66" s="571">
        <v>108</v>
      </c>
      <c r="C66" s="539" t="s">
        <v>749</v>
      </c>
      <c r="D66" s="537" t="s">
        <v>453</v>
      </c>
      <c r="E66" s="543">
        <v>0</v>
      </c>
      <c r="F66" s="544">
        <v>0</v>
      </c>
      <c r="G66" s="544">
        <v>0</v>
      </c>
      <c r="H66" s="544">
        <v>0</v>
      </c>
      <c r="I66" s="544">
        <v>0</v>
      </c>
      <c r="J66" s="544">
        <v>0</v>
      </c>
      <c r="K66" s="545">
        <v>0</v>
      </c>
      <c r="L66" s="542">
        <v>0</v>
      </c>
      <c r="M66" s="542">
        <v>0</v>
      </c>
      <c r="N66" s="541">
        <v>0</v>
      </c>
      <c r="O66" s="541">
        <v>0</v>
      </c>
      <c r="P66" s="541">
        <v>0</v>
      </c>
      <c r="Q66" s="541">
        <v>0</v>
      </c>
      <c r="R66" s="541">
        <v>0</v>
      </c>
      <c r="S66" s="541">
        <v>0</v>
      </c>
      <c r="T66" s="541">
        <v>0</v>
      </c>
      <c r="U66" s="541">
        <v>0</v>
      </c>
      <c r="V66" s="541">
        <v>0</v>
      </c>
      <c r="W66" s="541">
        <v>0</v>
      </c>
      <c r="X66" s="541">
        <v>0</v>
      </c>
      <c r="Y66" s="541">
        <v>0</v>
      </c>
      <c r="Z66" s="541">
        <v>0</v>
      </c>
      <c r="AA66" s="541">
        <v>0</v>
      </c>
      <c r="AB66" s="542">
        <v>0</v>
      </c>
      <c r="AC66" s="542">
        <v>0</v>
      </c>
      <c r="AD66" s="542">
        <v>0</v>
      </c>
      <c r="AE66" s="542">
        <v>0</v>
      </c>
      <c r="AF66" s="542">
        <v>0</v>
      </c>
      <c r="AG66" s="542">
        <v>0</v>
      </c>
      <c r="AH66" s="542">
        <v>0</v>
      </c>
      <c r="AI66" s="542">
        <v>0</v>
      </c>
      <c r="AJ66" s="542">
        <v>0</v>
      </c>
      <c r="AK66" s="542">
        <v>0</v>
      </c>
      <c r="AL66" s="542">
        <v>0</v>
      </c>
      <c r="AM66" s="542">
        <v>0</v>
      </c>
      <c r="AN66" s="542">
        <v>0</v>
      </c>
      <c r="AO66" s="542">
        <v>0</v>
      </c>
      <c r="AP66" s="542">
        <v>0</v>
      </c>
      <c r="AQ66" s="542">
        <v>0</v>
      </c>
      <c r="AR66" s="542">
        <v>0</v>
      </c>
      <c r="AS66" s="542">
        <v>0</v>
      </c>
      <c r="AT66" s="542">
        <v>0</v>
      </c>
      <c r="AU66" s="542">
        <v>0</v>
      </c>
      <c r="AV66" s="542">
        <v>0</v>
      </c>
      <c r="AW66" s="542">
        <v>0</v>
      </c>
      <c r="AX66" s="542">
        <v>0</v>
      </c>
      <c r="AY66" s="542">
        <v>0</v>
      </c>
      <c r="AZ66" s="542">
        <v>0</v>
      </c>
      <c r="BA66" s="542">
        <v>0</v>
      </c>
      <c r="BB66" s="542">
        <v>0</v>
      </c>
      <c r="BC66" s="542">
        <v>0</v>
      </c>
      <c r="BD66" s="542">
        <v>0</v>
      </c>
      <c r="BE66" s="542">
        <v>0</v>
      </c>
      <c r="BF66" s="542">
        <v>0</v>
      </c>
      <c r="BG66" s="542">
        <v>0</v>
      </c>
      <c r="BH66" s="542">
        <v>0</v>
      </c>
      <c r="BI66" s="542">
        <v>0</v>
      </c>
      <c r="BJ66" s="542">
        <v>0</v>
      </c>
      <c r="BK66" s="542">
        <v>0</v>
      </c>
      <c r="BL66" s="542">
        <v>0</v>
      </c>
      <c r="BM66" s="542">
        <v>0</v>
      </c>
      <c r="BN66" s="542">
        <v>0</v>
      </c>
      <c r="BO66" s="542">
        <v>0</v>
      </c>
      <c r="BP66" s="542">
        <v>0</v>
      </c>
      <c r="BQ66" s="542">
        <v>0</v>
      </c>
      <c r="BR66" s="542">
        <v>0</v>
      </c>
      <c r="BS66" s="542">
        <v>0</v>
      </c>
      <c r="BT66" s="542">
        <v>0</v>
      </c>
      <c r="BU66" s="542">
        <v>0</v>
      </c>
      <c r="BV66" s="542">
        <v>0</v>
      </c>
      <c r="BW66" s="542">
        <v>0</v>
      </c>
      <c r="BX66" s="542">
        <v>0</v>
      </c>
      <c r="BY66" s="542">
        <v>0</v>
      </c>
      <c r="BZ66" s="542">
        <v>0</v>
      </c>
      <c r="CA66" s="542">
        <v>0</v>
      </c>
      <c r="CB66" s="542">
        <v>0</v>
      </c>
      <c r="CC66" s="542">
        <v>0</v>
      </c>
      <c r="CD66" s="542">
        <v>0</v>
      </c>
      <c r="CE66" s="542">
        <v>0</v>
      </c>
    </row>
    <row r="67" spans="1:83" ht="25.5" x14ac:dyDescent="0.25">
      <c r="A67" s="640"/>
      <c r="B67" s="571">
        <v>147</v>
      </c>
      <c r="C67" s="539" t="s">
        <v>454</v>
      </c>
      <c r="D67" s="537" t="s">
        <v>455</v>
      </c>
      <c r="E67" s="543">
        <v>0</v>
      </c>
      <c r="F67" s="544">
        <v>0</v>
      </c>
      <c r="G67" s="544">
        <v>0</v>
      </c>
      <c r="H67" s="544">
        <v>0</v>
      </c>
      <c r="I67" s="544">
        <v>0</v>
      </c>
      <c r="J67" s="544">
        <v>0</v>
      </c>
      <c r="K67" s="545">
        <v>0</v>
      </c>
      <c r="L67" s="542">
        <v>0</v>
      </c>
      <c r="M67" s="542">
        <v>0</v>
      </c>
      <c r="N67" s="541">
        <v>0</v>
      </c>
      <c r="O67" s="541">
        <v>0</v>
      </c>
      <c r="P67" s="541">
        <v>0</v>
      </c>
      <c r="Q67" s="541">
        <v>0</v>
      </c>
      <c r="R67" s="541">
        <v>0</v>
      </c>
      <c r="S67" s="541">
        <v>0</v>
      </c>
      <c r="T67" s="541">
        <v>0</v>
      </c>
      <c r="U67" s="541">
        <v>0</v>
      </c>
      <c r="V67" s="541">
        <v>0</v>
      </c>
      <c r="W67" s="541">
        <v>0</v>
      </c>
      <c r="X67" s="541">
        <v>0</v>
      </c>
      <c r="Y67" s="541">
        <v>0</v>
      </c>
      <c r="Z67" s="541">
        <v>0</v>
      </c>
      <c r="AA67" s="541">
        <v>0</v>
      </c>
      <c r="AB67" s="542">
        <v>0</v>
      </c>
      <c r="AC67" s="542">
        <v>0</v>
      </c>
      <c r="AD67" s="542">
        <v>0</v>
      </c>
      <c r="AE67" s="542">
        <v>0</v>
      </c>
      <c r="AF67" s="542">
        <v>0</v>
      </c>
      <c r="AG67" s="542">
        <v>0</v>
      </c>
      <c r="AH67" s="542">
        <v>0</v>
      </c>
      <c r="AI67" s="542">
        <v>0</v>
      </c>
      <c r="AJ67" s="542">
        <v>0</v>
      </c>
      <c r="AK67" s="542">
        <v>0</v>
      </c>
      <c r="AL67" s="542">
        <v>0</v>
      </c>
      <c r="AM67" s="542">
        <v>0</v>
      </c>
      <c r="AN67" s="542">
        <v>0</v>
      </c>
      <c r="AO67" s="542">
        <v>0</v>
      </c>
      <c r="AP67" s="542">
        <v>0</v>
      </c>
      <c r="AQ67" s="542">
        <v>0</v>
      </c>
      <c r="AR67" s="542">
        <v>0</v>
      </c>
      <c r="AS67" s="542">
        <v>0</v>
      </c>
      <c r="AT67" s="542">
        <v>0</v>
      </c>
      <c r="AU67" s="542">
        <v>0</v>
      </c>
      <c r="AV67" s="542">
        <v>0</v>
      </c>
      <c r="AW67" s="542">
        <v>0</v>
      </c>
      <c r="AX67" s="542">
        <v>0</v>
      </c>
      <c r="AY67" s="542">
        <v>0</v>
      </c>
      <c r="AZ67" s="542">
        <v>0</v>
      </c>
      <c r="BA67" s="542">
        <v>0</v>
      </c>
      <c r="BB67" s="542">
        <v>0</v>
      </c>
      <c r="BC67" s="542">
        <v>0</v>
      </c>
      <c r="BD67" s="542">
        <v>0</v>
      </c>
      <c r="BE67" s="542">
        <v>0</v>
      </c>
      <c r="BF67" s="542">
        <v>0</v>
      </c>
      <c r="BG67" s="542">
        <v>0</v>
      </c>
      <c r="BH67" s="542">
        <v>0</v>
      </c>
      <c r="BI67" s="542">
        <v>0</v>
      </c>
      <c r="BJ67" s="542">
        <v>0</v>
      </c>
      <c r="BK67" s="542">
        <v>0</v>
      </c>
      <c r="BL67" s="542">
        <v>0</v>
      </c>
      <c r="BM67" s="542">
        <v>0</v>
      </c>
      <c r="BN67" s="542">
        <v>0</v>
      </c>
      <c r="BO67" s="542">
        <v>0</v>
      </c>
      <c r="BP67" s="542">
        <v>0</v>
      </c>
      <c r="BQ67" s="542">
        <v>0</v>
      </c>
      <c r="BR67" s="542">
        <v>0</v>
      </c>
      <c r="BS67" s="542">
        <v>0</v>
      </c>
      <c r="BT67" s="542">
        <v>0</v>
      </c>
      <c r="BU67" s="542">
        <v>0</v>
      </c>
      <c r="BV67" s="542">
        <v>0</v>
      </c>
      <c r="BW67" s="542">
        <v>0</v>
      </c>
      <c r="BX67" s="542">
        <v>0</v>
      </c>
      <c r="BY67" s="542">
        <v>0</v>
      </c>
      <c r="BZ67" s="542">
        <v>0</v>
      </c>
      <c r="CA67" s="542">
        <v>0</v>
      </c>
      <c r="CB67" s="542">
        <v>0</v>
      </c>
      <c r="CC67" s="542">
        <v>0</v>
      </c>
      <c r="CD67" s="542">
        <v>0</v>
      </c>
      <c r="CE67" s="542">
        <v>0</v>
      </c>
    </row>
    <row r="68" spans="1:83" ht="25.5" x14ac:dyDescent="0.25">
      <c r="A68" s="640"/>
      <c r="B68" s="571">
        <v>148</v>
      </c>
      <c r="C68" s="539" t="s">
        <v>456</v>
      </c>
      <c r="D68" s="537" t="s">
        <v>457</v>
      </c>
      <c r="E68" s="543">
        <v>0</v>
      </c>
      <c r="F68" s="544">
        <v>0</v>
      </c>
      <c r="G68" s="544">
        <v>0</v>
      </c>
      <c r="H68" s="544">
        <v>0</v>
      </c>
      <c r="I68" s="544">
        <v>0</v>
      </c>
      <c r="J68" s="544">
        <v>0</v>
      </c>
      <c r="K68" s="545">
        <v>0</v>
      </c>
      <c r="L68" s="542">
        <v>0</v>
      </c>
      <c r="M68" s="542">
        <v>0</v>
      </c>
      <c r="N68" s="541">
        <v>0</v>
      </c>
      <c r="O68" s="541">
        <v>0</v>
      </c>
      <c r="P68" s="541">
        <v>0</v>
      </c>
      <c r="Q68" s="541">
        <v>0</v>
      </c>
      <c r="R68" s="541">
        <v>0</v>
      </c>
      <c r="S68" s="541">
        <v>0</v>
      </c>
      <c r="T68" s="541">
        <v>0</v>
      </c>
      <c r="U68" s="541">
        <v>0</v>
      </c>
      <c r="V68" s="541">
        <v>0</v>
      </c>
      <c r="W68" s="541">
        <v>0</v>
      </c>
      <c r="X68" s="541">
        <v>0</v>
      </c>
      <c r="Y68" s="541">
        <v>0</v>
      </c>
      <c r="Z68" s="541">
        <v>0</v>
      </c>
      <c r="AA68" s="541">
        <v>0</v>
      </c>
      <c r="AB68" s="542">
        <v>0</v>
      </c>
      <c r="AC68" s="542">
        <v>0</v>
      </c>
      <c r="AD68" s="542">
        <v>0</v>
      </c>
      <c r="AE68" s="542">
        <v>0</v>
      </c>
      <c r="AF68" s="542">
        <v>0</v>
      </c>
      <c r="AG68" s="542">
        <v>0</v>
      </c>
      <c r="AH68" s="542">
        <v>0</v>
      </c>
      <c r="AI68" s="542">
        <v>0</v>
      </c>
      <c r="AJ68" s="542">
        <v>0</v>
      </c>
      <c r="AK68" s="542">
        <v>0</v>
      </c>
      <c r="AL68" s="542">
        <v>0</v>
      </c>
      <c r="AM68" s="542">
        <v>0</v>
      </c>
      <c r="AN68" s="542">
        <v>0</v>
      </c>
      <c r="AO68" s="542">
        <v>0</v>
      </c>
      <c r="AP68" s="542">
        <v>0</v>
      </c>
      <c r="AQ68" s="542">
        <v>0</v>
      </c>
      <c r="AR68" s="542">
        <v>0</v>
      </c>
      <c r="AS68" s="542">
        <v>0</v>
      </c>
      <c r="AT68" s="542">
        <v>0</v>
      </c>
      <c r="AU68" s="542">
        <v>0</v>
      </c>
      <c r="AV68" s="542">
        <v>0</v>
      </c>
      <c r="AW68" s="542">
        <v>0</v>
      </c>
      <c r="AX68" s="542">
        <v>0</v>
      </c>
      <c r="AY68" s="542">
        <v>0</v>
      </c>
      <c r="AZ68" s="542">
        <v>0</v>
      </c>
      <c r="BA68" s="542">
        <v>0</v>
      </c>
      <c r="BB68" s="542">
        <v>0</v>
      </c>
      <c r="BC68" s="542">
        <v>0</v>
      </c>
      <c r="BD68" s="542">
        <v>0</v>
      </c>
      <c r="BE68" s="542">
        <v>0</v>
      </c>
      <c r="BF68" s="542">
        <v>0</v>
      </c>
      <c r="BG68" s="542">
        <v>0</v>
      </c>
      <c r="BH68" s="542">
        <v>0</v>
      </c>
      <c r="BI68" s="542">
        <v>0</v>
      </c>
      <c r="BJ68" s="542">
        <v>0</v>
      </c>
      <c r="BK68" s="542">
        <v>0</v>
      </c>
      <c r="BL68" s="542">
        <v>0</v>
      </c>
      <c r="BM68" s="542">
        <v>0</v>
      </c>
      <c r="BN68" s="542">
        <v>0</v>
      </c>
      <c r="BO68" s="542">
        <v>0</v>
      </c>
      <c r="BP68" s="542">
        <v>0</v>
      </c>
      <c r="BQ68" s="542">
        <v>0</v>
      </c>
      <c r="BR68" s="542">
        <v>0</v>
      </c>
      <c r="BS68" s="542">
        <v>0</v>
      </c>
      <c r="BT68" s="542">
        <v>0</v>
      </c>
      <c r="BU68" s="542">
        <v>0</v>
      </c>
      <c r="BV68" s="542">
        <v>0</v>
      </c>
      <c r="BW68" s="542">
        <v>0</v>
      </c>
      <c r="BX68" s="542">
        <v>0</v>
      </c>
      <c r="BY68" s="542">
        <v>0</v>
      </c>
      <c r="BZ68" s="542">
        <v>0</v>
      </c>
      <c r="CA68" s="542">
        <v>0</v>
      </c>
      <c r="CB68" s="542">
        <v>0</v>
      </c>
      <c r="CC68" s="542">
        <v>0</v>
      </c>
      <c r="CD68" s="542">
        <v>0</v>
      </c>
      <c r="CE68" s="542">
        <v>0</v>
      </c>
    </row>
    <row r="69" spans="1:83" ht="25.5" x14ac:dyDescent="0.25">
      <c r="A69" s="640"/>
      <c r="B69" s="571">
        <v>149</v>
      </c>
      <c r="C69" s="539" t="s">
        <v>458</v>
      </c>
      <c r="D69" s="537" t="s">
        <v>459</v>
      </c>
      <c r="E69" s="543">
        <v>0</v>
      </c>
      <c r="F69" s="544">
        <v>0</v>
      </c>
      <c r="G69" s="544">
        <v>0</v>
      </c>
      <c r="H69" s="544">
        <v>0</v>
      </c>
      <c r="I69" s="544">
        <v>0</v>
      </c>
      <c r="J69" s="544">
        <v>0</v>
      </c>
      <c r="K69" s="545">
        <v>0</v>
      </c>
      <c r="L69" s="542">
        <v>0</v>
      </c>
      <c r="M69" s="542">
        <v>0</v>
      </c>
      <c r="N69" s="541">
        <v>0</v>
      </c>
      <c r="O69" s="541">
        <v>0</v>
      </c>
      <c r="P69" s="541">
        <v>0</v>
      </c>
      <c r="Q69" s="541">
        <v>0</v>
      </c>
      <c r="R69" s="541">
        <v>0</v>
      </c>
      <c r="S69" s="541">
        <v>0</v>
      </c>
      <c r="T69" s="541">
        <v>0</v>
      </c>
      <c r="U69" s="541">
        <v>0</v>
      </c>
      <c r="V69" s="541">
        <v>0</v>
      </c>
      <c r="W69" s="541">
        <v>0</v>
      </c>
      <c r="X69" s="541">
        <v>0</v>
      </c>
      <c r="Y69" s="541">
        <v>0</v>
      </c>
      <c r="Z69" s="541">
        <v>0</v>
      </c>
      <c r="AA69" s="541">
        <v>0</v>
      </c>
      <c r="AB69" s="542">
        <v>0</v>
      </c>
      <c r="AC69" s="542">
        <v>0</v>
      </c>
      <c r="AD69" s="542">
        <v>0</v>
      </c>
      <c r="AE69" s="542">
        <v>0</v>
      </c>
      <c r="AF69" s="542">
        <v>0</v>
      </c>
      <c r="AG69" s="542">
        <v>0</v>
      </c>
      <c r="AH69" s="542">
        <v>0</v>
      </c>
      <c r="AI69" s="542">
        <v>0</v>
      </c>
      <c r="AJ69" s="542">
        <v>0</v>
      </c>
      <c r="AK69" s="542">
        <v>0</v>
      </c>
      <c r="AL69" s="542">
        <v>0</v>
      </c>
      <c r="AM69" s="542">
        <v>0</v>
      </c>
      <c r="AN69" s="542">
        <v>0</v>
      </c>
      <c r="AO69" s="542">
        <v>0</v>
      </c>
      <c r="AP69" s="542">
        <v>0</v>
      </c>
      <c r="AQ69" s="542">
        <v>0</v>
      </c>
      <c r="AR69" s="542">
        <v>0</v>
      </c>
      <c r="AS69" s="542">
        <v>0</v>
      </c>
      <c r="AT69" s="542">
        <v>0</v>
      </c>
      <c r="AU69" s="542">
        <v>0</v>
      </c>
      <c r="AV69" s="542">
        <v>0</v>
      </c>
      <c r="AW69" s="542">
        <v>0</v>
      </c>
      <c r="AX69" s="542">
        <v>0</v>
      </c>
      <c r="AY69" s="542">
        <v>0</v>
      </c>
      <c r="AZ69" s="542">
        <v>0</v>
      </c>
      <c r="BA69" s="542">
        <v>0</v>
      </c>
      <c r="BB69" s="542">
        <v>0</v>
      </c>
      <c r="BC69" s="542">
        <v>0</v>
      </c>
      <c r="BD69" s="542">
        <v>0</v>
      </c>
      <c r="BE69" s="542">
        <v>0</v>
      </c>
      <c r="BF69" s="542">
        <v>0</v>
      </c>
      <c r="BG69" s="542">
        <v>0</v>
      </c>
      <c r="BH69" s="542">
        <v>0</v>
      </c>
      <c r="BI69" s="542">
        <v>0</v>
      </c>
      <c r="BJ69" s="542">
        <v>0</v>
      </c>
      <c r="BK69" s="542">
        <v>0</v>
      </c>
      <c r="BL69" s="542">
        <v>0</v>
      </c>
      <c r="BM69" s="542">
        <v>0</v>
      </c>
      <c r="BN69" s="542">
        <v>0</v>
      </c>
      <c r="BO69" s="542">
        <v>0</v>
      </c>
      <c r="BP69" s="542">
        <v>0</v>
      </c>
      <c r="BQ69" s="542">
        <v>0</v>
      </c>
      <c r="BR69" s="542">
        <v>0</v>
      </c>
      <c r="BS69" s="542">
        <v>0</v>
      </c>
      <c r="BT69" s="542">
        <v>0</v>
      </c>
      <c r="BU69" s="542">
        <v>0</v>
      </c>
      <c r="BV69" s="542">
        <v>0</v>
      </c>
      <c r="BW69" s="542">
        <v>0</v>
      </c>
      <c r="BX69" s="542">
        <v>0</v>
      </c>
      <c r="BY69" s="542">
        <v>0</v>
      </c>
      <c r="BZ69" s="542">
        <v>0</v>
      </c>
      <c r="CA69" s="542">
        <v>0</v>
      </c>
      <c r="CB69" s="542">
        <v>0</v>
      </c>
      <c r="CC69" s="542">
        <v>0</v>
      </c>
      <c r="CD69" s="542">
        <v>0</v>
      </c>
      <c r="CE69" s="542">
        <v>0</v>
      </c>
    </row>
    <row r="70" spans="1:83" ht="38.25" x14ac:dyDescent="0.25">
      <c r="A70" s="640"/>
      <c r="B70" s="571">
        <v>150</v>
      </c>
      <c r="C70" s="539" t="s">
        <v>460</v>
      </c>
      <c r="D70" s="537" t="s">
        <v>461</v>
      </c>
      <c r="E70" s="543">
        <v>0</v>
      </c>
      <c r="F70" s="544">
        <v>0</v>
      </c>
      <c r="G70" s="544">
        <v>0</v>
      </c>
      <c r="H70" s="544">
        <v>0</v>
      </c>
      <c r="I70" s="544">
        <v>0</v>
      </c>
      <c r="J70" s="544">
        <v>0</v>
      </c>
      <c r="K70" s="545">
        <v>0</v>
      </c>
      <c r="L70" s="542">
        <v>0</v>
      </c>
      <c r="M70" s="542">
        <v>0</v>
      </c>
      <c r="N70" s="541">
        <v>0</v>
      </c>
      <c r="O70" s="541">
        <v>0</v>
      </c>
      <c r="P70" s="541">
        <v>0</v>
      </c>
      <c r="Q70" s="541">
        <v>0</v>
      </c>
      <c r="R70" s="541">
        <v>0</v>
      </c>
      <c r="S70" s="541">
        <v>0</v>
      </c>
      <c r="T70" s="541">
        <v>0</v>
      </c>
      <c r="U70" s="541">
        <v>0</v>
      </c>
      <c r="V70" s="541">
        <v>0</v>
      </c>
      <c r="W70" s="541">
        <v>0</v>
      </c>
      <c r="X70" s="541">
        <v>0</v>
      </c>
      <c r="Y70" s="541">
        <v>0</v>
      </c>
      <c r="Z70" s="541">
        <v>0</v>
      </c>
      <c r="AA70" s="541">
        <v>0</v>
      </c>
      <c r="AB70" s="542">
        <v>0</v>
      </c>
      <c r="AC70" s="542">
        <v>0</v>
      </c>
      <c r="AD70" s="542">
        <v>0</v>
      </c>
      <c r="AE70" s="542">
        <v>0</v>
      </c>
      <c r="AF70" s="542">
        <v>0</v>
      </c>
      <c r="AG70" s="542">
        <v>0</v>
      </c>
      <c r="AH70" s="542">
        <v>0</v>
      </c>
      <c r="AI70" s="542">
        <v>0</v>
      </c>
      <c r="AJ70" s="542">
        <v>0</v>
      </c>
      <c r="AK70" s="542">
        <v>0</v>
      </c>
      <c r="AL70" s="542">
        <v>0</v>
      </c>
      <c r="AM70" s="542">
        <v>0</v>
      </c>
      <c r="AN70" s="542">
        <v>0</v>
      </c>
      <c r="AO70" s="542">
        <v>0</v>
      </c>
      <c r="AP70" s="542">
        <v>0</v>
      </c>
      <c r="AQ70" s="542">
        <v>0</v>
      </c>
      <c r="AR70" s="542">
        <v>0</v>
      </c>
      <c r="AS70" s="542">
        <v>0</v>
      </c>
      <c r="AT70" s="542">
        <v>0</v>
      </c>
      <c r="AU70" s="542">
        <v>0</v>
      </c>
      <c r="AV70" s="542">
        <v>0</v>
      </c>
      <c r="AW70" s="542">
        <v>0</v>
      </c>
      <c r="AX70" s="542">
        <v>0</v>
      </c>
      <c r="AY70" s="542">
        <v>0</v>
      </c>
      <c r="AZ70" s="542">
        <v>0</v>
      </c>
      <c r="BA70" s="542">
        <v>0</v>
      </c>
      <c r="BB70" s="542">
        <v>0</v>
      </c>
      <c r="BC70" s="542">
        <v>0</v>
      </c>
      <c r="BD70" s="542">
        <v>0</v>
      </c>
      <c r="BE70" s="542">
        <v>0</v>
      </c>
      <c r="BF70" s="542">
        <v>0</v>
      </c>
      <c r="BG70" s="542">
        <v>0</v>
      </c>
      <c r="BH70" s="542">
        <v>0</v>
      </c>
      <c r="BI70" s="542">
        <v>0</v>
      </c>
      <c r="BJ70" s="542">
        <v>0</v>
      </c>
      <c r="BK70" s="542">
        <v>0</v>
      </c>
      <c r="BL70" s="542">
        <v>0</v>
      </c>
      <c r="BM70" s="542">
        <v>0</v>
      </c>
      <c r="BN70" s="542">
        <v>0</v>
      </c>
      <c r="BO70" s="542">
        <v>0</v>
      </c>
      <c r="BP70" s="542">
        <v>0</v>
      </c>
      <c r="BQ70" s="542">
        <v>0</v>
      </c>
      <c r="BR70" s="542">
        <v>0</v>
      </c>
      <c r="BS70" s="542">
        <v>0</v>
      </c>
      <c r="BT70" s="542">
        <v>0</v>
      </c>
      <c r="BU70" s="542">
        <v>0</v>
      </c>
      <c r="BV70" s="542">
        <v>0</v>
      </c>
      <c r="BW70" s="542">
        <v>0</v>
      </c>
      <c r="BX70" s="542">
        <v>0</v>
      </c>
      <c r="BY70" s="542">
        <v>0</v>
      </c>
      <c r="BZ70" s="542">
        <v>0</v>
      </c>
      <c r="CA70" s="542">
        <v>0</v>
      </c>
      <c r="CB70" s="542">
        <v>0</v>
      </c>
      <c r="CC70" s="542">
        <v>0</v>
      </c>
      <c r="CD70" s="542">
        <v>0</v>
      </c>
      <c r="CE70" s="542">
        <v>0</v>
      </c>
    </row>
    <row r="71" spans="1:83" x14ac:dyDescent="0.25">
      <c r="A71" s="640">
        <v>171</v>
      </c>
      <c r="B71" s="571">
        <v>171</v>
      </c>
      <c r="C71" s="536" t="s">
        <v>303</v>
      </c>
      <c r="D71" s="537" t="s">
        <v>462</v>
      </c>
      <c r="E71" s="543">
        <v>1924</v>
      </c>
      <c r="F71" s="544">
        <v>3600</v>
      </c>
      <c r="G71" s="544">
        <v>0</v>
      </c>
      <c r="H71" s="544">
        <v>53750</v>
      </c>
      <c r="I71" s="544">
        <v>66381</v>
      </c>
      <c r="J71" s="544">
        <v>75016</v>
      </c>
      <c r="K71" s="545">
        <v>0</v>
      </c>
      <c r="L71" s="542">
        <v>0</v>
      </c>
      <c r="M71" s="542">
        <v>0</v>
      </c>
      <c r="N71" s="541">
        <v>625407</v>
      </c>
      <c r="O71" s="541">
        <v>19704</v>
      </c>
      <c r="P71" s="541">
        <v>100000</v>
      </c>
      <c r="Q71" s="541">
        <v>0</v>
      </c>
      <c r="R71" s="541">
        <v>1412578</v>
      </c>
      <c r="S71" s="541">
        <v>33182</v>
      </c>
      <c r="T71" s="541">
        <v>0</v>
      </c>
      <c r="U71" s="541">
        <v>12956213</v>
      </c>
      <c r="V71" s="541">
        <v>807435</v>
      </c>
      <c r="W71" s="541">
        <v>1823684</v>
      </c>
      <c r="X71" s="541">
        <v>2187379</v>
      </c>
      <c r="Y71" s="541">
        <v>0</v>
      </c>
      <c r="Z71" s="541">
        <v>0</v>
      </c>
      <c r="AA71" s="541">
        <v>26713</v>
      </c>
      <c r="AB71" s="542">
        <v>1407323</v>
      </c>
      <c r="AC71" s="542">
        <v>109167</v>
      </c>
      <c r="AD71" s="542">
        <v>58507</v>
      </c>
      <c r="AE71" s="542">
        <v>10224</v>
      </c>
      <c r="AF71" s="542">
        <v>115406</v>
      </c>
      <c r="AG71" s="542">
        <v>1253945</v>
      </c>
      <c r="AH71" s="542">
        <v>0</v>
      </c>
      <c r="AI71" s="542">
        <v>30364</v>
      </c>
      <c r="AJ71" s="542">
        <v>2153314</v>
      </c>
      <c r="AK71" s="542">
        <v>0</v>
      </c>
      <c r="AL71" s="542">
        <v>31827</v>
      </c>
      <c r="AM71" s="542">
        <v>0</v>
      </c>
      <c r="AN71" s="542">
        <v>1175874</v>
      </c>
      <c r="AO71" s="542">
        <v>0</v>
      </c>
      <c r="AP71" s="542">
        <v>0</v>
      </c>
      <c r="AQ71" s="542">
        <v>0</v>
      </c>
      <c r="AR71" s="542">
        <v>1612587</v>
      </c>
      <c r="AS71" s="542">
        <v>165287</v>
      </c>
      <c r="AT71" s="542">
        <v>0</v>
      </c>
      <c r="AU71" s="542">
        <v>64541</v>
      </c>
      <c r="AV71" s="542">
        <v>0</v>
      </c>
      <c r="AW71" s="542">
        <v>1780654</v>
      </c>
      <c r="AX71" s="542">
        <v>0</v>
      </c>
      <c r="AY71" s="542">
        <v>0</v>
      </c>
      <c r="AZ71" s="542">
        <v>322714</v>
      </c>
      <c r="BA71" s="542">
        <v>16664</v>
      </c>
      <c r="BB71" s="542">
        <v>0</v>
      </c>
      <c r="BC71" s="542">
        <v>0</v>
      </c>
      <c r="BD71" s="542">
        <v>0</v>
      </c>
      <c r="BE71" s="542">
        <v>0</v>
      </c>
      <c r="BF71" s="542">
        <v>0</v>
      </c>
      <c r="BG71" s="542">
        <v>0</v>
      </c>
      <c r="BH71" s="542">
        <v>0</v>
      </c>
      <c r="BI71" s="542">
        <v>0</v>
      </c>
      <c r="BJ71" s="542">
        <v>0</v>
      </c>
      <c r="BK71" s="542">
        <v>18941</v>
      </c>
      <c r="BL71" s="542">
        <v>285373</v>
      </c>
      <c r="BM71" s="542">
        <v>0</v>
      </c>
      <c r="BN71" s="542">
        <v>40805</v>
      </c>
      <c r="BO71" s="542">
        <v>241401</v>
      </c>
      <c r="BP71" s="542">
        <v>35279</v>
      </c>
      <c r="BQ71" s="542">
        <v>58392</v>
      </c>
      <c r="BR71" s="542">
        <v>361383</v>
      </c>
      <c r="BS71" s="542">
        <v>21564</v>
      </c>
      <c r="BT71" s="542">
        <v>861667</v>
      </c>
      <c r="BU71" s="542">
        <v>31437</v>
      </c>
      <c r="BV71" s="542">
        <v>140688</v>
      </c>
      <c r="BW71" s="542">
        <v>0</v>
      </c>
      <c r="BX71" s="542">
        <v>108397</v>
      </c>
      <c r="BY71" s="542">
        <v>770</v>
      </c>
      <c r="BZ71" s="542">
        <v>0</v>
      </c>
      <c r="CA71" s="542">
        <v>0</v>
      </c>
      <c r="CB71" s="542">
        <v>0</v>
      </c>
      <c r="CC71" s="542">
        <v>0</v>
      </c>
      <c r="CD71" s="542">
        <v>0</v>
      </c>
      <c r="CE71" s="542">
        <v>0</v>
      </c>
    </row>
    <row r="72" spans="1:83" x14ac:dyDescent="0.25">
      <c r="A72" s="640">
        <v>191</v>
      </c>
      <c r="B72" s="571">
        <v>191</v>
      </c>
      <c r="C72" s="536" t="s">
        <v>319</v>
      </c>
      <c r="D72" s="537" t="s">
        <v>463</v>
      </c>
      <c r="E72" s="543">
        <v>0</v>
      </c>
      <c r="F72" s="544">
        <v>0</v>
      </c>
      <c r="G72" s="544">
        <v>0</v>
      </c>
      <c r="H72" s="544">
        <v>0</v>
      </c>
      <c r="I72" s="544">
        <v>0</v>
      </c>
      <c r="J72" s="544">
        <v>0</v>
      </c>
      <c r="K72" s="545">
        <v>0</v>
      </c>
      <c r="L72" s="542">
        <v>0</v>
      </c>
      <c r="M72" s="542">
        <v>0</v>
      </c>
      <c r="N72" s="541">
        <v>0</v>
      </c>
      <c r="O72" s="541">
        <v>0</v>
      </c>
      <c r="P72" s="541">
        <v>0</v>
      </c>
      <c r="Q72" s="541">
        <v>0</v>
      </c>
      <c r="R72" s="541">
        <v>6160</v>
      </c>
      <c r="S72" s="541">
        <v>0</v>
      </c>
      <c r="T72" s="541">
        <v>0</v>
      </c>
      <c r="U72" s="541">
        <v>0</v>
      </c>
      <c r="V72" s="541">
        <v>104876</v>
      </c>
      <c r="W72" s="541">
        <v>0</v>
      </c>
      <c r="X72" s="541">
        <v>0</v>
      </c>
      <c r="Y72" s="541">
        <v>0</v>
      </c>
      <c r="Z72" s="541">
        <v>94134</v>
      </c>
      <c r="AA72" s="541">
        <v>0</v>
      </c>
      <c r="AB72" s="542">
        <v>489000</v>
      </c>
      <c r="AC72" s="542">
        <v>2646621</v>
      </c>
      <c r="AD72" s="542">
        <v>0</v>
      </c>
      <c r="AE72" s="542">
        <v>0</v>
      </c>
      <c r="AF72" s="542">
        <v>268890</v>
      </c>
      <c r="AG72" s="542">
        <v>145000</v>
      </c>
      <c r="AH72" s="542">
        <v>972554</v>
      </c>
      <c r="AI72" s="542">
        <v>0</v>
      </c>
      <c r="AJ72" s="542">
        <v>0</v>
      </c>
      <c r="AK72" s="542">
        <v>0</v>
      </c>
      <c r="AL72" s="542">
        <v>0</v>
      </c>
      <c r="AM72" s="542">
        <v>0</v>
      </c>
      <c r="AN72" s="542">
        <v>6584</v>
      </c>
      <c r="AO72" s="542">
        <v>0</v>
      </c>
      <c r="AP72" s="542">
        <v>0</v>
      </c>
      <c r="AQ72" s="542">
        <v>0</v>
      </c>
      <c r="AR72" s="542">
        <v>0</v>
      </c>
      <c r="AS72" s="542">
        <v>596626</v>
      </c>
      <c r="AT72" s="542">
        <v>0</v>
      </c>
      <c r="AU72" s="542">
        <v>495000</v>
      </c>
      <c r="AV72" s="542">
        <v>0</v>
      </c>
      <c r="AW72" s="542">
        <v>363391</v>
      </c>
      <c r="AX72" s="542">
        <v>0</v>
      </c>
      <c r="AY72" s="542">
        <v>0</v>
      </c>
      <c r="AZ72" s="542">
        <v>0</v>
      </c>
      <c r="BA72" s="542">
        <v>0</v>
      </c>
      <c r="BB72" s="542">
        <v>0</v>
      </c>
      <c r="BC72" s="542">
        <v>0</v>
      </c>
      <c r="BD72" s="542">
        <v>0</v>
      </c>
      <c r="BE72" s="542">
        <v>44130</v>
      </c>
      <c r="BF72" s="542">
        <v>0</v>
      </c>
      <c r="BG72" s="542">
        <v>16959</v>
      </c>
      <c r="BH72" s="542">
        <v>0</v>
      </c>
      <c r="BI72" s="542">
        <v>0</v>
      </c>
      <c r="BJ72" s="542">
        <v>0</v>
      </c>
      <c r="BK72" s="542">
        <v>0</v>
      </c>
      <c r="BL72" s="542">
        <v>392283</v>
      </c>
      <c r="BM72" s="542">
        <v>0</v>
      </c>
      <c r="BN72" s="542">
        <v>98100</v>
      </c>
      <c r="BO72" s="542">
        <v>0</v>
      </c>
      <c r="BP72" s="542">
        <v>0</v>
      </c>
      <c r="BQ72" s="542">
        <v>0</v>
      </c>
      <c r="BR72" s="542">
        <v>0</v>
      </c>
      <c r="BS72" s="542">
        <v>0</v>
      </c>
      <c r="BT72" s="542">
        <v>0</v>
      </c>
      <c r="BU72" s="542">
        <v>15750</v>
      </c>
      <c r="BV72" s="542">
        <v>0</v>
      </c>
      <c r="BW72" s="542">
        <v>0</v>
      </c>
      <c r="BX72" s="542">
        <v>2130597</v>
      </c>
      <c r="BY72" s="542">
        <v>0</v>
      </c>
      <c r="BZ72" s="542">
        <v>0</v>
      </c>
      <c r="CA72" s="542">
        <v>0</v>
      </c>
      <c r="CB72" s="542">
        <v>0</v>
      </c>
      <c r="CC72" s="542">
        <v>0</v>
      </c>
      <c r="CD72" s="542">
        <v>0</v>
      </c>
      <c r="CE72" s="542">
        <v>0</v>
      </c>
    </row>
    <row r="73" spans="1:83" ht="30" x14ac:dyDescent="0.25">
      <c r="A73" s="640">
        <v>192</v>
      </c>
      <c r="B73" s="571">
        <v>192</v>
      </c>
      <c r="C73" s="536" t="s">
        <v>330</v>
      </c>
      <c r="D73" s="537" t="s">
        <v>464</v>
      </c>
      <c r="E73" s="543">
        <v>0</v>
      </c>
      <c r="F73" s="544">
        <v>0</v>
      </c>
      <c r="G73" s="544">
        <v>0</v>
      </c>
      <c r="H73" s="544">
        <v>0</v>
      </c>
      <c r="I73" s="544">
        <v>0</v>
      </c>
      <c r="J73" s="544">
        <v>0</v>
      </c>
      <c r="K73" s="545">
        <v>0</v>
      </c>
      <c r="L73" s="542">
        <v>0</v>
      </c>
      <c r="M73" s="542">
        <v>0</v>
      </c>
      <c r="N73" s="541">
        <v>0</v>
      </c>
      <c r="O73" s="541">
        <v>0</v>
      </c>
      <c r="P73" s="541">
        <v>0</v>
      </c>
      <c r="Q73" s="541">
        <v>0</v>
      </c>
      <c r="R73" s="541">
        <v>10000</v>
      </c>
      <c r="S73" s="541">
        <v>0</v>
      </c>
      <c r="T73" s="541">
        <v>0</v>
      </c>
      <c r="U73" s="541">
        <v>0</v>
      </c>
      <c r="V73" s="541">
        <v>0</v>
      </c>
      <c r="W73" s="541">
        <v>0</v>
      </c>
      <c r="X73" s="541">
        <v>0</v>
      </c>
      <c r="Y73" s="541">
        <v>0</v>
      </c>
      <c r="Z73" s="541">
        <v>0</v>
      </c>
      <c r="AA73" s="541">
        <v>0</v>
      </c>
      <c r="AB73" s="542">
        <v>0</v>
      </c>
      <c r="AC73" s="542">
        <v>0</v>
      </c>
      <c r="AD73" s="542">
        <v>0</v>
      </c>
      <c r="AE73" s="542">
        <v>0</v>
      </c>
      <c r="AF73" s="542">
        <v>0</v>
      </c>
      <c r="AG73" s="542">
        <v>0</v>
      </c>
      <c r="AH73" s="542">
        <v>0</v>
      </c>
      <c r="AI73" s="542">
        <v>0</v>
      </c>
      <c r="AJ73" s="542">
        <v>0</v>
      </c>
      <c r="AK73" s="542">
        <v>0</v>
      </c>
      <c r="AL73" s="542">
        <v>0</v>
      </c>
      <c r="AM73" s="542">
        <v>0</v>
      </c>
      <c r="AN73" s="542">
        <v>0</v>
      </c>
      <c r="AO73" s="542">
        <v>0</v>
      </c>
      <c r="AP73" s="542">
        <v>0</v>
      </c>
      <c r="AQ73" s="542">
        <v>0</v>
      </c>
      <c r="AR73" s="542">
        <v>0</v>
      </c>
      <c r="AS73" s="542">
        <v>0</v>
      </c>
      <c r="AT73" s="542">
        <v>0</v>
      </c>
      <c r="AU73" s="542">
        <v>0</v>
      </c>
      <c r="AV73" s="542">
        <v>0</v>
      </c>
      <c r="AW73" s="542">
        <v>0</v>
      </c>
      <c r="AX73" s="542">
        <v>0</v>
      </c>
      <c r="AY73" s="542">
        <v>0</v>
      </c>
      <c r="AZ73" s="542">
        <v>0</v>
      </c>
      <c r="BA73" s="542">
        <v>0</v>
      </c>
      <c r="BB73" s="542">
        <v>0</v>
      </c>
      <c r="BC73" s="542">
        <v>0</v>
      </c>
      <c r="BD73" s="542">
        <v>0</v>
      </c>
      <c r="BE73" s="542">
        <v>0</v>
      </c>
      <c r="BF73" s="542">
        <v>0</v>
      </c>
      <c r="BG73" s="542">
        <v>0</v>
      </c>
      <c r="BH73" s="542">
        <v>0</v>
      </c>
      <c r="BI73" s="542">
        <v>0</v>
      </c>
      <c r="BJ73" s="542">
        <v>0</v>
      </c>
      <c r="BK73" s="542">
        <v>0</v>
      </c>
      <c r="BL73" s="542">
        <v>0</v>
      </c>
      <c r="BM73" s="542">
        <v>0</v>
      </c>
      <c r="BN73" s="542">
        <v>0</v>
      </c>
      <c r="BO73" s="542">
        <v>0</v>
      </c>
      <c r="BP73" s="542">
        <v>0</v>
      </c>
      <c r="BQ73" s="542">
        <v>0</v>
      </c>
      <c r="BR73" s="542">
        <v>0</v>
      </c>
      <c r="BS73" s="542">
        <v>0</v>
      </c>
      <c r="BT73" s="542">
        <v>0</v>
      </c>
      <c r="BU73" s="542">
        <v>0</v>
      </c>
      <c r="BV73" s="542">
        <v>0</v>
      </c>
      <c r="BW73" s="542">
        <v>0</v>
      </c>
      <c r="BX73" s="542">
        <v>0</v>
      </c>
      <c r="BY73" s="542">
        <v>0</v>
      </c>
      <c r="BZ73" s="542">
        <v>0</v>
      </c>
      <c r="CA73" s="542">
        <v>0</v>
      </c>
      <c r="CB73" s="542">
        <v>0</v>
      </c>
      <c r="CC73" s="542">
        <v>0</v>
      </c>
      <c r="CD73" s="542">
        <v>0</v>
      </c>
      <c r="CE73" s="542">
        <v>0</v>
      </c>
    </row>
    <row r="74" spans="1:83" ht="45" x14ac:dyDescent="0.25">
      <c r="A74" s="640"/>
      <c r="B74" s="571">
        <v>193</v>
      </c>
      <c r="C74" s="570" t="s">
        <v>465</v>
      </c>
      <c r="D74" s="537" t="s">
        <v>466</v>
      </c>
      <c r="E74" s="543">
        <v>0</v>
      </c>
      <c r="F74" s="544">
        <v>0</v>
      </c>
      <c r="G74" s="544">
        <v>0</v>
      </c>
      <c r="H74" s="544">
        <v>0</v>
      </c>
      <c r="I74" s="544">
        <v>0</v>
      </c>
      <c r="J74" s="544">
        <v>0</v>
      </c>
      <c r="K74" s="545">
        <v>0</v>
      </c>
      <c r="L74" s="542">
        <v>0</v>
      </c>
      <c r="M74" s="542">
        <v>0</v>
      </c>
      <c r="N74" s="541">
        <v>0</v>
      </c>
      <c r="O74" s="541">
        <v>0</v>
      </c>
      <c r="P74" s="541">
        <v>0</v>
      </c>
      <c r="Q74" s="541">
        <v>0</v>
      </c>
      <c r="R74" s="541">
        <v>0</v>
      </c>
      <c r="S74" s="541">
        <v>0</v>
      </c>
      <c r="T74" s="541">
        <v>0</v>
      </c>
      <c r="U74" s="541">
        <v>0</v>
      </c>
      <c r="V74" s="541">
        <v>0</v>
      </c>
      <c r="W74" s="541">
        <v>0</v>
      </c>
      <c r="X74" s="541">
        <v>0</v>
      </c>
      <c r="Y74" s="541">
        <v>0</v>
      </c>
      <c r="Z74" s="541">
        <v>0</v>
      </c>
      <c r="AA74" s="541">
        <v>0</v>
      </c>
      <c r="AB74" s="542">
        <v>0</v>
      </c>
      <c r="AC74" s="542">
        <v>0</v>
      </c>
      <c r="AD74" s="542">
        <v>0</v>
      </c>
      <c r="AE74" s="542">
        <v>0</v>
      </c>
      <c r="AF74" s="542">
        <v>0</v>
      </c>
      <c r="AG74" s="542">
        <v>0</v>
      </c>
      <c r="AH74" s="542">
        <v>0</v>
      </c>
      <c r="AI74" s="542">
        <v>0</v>
      </c>
      <c r="AJ74" s="542">
        <v>0</v>
      </c>
      <c r="AK74" s="542">
        <v>0</v>
      </c>
      <c r="AL74" s="542">
        <v>0</v>
      </c>
      <c r="AM74" s="542">
        <v>0</v>
      </c>
      <c r="AN74" s="542">
        <v>0</v>
      </c>
      <c r="AO74" s="542">
        <v>0</v>
      </c>
      <c r="AP74" s="542">
        <v>0</v>
      </c>
      <c r="AQ74" s="542">
        <v>0</v>
      </c>
      <c r="AR74" s="542">
        <v>0</v>
      </c>
      <c r="AS74" s="542">
        <v>0</v>
      </c>
      <c r="AT74" s="542">
        <v>0</v>
      </c>
      <c r="AU74" s="542">
        <v>0</v>
      </c>
      <c r="AV74" s="542">
        <v>0</v>
      </c>
      <c r="AW74" s="542">
        <v>0</v>
      </c>
      <c r="AX74" s="542">
        <v>0</v>
      </c>
      <c r="AY74" s="542">
        <v>0</v>
      </c>
      <c r="AZ74" s="542">
        <v>0</v>
      </c>
      <c r="BA74" s="542">
        <v>0</v>
      </c>
      <c r="BB74" s="542">
        <v>0</v>
      </c>
      <c r="BC74" s="542">
        <v>0</v>
      </c>
      <c r="BD74" s="542">
        <v>0</v>
      </c>
      <c r="BE74" s="542">
        <v>0</v>
      </c>
      <c r="BF74" s="542">
        <v>0</v>
      </c>
      <c r="BG74" s="542">
        <v>0</v>
      </c>
      <c r="BH74" s="542">
        <v>0</v>
      </c>
      <c r="BI74" s="542">
        <v>0</v>
      </c>
      <c r="BJ74" s="542">
        <v>0</v>
      </c>
      <c r="BK74" s="542">
        <v>0</v>
      </c>
      <c r="BL74" s="542">
        <v>0</v>
      </c>
      <c r="BM74" s="542">
        <v>0</v>
      </c>
      <c r="BN74" s="542">
        <v>0</v>
      </c>
      <c r="BO74" s="542">
        <v>0</v>
      </c>
      <c r="BP74" s="542">
        <v>0</v>
      </c>
      <c r="BQ74" s="542">
        <v>0</v>
      </c>
      <c r="BR74" s="542">
        <v>0</v>
      </c>
      <c r="BS74" s="542">
        <v>0</v>
      </c>
      <c r="BT74" s="542">
        <v>0</v>
      </c>
      <c r="BU74" s="542">
        <v>0</v>
      </c>
      <c r="BV74" s="542">
        <v>0</v>
      </c>
      <c r="BW74" s="542">
        <v>0</v>
      </c>
      <c r="BX74" s="542">
        <v>0</v>
      </c>
      <c r="BY74" s="542">
        <v>0</v>
      </c>
      <c r="BZ74" s="542">
        <v>0</v>
      </c>
      <c r="CA74" s="542">
        <v>0</v>
      </c>
      <c r="CB74" s="542">
        <v>0</v>
      </c>
      <c r="CC74" s="542">
        <v>0</v>
      </c>
      <c r="CD74" s="542">
        <v>0</v>
      </c>
      <c r="CE74" s="542">
        <v>0</v>
      </c>
    </row>
    <row r="75" spans="1:83" ht="25.5" x14ac:dyDescent="0.25">
      <c r="A75" s="640"/>
      <c r="B75" s="571">
        <v>194</v>
      </c>
      <c r="C75" s="539" t="s">
        <v>467</v>
      </c>
      <c r="D75" s="537" t="s">
        <v>468</v>
      </c>
      <c r="E75" s="543">
        <v>0</v>
      </c>
      <c r="F75" s="544">
        <v>0</v>
      </c>
      <c r="G75" s="544">
        <v>0</v>
      </c>
      <c r="H75" s="544">
        <v>0</v>
      </c>
      <c r="I75" s="544">
        <v>0</v>
      </c>
      <c r="J75" s="544">
        <v>0</v>
      </c>
      <c r="K75" s="545">
        <v>0</v>
      </c>
      <c r="L75" s="542">
        <v>0</v>
      </c>
      <c r="M75" s="542">
        <v>0</v>
      </c>
      <c r="N75" s="541">
        <v>0</v>
      </c>
      <c r="O75" s="541">
        <v>0</v>
      </c>
      <c r="P75" s="541">
        <v>0</v>
      </c>
      <c r="Q75" s="541">
        <v>0</v>
      </c>
      <c r="R75" s="541">
        <v>0</v>
      </c>
      <c r="S75" s="541">
        <v>0</v>
      </c>
      <c r="T75" s="541">
        <v>0</v>
      </c>
      <c r="U75" s="541">
        <v>0</v>
      </c>
      <c r="V75" s="541">
        <v>0</v>
      </c>
      <c r="W75" s="541">
        <v>0</v>
      </c>
      <c r="X75" s="541">
        <v>0</v>
      </c>
      <c r="Y75" s="541">
        <v>0</v>
      </c>
      <c r="Z75" s="541">
        <v>0</v>
      </c>
      <c r="AA75" s="541">
        <v>0</v>
      </c>
      <c r="AB75" s="542">
        <v>0</v>
      </c>
      <c r="AC75" s="542">
        <v>0</v>
      </c>
      <c r="AD75" s="542">
        <v>0</v>
      </c>
      <c r="AE75" s="542">
        <v>0</v>
      </c>
      <c r="AF75" s="542">
        <v>0</v>
      </c>
      <c r="AG75" s="542">
        <v>0</v>
      </c>
      <c r="AH75" s="542">
        <v>0</v>
      </c>
      <c r="AI75" s="542">
        <v>0</v>
      </c>
      <c r="AJ75" s="542">
        <v>0</v>
      </c>
      <c r="AK75" s="542">
        <v>0</v>
      </c>
      <c r="AL75" s="542">
        <v>0</v>
      </c>
      <c r="AM75" s="542">
        <v>0</v>
      </c>
      <c r="AN75" s="542">
        <v>0</v>
      </c>
      <c r="AO75" s="542">
        <v>0</v>
      </c>
      <c r="AP75" s="542">
        <v>0</v>
      </c>
      <c r="AQ75" s="542">
        <v>0</v>
      </c>
      <c r="AR75" s="542">
        <v>0</v>
      </c>
      <c r="AS75" s="542">
        <v>0</v>
      </c>
      <c r="AT75" s="542">
        <v>0</v>
      </c>
      <c r="AU75" s="542">
        <v>0</v>
      </c>
      <c r="AV75" s="542">
        <v>0</v>
      </c>
      <c r="AW75" s="542">
        <v>0</v>
      </c>
      <c r="AX75" s="542">
        <v>0</v>
      </c>
      <c r="AY75" s="542">
        <v>0</v>
      </c>
      <c r="AZ75" s="542">
        <v>0</v>
      </c>
      <c r="BA75" s="542">
        <v>0</v>
      </c>
      <c r="BB75" s="542">
        <v>0</v>
      </c>
      <c r="BC75" s="542">
        <v>0</v>
      </c>
      <c r="BD75" s="542">
        <v>0</v>
      </c>
      <c r="BE75" s="542">
        <v>0</v>
      </c>
      <c r="BF75" s="542">
        <v>0</v>
      </c>
      <c r="BG75" s="542">
        <v>0</v>
      </c>
      <c r="BH75" s="542">
        <v>0</v>
      </c>
      <c r="BI75" s="542">
        <v>0</v>
      </c>
      <c r="BJ75" s="542">
        <v>0</v>
      </c>
      <c r="BK75" s="542">
        <v>0</v>
      </c>
      <c r="BL75" s="542">
        <v>0</v>
      </c>
      <c r="BM75" s="542">
        <v>0</v>
      </c>
      <c r="BN75" s="542">
        <v>0</v>
      </c>
      <c r="BO75" s="542">
        <v>0</v>
      </c>
      <c r="BP75" s="542">
        <v>0</v>
      </c>
      <c r="BQ75" s="542">
        <v>0</v>
      </c>
      <c r="BR75" s="542">
        <v>0</v>
      </c>
      <c r="BS75" s="542">
        <v>0</v>
      </c>
      <c r="BT75" s="542">
        <v>0</v>
      </c>
      <c r="BU75" s="542">
        <v>0</v>
      </c>
      <c r="BV75" s="542">
        <v>0</v>
      </c>
      <c r="BW75" s="542">
        <v>0</v>
      </c>
      <c r="BX75" s="542">
        <v>0</v>
      </c>
      <c r="BY75" s="542">
        <v>0</v>
      </c>
      <c r="BZ75" s="542">
        <v>0</v>
      </c>
      <c r="CA75" s="542">
        <v>0</v>
      </c>
      <c r="CB75" s="542">
        <v>0</v>
      </c>
      <c r="CC75" s="542">
        <v>0</v>
      </c>
      <c r="CD75" s="542">
        <v>0</v>
      </c>
      <c r="CE75" s="542">
        <v>0</v>
      </c>
    </row>
    <row r="76" spans="1:83" ht="30" x14ac:dyDescent="0.25">
      <c r="A76" s="640"/>
      <c r="B76" s="571">
        <v>231</v>
      </c>
      <c r="C76" s="536" t="s">
        <v>469</v>
      </c>
      <c r="D76" s="537" t="s">
        <v>470</v>
      </c>
      <c r="E76" s="543">
        <v>0</v>
      </c>
      <c r="F76" s="544">
        <v>0</v>
      </c>
      <c r="G76" s="544">
        <v>0</v>
      </c>
      <c r="H76" s="544">
        <v>0</v>
      </c>
      <c r="I76" s="544">
        <v>0</v>
      </c>
      <c r="J76" s="544">
        <v>0</v>
      </c>
      <c r="K76" s="545">
        <v>0</v>
      </c>
      <c r="L76" s="542">
        <v>0</v>
      </c>
      <c r="M76" s="542">
        <v>0</v>
      </c>
      <c r="N76" s="541">
        <v>0</v>
      </c>
      <c r="O76" s="541">
        <v>0</v>
      </c>
      <c r="P76" s="541">
        <v>0</v>
      </c>
      <c r="Q76" s="541">
        <v>0</v>
      </c>
      <c r="R76" s="541">
        <v>0</v>
      </c>
      <c r="S76" s="541">
        <v>0</v>
      </c>
      <c r="T76" s="541">
        <v>0</v>
      </c>
      <c r="U76" s="541">
        <v>0</v>
      </c>
      <c r="V76" s="541">
        <v>0</v>
      </c>
      <c r="W76" s="541">
        <v>0</v>
      </c>
      <c r="X76" s="541">
        <v>0</v>
      </c>
      <c r="Y76" s="541">
        <v>0</v>
      </c>
      <c r="Z76" s="541">
        <v>0</v>
      </c>
      <c r="AA76" s="541">
        <v>0</v>
      </c>
      <c r="AB76" s="542">
        <v>0</v>
      </c>
      <c r="AC76" s="542">
        <v>0</v>
      </c>
      <c r="AD76" s="542">
        <v>0</v>
      </c>
      <c r="AE76" s="542">
        <v>0</v>
      </c>
      <c r="AF76" s="542">
        <v>0</v>
      </c>
      <c r="AG76" s="542">
        <v>0</v>
      </c>
      <c r="AH76" s="542">
        <v>0</v>
      </c>
      <c r="AI76" s="542">
        <v>0</v>
      </c>
      <c r="AJ76" s="542">
        <v>0</v>
      </c>
      <c r="AK76" s="542">
        <v>0</v>
      </c>
      <c r="AL76" s="542">
        <v>0</v>
      </c>
      <c r="AM76" s="542">
        <v>0</v>
      </c>
      <c r="AN76" s="542">
        <v>0</v>
      </c>
      <c r="AO76" s="542">
        <v>0</v>
      </c>
      <c r="AP76" s="542">
        <v>0</v>
      </c>
      <c r="AQ76" s="542">
        <v>0</v>
      </c>
      <c r="AR76" s="542">
        <v>0</v>
      </c>
      <c r="AS76" s="542">
        <v>0</v>
      </c>
      <c r="AT76" s="542">
        <v>0</v>
      </c>
      <c r="AU76" s="542">
        <v>0</v>
      </c>
      <c r="AV76" s="542">
        <v>0</v>
      </c>
      <c r="AW76" s="542">
        <v>0</v>
      </c>
      <c r="AX76" s="542">
        <v>0</v>
      </c>
      <c r="AY76" s="542">
        <v>0</v>
      </c>
      <c r="AZ76" s="542">
        <v>0</v>
      </c>
      <c r="BA76" s="542">
        <v>0</v>
      </c>
      <c r="BB76" s="542">
        <v>0</v>
      </c>
      <c r="BC76" s="542">
        <v>0</v>
      </c>
      <c r="BD76" s="542">
        <v>0</v>
      </c>
      <c r="BE76" s="542">
        <v>0</v>
      </c>
      <c r="BF76" s="542">
        <v>0</v>
      </c>
      <c r="BG76" s="542">
        <v>0</v>
      </c>
      <c r="BH76" s="542">
        <v>0</v>
      </c>
      <c r="BI76" s="542">
        <v>0</v>
      </c>
      <c r="BJ76" s="542">
        <v>0</v>
      </c>
      <c r="BK76" s="542">
        <v>0</v>
      </c>
      <c r="BL76" s="542">
        <v>0</v>
      </c>
      <c r="BM76" s="542">
        <v>0</v>
      </c>
      <c r="BN76" s="542">
        <v>0</v>
      </c>
      <c r="BO76" s="542">
        <v>0</v>
      </c>
      <c r="BP76" s="542">
        <v>0</v>
      </c>
      <c r="BQ76" s="542">
        <v>0</v>
      </c>
      <c r="BR76" s="542">
        <v>0</v>
      </c>
      <c r="BS76" s="542">
        <v>0</v>
      </c>
      <c r="BT76" s="542">
        <v>0</v>
      </c>
      <c r="BU76" s="542">
        <v>0</v>
      </c>
      <c r="BV76" s="542">
        <v>0</v>
      </c>
      <c r="BW76" s="542">
        <v>0</v>
      </c>
      <c r="BX76" s="542">
        <v>0</v>
      </c>
      <c r="BY76" s="542">
        <v>0</v>
      </c>
      <c r="BZ76" s="542">
        <v>0</v>
      </c>
      <c r="CA76" s="542">
        <v>0</v>
      </c>
      <c r="CB76" s="542">
        <v>0</v>
      </c>
      <c r="CC76" s="542">
        <v>0</v>
      </c>
      <c r="CD76" s="542">
        <v>0</v>
      </c>
      <c r="CE76" s="542">
        <v>0</v>
      </c>
    </row>
    <row r="77" spans="1:83" ht="45" x14ac:dyDescent="0.25">
      <c r="A77" s="640"/>
      <c r="B77" s="571">
        <v>251</v>
      </c>
      <c r="C77" s="536" t="s">
        <v>471</v>
      </c>
      <c r="D77" s="537" t="s">
        <v>472</v>
      </c>
      <c r="E77" s="543">
        <v>0</v>
      </c>
      <c r="F77" s="544">
        <v>0</v>
      </c>
      <c r="G77" s="544">
        <v>0</v>
      </c>
      <c r="H77" s="544">
        <v>0</v>
      </c>
      <c r="I77" s="544">
        <v>0</v>
      </c>
      <c r="J77" s="544">
        <v>0</v>
      </c>
      <c r="K77" s="545">
        <v>0</v>
      </c>
      <c r="L77" s="542">
        <v>0</v>
      </c>
      <c r="M77" s="542">
        <v>0</v>
      </c>
      <c r="N77" s="541">
        <v>0</v>
      </c>
      <c r="O77" s="541">
        <v>0</v>
      </c>
      <c r="P77" s="541">
        <v>0</v>
      </c>
      <c r="Q77" s="541">
        <v>0</v>
      </c>
      <c r="R77" s="541">
        <v>0</v>
      </c>
      <c r="S77" s="541">
        <v>0</v>
      </c>
      <c r="T77" s="541">
        <v>0</v>
      </c>
      <c r="U77" s="541">
        <v>0</v>
      </c>
      <c r="V77" s="541">
        <v>0</v>
      </c>
      <c r="W77" s="541">
        <v>0</v>
      </c>
      <c r="X77" s="541">
        <v>0</v>
      </c>
      <c r="Y77" s="541">
        <v>0</v>
      </c>
      <c r="Z77" s="541">
        <v>0</v>
      </c>
      <c r="AA77" s="541">
        <v>0</v>
      </c>
      <c r="AB77" s="542">
        <v>0</v>
      </c>
      <c r="AC77" s="542">
        <v>0</v>
      </c>
      <c r="AD77" s="542">
        <v>0</v>
      </c>
      <c r="AE77" s="542">
        <v>0</v>
      </c>
      <c r="AF77" s="542">
        <v>0</v>
      </c>
      <c r="AG77" s="542">
        <v>0</v>
      </c>
      <c r="AH77" s="542">
        <v>0</v>
      </c>
      <c r="AI77" s="542">
        <v>0</v>
      </c>
      <c r="AJ77" s="542">
        <v>0</v>
      </c>
      <c r="AK77" s="542">
        <v>0</v>
      </c>
      <c r="AL77" s="542">
        <v>0</v>
      </c>
      <c r="AM77" s="542">
        <v>0</v>
      </c>
      <c r="AN77" s="542">
        <v>0</v>
      </c>
      <c r="AO77" s="542">
        <v>0</v>
      </c>
      <c r="AP77" s="542">
        <v>0</v>
      </c>
      <c r="AQ77" s="542">
        <v>0</v>
      </c>
      <c r="AR77" s="542">
        <v>0</v>
      </c>
      <c r="AS77" s="542">
        <v>0</v>
      </c>
      <c r="AT77" s="542">
        <v>0</v>
      </c>
      <c r="AU77" s="542">
        <v>0</v>
      </c>
      <c r="AV77" s="542">
        <v>0</v>
      </c>
      <c r="AW77" s="542">
        <v>0</v>
      </c>
      <c r="AX77" s="542">
        <v>0</v>
      </c>
      <c r="AY77" s="542">
        <v>0</v>
      </c>
      <c r="AZ77" s="542">
        <v>0</v>
      </c>
      <c r="BA77" s="542">
        <v>0</v>
      </c>
      <c r="BB77" s="542">
        <v>0</v>
      </c>
      <c r="BC77" s="542">
        <v>0</v>
      </c>
      <c r="BD77" s="542">
        <v>0</v>
      </c>
      <c r="BE77" s="542">
        <v>0</v>
      </c>
      <c r="BF77" s="542">
        <v>0</v>
      </c>
      <c r="BG77" s="542">
        <v>0</v>
      </c>
      <c r="BH77" s="542">
        <v>0</v>
      </c>
      <c r="BI77" s="542">
        <v>0</v>
      </c>
      <c r="BJ77" s="542">
        <v>0</v>
      </c>
      <c r="BK77" s="542">
        <v>0</v>
      </c>
      <c r="BL77" s="542">
        <v>0</v>
      </c>
      <c r="BM77" s="542">
        <v>0</v>
      </c>
      <c r="BN77" s="542">
        <v>0</v>
      </c>
      <c r="BO77" s="542">
        <v>0</v>
      </c>
      <c r="BP77" s="542">
        <v>0</v>
      </c>
      <c r="BQ77" s="542">
        <v>0</v>
      </c>
      <c r="BR77" s="542">
        <v>0</v>
      </c>
      <c r="BS77" s="542">
        <v>0</v>
      </c>
      <c r="BT77" s="542">
        <v>0</v>
      </c>
      <c r="BU77" s="542">
        <v>0</v>
      </c>
      <c r="BV77" s="542">
        <v>0</v>
      </c>
      <c r="BW77" s="542">
        <v>0</v>
      </c>
      <c r="BX77" s="542">
        <v>0</v>
      </c>
      <c r="BY77" s="542">
        <v>0</v>
      </c>
      <c r="BZ77" s="542">
        <v>0</v>
      </c>
      <c r="CA77" s="542">
        <v>0</v>
      </c>
      <c r="CB77" s="542">
        <v>0</v>
      </c>
      <c r="CC77" s="542">
        <v>0</v>
      </c>
      <c r="CD77" s="542">
        <v>0</v>
      </c>
      <c r="CE77" s="542">
        <v>0</v>
      </c>
    </row>
    <row r="78" spans="1:83" ht="30" x14ac:dyDescent="0.25">
      <c r="A78" s="640">
        <v>252</v>
      </c>
      <c r="B78" s="571">
        <v>252</v>
      </c>
      <c r="C78" s="536" t="s">
        <v>122</v>
      </c>
      <c r="D78" s="537" t="s">
        <v>473</v>
      </c>
      <c r="E78" s="543">
        <v>128561</v>
      </c>
      <c r="F78" s="544">
        <v>161712</v>
      </c>
      <c r="G78" s="544">
        <v>639627</v>
      </c>
      <c r="H78" s="544">
        <v>3048321</v>
      </c>
      <c r="I78" s="544">
        <v>2144454</v>
      </c>
      <c r="J78" s="544">
        <v>4642591</v>
      </c>
      <c r="K78" s="545">
        <v>12530</v>
      </c>
      <c r="L78" s="542">
        <v>1740008</v>
      </c>
      <c r="M78" s="542">
        <v>359487</v>
      </c>
      <c r="N78" s="541">
        <v>57934071</v>
      </c>
      <c r="O78" s="541">
        <v>424096</v>
      </c>
      <c r="P78" s="541">
        <v>5935281</v>
      </c>
      <c r="Q78" s="541">
        <v>168314</v>
      </c>
      <c r="R78" s="541">
        <v>69530266</v>
      </c>
      <c r="S78" s="541">
        <v>3695360</v>
      </c>
      <c r="T78" s="541">
        <v>122557</v>
      </c>
      <c r="U78" s="541">
        <v>49327494</v>
      </c>
      <c r="V78" s="541">
        <v>30839716</v>
      </c>
      <c r="W78" s="541">
        <v>28863885</v>
      </c>
      <c r="X78" s="541">
        <v>128402016</v>
      </c>
      <c r="Y78" s="541">
        <v>0</v>
      </c>
      <c r="Z78" s="541">
        <v>25920101</v>
      </c>
      <c r="AA78" s="541">
        <v>1408078</v>
      </c>
      <c r="AB78" s="542">
        <v>17253004</v>
      </c>
      <c r="AC78" s="542">
        <v>2880413</v>
      </c>
      <c r="AD78" s="542">
        <v>2725764</v>
      </c>
      <c r="AE78" s="542">
        <v>1268104</v>
      </c>
      <c r="AF78" s="542">
        <v>1547898</v>
      </c>
      <c r="AG78" s="542">
        <v>21952386</v>
      </c>
      <c r="AH78" s="542">
        <v>6510664</v>
      </c>
      <c r="AI78" s="542">
        <v>2153045</v>
      </c>
      <c r="AJ78" s="542">
        <v>52136675</v>
      </c>
      <c r="AK78" s="542">
        <v>3548414</v>
      </c>
      <c r="AL78" s="542">
        <v>2765568</v>
      </c>
      <c r="AM78" s="542">
        <v>0</v>
      </c>
      <c r="AN78" s="542">
        <v>9419704</v>
      </c>
      <c r="AO78" s="542">
        <v>338478</v>
      </c>
      <c r="AP78" s="542">
        <v>0</v>
      </c>
      <c r="AQ78" s="542">
        <v>109773</v>
      </c>
      <c r="AR78" s="542">
        <v>13764739</v>
      </c>
      <c r="AS78" s="542">
        <v>42940723</v>
      </c>
      <c r="AT78" s="542">
        <v>0</v>
      </c>
      <c r="AU78" s="542">
        <v>1541007</v>
      </c>
      <c r="AV78" s="542">
        <v>266551</v>
      </c>
      <c r="AW78" s="542">
        <v>22175880</v>
      </c>
      <c r="AX78" s="542">
        <v>6125570</v>
      </c>
      <c r="AY78" s="542">
        <v>3316373</v>
      </c>
      <c r="AZ78" s="542">
        <v>7191899</v>
      </c>
      <c r="BA78" s="542">
        <v>1953606</v>
      </c>
      <c r="BB78" s="542">
        <v>0</v>
      </c>
      <c r="BC78" s="542">
        <v>54299</v>
      </c>
      <c r="BD78" s="542">
        <v>54651</v>
      </c>
      <c r="BE78" s="542">
        <v>5605248</v>
      </c>
      <c r="BF78" s="542">
        <v>325633</v>
      </c>
      <c r="BG78" s="542">
        <v>70293</v>
      </c>
      <c r="BH78" s="542">
        <v>65739</v>
      </c>
      <c r="BI78" s="542">
        <v>64110</v>
      </c>
      <c r="BJ78" s="542">
        <v>271568</v>
      </c>
      <c r="BK78" s="542">
        <v>211677</v>
      </c>
      <c r="BL78" s="542">
        <v>3881350</v>
      </c>
      <c r="BM78" s="542">
        <v>373142</v>
      </c>
      <c r="BN78" s="542">
        <v>1859935</v>
      </c>
      <c r="BO78" s="542">
        <v>5426594</v>
      </c>
      <c r="BP78" s="542">
        <v>339419</v>
      </c>
      <c r="BQ78" s="542">
        <v>927637</v>
      </c>
      <c r="BR78" s="542">
        <v>22631590</v>
      </c>
      <c r="BS78" s="542">
        <v>663625</v>
      </c>
      <c r="BT78" s="542">
        <v>25203522</v>
      </c>
      <c r="BU78" s="542">
        <v>717449</v>
      </c>
      <c r="BV78" s="542">
        <v>4580145</v>
      </c>
      <c r="BW78" s="542">
        <v>2832713</v>
      </c>
      <c r="BX78" s="542">
        <v>2811520</v>
      </c>
      <c r="BY78" s="542">
        <v>281230</v>
      </c>
      <c r="BZ78" s="542">
        <v>335129</v>
      </c>
      <c r="CA78" s="542">
        <v>0</v>
      </c>
      <c r="CB78" s="542">
        <v>38791</v>
      </c>
      <c r="CC78" s="542">
        <v>255492</v>
      </c>
      <c r="CD78" s="542">
        <v>0</v>
      </c>
      <c r="CE78" s="542">
        <v>73166</v>
      </c>
    </row>
    <row r="79" spans="1:83" x14ac:dyDescent="0.25">
      <c r="A79" s="640">
        <v>253</v>
      </c>
      <c r="B79" s="571">
        <v>253</v>
      </c>
      <c r="C79" s="536" t="s">
        <v>123</v>
      </c>
      <c r="D79" s="537" t="s">
        <v>474</v>
      </c>
      <c r="E79" s="543">
        <v>71658</v>
      </c>
      <c r="F79" s="544">
        <v>39200</v>
      </c>
      <c r="G79" s="544">
        <v>150505</v>
      </c>
      <c r="H79" s="544">
        <v>614132</v>
      </c>
      <c r="I79" s="544">
        <v>191483</v>
      </c>
      <c r="J79" s="544">
        <v>298566</v>
      </c>
      <c r="K79" s="545">
        <v>113412</v>
      </c>
      <c r="L79" s="542">
        <v>61440</v>
      </c>
      <c r="M79" s="542">
        <v>19622</v>
      </c>
      <c r="N79" s="541">
        <v>1529416</v>
      </c>
      <c r="O79" s="541">
        <v>119919</v>
      </c>
      <c r="P79" s="541">
        <v>2271279</v>
      </c>
      <c r="Q79" s="541">
        <v>9969</v>
      </c>
      <c r="R79" s="541">
        <v>9654497</v>
      </c>
      <c r="S79" s="541">
        <v>390961</v>
      </c>
      <c r="T79" s="541">
        <v>6027</v>
      </c>
      <c r="U79" s="541">
        <v>9041728</v>
      </c>
      <c r="V79" s="541">
        <v>3229564</v>
      </c>
      <c r="W79" s="541">
        <v>4592854</v>
      </c>
      <c r="X79" s="541">
        <v>21205023</v>
      </c>
      <c r="Y79" s="541">
        <v>0</v>
      </c>
      <c r="Z79" s="541">
        <v>3883357</v>
      </c>
      <c r="AA79" s="541">
        <v>249919</v>
      </c>
      <c r="AB79" s="542">
        <v>3313835</v>
      </c>
      <c r="AC79" s="542">
        <v>953440</v>
      </c>
      <c r="AD79" s="542">
        <v>345084</v>
      </c>
      <c r="AE79" s="542">
        <v>619226</v>
      </c>
      <c r="AF79" s="542">
        <v>799911</v>
      </c>
      <c r="AG79" s="542">
        <v>11467485</v>
      </c>
      <c r="AH79" s="542">
        <v>414022</v>
      </c>
      <c r="AI79" s="542">
        <v>411363</v>
      </c>
      <c r="AJ79" s="542">
        <v>6853285</v>
      </c>
      <c r="AK79" s="542">
        <v>226661</v>
      </c>
      <c r="AL79" s="542">
        <v>100809</v>
      </c>
      <c r="AM79" s="542">
        <v>0</v>
      </c>
      <c r="AN79" s="542">
        <v>3038107</v>
      </c>
      <c r="AO79" s="542">
        <v>232901</v>
      </c>
      <c r="AP79" s="542">
        <v>0</v>
      </c>
      <c r="AQ79" s="542">
        <v>6752</v>
      </c>
      <c r="AR79" s="542">
        <v>5524130</v>
      </c>
      <c r="AS79" s="542">
        <v>2044032</v>
      </c>
      <c r="AT79" s="542">
        <v>0</v>
      </c>
      <c r="AU79" s="542">
        <v>870841</v>
      </c>
      <c r="AV79" s="542">
        <v>52571</v>
      </c>
      <c r="AW79" s="542">
        <v>6850045</v>
      </c>
      <c r="AX79" s="542">
        <v>200468</v>
      </c>
      <c r="AY79" s="542">
        <v>812715</v>
      </c>
      <c r="AZ79" s="542">
        <v>315123</v>
      </c>
      <c r="BA79" s="542">
        <v>55669</v>
      </c>
      <c r="BB79" s="542">
        <v>0</v>
      </c>
      <c r="BC79" s="542">
        <v>0</v>
      </c>
      <c r="BD79" s="542">
        <v>174602</v>
      </c>
      <c r="BE79" s="542">
        <v>2671904</v>
      </c>
      <c r="BF79" s="542">
        <v>54092</v>
      </c>
      <c r="BG79" s="542">
        <v>167466</v>
      </c>
      <c r="BH79" s="542">
        <v>32926</v>
      </c>
      <c r="BI79" s="542">
        <v>24618</v>
      </c>
      <c r="BJ79" s="542">
        <v>90401</v>
      </c>
      <c r="BK79" s="542">
        <v>66377</v>
      </c>
      <c r="BL79" s="542">
        <v>362592</v>
      </c>
      <c r="BM79" s="542">
        <v>309492</v>
      </c>
      <c r="BN79" s="542">
        <v>534922</v>
      </c>
      <c r="BO79" s="542">
        <v>3071101</v>
      </c>
      <c r="BP79" s="542">
        <v>338326</v>
      </c>
      <c r="BQ79" s="542">
        <v>226375</v>
      </c>
      <c r="BR79" s="542">
        <v>1884313</v>
      </c>
      <c r="BS79" s="542">
        <v>217000</v>
      </c>
      <c r="BT79" s="542">
        <v>2129435</v>
      </c>
      <c r="BU79" s="542">
        <v>454403</v>
      </c>
      <c r="BV79" s="542">
        <v>653331</v>
      </c>
      <c r="BW79" s="542">
        <v>1495317</v>
      </c>
      <c r="BX79" s="542">
        <v>717504</v>
      </c>
      <c r="BY79" s="542">
        <v>507991</v>
      </c>
      <c r="BZ79" s="542">
        <v>169875</v>
      </c>
      <c r="CA79" s="542">
        <v>0</v>
      </c>
      <c r="CB79" s="542">
        <v>30784</v>
      </c>
      <c r="CC79" s="542">
        <v>150027</v>
      </c>
      <c r="CD79" s="542">
        <v>0</v>
      </c>
      <c r="CE79" s="542">
        <v>26460</v>
      </c>
    </row>
    <row r="80" spans="1:83" ht="30" x14ac:dyDescent="0.25">
      <c r="A80" s="640">
        <v>254</v>
      </c>
      <c r="B80" s="571">
        <v>254</v>
      </c>
      <c r="C80" s="536" t="s">
        <v>124</v>
      </c>
      <c r="D80" s="537" t="s">
        <v>475</v>
      </c>
      <c r="E80" s="543">
        <v>99503</v>
      </c>
      <c r="F80" s="544">
        <v>82640</v>
      </c>
      <c r="G80" s="544">
        <v>682985</v>
      </c>
      <c r="H80" s="544">
        <v>3394731</v>
      </c>
      <c r="I80" s="544">
        <v>4298981</v>
      </c>
      <c r="J80" s="544">
        <v>4245712</v>
      </c>
      <c r="K80" s="545">
        <v>104094</v>
      </c>
      <c r="L80" s="542">
        <v>759865</v>
      </c>
      <c r="M80" s="542">
        <v>868800</v>
      </c>
      <c r="N80" s="541">
        <v>2801234</v>
      </c>
      <c r="O80" s="541">
        <v>408764</v>
      </c>
      <c r="P80" s="541">
        <v>3350059</v>
      </c>
      <c r="Q80" s="541">
        <v>255757</v>
      </c>
      <c r="R80" s="541">
        <v>-7850509</v>
      </c>
      <c r="S80" s="541">
        <v>1526914</v>
      </c>
      <c r="T80" s="541">
        <v>205806</v>
      </c>
      <c r="U80" s="541">
        <v>-26025246</v>
      </c>
      <c r="V80" s="541">
        <v>4907475</v>
      </c>
      <c r="W80" s="541">
        <v>-1626323</v>
      </c>
      <c r="X80" s="541">
        <v>13689017</v>
      </c>
      <c r="Y80" s="541">
        <v>0</v>
      </c>
      <c r="Z80" s="541">
        <v>8352693</v>
      </c>
      <c r="AA80" s="541">
        <v>1241975</v>
      </c>
      <c r="AB80" s="542">
        <v>3958256</v>
      </c>
      <c r="AC80" s="542">
        <v>83072</v>
      </c>
      <c r="AD80" s="542">
        <v>1443061</v>
      </c>
      <c r="AE80" s="542">
        <v>-24332</v>
      </c>
      <c r="AF80" s="542">
        <v>2488479</v>
      </c>
      <c r="AG80" s="542">
        <v>1878340</v>
      </c>
      <c r="AH80" s="542">
        <v>3576181</v>
      </c>
      <c r="AI80" s="542">
        <v>777517</v>
      </c>
      <c r="AJ80" s="542">
        <v>-21498772</v>
      </c>
      <c r="AK80" s="542">
        <v>2963008</v>
      </c>
      <c r="AL80" s="542">
        <v>473615</v>
      </c>
      <c r="AM80" s="542">
        <v>0</v>
      </c>
      <c r="AN80" s="542">
        <v>4788356</v>
      </c>
      <c r="AO80" s="542">
        <v>466945</v>
      </c>
      <c r="AP80" s="542">
        <v>0</v>
      </c>
      <c r="AQ80" s="542">
        <v>80244</v>
      </c>
      <c r="AR80" s="542">
        <v>1638744</v>
      </c>
      <c r="AS80" s="542">
        <v>-134179</v>
      </c>
      <c r="AT80" s="542">
        <v>0</v>
      </c>
      <c r="AU80" s="542">
        <v>489575</v>
      </c>
      <c r="AV80" s="542">
        <v>365962</v>
      </c>
      <c r="AW80" s="542">
        <v>9947394</v>
      </c>
      <c r="AX80" s="542">
        <v>3456000</v>
      </c>
      <c r="AY80" s="542">
        <v>283779</v>
      </c>
      <c r="AZ80" s="542">
        <v>14733461</v>
      </c>
      <c r="BA80" s="542">
        <v>1808122</v>
      </c>
      <c r="BB80" s="542">
        <v>0</v>
      </c>
      <c r="BC80" s="542">
        <v>88430</v>
      </c>
      <c r="BD80" s="542">
        <v>436254</v>
      </c>
      <c r="BE80" s="542">
        <v>-4222474</v>
      </c>
      <c r="BF80" s="542">
        <v>443334</v>
      </c>
      <c r="BG80" s="542">
        <v>729578</v>
      </c>
      <c r="BH80" s="542">
        <v>123972</v>
      </c>
      <c r="BI80" s="542">
        <v>266113</v>
      </c>
      <c r="BJ80" s="542">
        <v>458539</v>
      </c>
      <c r="BK80" s="542">
        <v>222957</v>
      </c>
      <c r="BL80" s="542">
        <v>-175344</v>
      </c>
      <c r="BM80" s="542">
        <v>56653</v>
      </c>
      <c r="BN80" s="542">
        <v>8524</v>
      </c>
      <c r="BO80" s="542">
        <v>1968845</v>
      </c>
      <c r="BP80" s="542">
        <v>494423</v>
      </c>
      <c r="BQ80" s="542">
        <v>1734799</v>
      </c>
      <c r="BR80" s="542">
        <v>6980336</v>
      </c>
      <c r="BS80" s="542">
        <v>365236</v>
      </c>
      <c r="BT80" s="542">
        <v>12178866</v>
      </c>
      <c r="BU80" s="542">
        <v>420031</v>
      </c>
      <c r="BV80" s="542">
        <v>2845409</v>
      </c>
      <c r="BW80" s="542">
        <v>1066912</v>
      </c>
      <c r="BX80" s="542">
        <v>802518</v>
      </c>
      <c r="BY80" s="542">
        <v>1068217</v>
      </c>
      <c r="BZ80" s="542">
        <v>165507</v>
      </c>
      <c r="CA80" s="542">
        <v>0</v>
      </c>
      <c r="CB80" s="542">
        <v>90298</v>
      </c>
      <c r="CC80" s="542">
        <v>144081</v>
      </c>
      <c r="CD80" s="542">
        <v>0</v>
      </c>
      <c r="CE80" s="542">
        <v>348688</v>
      </c>
    </row>
    <row r="81" spans="1:83" x14ac:dyDescent="0.25">
      <c r="A81" s="640">
        <v>255</v>
      </c>
      <c r="B81" s="571">
        <v>255</v>
      </c>
      <c r="C81" s="536" t="s">
        <v>283</v>
      </c>
      <c r="D81" s="537" t="s">
        <v>476</v>
      </c>
      <c r="E81" s="543">
        <v>17817</v>
      </c>
      <c r="F81" s="544">
        <v>34340</v>
      </c>
      <c r="G81" s="544">
        <v>93198</v>
      </c>
      <c r="H81" s="544">
        <v>278572</v>
      </c>
      <c r="I81" s="544">
        <v>722355</v>
      </c>
      <c r="J81" s="544">
        <v>762837</v>
      </c>
      <c r="K81" s="545">
        <v>17793</v>
      </c>
      <c r="L81" s="542">
        <v>76870</v>
      </c>
      <c r="M81" s="542">
        <v>77284</v>
      </c>
      <c r="N81" s="541">
        <v>13981155</v>
      </c>
      <c r="O81" s="541">
        <v>40076</v>
      </c>
      <c r="P81" s="541">
        <v>172242</v>
      </c>
      <c r="Q81" s="541">
        <v>15136</v>
      </c>
      <c r="R81" s="541">
        <v>-289984</v>
      </c>
      <c r="S81" s="541">
        <v>179744</v>
      </c>
      <c r="T81" s="541">
        <v>-7727</v>
      </c>
      <c r="U81" s="541">
        <v>4741967</v>
      </c>
      <c r="V81" s="541">
        <v>1380725</v>
      </c>
      <c r="W81" s="541">
        <v>662226</v>
      </c>
      <c r="X81" s="541">
        <v>17329750</v>
      </c>
      <c r="Y81" s="541">
        <v>0</v>
      </c>
      <c r="Z81" s="541">
        <v>-821661</v>
      </c>
      <c r="AA81" s="541">
        <v>159826</v>
      </c>
      <c r="AB81" s="542">
        <v>2476406</v>
      </c>
      <c r="AC81" s="542">
        <v>-243234</v>
      </c>
      <c r="AD81" s="542">
        <v>38526</v>
      </c>
      <c r="AE81" s="542">
        <v>-226679</v>
      </c>
      <c r="AF81" s="542">
        <v>-158658</v>
      </c>
      <c r="AG81" s="542">
        <v>3355692</v>
      </c>
      <c r="AH81" s="542">
        <v>931999</v>
      </c>
      <c r="AI81" s="542">
        <v>-42227</v>
      </c>
      <c r="AJ81" s="542">
        <v>822478</v>
      </c>
      <c r="AK81" s="542">
        <v>161270</v>
      </c>
      <c r="AL81" s="542">
        <v>93425</v>
      </c>
      <c r="AM81" s="542">
        <v>0</v>
      </c>
      <c r="AN81" s="542">
        <v>772598</v>
      </c>
      <c r="AO81" s="542">
        <v>34959</v>
      </c>
      <c r="AP81" s="542">
        <v>0</v>
      </c>
      <c r="AQ81" s="542">
        <v>3576</v>
      </c>
      <c r="AR81" s="542">
        <v>1498037</v>
      </c>
      <c r="AS81" s="542">
        <v>-831890</v>
      </c>
      <c r="AT81" s="542">
        <v>0</v>
      </c>
      <c r="AU81" s="542">
        <v>-158571</v>
      </c>
      <c r="AV81" s="542">
        <v>-8053</v>
      </c>
      <c r="AW81" s="542">
        <v>2327643</v>
      </c>
      <c r="AX81" s="542">
        <v>572112</v>
      </c>
      <c r="AY81" s="542">
        <v>107350</v>
      </c>
      <c r="AZ81" s="542">
        <v>1275391</v>
      </c>
      <c r="BA81" s="542">
        <v>-7850</v>
      </c>
      <c r="BB81" s="542">
        <v>0</v>
      </c>
      <c r="BC81" s="542">
        <v>11613</v>
      </c>
      <c r="BD81" s="542">
        <v>63787</v>
      </c>
      <c r="BE81" s="542">
        <v>963020</v>
      </c>
      <c r="BF81" s="542">
        <v>-11132</v>
      </c>
      <c r="BG81" s="542">
        <v>207575</v>
      </c>
      <c r="BH81" s="542">
        <v>-12414</v>
      </c>
      <c r="BI81" s="542">
        <v>21048</v>
      </c>
      <c r="BJ81" s="542">
        <v>-5894</v>
      </c>
      <c r="BK81" s="542">
        <v>41959</v>
      </c>
      <c r="BL81" s="542">
        <v>51727</v>
      </c>
      <c r="BM81" s="542">
        <v>46338</v>
      </c>
      <c r="BN81" s="542">
        <v>-123261</v>
      </c>
      <c r="BO81" s="542">
        <v>849736</v>
      </c>
      <c r="BP81" s="542">
        <v>100717</v>
      </c>
      <c r="BQ81" s="542">
        <v>57555</v>
      </c>
      <c r="BR81" s="542">
        <v>1754817</v>
      </c>
      <c r="BS81" s="542">
        <v>-63762</v>
      </c>
      <c r="BT81" s="542">
        <v>3429513</v>
      </c>
      <c r="BU81" s="542">
        <v>25294</v>
      </c>
      <c r="BV81" s="542">
        <v>523348</v>
      </c>
      <c r="BW81" s="542">
        <v>-3779</v>
      </c>
      <c r="BX81" s="542">
        <v>48123</v>
      </c>
      <c r="BY81" s="542">
        <v>139968</v>
      </c>
      <c r="BZ81" s="542">
        <v>-2039</v>
      </c>
      <c r="CA81" s="542">
        <v>0</v>
      </c>
      <c r="CB81" s="542">
        <v>20618</v>
      </c>
      <c r="CC81" s="542">
        <v>-32824</v>
      </c>
      <c r="CD81" s="542">
        <v>0</v>
      </c>
      <c r="CE81" s="542">
        <v>-6464</v>
      </c>
    </row>
    <row r="82" spans="1:83" ht="30" x14ac:dyDescent="0.25">
      <c r="A82" s="640"/>
      <c r="B82" s="571">
        <v>274</v>
      </c>
      <c r="C82" s="570" t="s">
        <v>477</v>
      </c>
      <c r="D82" s="537" t="s">
        <v>478</v>
      </c>
      <c r="E82" s="543"/>
      <c r="F82" s="544"/>
      <c r="G82" s="544"/>
      <c r="H82" s="544"/>
      <c r="I82" s="544"/>
      <c r="J82" s="544"/>
      <c r="K82" s="545"/>
      <c r="L82" s="542"/>
      <c r="M82" s="542"/>
      <c r="N82" s="541"/>
      <c r="O82" s="541"/>
      <c r="P82" s="541"/>
      <c r="Q82" s="541"/>
      <c r="R82" s="541"/>
      <c r="S82" s="541"/>
      <c r="T82" s="541"/>
      <c r="U82" s="541"/>
      <c r="V82" s="541"/>
      <c r="W82" s="541"/>
      <c r="X82" s="541"/>
      <c r="Y82" s="541"/>
      <c r="Z82" s="541"/>
      <c r="AA82" s="541"/>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542"/>
      <c r="BA82" s="542"/>
      <c r="BB82" s="542"/>
      <c r="BC82" s="542"/>
      <c r="BD82" s="542"/>
      <c r="BE82" s="542"/>
      <c r="BF82" s="542"/>
      <c r="BG82" s="542"/>
      <c r="BH82" s="542"/>
      <c r="BI82" s="542"/>
      <c r="BJ82" s="542"/>
      <c r="BK82" s="542"/>
      <c r="BL82" s="542"/>
      <c r="BM82" s="542"/>
      <c r="BN82" s="542"/>
      <c r="BO82" s="542"/>
      <c r="BP82" s="542"/>
      <c r="BQ82" s="542"/>
      <c r="BR82" s="542"/>
      <c r="BS82" s="542"/>
      <c r="BT82" s="542"/>
      <c r="BU82" s="542"/>
      <c r="BV82" s="542"/>
      <c r="BW82" s="542"/>
      <c r="BX82" s="542"/>
      <c r="BY82" s="542"/>
      <c r="BZ82" s="542"/>
      <c r="CA82" s="542"/>
      <c r="CB82" s="542"/>
      <c r="CC82" s="542"/>
      <c r="CD82" s="542"/>
      <c r="CE82" s="542"/>
    </row>
    <row r="83" spans="1:83" ht="25.5" x14ac:dyDescent="0.25">
      <c r="A83" s="640"/>
      <c r="B83" s="571">
        <v>294</v>
      </c>
      <c r="C83" s="539" t="s">
        <v>866</v>
      </c>
      <c r="D83" s="537" t="s">
        <v>479</v>
      </c>
      <c r="E83" s="543"/>
      <c r="F83" s="544"/>
      <c r="G83" s="544"/>
      <c r="H83" s="544"/>
      <c r="I83" s="544"/>
      <c r="J83" s="544"/>
      <c r="K83" s="545"/>
      <c r="L83" s="542"/>
      <c r="M83" s="542"/>
      <c r="N83" s="541"/>
      <c r="O83" s="541"/>
      <c r="P83" s="541"/>
      <c r="Q83" s="541"/>
      <c r="R83" s="541"/>
      <c r="S83" s="541"/>
      <c r="T83" s="541"/>
      <c r="U83" s="541"/>
      <c r="V83" s="541"/>
      <c r="W83" s="541"/>
      <c r="X83" s="541"/>
      <c r="Y83" s="541"/>
      <c r="Z83" s="541"/>
      <c r="AA83" s="541"/>
      <c r="AB83" s="542"/>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2"/>
      <c r="AY83" s="542"/>
      <c r="AZ83" s="542"/>
      <c r="BA83" s="542"/>
      <c r="BB83" s="542"/>
      <c r="BC83" s="542"/>
      <c r="BD83" s="542"/>
      <c r="BE83" s="542"/>
      <c r="BF83" s="542"/>
      <c r="BG83" s="542"/>
      <c r="BH83" s="542"/>
      <c r="BI83" s="542"/>
      <c r="BJ83" s="542"/>
      <c r="BK83" s="542"/>
      <c r="BL83" s="542"/>
      <c r="BM83" s="542"/>
      <c r="BN83" s="542"/>
      <c r="BO83" s="542"/>
      <c r="BP83" s="542"/>
      <c r="BQ83" s="542"/>
      <c r="BR83" s="542"/>
      <c r="BS83" s="542"/>
      <c r="BT83" s="542"/>
      <c r="BU83" s="542"/>
      <c r="BV83" s="542"/>
      <c r="BW83" s="542"/>
      <c r="BX83" s="542"/>
      <c r="BY83" s="542"/>
      <c r="BZ83" s="542"/>
      <c r="CA83" s="542"/>
      <c r="CB83" s="542"/>
      <c r="CC83" s="542"/>
      <c r="CD83" s="542"/>
      <c r="CE83" s="542"/>
    </row>
    <row r="84" spans="1:83" ht="38.25" x14ac:dyDescent="0.25">
      <c r="A84" s="640"/>
      <c r="B84" s="571">
        <v>314</v>
      </c>
      <c r="C84" s="539" t="s">
        <v>480</v>
      </c>
      <c r="D84" s="537" t="s">
        <v>481</v>
      </c>
      <c r="E84" s="543"/>
      <c r="F84" s="544"/>
      <c r="G84" s="544"/>
      <c r="H84" s="544"/>
      <c r="I84" s="544"/>
      <c r="J84" s="544"/>
      <c r="K84" s="545"/>
      <c r="L84" s="542"/>
      <c r="M84" s="542"/>
      <c r="N84" s="541"/>
      <c r="O84" s="541"/>
      <c r="P84" s="541"/>
      <c r="Q84" s="541"/>
      <c r="R84" s="541"/>
      <c r="S84" s="541"/>
      <c r="T84" s="541"/>
      <c r="U84" s="541"/>
      <c r="V84" s="541"/>
      <c r="W84" s="541"/>
      <c r="X84" s="541"/>
      <c r="Y84" s="541"/>
      <c r="Z84" s="541"/>
      <c r="AA84" s="541"/>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42"/>
      <c r="BK84" s="542"/>
      <c r="BL84" s="542"/>
      <c r="BM84" s="542"/>
      <c r="BN84" s="542"/>
      <c r="BO84" s="542"/>
      <c r="BP84" s="542"/>
      <c r="BQ84" s="542"/>
      <c r="BR84" s="542"/>
      <c r="BS84" s="542"/>
      <c r="BT84" s="542"/>
      <c r="BU84" s="542"/>
      <c r="BV84" s="542"/>
      <c r="BW84" s="542"/>
      <c r="BX84" s="542"/>
      <c r="BY84" s="542"/>
      <c r="BZ84" s="542"/>
      <c r="CA84" s="542"/>
      <c r="CB84" s="542"/>
      <c r="CC84" s="542"/>
      <c r="CD84" s="542"/>
      <c r="CE84" s="542"/>
    </row>
    <row r="85" spans="1:83" ht="38.25" x14ac:dyDescent="0.25">
      <c r="A85" s="640"/>
      <c r="B85" s="571">
        <v>315</v>
      </c>
      <c r="C85" s="539" t="s">
        <v>482</v>
      </c>
      <c r="D85" s="537" t="s">
        <v>483</v>
      </c>
      <c r="E85" s="543"/>
      <c r="F85" s="544"/>
      <c r="G85" s="544"/>
      <c r="H85" s="544"/>
      <c r="I85" s="544"/>
      <c r="J85" s="544"/>
      <c r="K85" s="545"/>
      <c r="L85" s="542"/>
      <c r="M85" s="542"/>
      <c r="N85" s="541"/>
      <c r="O85" s="541"/>
      <c r="P85" s="541"/>
      <c r="Q85" s="541"/>
      <c r="R85" s="541"/>
      <c r="S85" s="541"/>
      <c r="T85" s="541"/>
      <c r="U85" s="541"/>
      <c r="V85" s="541"/>
      <c r="W85" s="541"/>
      <c r="X85" s="541"/>
      <c r="Y85" s="541"/>
      <c r="Z85" s="541"/>
      <c r="AA85" s="541"/>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c r="BQ85" s="542"/>
      <c r="BR85" s="542"/>
      <c r="BS85" s="542"/>
      <c r="BT85" s="542"/>
      <c r="BU85" s="542"/>
      <c r="BV85" s="542"/>
      <c r="BW85" s="542"/>
      <c r="BX85" s="542"/>
      <c r="BY85" s="542"/>
      <c r="BZ85" s="542"/>
      <c r="CA85" s="542"/>
      <c r="CB85" s="542"/>
      <c r="CC85" s="542"/>
      <c r="CD85" s="542"/>
      <c r="CE85" s="542"/>
    </row>
    <row r="86" spans="1:83" ht="25.5" x14ac:dyDescent="0.25">
      <c r="A86" s="640"/>
      <c r="B86" s="571">
        <v>316</v>
      </c>
      <c r="C86" s="539" t="s">
        <v>484</v>
      </c>
      <c r="D86" s="537" t="s">
        <v>485</v>
      </c>
      <c r="E86" s="543"/>
      <c r="F86" s="544"/>
      <c r="G86" s="544"/>
      <c r="H86" s="544"/>
      <c r="I86" s="544"/>
      <c r="J86" s="544"/>
      <c r="K86" s="545"/>
      <c r="L86" s="542"/>
      <c r="M86" s="542"/>
      <c r="N86" s="541"/>
      <c r="O86" s="541"/>
      <c r="P86" s="541"/>
      <c r="Q86" s="541"/>
      <c r="R86" s="541"/>
      <c r="S86" s="541"/>
      <c r="T86" s="541"/>
      <c r="U86" s="541"/>
      <c r="V86" s="541"/>
      <c r="W86" s="541"/>
      <c r="X86" s="541"/>
      <c r="Y86" s="541"/>
      <c r="Z86" s="541"/>
      <c r="AA86" s="541"/>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c r="BI86" s="542"/>
      <c r="BJ86" s="542"/>
      <c r="BK86" s="542"/>
      <c r="BL86" s="542"/>
      <c r="BM86" s="542"/>
      <c r="BN86" s="542"/>
      <c r="BO86" s="542"/>
      <c r="BP86" s="542"/>
      <c r="BQ86" s="542"/>
      <c r="BR86" s="542"/>
      <c r="BS86" s="542"/>
      <c r="BT86" s="542"/>
      <c r="BU86" s="542"/>
      <c r="BV86" s="542"/>
      <c r="BW86" s="542"/>
      <c r="BX86" s="542"/>
      <c r="BY86" s="542"/>
      <c r="BZ86" s="542"/>
      <c r="CA86" s="542"/>
      <c r="CB86" s="542"/>
      <c r="CC86" s="542"/>
      <c r="CD86" s="542"/>
      <c r="CE86" s="542"/>
    </row>
    <row r="87" spans="1:83" x14ac:dyDescent="0.25">
      <c r="A87" s="640"/>
      <c r="B87" s="623">
        <v>320</v>
      </c>
      <c r="C87" s="611" t="s">
        <v>883</v>
      </c>
      <c r="D87" s="617" t="s">
        <v>486</v>
      </c>
      <c r="E87" s="621">
        <v>0</v>
      </c>
      <c r="F87" s="610">
        <v>0</v>
      </c>
      <c r="G87" s="610">
        <v>0</v>
      </c>
      <c r="H87" s="610">
        <v>0</v>
      </c>
      <c r="I87" s="610">
        <v>0</v>
      </c>
      <c r="J87" s="610">
        <v>0</v>
      </c>
      <c r="K87" s="609">
        <v>0</v>
      </c>
      <c r="L87" s="608">
        <v>0</v>
      </c>
      <c r="M87" s="608">
        <v>0</v>
      </c>
      <c r="N87" s="588">
        <v>0</v>
      </c>
      <c r="O87" s="588">
        <v>0</v>
      </c>
      <c r="P87" s="588">
        <v>0</v>
      </c>
      <c r="Q87" s="588">
        <v>0</v>
      </c>
      <c r="R87" s="588">
        <v>0</v>
      </c>
      <c r="S87" s="588">
        <v>0</v>
      </c>
      <c r="T87" s="588">
        <v>0</v>
      </c>
      <c r="U87" s="588">
        <v>0</v>
      </c>
      <c r="V87" s="588">
        <v>0</v>
      </c>
      <c r="W87" s="588">
        <v>0</v>
      </c>
      <c r="X87" s="588">
        <v>0</v>
      </c>
      <c r="Y87" s="588">
        <v>0</v>
      </c>
      <c r="Z87" s="588">
        <v>0</v>
      </c>
      <c r="AA87" s="588">
        <v>0</v>
      </c>
      <c r="AB87" s="608">
        <v>0</v>
      </c>
      <c r="AC87" s="608">
        <v>0</v>
      </c>
      <c r="AD87" s="608">
        <v>0</v>
      </c>
      <c r="AE87" s="608">
        <v>0</v>
      </c>
      <c r="AF87" s="608">
        <v>0</v>
      </c>
      <c r="AG87" s="608">
        <v>0</v>
      </c>
      <c r="AH87" s="608">
        <v>0</v>
      </c>
      <c r="AI87" s="608">
        <v>0</v>
      </c>
      <c r="AJ87" s="608">
        <v>0</v>
      </c>
      <c r="AK87" s="608">
        <v>0</v>
      </c>
      <c r="AL87" s="608">
        <v>0</v>
      </c>
      <c r="AM87" s="608">
        <v>0</v>
      </c>
      <c r="AN87" s="608">
        <v>0</v>
      </c>
      <c r="AO87" s="608">
        <v>0</v>
      </c>
      <c r="AP87" s="608">
        <v>0</v>
      </c>
      <c r="AQ87" s="608">
        <v>0</v>
      </c>
      <c r="AR87" s="608">
        <v>0</v>
      </c>
      <c r="AS87" s="608">
        <v>0</v>
      </c>
      <c r="AT87" s="608">
        <v>0</v>
      </c>
      <c r="AU87" s="608">
        <v>0</v>
      </c>
      <c r="AV87" s="608">
        <v>0</v>
      </c>
      <c r="AW87" s="608">
        <v>0</v>
      </c>
      <c r="AX87" s="608">
        <v>0</v>
      </c>
      <c r="AY87" s="608">
        <v>0</v>
      </c>
      <c r="AZ87" s="608">
        <v>0</v>
      </c>
      <c r="BA87" s="608">
        <v>0</v>
      </c>
      <c r="BB87" s="608">
        <v>0</v>
      </c>
      <c r="BC87" s="608">
        <v>0</v>
      </c>
      <c r="BD87" s="608">
        <v>0</v>
      </c>
      <c r="BE87" s="608">
        <v>0</v>
      </c>
      <c r="BF87" s="608">
        <v>0</v>
      </c>
      <c r="BG87" s="608">
        <v>0</v>
      </c>
      <c r="BH87" s="608">
        <v>0</v>
      </c>
      <c r="BI87" s="608">
        <v>0</v>
      </c>
      <c r="BJ87" s="608">
        <v>0</v>
      </c>
      <c r="BK87" s="608">
        <v>0</v>
      </c>
      <c r="BL87" s="608">
        <v>0</v>
      </c>
      <c r="BM87" s="608">
        <v>0</v>
      </c>
      <c r="BN87" s="608">
        <v>0</v>
      </c>
      <c r="BO87" s="608">
        <v>0</v>
      </c>
      <c r="BP87" s="608">
        <v>0</v>
      </c>
      <c r="BQ87" s="608">
        <v>0</v>
      </c>
      <c r="BR87" s="608">
        <v>0</v>
      </c>
      <c r="BS87" s="608">
        <v>0</v>
      </c>
      <c r="BT87" s="608">
        <v>0</v>
      </c>
      <c r="BU87" s="608">
        <v>0</v>
      </c>
      <c r="BV87" s="608">
        <v>0</v>
      </c>
      <c r="BW87" s="608">
        <v>0</v>
      </c>
      <c r="BX87" s="608">
        <v>0</v>
      </c>
      <c r="BY87" s="608">
        <v>0</v>
      </c>
      <c r="BZ87" s="608">
        <v>0</v>
      </c>
      <c r="CA87" s="608">
        <v>0</v>
      </c>
      <c r="CB87" s="608">
        <v>0</v>
      </c>
      <c r="CC87" s="608">
        <v>0</v>
      </c>
      <c r="CD87" s="608">
        <v>0</v>
      </c>
      <c r="CE87" s="608">
        <v>0</v>
      </c>
    </row>
    <row r="88" spans="1:83" x14ac:dyDescent="0.25">
      <c r="A88" s="640"/>
      <c r="B88" s="623">
        <v>321</v>
      </c>
      <c r="C88" s="611" t="s">
        <v>884</v>
      </c>
      <c r="D88" s="617" t="s">
        <v>487</v>
      </c>
      <c r="E88" s="621">
        <v>0</v>
      </c>
      <c r="F88" s="610">
        <v>0</v>
      </c>
      <c r="G88" s="610">
        <v>0</v>
      </c>
      <c r="H88" s="610">
        <v>0</v>
      </c>
      <c r="I88" s="610">
        <v>0</v>
      </c>
      <c r="J88" s="610">
        <v>0</v>
      </c>
      <c r="K88" s="609">
        <v>0</v>
      </c>
      <c r="L88" s="608">
        <v>0</v>
      </c>
      <c r="M88" s="608">
        <v>0</v>
      </c>
      <c r="N88" s="588">
        <v>0</v>
      </c>
      <c r="O88" s="588">
        <v>0</v>
      </c>
      <c r="P88" s="588">
        <v>0</v>
      </c>
      <c r="Q88" s="588">
        <v>0</v>
      </c>
      <c r="R88" s="588">
        <v>0</v>
      </c>
      <c r="S88" s="588">
        <v>0</v>
      </c>
      <c r="T88" s="588">
        <v>0</v>
      </c>
      <c r="U88" s="588">
        <v>0</v>
      </c>
      <c r="V88" s="588">
        <v>0</v>
      </c>
      <c r="W88" s="588">
        <v>0</v>
      </c>
      <c r="X88" s="588">
        <v>0</v>
      </c>
      <c r="Y88" s="588">
        <v>0</v>
      </c>
      <c r="Z88" s="588">
        <v>0</v>
      </c>
      <c r="AA88" s="588">
        <v>0</v>
      </c>
      <c r="AB88" s="608">
        <v>0</v>
      </c>
      <c r="AC88" s="608">
        <v>0</v>
      </c>
      <c r="AD88" s="608">
        <v>0</v>
      </c>
      <c r="AE88" s="608">
        <v>0</v>
      </c>
      <c r="AF88" s="608">
        <v>0</v>
      </c>
      <c r="AG88" s="608">
        <v>0</v>
      </c>
      <c r="AH88" s="608">
        <v>0</v>
      </c>
      <c r="AI88" s="608">
        <v>0</v>
      </c>
      <c r="AJ88" s="608">
        <v>0</v>
      </c>
      <c r="AK88" s="608">
        <v>0</v>
      </c>
      <c r="AL88" s="608">
        <v>0</v>
      </c>
      <c r="AM88" s="608">
        <v>0</v>
      </c>
      <c r="AN88" s="608">
        <v>0</v>
      </c>
      <c r="AO88" s="608">
        <v>0</v>
      </c>
      <c r="AP88" s="608">
        <v>0</v>
      </c>
      <c r="AQ88" s="608">
        <v>0</v>
      </c>
      <c r="AR88" s="608">
        <v>0</v>
      </c>
      <c r="AS88" s="608">
        <v>0</v>
      </c>
      <c r="AT88" s="608">
        <v>0</v>
      </c>
      <c r="AU88" s="608">
        <v>0</v>
      </c>
      <c r="AV88" s="608">
        <v>0</v>
      </c>
      <c r="AW88" s="608">
        <v>0</v>
      </c>
      <c r="AX88" s="608">
        <v>0</v>
      </c>
      <c r="AY88" s="608">
        <v>0</v>
      </c>
      <c r="AZ88" s="608">
        <v>0</v>
      </c>
      <c r="BA88" s="608">
        <v>0</v>
      </c>
      <c r="BB88" s="608">
        <v>0</v>
      </c>
      <c r="BC88" s="608">
        <v>0</v>
      </c>
      <c r="BD88" s="608">
        <v>0</v>
      </c>
      <c r="BE88" s="608">
        <v>0</v>
      </c>
      <c r="BF88" s="608">
        <v>0</v>
      </c>
      <c r="BG88" s="608">
        <v>0</v>
      </c>
      <c r="BH88" s="608">
        <v>0</v>
      </c>
      <c r="BI88" s="608">
        <v>0</v>
      </c>
      <c r="BJ88" s="608">
        <v>0</v>
      </c>
      <c r="BK88" s="608">
        <v>0</v>
      </c>
      <c r="BL88" s="608">
        <v>0</v>
      </c>
      <c r="BM88" s="608">
        <v>0</v>
      </c>
      <c r="BN88" s="608">
        <v>0</v>
      </c>
      <c r="BO88" s="608">
        <v>0</v>
      </c>
      <c r="BP88" s="608">
        <v>0</v>
      </c>
      <c r="BQ88" s="608">
        <v>0</v>
      </c>
      <c r="BR88" s="608">
        <v>0</v>
      </c>
      <c r="BS88" s="608">
        <v>0</v>
      </c>
      <c r="BT88" s="608">
        <v>0</v>
      </c>
      <c r="BU88" s="608">
        <v>0</v>
      </c>
      <c r="BV88" s="608">
        <v>0</v>
      </c>
      <c r="BW88" s="608">
        <v>0</v>
      </c>
      <c r="BX88" s="608">
        <v>0</v>
      </c>
      <c r="BY88" s="608">
        <v>0</v>
      </c>
      <c r="BZ88" s="608">
        <v>0</v>
      </c>
      <c r="CA88" s="608">
        <v>0</v>
      </c>
      <c r="CB88" s="608">
        <v>0</v>
      </c>
      <c r="CC88" s="608">
        <v>0</v>
      </c>
      <c r="CD88" s="608">
        <v>0</v>
      </c>
      <c r="CE88" s="608">
        <v>0</v>
      </c>
    </row>
    <row r="89" spans="1:83" x14ac:dyDescent="0.25">
      <c r="A89" s="640"/>
      <c r="B89" s="623">
        <v>322</v>
      </c>
      <c r="C89" s="611" t="s">
        <v>885</v>
      </c>
      <c r="D89" s="617" t="s">
        <v>488</v>
      </c>
      <c r="E89" s="621">
        <v>0</v>
      </c>
      <c r="F89" s="610">
        <v>0</v>
      </c>
      <c r="G89" s="610">
        <v>0</v>
      </c>
      <c r="H89" s="610">
        <v>0</v>
      </c>
      <c r="I89" s="610">
        <v>0</v>
      </c>
      <c r="J89" s="610">
        <v>0</v>
      </c>
      <c r="K89" s="609">
        <v>0</v>
      </c>
      <c r="L89" s="608">
        <v>0</v>
      </c>
      <c r="M89" s="608">
        <v>0</v>
      </c>
      <c r="N89" s="588">
        <v>0</v>
      </c>
      <c r="O89" s="588">
        <v>0</v>
      </c>
      <c r="P89" s="588">
        <v>0</v>
      </c>
      <c r="Q89" s="588">
        <v>0</v>
      </c>
      <c r="R89" s="588">
        <v>0</v>
      </c>
      <c r="S89" s="588">
        <v>0</v>
      </c>
      <c r="T89" s="588">
        <v>0</v>
      </c>
      <c r="U89" s="588">
        <v>0</v>
      </c>
      <c r="V89" s="588">
        <v>0</v>
      </c>
      <c r="W89" s="588">
        <v>0</v>
      </c>
      <c r="X89" s="588">
        <v>0</v>
      </c>
      <c r="Y89" s="588">
        <v>0</v>
      </c>
      <c r="Z89" s="588">
        <v>0</v>
      </c>
      <c r="AA89" s="588">
        <v>0</v>
      </c>
      <c r="AB89" s="608">
        <v>0</v>
      </c>
      <c r="AC89" s="608">
        <v>0</v>
      </c>
      <c r="AD89" s="608">
        <v>0</v>
      </c>
      <c r="AE89" s="608">
        <v>0</v>
      </c>
      <c r="AF89" s="608">
        <v>0</v>
      </c>
      <c r="AG89" s="608">
        <v>0</v>
      </c>
      <c r="AH89" s="608">
        <v>0</v>
      </c>
      <c r="AI89" s="608">
        <v>0</v>
      </c>
      <c r="AJ89" s="608">
        <v>0</v>
      </c>
      <c r="AK89" s="608">
        <v>0</v>
      </c>
      <c r="AL89" s="608">
        <v>0</v>
      </c>
      <c r="AM89" s="608">
        <v>0</v>
      </c>
      <c r="AN89" s="608">
        <v>0</v>
      </c>
      <c r="AO89" s="608">
        <v>0</v>
      </c>
      <c r="AP89" s="608">
        <v>0</v>
      </c>
      <c r="AQ89" s="608">
        <v>0</v>
      </c>
      <c r="AR89" s="608">
        <v>0</v>
      </c>
      <c r="AS89" s="608">
        <v>0</v>
      </c>
      <c r="AT89" s="608">
        <v>0</v>
      </c>
      <c r="AU89" s="608">
        <v>0</v>
      </c>
      <c r="AV89" s="608">
        <v>0</v>
      </c>
      <c r="AW89" s="608">
        <v>0</v>
      </c>
      <c r="AX89" s="608">
        <v>0</v>
      </c>
      <c r="AY89" s="608">
        <v>0</v>
      </c>
      <c r="AZ89" s="608">
        <v>0</v>
      </c>
      <c r="BA89" s="608">
        <v>0</v>
      </c>
      <c r="BB89" s="608">
        <v>0</v>
      </c>
      <c r="BC89" s="608">
        <v>0</v>
      </c>
      <c r="BD89" s="608">
        <v>0</v>
      </c>
      <c r="BE89" s="608">
        <v>0</v>
      </c>
      <c r="BF89" s="608">
        <v>0</v>
      </c>
      <c r="BG89" s="608">
        <v>0</v>
      </c>
      <c r="BH89" s="608">
        <v>0</v>
      </c>
      <c r="BI89" s="608">
        <v>0</v>
      </c>
      <c r="BJ89" s="608">
        <v>0</v>
      </c>
      <c r="BK89" s="608">
        <v>0</v>
      </c>
      <c r="BL89" s="608">
        <v>0</v>
      </c>
      <c r="BM89" s="608">
        <v>0</v>
      </c>
      <c r="BN89" s="608">
        <v>0</v>
      </c>
      <c r="BO89" s="608">
        <v>0</v>
      </c>
      <c r="BP89" s="608">
        <v>0</v>
      </c>
      <c r="BQ89" s="608">
        <v>0</v>
      </c>
      <c r="BR89" s="608">
        <v>0</v>
      </c>
      <c r="BS89" s="608">
        <v>0</v>
      </c>
      <c r="BT89" s="608">
        <v>0</v>
      </c>
      <c r="BU89" s="608">
        <v>0</v>
      </c>
      <c r="BV89" s="608">
        <v>0</v>
      </c>
      <c r="BW89" s="608">
        <v>0</v>
      </c>
      <c r="BX89" s="608">
        <v>0</v>
      </c>
      <c r="BY89" s="608">
        <v>0</v>
      </c>
      <c r="BZ89" s="608">
        <v>0</v>
      </c>
      <c r="CA89" s="608">
        <v>0</v>
      </c>
      <c r="CB89" s="608">
        <v>0</v>
      </c>
      <c r="CC89" s="608">
        <v>0</v>
      </c>
      <c r="CD89" s="608">
        <v>0</v>
      </c>
      <c r="CE89" s="608">
        <v>0</v>
      </c>
    </row>
    <row r="90" spans="1:83" ht="30" x14ac:dyDescent="0.25">
      <c r="A90" s="640"/>
      <c r="B90" s="623">
        <v>323</v>
      </c>
      <c r="C90" s="611" t="s">
        <v>343</v>
      </c>
      <c r="D90" s="617" t="s">
        <v>489</v>
      </c>
      <c r="E90" s="621">
        <v>0</v>
      </c>
      <c r="F90" s="610">
        <v>0</v>
      </c>
      <c r="G90" s="610">
        <v>0</v>
      </c>
      <c r="H90" s="610">
        <v>0</v>
      </c>
      <c r="I90" s="610">
        <v>0</v>
      </c>
      <c r="J90" s="610">
        <v>0</v>
      </c>
      <c r="K90" s="609">
        <v>0</v>
      </c>
      <c r="L90" s="608">
        <v>0</v>
      </c>
      <c r="M90" s="608">
        <v>0</v>
      </c>
      <c r="N90" s="588">
        <v>0</v>
      </c>
      <c r="O90" s="588">
        <v>0</v>
      </c>
      <c r="P90" s="588">
        <v>0</v>
      </c>
      <c r="Q90" s="588">
        <v>0</v>
      </c>
      <c r="R90" s="588">
        <v>0</v>
      </c>
      <c r="S90" s="588">
        <v>0</v>
      </c>
      <c r="T90" s="588">
        <v>0</v>
      </c>
      <c r="U90" s="588">
        <v>0</v>
      </c>
      <c r="V90" s="588">
        <v>0</v>
      </c>
      <c r="W90" s="588">
        <v>0</v>
      </c>
      <c r="X90" s="588">
        <v>0</v>
      </c>
      <c r="Y90" s="588">
        <v>0</v>
      </c>
      <c r="Z90" s="588">
        <v>0</v>
      </c>
      <c r="AA90" s="588">
        <v>0</v>
      </c>
      <c r="AB90" s="608">
        <v>0</v>
      </c>
      <c r="AC90" s="608">
        <v>0</v>
      </c>
      <c r="AD90" s="608">
        <v>0</v>
      </c>
      <c r="AE90" s="608">
        <v>0</v>
      </c>
      <c r="AF90" s="608">
        <v>0</v>
      </c>
      <c r="AG90" s="608">
        <v>0</v>
      </c>
      <c r="AH90" s="608">
        <v>0</v>
      </c>
      <c r="AI90" s="608">
        <v>0</v>
      </c>
      <c r="AJ90" s="608">
        <v>0</v>
      </c>
      <c r="AK90" s="608">
        <v>0</v>
      </c>
      <c r="AL90" s="608">
        <v>0</v>
      </c>
      <c r="AM90" s="608">
        <v>0</v>
      </c>
      <c r="AN90" s="608">
        <v>0</v>
      </c>
      <c r="AO90" s="608">
        <v>0</v>
      </c>
      <c r="AP90" s="608">
        <v>0</v>
      </c>
      <c r="AQ90" s="608">
        <v>0</v>
      </c>
      <c r="AR90" s="608">
        <v>0</v>
      </c>
      <c r="AS90" s="608">
        <v>0</v>
      </c>
      <c r="AT90" s="608">
        <v>0</v>
      </c>
      <c r="AU90" s="608">
        <v>0</v>
      </c>
      <c r="AV90" s="608">
        <v>0</v>
      </c>
      <c r="AW90" s="608">
        <v>0</v>
      </c>
      <c r="AX90" s="608">
        <v>0</v>
      </c>
      <c r="AY90" s="608">
        <v>0</v>
      </c>
      <c r="AZ90" s="608">
        <v>0</v>
      </c>
      <c r="BA90" s="608">
        <v>0</v>
      </c>
      <c r="BB90" s="608">
        <v>0</v>
      </c>
      <c r="BC90" s="608">
        <v>0</v>
      </c>
      <c r="BD90" s="608">
        <v>0</v>
      </c>
      <c r="BE90" s="608">
        <v>0</v>
      </c>
      <c r="BF90" s="608">
        <v>0</v>
      </c>
      <c r="BG90" s="608">
        <v>0</v>
      </c>
      <c r="BH90" s="608">
        <v>0</v>
      </c>
      <c r="BI90" s="608">
        <v>0</v>
      </c>
      <c r="BJ90" s="608">
        <v>0</v>
      </c>
      <c r="BK90" s="608">
        <v>0</v>
      </c>
      <c r="BL90" s="608">
        <v>0</v>
      </c>
      <c r="BM90" s="608">
        <v>0</v>
      </c>
      <c r="BN90" s="608">
        <v>0</v>
      </c>
      <c r="BO90" s="608">
        <v>0</v>
      </c>
      <c r="BP90" s="608">
        <v>0</v>
      </c>
      <c r="BQ90" s="608">
        <v>0</v>
      </c>
      <c r="BR90" s="608">
        <v>0</v>
      </c>
      <c r="BS90" s="608">
        <v>0</v>
      </c>
      <c r="BT90" s="608">
        <v>0</v>
      </c>
      <c r="BU90" s="608">
        <v>0</v>
      </c>
      <c r="BV90" s="608">
        <v>0</v>
      </c>
      <c r="BW90" s="608">
        <v>0</v>
      </c>
      <c r="BX90" s="608">
        <v>0</v>
      </c>
      <c r="BY90" s="608">
        <v>0</v>
      </c>
      <c r="BZ90" s="608">
        <v>0</v>
      </c>
      <c r="CA90" s="608">
        <v>0</v>
      </c>
      <c r="CB90" s="608">
        <v>0</v>
      </c>
      <c r="CC90" s="608">
        <v>0</v>
      </c>
      <c r="CD90" s="608">
        <v>0</v>
      </c>
      <c r="CE90" s="608">
        <v>0</v>
      </c>
    </row>
    <row r="91" spans="1:83" x14ac:dyDescent="0.25">
      <c r="A91" s="640"/>
      <c r="B91" s="623">
        <v>324</v>
      </c>
      <c r="C91" s="611" t="s">
        <v>886</v>
      </c>
      <c r="D91" s="617" t="s">
        <v>490</v>
      </c>
      <c r="E91" s="621">
        <v>0</v>
      </c>
      <c r="F91" s="610">
        <v>0</v>
      </c>
      <c r="G91" s="610">
        <v>0</v>
      </c>
      <c r="H91" s="610">
        <v>0</v>
      </c>
      <c r="I91" s="610">
        <v>0</v>
      </c>
      <c r="J91" s="610">
        <v>0</v>
      </c>
      <c r="K91" s="609">
        <v>0</v>
      </c>
      <c r="L91" s="608">
        <v>0</v>
      </c>
      <c r="M91" s="608">
        <v>0</v>
      </c>
      <c r="N91" s="588">
        <v>0</v>
      </c>
      <c r="O91" s="588">
        <v>0</v>
      </c>
      <c r="P91" s="588">
        <v>0</v>
      </c>
      <c r="Q91" s="588">
        <v>0</v>
      </c>
      <c r="R91" s="588">
        <v>0</v>
      </c>
      <c r="S91" s="588">
        <v>0</v>
      </c>
      <c r="T91" s="588">
        <v>0</v>
      </c>
      <c r="U91" s="588">
        <v>0</v>
      </c>
      <c r="V91" s="588">
        <v>0</v>
      </c>
      <c r="W91" s="588">
        <v>0</v>
      </c>
      <c r="X91" s="588">
        <v>0</v>
      </c>
      <c r="Y91" s="588">
        <v>0</v>
      </c>
      <c r="Z91" s="588">
        <v>0</v>
      </c>
      <c r="AA91" s="588">
        <v>0</v>
      </c>
      <c r="AB91" s="608">
        <v>0</v>
      </c>
      <c r="AC91" s="608">
        <v>0</v>
      </c>
      <c r="AD91" s="608">
        <v>0</v>
      </c>
      <c r="AE91" s="608">
        <v>0</v>
      </c>
      <c r="AF91" s="608">
        <v>0</v>
      </c>
      <c r="AG91" s="608">
        <v>0</v>
      </c>
      <c r="AH91" s="608">
        <v>0</v>
      </c>
      <c r="AI91" s="608">
        <v>0</v>
      </c>
      <c r="AJ91" s="608">
        <v>0</v>
      </c>
      <c r="AK91" s="608">
        <v>0</v>
      </c>
      <c r="AL91" s="608">
        <v>0</v>
      </c>
      <c r="AM91" s="608">
        <v>0</v>
      </c>
      <c r="AN91" s="608">
        <v>0</v>
      </c>
      <c r="AO91" s="608">
        <v>0</v>
      </c>
      <c r="AP91" s="608">
        <v>0</v>
      </c>
      <c r="AQ91" s="608">
        <v>0</v>
      </c>
      <c r="AR91" s="608">
        <v>0</v>
      </c>
      <c r="AS91" s="608">
        <v>0</v>
      </c>
      <c r="AT91" s="608">
        <v>0</v>
      </c>
      <c r="AU91" s="608">
        <v>0</v>
      </c>
      <c r="AV91" s="608">
        <v>0</v>
      </c>
      <c r="AW91" s="608">
        <v>0</v>
      </c>
      <c r="AX91" s="608">
        <v>0</v>
      </c>
      <c r="AY91" s="608">
        <v>0</v>
      </c>
      <c r="AZ91" s="608">
        <v>0</v>
      </c>
      <c r="BA91" s="608">
        <v>0</v>
      </c>
      <c r="BB91" s="608">
        <v>0</v>
      </c>
      <c r="BC91" s="608">
        <v>0</v>
      </c>
      <c r="BD91" s="608">
        <v>0</v>
      </c>
      <c r="BE91" s="608">
        <v>0</v>
      </c>
      <c r="BF91" s="608">
        <v>0</v>
      </c>
      <c r="BG91" s="608">
        <v>0</v>
      </c>
      <c r="BH91" s="608">
        <v>0</v>
      </c>
      <c r="BI91" s="608">
        <v>0</v>
      </c>
      <c r="BJ91" s="608">
        <v>0</v>
      </c>
      <c r="BK91" s="608">
        <v>0</v>
      </c>
      <c r="BL91" s="608">
        <v>0</v>
      </c>
      <c r="BM91" s="608">
        <v>0</v>
      </c>
      <c r="BN91" s="608">
        <v>0</v>
      </c>
      <c r="BO91" s="608">
        <v>0</v>
      </c>
      <c r="BP91" s="608">
        <v>0</v>
      </c>
      <c r="BQ91" s="608">
        <v>0</v>
      </c>
      <c r="BR91" s="608">
        <v>0</v>
      </c>
      <c r="BS91" s="608">
        <v>0</v>
      </c>
      <c r="BT91" s="608">
        <v>0</v>
      </c>
      <c r="BU91" s="608">
        <v>0</v>
      </c>
      <c r="BV91" s="608">
        <v>0</v>
      </c>
      <c r="BW91" s="608">
        <v>0</v>
      </c>
      <c r="BX91" s="608">
        <v>0</v>
      </c>
      <c r="BY91" s="608">
        <v>0</v>
      </c>
      <c r="BZ91" s="608">
        <v>0</v>
      </c>
      <c r="CA91" s="608">
        <v>0</v>
      </c>
      <c r="CB91" s="608">
        <v>0</v>
      </c>
      <c r="CC91" s="608">
        <v>0</v>
      </c>
      <c r="CD91" s="608">
        <v>0</v>
      </c>
      <c r="CE91" s="608">
        <v>0</v>
      </c>
    </row>
    <row r="92" spans="1:83" x14ac:dyDescent="0.25">
      <c r="A92" s="640"/>
      <c r="B92" s="623">
        <v>325</v>
      </c>
      <c r="C92" s="611" t="s">
        <v>887</v>
      </c>
      <c r="D92" s="617" t="s">
        <v>491</v>
      </c>
      <c r="E92" s="590">
        <v>0</v>
      </c>
      <c r="F92" s="591">
        <v>0</v>
      </c>
      <c r="G92" s="591">
        <v>0</v>
      </c>
      <c r="H92" s="591">
        <v>0</v>
      </c>
      <c r="I92" s="591">
        <v>0</v>
      </c>
      <c r="J92" s="591">
        <v>0</v>
      </c>
      <c r="K92" s="592">
        <v>0</v>
      </c>
      <c r="L92" s="616">
        <v>0</v>
      </c>
      <c r="M92" s="616">
        <v>0</v>
      </c>
      <c r="N92" s="620">
        <v>0</v>
      </c>
      <c r="O92" s="620">
        <v>0</v>
      </c>
      <c r="P92" s="620">
        <v>0</v>
      </c>
      <c r="Q92" s="620">
        <v>0</v>
      </c>
      <c r="R92" s="620">
        <v>0</v>
      </c>
      <c r="S92" s="620">
        <v>0</v>
      </c>
      <c r="T92" s="620">
        <v>0</v>
      </c>
      <c r="U92" s="620">
        <v>0</v>
      </c>
      <c r="V92" s="620">
        <v>0</v>
      </c>
      <c r="W92" s="620">
        <v>0</v>
      </c>
      <c r="X92" s="620">
        <v>0</v>
      </c>
      <c r="Y92" s="620">
        <v>0</v>
      </c>
      <c r="Z92" s="620">
        <v>0</v>
      </c>
      <c r="AA92" s="620">
        <v>0</v>
      </c>
      <c r="AB92" s="616">
        <v>0</v>
      </c>
      <c r="AC92" s="616">
        <v>0</v>
      </c>
      <c r="AD92" s="616">
        <v>0</v>
      </c>
      <c r="AE92" s="616">
        <v>0</v>
      </c>
      <c r="AF92" s="616">
        <v>0</v>
      </c>
      <c r="AG92" s="616">
        <v>0</v>
      </c>
      <c r="AH92" s="616">
        <v>0</v>
      </c>
      <c r="AI92" s="616">
        <v>0</v>
      </c>
      <c r="AJ92" s="616">
        <v>0</v>
      </c>
      <c r="AK92" s="616">
        <v>0</v>
      </c>
      <c r="AL92" s="616">
        <v>0</v>
      </c>
      <c r="AM92" s="616">
        <v>0</v>
      </c>
      <c r="AN92" s="616">
        <v>0</v>
      </c>
      <c r="AO92" s="616">
        <v>0</v>
      </c>
      <c r="AP92" s="616">
        <v>0</v>
      </c>
      <c r="AQ92" s="616">
        <v>0</v>
      </c>
      <c r="AR92" s="616">
        <v>0</v>
      </c>
      <c r="AS92" s="616">
        <v>0</v>
      </c>
      <c r="AT92" s="616">
        <v>0</v>
      </c>
      <c r="AU92" s="616">
        <v>0</v>
      </c>
      <c r="AV92" s="616">
        <v>0</v>
      </c>
      <c r="AW92" s="616">
        <v>0</v>
      </c>
      <c r="AX92" s="616">
        <v>0</v>
      </c>
      <c r="AY92" s="616">
        <v>0</v>
      </c>
      <c r="AZ92" s="616">
        <v>0</v>
      </c>
      <c r="BA92" s="616">
        <v>0</v>
      </c>
      <c r="BB92" s="616">
        <v>0</v>
      </c>
      <c r="BC92" s="616">
        <v>0</v>
      </c>
      <c r="BD92" s="616">
        <v>0</v>
      </c>
      <c r="BE92" s="616">
        <v>0</v>
      </c>
      <c r="BF92" s="616">
        <v>0</v>
      </c>
      <c r="BG92" s="616">
        <v>0</v>
      </c>
      <c r="BH92" s="616">
        <v>0</v>
      </c>
      <c r="BI92" s="616">
        <v>0</v>
      </c>
      <c r="BJ92" s="616">
        <v>0</v>
      </c>
      <c r="BK92" s="616">
        <v>0</v>
      </c>
      <c r="BL92" s="616">
        <v>0</v>
      </c>
      <c r="BM92" s="616">
        <v>0</v>
      </c>
      <c r="BN92" s="616">
        <v>0</v>
      </c>
      <c r="BO92" s="616">
        <v>0</v>
      </c>
      <c r="BP92" s="616">
        <v>0</v>
      </c>
      <c r="BQ92" s="616">
        <v>0</v>
      </c>
      <c r="BR92" s="616">
        <v>0</v>
      </c>
      <c r="BS92" s="616">
        <v>0</v>
      </c>
      <c r="BT92" s="616">
        <v>0</v>
      </c>
      <c r="BU92" s="616">
        <v>0</v>
      </c>
      <c r="BV92" s="616">
        <v>0</v>
      </c>
      <c r="BW92" s="616">
        <v>0</v>
      </c>
      <c r="BX92" s="616">
        <v>0</v>
      </c>
      <c r="BY92" s="616">
        <v>0</v>
      </c>
      <c r="BZ92" s="616">
        <v>0</v>
      </c>
      <c r="CA92" s="616">
        <v>0</v>
      </c>
      <c r="CB92" s="616">
        <v>0</v>
      </c>
      <c r="CC92" s="616">
        <v>0</v>
      </c>
      <c r="CD92" s="616">
        <v>0</v>
      </c>
      <c r="CE92" s="616">
        <v>0</v>
      </c>
    </row>
    <row r="93" spans="1:83" x14ac:dyDescent="0.25">
      <c r="A93" s="640"/>
      <c r="B93" s="571">
        <v>326</v>
      </c>
      <c r="C93" s="536" t="s">
        <v>888</v>
      </c>
      <c r="D93" s="537" t="s">
        <v>492</v>
      </c>
      <c r="E93" s="543"/>
      <c r="F93" s="544"/>
      <c r="G93" s="544"/>
      <c r="H93" s="544"/>
      <c r="I93" s="544"/>
      <c r="J93" s="544"/>
      <c r="K93" s="545"/>
      <c r="L93" s="542"/>
      <c r="M93" s="542"/>
      <c r="N93" s="541"/>
      <c r="O93" s="541"/>
      <c r="P93" s="541"/>
      <c r="Q93" s="541"/>
      <c r="R93" s="541"/>
      <c r="S93" s="541"/>
      <c r="T93" s="541"/>
      <c r="U93" s="541"/>
      <c r="V93" s="541"/>
      <c r="W93" s="541"/>
      <c r="X93" s="541"/>
      <c r="Y93" s="541"/>
      <c r="Z93" s="541"/>
      <c r="AA93" s="541"/>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42"/>
      <c r="BV93" s="542"/>
      <c r="BW93" s="542"/>
      <c r="BX93" s="542"/>
      <c r="BY93" s="542"/>
      <c r="BZ93" s="542"/>
      <c r="CA93" s="542"/>
      <c r="CB93" s="542"/>
      <c r="CC93" s="542"/>
      <c r="CD93" s="542"/>
      <c r="CE93" s="542"/>
    </row>
    <row r="94" spans="1:83" ht="30" x14ac:dyDescent="0.25">
      <c r="A94" s="640">
        <v>327</v>
      </c>
      <c r="B94" s="571">
        <v>327</v>
      </c>
      <c r="C94" s="536" t="s">
        <v>889</v>
      </c>
      <c r="D94" s="537" t="s">
        <v>493</v>
      </c>
      <c r="E94" s="543">
        <v>24457</v>
      </c>
      <c r="F94" s="544">
        <v>0</v>
      </c>
      <c r="G94" s="544">
        <v>0</v>
      </c>
      <c r="H94" s="544">
        <v>0</v>
      </c>
      <c r="I94" s="544">
        <v>0</v>
      </c>
      <c r="J94" s="544">
        <v>0</v>
      </c>
      <c r="K94" s="545">
        <v>53983</v>
      </c>
      <c r="L94" s="542">
        <v>0</v>
      </c>
      <c r="M94" s="542">
        <v>0</v>
      </c>
      <c r="N94" s="541">
        <v>0</v>
      </c>
      <c r="O94" s="541">
        <v>0</v>
      </c>
      <c r="P94" s="541">
        <v>3056</v>
      </c>
      <c r="Q94" s="541">
        <v>0</v>
      </c>
      <c r="R94" s="541">
        <v>829827</v>
      </c>
      <c r="S94" s="541">
        <v>367968</v>
      </c>
      <c r="T94" s="541">
        <v>0</v>
      </c>
      <c r="U94" s="541">
        <v>3881259</v>
      </c>
      <c r="V94" s="541">
        <v>1269360</v>
      </c>
      <c r="W94" s="541">
        <v>14979085</v>
      </c>
      <c r="X94" s="541">
        <v>0</v>
      </c>
      <c r="Y94" s="541">
        <v>0</v>
      </c>
      <c r="Z94" s="541">
        <v>745155</v>
      </c>
      <c r="AA94" s="541">
        <v>4000</v>
      </c>
      <c r="AB94" s="542">
        <v>575847</v>
      </c>
      <c r="AC94" s="542">
        <v>23252</v>
      </c>
      <c r="AD94" s="542">
        <v>0</v>
      </c>
      <c r="AE94" s="542">
        <v>882432</v>
      </c>
      <c r="AF94" s="542">
        <v>0</v>
      </c>
      <c r="AG94" s="542">
        <v>1853473</v>
      </c>
      <c r="AH94" s="542">
        <v>514809</v>
      </c>
      <c r="AI94" s="542">
        <v>19050</v>
      </c>
      <c r="AJ94" s="542">
        <v>13241990</v>
      </c>
      <c r="AK94" s="542">
        <v>6500</v>
      </c>
      <c r="AL94" s="542">
        <v>63005</v>
      </c>
      <c r="AM94" s="542">
        <v>0</v>
      </c>
      <c r="AN94" s="542">
        <v>210332</v>
      </c>
      <c r="AO94" s="542">
        <v>42297</v>
      </c>
      <c r="AP94" s="542">
        <v>0</v>
      </c>
      <c r="AQ94" s="542">
        <v>0</v>
      </c>
      <c r="AR94" s="542">
        <v>0</v>
      </c>
      <c r="AS94" s="542">
        <v>44618</v>
      </c>
      <c r="AT94" s="542">
        <v>0</v>
      </c>
      <c r="AU94" s="542">
        <v>552989</v>
      </c>
      <c r="AV94" s="542">
        <v>0</v>
      </c>
      <c r="AW94" s="542">
        <v>3568204</v>
      </c>
      <c r="AX94" s="542">
        <v>0</v>
      </c>
      <c r="AY94" s="542">
        <v>76640</v>
      </c>
      <c r="AZ94" s="542">
        <v>1346936</v>
      </c>
      <c r="BA94" s="542">
        <v>5006</v>
      </c>
      <c r="BB94" s="542">
        <v>0</v>
      </c>
      <c r="BC94" s="542">
        <v>0</v>
      </c>
      <c r="BD94" s="542">
        <v>0</v>
      </c>
      <c r="BE94" s="542">
        <v>217472</v>
      </c>
      <c r="BF94" s="542">
        <v>0</v>
      </c>
      <c r="BG94" s="542">
        <v>0</v>
      </c>
      <c r="BH94" s="542">
        <v>0</v>
      </c>
      <c r="BI94" s="542">
        <v>0</v>
      </c>
      <c r="BJ94" s="542">
        <v>474</v>
      </c>
      <c r="BK94" s="542">
        <v>0</v>
      </c>
      <c r="BL94" s="542">
        <v>140972</v>
      </c>
      <c r="BM94" s="542">
        <v>1067342</v>
      </c>
      <c r="BN94" s="542">
        <v>168864</v>
      </c>
      <c r="BO94" s="542">
        <v>0</v>
      </c>
      <c r="BP94" s="542">
        <v>39115</v>
      </c>
      <c r="BQ94" s="542">
        <v>12100</v>
      </c>
      <c r="BR94" s="542">
        <v>0</v>
      </c>
      <c r="BS94" s="542">
        <v>25500</v>
      </c>
      <c r="BT94" s="542">
        <v>0</v>
      </c>
      <c r="BU94" s="542">
        <v>341062</v>
      </c>
      <c r="BV94" s="542">
        <v>10200</v>
      </c>
      <c r="BW94" s="542">
        <v>0</v>
      </c>
      <c r="BX94" s="542">
        <v>107630</v>
      </c>
      <c r="BY94" s="542">
        <v>81232</v>
      </c>
      <c r="BZ94" s="542">
        <v>0</v>
      </c>
      <c r="CA94" s="542">
        <v>0</v>
      </c>
      <c r="CB94" s="542">
        <v>49000</v>
      </c>
      <c r="CC94" s="542">
        <v>24280</v>
      </c>
      <c r="CD94" s="542">
        <v>0</v>
      </c>
      <c r="CE94" s="542">
        <v>0</v>
      </c>
    </row>
    <row r="95" spans="1:83" ht="30" x14ac:dyDescent="0.25">
      <c r="A95" s="640">
        <v>328</v>
      </c>
      <c r="B95" s="571">
        <v>328</v>
      </c>
      <c r="C95" s="536" t="s">
        <v>664</v>
      </c>
      <c r="D95" s="537" t="s">
        <v>494</v>
      </c>
      <c r="E95" s="543">
        <v>0</v>
      </c>
      <c r="F95" s="544">
        <v>0</v>
      </c>
      <c r="G95" s="544">
        <v>0</v>
      </c>
      <c r="H95" s="544">
        <v>0</v>
      </c>
      <c r="I95" s="544">
        <v>0</v>
      </c>
      <c r="J95" s="544">
        <v>0</v>
      </c>
      <c r="K95" s="545">
        <v>0</v>
      </c>
      <c r="L95" s="542">
        <v>0</v>
      </c>
      <c r="M95" s="542">
        <v>0</v>
      </c>
      <c r="N95" s="541">
        <v>0</v>
      </c>
      <c r="O95" s="541">
        <v>0</v>
      </c>
      <c r="P95" s="541">
        <v>0</v>
      </c>
      <c r="Q95" s="541">
        <v>0</v>
      </c>
      <c r="R95" s="541">
        <v>2529452</v>
      </c>
      <c r="S95" s="541">
        <v>0</v>
      </c>
      <c r="T95" s="541">
        <v>0</v>
      </c>
      <c r="U95" s="541">
        <v>11166437</v>
      </c>
      <c r="V95" s="541">
        <v>3319255</v>
      </c>
      <c r="W95" s="541">
        <v>5500001</v>
      </c>
      <c r="X95" s="541">
        <v>0</v>
      </c>
      <c r="Y95" s="541">
        <v>0</v>
      </c>
      <c r="Z95" s="541">
        <v>497826</v>
      </c>
      <c r="AA95" s="541">
        <v>137500</v>
      </c>
      <c r="AB95" s="542">
        <v>2239260</v>
      </c>
      <c r="AC95" s="542">
        <v>3676756</v>
      </c>
      <c r="AD95" s="542">
        <v>0</v>
      </c>
      <c r="AE95" s="542">
        <v>0</v>
      </c>
      <c r="AF95" s="542">
        <v>268890</v>
      </c>
      <c r="AG95" s="542">
        <v>0</v>
      </c>
      <c r="AH95" s="542">
        <v>2479115</v>
      </c>
      <c r="AI95" s="542">
        <v>0</v>
      </c>
      <c r="AJ95" s="542">
        <v>8445046</v>
      </c>
      <c r="AK95" s="542">
        <v>0</v>
      </c>
      <c r="AL95" s="542">
        <v>0</v>
      </c>
      <c r="AM95" s="542">
        <v>0</v>
      </c>
      <c r="AN95" s="542">
        <v>100095</v>
      </c>
      <c r="AO95" s="542">
        <v>0</v>
      </c>
      <c r="AP95" s="542">
        <v>0</v>
      </c>
      <c r="AQ95" s="542">
        <v>0</v>
      </c>
      <c r="AR95" s="542">
        <v>0</v>
      </c>
      <c r="AS95" s="542">
        <v>1399678</v>
      </c>
      <c r="AT95" s="542">
        <v>0</v>
      </c>
      <c r="AU95" s="542">
        <v>32525</v>
      </c>
      <c r="AV95" s="542">
        <v>0</v>
      </c>
      <c r="AW95" s="542">
        <v>2462274</v>
      </c>
      <c r="AX95" s="542">
        <v>0</v>
      </c>
      <c r="AY95" s="542">
        <v>0</v>
      </c>
      <c r="AZ95" s="542">
        <v>0</v>
      </c>
      <c r="BA95" s="542">
        <v>0</v>
      </c>
      <c r="BB95" s="542">
        <v>0</v>
      </c>
      <c r="BC95" s="542">
        <v>0</v>
      </c>
      <c r="BD95" s="542">
        <v>0</v>
      </c>
      <c r="BE95" s="542">
        <v>1254680</v>
      </c>
      <c r="BF95" s="542">
        <v>0</v>
      </c>
      <c r="BG95" s="542">
        <v>12750</v>
      </c>
      <c r="BH95" s="542">
        <v>0</v>
      </c>
      <c r="BI95" s="542">
        <v>0</v>
      </c>
      <c r="BJ95" s="542">
        <v>54000</v>
      </c>
      <c r="BK95" s="542">
        <v>0</v>
      </c>
      <c r="BL95" s="542">
        <v>0</v>
      </c>
      <c r="BM95" s="542">
        <v>0</v>
      </c>
      <c r="BN95" s="542">
        <v>118675</v>
      </c>
      <c r="BO95" s="542">
        <v>16438</v>
      </c>
      <c r="BP95" s="542">
        <v>0</v>
      </c>
      <c r="BQ95" s="542">
        <v>0</v>
      </c>
      <c r="BR95" s="542">
        <v>0</v>
      </c>
      <c r="BS95" s="542">
        <v>0</v>
      </c>
      <c r="BT95" s="542">
        <v>0</v>
      </c>
      <c r="BU95" s="542">
        <v>17550</v>
      </c>
      <c r="BV95" s="542">
        <v>1391861</v>
      </c>
      <c r="BW95" s="542">
        <v>0</v>
      </c>
      <c r="BX95" s="542">
        <v>2817710</v>
      </c>
      <c r="BY95" s="542">
        <v>40000</v>
      </c>
      <c r="BZ95" s="542">
        <v>0</v>
      </c>
      <c r="CA95" s="542">
        <v>0</v>
      </c>
      <c r="CB95" s="542">
        <v>0</v>
      </c>
      <c r="CC95" s="542">
        <v>0</v>
      </c>
      <c r="CD95" s="542">
        <v>0</v>
      </c>
      <c r="CE95" s="542">
        <v>0</v>
      </c>
    </row>
    <row r="96" spans="1:83" ht="45" x14ac:dyDescent="0.25">
      <c r="A96" s="640"/>
      <c r="B96" s="571">
        <v>330</v>
      </c>
      <c r="C96" s="536" t="s">
        <v>750</v>
      </c>
      <c r="D96" s="537" t="s">
        <v>495</v>
      </c>
      <c r="E96" s="543"/>
      <c r="F96" s="544"/>
      <c r="G96" s="544"/>
      <c r="H96" s="544"/>
      <c r="I96" s="544"/>
      <c r="J96" s="544"/>
      <c r="K96" s="545"/>
      <c r="L96" s="542"/>
      <c r="M96" s="542"/>
      <c r="N96" s="541"/>
      <c r="O96" s="541"/>
      <c r="P96" s="541"/>
      <c r="Q96" s="541"/>
      <c r="R96" s="541"/>
      <c r="S96" s="541"/>
      <c r="T96" s="541"/>
      <c r="U96" s="541"/>
      <c r="V96" s="541"/>
      <c r="W96" s="541"/>
      <c r="X96" s="541"/>
      <c r="Y96" s="541"/>
      <c r="Z96" s="541"/>
      <c r="AA96" s="541"/>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542"/>
      <c r="BN96" s="542"/>
      <c r="BO96" s="542"/>
      <c r="BP96" s="542"/>
      <c r="BQ96" s="542"/>
      <c r="BR96" s="542"/>
      <c r="BS96" s="542"/>
      <c r="BT96" s="542"/>
      <c r="BU96" s="542"/>
      <c r="BV96" s="542"/>
      <c r="BW96" s="542"/>
      <c r="BX96" s="542"/>
      <c r="BY96" s="542"/>
      <c r="BZ96" s="542"/>
      <c r="CA96" s="542"/>
      <c r="CB96" s="542"/>
      <c r="CC96" s="542"/>
      <c r="CD96" s="542"/>
      <c r="CE96" s="542"/>
    </row>
    <row r="97" spans="1:83" ht="30" x14ac:dyDescent="0.25">
      <c r="A97" s="640">
        <v>331</v>
      </c>
      <c r="B97" s="571">
        <v>331</v>
      </c>
      <c r="C97" s="536" t="s">
        <v>333</v>
      </c>
      <c r="D97" s="537" t="s">
        <v>496</v>
      </c>
      <c r="E97" s="543">
        <v>22000</v>
      </c>
      <c r="F97" s="544">
        <v>0</v>
      </c>
      <c r="G97" s="544">
        <v>112813</v>
      </c>
      <c r="H97" s="544">
        <v>0</v>
      </c>
      <c r="I97" s="544">
        <v>0</v>
      </c>
      <c r="J97" s="544">
        <v>0</v>
      </c>
      <c r="K97" s="545">
        <v>12500</v>
      </c>
      <c r="L97" s="542">
        <v>0</v>
      </c>
      <c r="M97" s="542">
        <v>0</v>
      </c>
      <c r="N97" s="541">
        <v>0</v>
      </c>
      <c r="O97" s="541">
        <v>0</v>
      </c>
      <c r="P97" s="541">
        <v>0</v>
      </c>
      <c r="Q97" s="541">
        <v>0</v>
      </c>
      <c r="R97" s="541">
        <v>1144072</v>
      </c>
      <c r="S97" s="541">
        <v>83927</v>
      </c>
      <c r="T97" s="541">
        <v>0</v>
      </c>
      <c r="U97" s="541">
        <v>3897951</v>
      </c>
      <c r="V97" s="541">
        <v>1119741</v>
      </c>
      <c r="W97" s="541">
        <v>1774977</v>
      </c>
      <c r="X97" s="541">
        <v>0</v>
      </c>
      <c r="Y97" s="541">
        <v>0</v>
      </c>
      <c r="Z97" s="541">
        <v>1164949</v>
      </c>
      <c r="AA97" s="541">
        <v>27000</v>
      </c>
      <c r="AB97" s="542">
        <v>593297</v>
      </c>
      <c r="AC97" s="542">
        <v>321678</v>
      </c>
      <c r="AD97" s="542">
        <v>155390</v>
      </c>
      <c r="AE97" s="542">
        <v>312366</v>
      </c>
      <c r="AF97" s="542">
        <v>32920</v>
      </c>
      <c r="AG97" s="542">
        <v>144227</v>
      </c>
      <c r="AH97" s="542">
        <v>45500</v>
      </c>
      <c r="AI97" s="542">
        <v>31908</v>
      </c>
      <c r="AJ97" s="542">
        <v>5225128</v>
      </c>
      <c r="AK97" s="542">
        <v>0</v>
      </c>
      <c r="AL97" s="542">
        <v>39250</v>
      </c>
      <c r="AM97" s="542">
        <v>0</v>
      </c>
      <c r="AN97" s="542">
        <v>1497473</v>
      </c>
      <c r="AO97" s="542">
        <v>18000</v>
      </c>
      <c r="AP97" s="542">
        <v>0</v>
      </c>
      <c r="AQ97" s="542">
        <v>0</v>
      </c>
      <c r="AR97" s="542">
        <v>0</v>
      </c>
      <c r="AS97" s="542">
        <v>546423</v>
      </c>
      <c r="AT97" s="542">
        <v>0</v>
      </c>
      <c r="AU97" s="542">
        <v>305023</v>
      </c>
      <c r="AV97" s="542">
        <v>0</v>
      </c>
      <c r="AW97" s="542">
        <v>3507181</v>
      </c>
      <c r="AX97" s="542">
        <v>0</v>
      </c>
      <c r="AY97" s="542">
        <v>337765</v>
      </c>
      <c r="AZ97" s="542">
        <v>0</v>
      </c>
      <c r="BA97" s="542">
        <v>29000</v>
      </c>
      <c r="BB97" s="542">
        <v>0</v>
      </c>
      <c r="BC97" s="542">
        <v>0</v>
      </c>
      <c r="BD97" s="542">
        <v>0</v>
      </c>
      <c r="BE97" s="542">
        <v>774966</v>
      </c>
      <c r="BF97" s="542">
        <v>0</v>
      </c>
      <c r="BG97" s="542">
        <v>28072</v>
      </c>
      <c r="BH97" s="542">
        <v>0</v>
      </c>
      <c r="BI97" s="542">
        <v>0</v>
      </c>
      <c r="BJ97" s="542">
        <v>5558</v>
      </c>
      <c r="BK97" s="542">
        <v>0</v>
      </c>
      <c r="BL97" s="542">
        <v>85474</v>
      </c>
      <c r="BM97" s="542">
        <v>25000</v>
      </c>
      <c r="BN97" s="542">
        <v>107073</v>
      </c>
      <c r="BO97" s="542">
        <v>138000</v>
      </c>
      <c r="BP97" s="542">
        <v>52742</v>
      </c>
      <c r="BQ97" s="542">
        <v>39966</v>
      </c>
      <c r="BR97" s="542">
        <v>0</v>
      </c>
      <c r="BS97" s="542">
        <v>0</v>
      </c>
      <c r="BT97" s="542">
        <v>0</v>
      </c>
      <c r="BU97" s="542">
        <v>17963</v>
      </c>
      <c r="BV97" s="542">
        <v>170756</v>
      </c>
      <c r="BW97" s="542">
        <v>0</v>
      </c>
      <c r="BX97" s="542">
        <v>191442</v>
      </c>
      <c r="BY97" s="542">
        <v>0</v>
      </c>
      <c r="BZ97" s="542">
        <v>0</v>
      </c>
      <c r="CA97" s="542">
        <v>0</v>
      </c>
      <c r="CB97" s="542">
        <v>7000</v>
      </c>
      <c r="CC97" s="542">
        <v>78136</v>
      </c>
      <c r="CD97" s="542">
        <v>0</v>
      </c>
      <c r="CE97" s="542">
        <v>0</v>
      </c>
    </row>
    <row r="98" spans="1:83" ht="30" x14ac:dyDescent="0.25">
      <c r="A98" s="640">
        <v>332</v>
      </c>
      <c r="B98" s="571">
        <v>332</v>
      </c>
      <c r="C98" s="536" t="s">
        <v>334</v>
      </c>
      <c r="D98" s="537" t="s">
        <v>497</v>
      </c>
      <c r="E98" s="543">
        <v>5000</v>
      </c>
      <c r="F98" s="544">
        <v>0</v>
      </c>
      <c r="G98" s="544">
        <v>10832</v>
      </c>
      <c r="H98" s="544">
        <v>0</v>
      </c>
      <c r="I98" s="544">
        <v>0</v>
      </c>
      <c r="J98" s="544">
        <v>0</v>
      </c>
      <c r="K98" s="545">
        <v>0</v>
      </c>
      <c r="L98" s="542">
        <v>0</v>
      </c>
      <c r="M98" s="542">
        <v>0</v>
      </c>
      <c r="N98" s="541">
        <v>0</v>
      </c>
      <c r="O98" s="541">
        <v>0</v>
      </c>
      <c r="P98" s="541">
        <v>659482</v>
      </c>
      <c r="Q98" s="541">
        <v>0</v>
      </c>
      <c r="R98" s="541">
        <v>8037181</v>
      </c>
      <c r="S98" s="541">
        <v>0</v>
      </c>
      <c r="T98" s="541">
        <v>0</v>
      </c>
      <c r="U98" s="541">
        <v>3541877</v>
      </c>
      <c r="V98" s="541">
        <v>2093939</v>
      </c>
      <c r="W98" s="541">
        <v>6198938</v>
      </c>
      <c r="X98" s="541">
        <v>0</v>
      </c>
      <c r="Y98" s="541">
        <v>0</v>
      </c>
      <c r="Z98" s="541">
        <v>681463</v>
      </c>
      <c r="AA98" s="541">
        <v>113181</v>
      </c>
      <c r="AB98" s="542">
        <v>2887896</v>
      </c>
      <c r="AC98" s="542">
        <v>3307649</v>
      </c>
      <c r="AD98" s="542">
        <v>39430</v>
      </c>
      <c r="AE98" s="542">
        <v>0</v>
      </c>
      <c r="AF98" s="542">
        <v>364952</v>
      </c>
      <c r="AG98" s="542">
        <v>172049</v>
      </c>
      <c r="AH98" s="542">
        <v>2044835</v>
      </c>
      <c r="AI98" s="542">
        <v>0</v>
      </c>
      <c r="AJ98" s="542">
        <v>4895625</v>
      </c>
      <c r="AK98" s="542">
        <v>0</v>
      </c>
      <c r="AL98" s="542">
        <v>0</v>
      </c>
      <c r="AM98" s="542">
        <v>0</v>
      </c>
      <c r="AN98" s="542">
        <v>1289586</v>
      </c>
      <c r="AO98" s="542">
        <v>63559</v>
      </c>
      <c r="AP98" s="542">
        <v>0</v>
      </c>
      <c r="AQ98" s="542">
        <v>0</v>
      </c>
      <c r="AR98" s="542">
        <v>0</v>
      </c>
      <c r="AS98" s="542">
        <v>636455</v>
      </c>
      <c r="AT98" s="542">
        <v>0</v>
      </c>
      <c r="AU98" s="542">
        <v>993051</v>
      </c>
      <c r="AV98" s="542">
        <v>0</v>
      </c>
      <c r="AW98" s="542">
        <v>2960925</v>
      </c>
      <c r="AX98" s="542">
        <v>0</v>
      </c>
      <c r="AY98" s="542">
        <v>176900</v>
      </c>
      <c r="AZ98" s="542">
        <v>207780</v>
      </c>
      <c r="BA98" s="542">
        <v>0</v>
      </c>
      <c r="BB98" s="542">
        <v>0</v>
      </c>
      <c r="BC98" s="542">
        <v>0</v>
      </c>
      <c r="BD98" s="542">
        <v>0</v>
      </c>
      <c r="BE98" s="542">
        <v>1515049</v>
      </c>
      <c r="BF98" s="542">
        <v>0</v>
      </c>
      <c r="BG98" s="542">
        <v>16959</v>
      </c>
      <c r="BH98" s="542">
        <v>0</v>
      </c>
      <c r="BI98" s="542">
        <v>0</v>
      </c>
      <c r="BJ98" s="542">
        <v>0</v>
      </c>
      <c r="BK98" s="542">
        <v>0</v>
      </c>
      <c r="BL98" s="542">
        <v>446224</v>
      </c>
      <c r="BM98" s="542">
        <v>925465</v>
      </c>
      <c r="BN98" s="542">
        <v>202894</v>
      </c>
      <c r="BO98" s="542">
        <v>16163</v>
      </c>
      <c r="BP98" s="542">
        <v>1345</v>
      </c>
      <c r="BQ98" s="542">
        <v>0</v>
      </c>
      <c r="BR98" s="542">
        <v>0</v>
      </c>
      <c r="BS98" s="542">
        <v>23145</v>
      </c>
      <c r="BT98" s="542">
        <v>0</v>
      </c>
      <c r="BU98" s="542">
        <v>25623</v>
      </c>
      <c r="BV98" s="542">
        <v>1317463</v>
      </c>
      <c r="BW98" s="542">
        <v>0</v>
      </c>
      <c r="BX98" s="542">
        <v>1846628</v>
      </c>
      <c r="BY98" s="542">
        <v>6340</v>
      </c>
      <c r="BZ98" s="542">
        <v>0</v>
      </c>
      <c r="CA98" s="542">
        <v>0</v>
      </c>
      <c r="CB98" s="542">
        <v>0</v>
      </c>
      <c r="CC98" s="542">
        <v>3708</v>
      </c>
      <c r="CD98" s="542">
        <v>0</v>
      </c>
      <c r="CE98" s="542">
        <v>0</v>
      </c>
    </row>
    <row r="99" spans="1:83" ht="30" x14ac:dyDescent="0.25">
      <c r="A99" s="640">
        <v>333</v>
      </c>
      <c r="B99" s="571">
        <v>333</v>
      </c>
      <c r="C99" s="536" t="s">
        <v>269</v>
      </c>
      <c r="D99" s="537" t="s">
        <v>498</v>
      </c>
      <c r="E99" s="543">
        <v>129528</v>
      </c>
      <c r="F99" s="544">
        <v>82149</v>
      </c>
      <c r="G99" s="544">
        <v>704125</v>
      </c>
      <c r="H99" s="544">
        <v>3434813</v>
      </c>
      <c r="I99" s="544">
        <v>4323708</v>
      </c>
      <c r="J99" s="544">
        <v>4324868</v>
      </c>
      <c r="K99" s="545">
        <v>96988</v>
      </c>
      <c r="L99" s="542">
        <v>748966</v>
      </c>
      <c r="M99" s="542">
        <v>871340</v>
      </c>
      <c r="N99" s="541">
        <v>7883017</v>
      </c>
      <c r="O99" s="541">
        <v>514382</v>
      </c>
      <c r="P99" s="541">
        <v>5774120</v>
      </c>
      <c r="Q99" s="541">
        <v>251464</v>
      </c>
      <c r="R99" s="541">
        <v>35942514</v>
      </c>
      <c r="S99" s="541">
        <v>1823516</v>
      </c>
      <c r="T99" s="541">
        <v>203605</v>
      </c>
      <c r="U99" s="541">
        <v>29333501</v>
      </c>
      <c r="V99" s="541">
        <v>10765605</v>
      </c>
      <c r="W99" s="541">
        <v>17147303</v>
      </c>
      <c r="X99" s="541">
        <v>35033610</v>
      </c>
      <c r="Y99" s="541">
        <v>0</v>
      </c>
      <c r="Z99" s="541">
        <v>13049043</v>
      </c>
      <c r="AA99" s="541">
        <v>1373503</v>
      </c>
      <c r="AB99" s="542">
        <v>11713841</v>
      </c>
      <c r="AC99" s="542">
        <v>533069</v>
      </c>
      <c r="AD99" s="542">
        <v>1578665</v>
      </c>
      <c r="AE99" s="542">
        <v>705702</v>
      </c>
      <c r="AF99" s="542">
        <v>3271047</v>
      </c>
      <c r="AG99" s="542">
        <v>10203426</v>
      </c>
      <c r="AH99" s="542">
        <v>4545656</v>
      </c>
      <c r="AI99" s="542">
        <v>735407</v>
      </c>
      <c r="AJ99" s="542">
        <v>21881190</v>
      </c>
      <c r="AK99" s="542">
        <v>2827919</v>
      </c>
      <c r="AL99" s="542">
        <v>586653</v>
      </c>
      <c r="AM99" s="542">
        <v>0</v>
      </c>
      <c r="AN99" s="542">
        <v>8934260</v>
      </c>
      <c r="AO99" s="542">
        <v>555703</v>
      </c>
      <c r="AP99" s="542">
        <v>0</v>
      </c>
      <c r="AQ99" s="542">
        <v>80867</v>
      </c>
      <c r="AR99" s="542">
        <v>2897513</v>
      </c>
      <c r="AS99" s="542">
        <v>16396972</v>
      </c>
      <c r="AT99" s="542">
        <v>0</v>
      </c>
      <c r="AU99" s="542">
        <v>1062081</v>
      </c>
      <c r="AV99" s="542">
        <v>346830</v>
      </c>
      <c r="AW99" s="542">
        <v>16641719</v>
      </c>
      <c r="AX99" s="542">
        <v>3537955</v>
      </c>
      <c r="AY99" s="542">
        <v>1011330</v>
      </c>
      <c r="AZ99" s="542">
        <v>15199879</v>
      </c>
      <c r="BA99" s="542">
        <v>1888718</v>
      </c>
      <c r="BB99" s="542">
        <v>0</v>
      </c>
      <c r="BC99" s="542">
        <v>88430</v>
      </c>
      <c r="BD99" s="542">
        <v>275454</v>
      </c>
      <c r="BE99" s="542">
        <v>3189465</v>
      </c>
      <c r="BF99" s="542">
        <v>437697</v>
      </c>
      <c r="BG99" s="542">
        <v>705937</v>
      </c>
      <c r="BH99" s="542">
        <v>105323</v>
      </c>
      <c r="BI99" s="542">
        <v>266786</v>
      </c>
      <c r="BJ99" s="542">
        <v>452871</v>
      </c>
      <c r="BK99" s="542">
        <v>219285</v>
      </c>
      <c r="BL99" s="542">
        <v>1309704</v>
      </c>
      <c r="BM99" s="542">
        <v>131108</v>
      </c>
      <c r="BN99" s="542">
        <v>597802</v>
      </c>
      <c r="BO99" s="542">
        <v>5101132</v>
      </c>
      <c r="BP99" s="542">
        <v>709155</v>
      </c>
      <c r="BQ99" s="542">
        <v>1827425</v>
      </c>
      <c r="BR99" s="542">
        <v>10107104</v>
      </c>
      <c r="BS99" s="542">
        <v>491214</v>
      </c>
      <c r="BT99" s="542">
        <v>20152643</v>
      </c>
      <c r="BU99" s="542">
        <v>567969</v>
      </c>
      <c r="BV99" s="542">
        <v>4782841</v>
      </c>
      <c r="BW99" s="542">
        <v>2505637</v>
      </c>
      <c r="BX99" s="542">
        <v>988992</v>
      </c>
      <c r="BY99" s="542">
        <v>1575596</v>
      </c>
      <c r="BZ99" s="542">
        <v>157282</v>
      </c>
      <c r="CA99" s="542">
        <v>0</v>
      </c>
      <c r="CB99" s="542">
        <v>89850</v>
      </c>
      <c r="CC99" s="542">
        <v>315962</v>
      </c>
      <c r="CD99" s="542">
        <v>0</v>
      </c>
      <c r="CE99" s="542">
        <v>342372</v>
      </c>
    </row>
    <row r="100" spans="1:83" ht="30" x14ac:dyDescent="0.25">
      <c r="A100" s="640">
        <v>334</v>
      </c>
      <c r="B100" s="571">
        <v>334</v>
      </c>
      <c r="C100" s="536" t="s">
        <v>358</v>
      </c>
      <c r="D100" s="537" t="s">
        <v>499</v>
      </c>
      <c r="E100" s="543">
        <v>491559</v>
      </c>
      <c r="F100" s="544">
        <v>237086</v>
      </c>
      <c r="G100" s="544">
        <v>1585962</v>
      </c>
      <c r="H100" s="544">
        <v>3307344</v>
      </c>
      <c r="I100" s="544">
        <v>1858233</v>
      </c>
      <c r="J100" s="544">
        <v>3739723</v>
      </c>
      <c r="K100" s="545">
        <v>63968</v>
      </c>
      <c r="L100" s="542">
        <v>1132759</v>
      </c>
      <c r="M100" s="542">
        <v>579509</v>
      </c>
      <c r="N100" s="541">
        <v>71533527</v>
      </c>
      <c r="O100" s="541">
        <v>673490</v>
      </c>
      <c r="P100" s="541">
        <v>11426524</v>
      </c>
      <c r="Q100" s="541">
        <v>238647</v>
      </c>
      <c r="R100" s="541">
        <v>144043920</v>
      </c>
      <c r="S100" s="541">
        <v>3097895</v>
      </c>
      <c r="T100" s="541">
        <v>273576</v>
      </c>
      <c r="U100" s="541">
        <v>235920385</v>
      </c>
      <c r="V100" s="541">
        <v>39204844</v>
      </c>
      <c r="W100" s="541">
        <v>98595938</v>
      </c>
      <c r="X100" s="541">
        <v>126793040</v>
      </c>
      <c r="Y100" s="541">
        <v>0</v>
      </c>
      <c r="Z100" s="541">
        <v>47113103</v>
      </c>
      <c r="AA100" s="541">
        <v>2695564</v>
      </c>
      <c r="AB100" s="542">
        <v>24436897</v>
      </c>
      <c r="AC100" s="542">
        <v>10603479</v>
      </c>
      <c r="AD100" s="542">
        <v>5318931</v>
      </c>
      <c r="AE100" s="542">
        <v>4332400</v>
      </c>
      <c r="AF100" s="542">
        <v>6337816</v>
      </c>
      <c r="AG100" s="542">
        <v>61735705</v>
      </c>
      <c r="AH100" s="542">
        <v>10771193</v>
      </c>
      <c r="AI100" s="542">
        <v>3460690</v>
      </c>
      <c r="AJ100" s="542">
        <v>75441825</v>
      </c>
      <c r="AK100" s="542">
        <v>4128305</v>
      </c>
      <c r="AL100" s="542">
        <v>2600241</v>
      </c>
      <c r="AM100" s="542">
        <v>0</v>
      </c>
      <c r="AN100" s="542">
        <v>31918326</v>
      </c>
      <c r="AO100" s="542">
        <v>676639</v>
      </c>
      <c r="AP100" s="542">
        <v>0</v>
      </c>
      <c r="AQ100" s="542">
        <v>147732</v>
      </c>
      <c r="AR100" s="542">
        <v>36871376</v>
      </c>
      <c r="AS100" s="542">
        <v>49197782</v>
      </c>
      <c r="AT100" s="542">
        <v>0</v>
      </c>
      <c r="AU100" s="542">
        <v>3977943</v>
      </c>
      <c r="AV100" s="542">
        <v>563154</v>
      </c>
      <c r="AW100" s="542">
        <v>30506377</v>
      </c>
      <c r="AX100" s="542">
        <v>5967086</v>
      </c>
      <c r="AY100" s="542">
        <v>4366412</v>
      </c>
      <c r="AZ100" s="542">
        <v>6165294</v>
      </c>
      <c r="BA100" s="542">
        <v>3191565</v>
      </c>
      <c r="BB100" s="542">
        <v>0</v>
      </c>
      <c r="BC100" s="542">
        <v>68878</v>
      </c>
      <c r="BD100" s="542">
        <v>24018</v>
      </c>
      <c r="BE100" s="542">
        <v>14478384</v>
      </c>
      <c r="BF100" s="542">
        <v>513212</v>
      </c>
      <c r="BG100" s="542">
        <v>294151</v>
      </c>
      <c r="BH100" s="542">
        <v>245598</v>
      </c>
      <c r="BI100" s="542">
        <v>137781</v>
      </c>
      <c r="BJ100" s="542">
        <v>532961</v>
      </c>
      <c r="BK100" s="542">
        <v>148773</v>
      </c>
      <c r="BL100" s="542">
        <v>9409752</v>
      </c>
      <c r="BM100" s="542">
        <v>849432</v>
      </c>
      <c r="BN100" s="542">
        <v>3286700</v>
      </c>
      <c r="BO100" s="542">
        <v>8731103</v>
      </c>
      <c r="BP100" s="542">
        <v>2352834</v>
      </c>
      <c r="BQ100" s="542">
        <v>4410103</v>
      </c>
      <c r="BR100" s="542">
        <v>38003058</v>
      </c>
      <c r="BS100" s="542">
        <v>2112461</v>
      </c>
      <c r="BT100" s="542">
        <v>37179323</v>
      </c>
      <c r="BU100" s="542">
        <v>2519048</v>
      </c>
      <c r="BV100" s="542">
        <v>6400418</v>
      </c>
      <c r="BW100" s="542">
        <v>2578864</v>
      </c>
      <c r="BX100" s="542">
        <v>5656047</v>
      </c>
      <c r="BY100" s="542">
        <v>803075</v>
      </c>
      <c r="BZ100" s="542">
        <v>173082</v>
      </c>
      <c r="CA100" s="542">
        <v>0</v>
      </c>
      <c r="CB100" s="542">
        <v>84874</v>
      </c>
      <c r="CC100" s="542">
        <v>2060120</v>
      </c>
      <c r="CD100" s="542">
        <v>0</v>
      </c>
      <c r="CE100" s="542">
        <v>199375</v>
      </c>
    </row>
    <row r="101" spans="1:83" ht="45" x14ac:dyDescent="0.25">
      <c r="A101" s="640">
        <v>335</v>
      </c>
      <c r="B101" s="571">
        <v>335</v>
      </c>
      <c r="C101" s="536" t="s">
        <v>136</v>
      </c>
      <c r="D101" s="537" t="s">
        <v>500</v>
      </c>
      <c r="E101" s="543">
        <v>0</v>
      </c>
      <c r="F101" s="544">
        <v>0</v>
      </c>
      <c r="G101" s="544">
        <v>0</v>
      </c>
      <c r="H101" s="544">
        <v>0</v>
      </c>
      <c r="I101" s="544">
        <v>0</v>
      </c>
      <c r="J101" s="544">
        <v>0</v>
      </c>
      <c r="K101" s="545">
        <v>0</v>
      </c>
      <c r="L101" s="542">
        <v>0</v>
      </c>
      <c r="M101" s="542">
        <v>0</v>
      </c>
      <c r="N101" s="541">
        <v>0</v>
      </c>
      <c r="O101" s="541">
        <v>0</v>
      </c>
      <c r="P101" s="541">
        <v>0</v>
      </c>
      <c r="Q101" s="541">
        <v>0</v>
      </c>
      <c r="R101" s="541">
        <v>2232</v>
      </c>
      <c r="S101" s="541">
        <v>0</v>
      </c>
      <c r="T101" s="541">
        <v>0</v>
      </c>
      <c r="U101" s="541">
        <v>166817</v>
      </c>
      <c r="V101" s="541">
        <v>0</v>
      </c>
      <c r="W101" s="541">
        <v>0</v>
      </c>
      <c r="X101" s="541">
        <v>350000</v>
      </c>
      <c r="Y101" s="541">
        <v>0</v>
      </c>
      <c r="Z101" s="541">
        <v>122676</v>
      </c>
      <c r="AA101" s="541">
        <v>0</v>
      </c>
      <c r="AB101" s="542">
        <v>0</v>
      </c>
      <c r="AC101" s="542">
        <v>0</v>
      </c>
      <c r="AD101" s="542">
        <v>0</v>
      </c>
      <c r="AE101" s="542">
        <v>0</v>
      </c>
      <c r="AF101" s="542">
        <v>0</v>
      </c>
      <c r="AG101" s="542">
        <v>205</v>
      </c>
      <c r="AH101" s="542">
        <v>0</v>
      </c>
      <c r="AI101" s="542">
        <v>0</v>
      </c>
      <c r="AJ101" s="542">
        <v>0</v>
      </c>
      <c r="AK101" s="542">
        <v>0</v>
      </c>
      <c r="AL101" s="542">
        <v>0</v>
      </c>
      <c r="AM101" s="542">
        <v>0</v>
      </c>
      <c r="AN101" s="542">
        <v>0</v>
      </c>
      <c r="AO101" s="542">
        <v>0</v>
      </c>
      <c r="AP101" s="542">
        <v>0</v>
      </c>
      <c r="AQ101" s="542">
        <v>0</v>
      </c>
      <c r="AR101" s="542">
        <v>0</v>
      </c>
      <c r="AS101" s="542">
        <v>0</v>
      </c>
      <c r="AT101" s="542">
        <v>0</v>
      </c>
      <c r="AU101" s="542">
        <v>6048</v>
      </c>
      <c r="AV101" s="542">
        <v>0</v>
      </c>
      <c r="AW101" s="542">
        <v>0</v>
      </c>
      <c r="AX101" s="542">
        <v>25067</v>
      </c>
      <c r="AY101" s="542">
        <v>0</v>
      </c>
      <c r="AZ101" s="542">
        <v>0</v>
      </c>
      <c r="BA101" s="542">
        <v>0</v>
      </c>
      <c r="BB101" s="542">
        <v>0</v>
      </c>
      <c r="BC101" s="542">
        <v>0</v>
      </c>
      <c r="BD101" s="542">
        <v>0</v>
      </c>
      <c r="BE101" s="542">
        <v>0</v>
      </c>
      <c r="BF101" s="542">
        <v>0</v>
      </c>
      <c r="BG101" s="542">
        <v>0</v>
      </c>
      <c r="BH101" s="542">
        <v>0</v>
      </c>
      <c r="BI101" s="542">
        <v>0</v>
      </c>
      <c r="BJ101" s="542">
        <v>0</v>
      </c>
      <c r="BK101" s="542">
        <v>0</v>
      </c>
      <c r="BL101" s="542">
        <v>0</v>
      </c>
      <c r="BM101" s="542">
        <v>0</v>
      </c>
      <c r="BN101" s="542">
        <v>0</v>
      </c>
      <c r="BO101" s="542">
        <v>14853</v>
      </c>
      <c r="BP101" s="542">
        <v>0</v>
      </c>
      <c r="BQ101" s="542">
        <v>0</v>
      </c>
      <c r="BR101" s="542">
        <v>0</v>
      </c>
      <c r="BS101" s="542">
        <v>0</v>
      </c>
      <c r="BT101" s="542">
        <v>0</v>
      </c>
      <c r="BU101" s="542">
        <v>0</v>
      </c>
      <c r="BV101" s="542">
        <v>0</v>
      </c>
      <c r="BW101" s="542">
        <v>0</v>
      </c>
      <c r="BX101" s="542">
        <v>0</v>
      </c>
      <c r="BY101" s="542">
        <v>0</v>
      </c>
      <c r="BZ101" s="542">
        <v>0</v>
      </c>
      <c r="CA101" s="542">
        <v>0</v>
      </c>
      <c r="CB101" s="542">
        <v>0</v>
      </c>
      <c r="CC101" s="542">
        <v>0</v>
      </c>
      <c r="CD101" s="542">
        <v>0</v>
      </c>
      <c r="CE101" s="542">
        <v>0</v>
      </c>
    </row>
    <row r="102" spans="1:83" s="652" customFormat="1" ht="30" x14ac:dyDescent="0.25">
      <c r="A102" s="653">
        <v>336</v>
      </c>
      <c r="B102" s="654">
        <v>336</v>
      </c>
      <c r="C102" s="655" t="s">
        <v>890</v>
      </c>
      <c r="D102" s="647" t="s">
        <v>501</v>
      </c>
      <c r="E102" s="656">
        <v>25249</v>
      </c>
      <c r="F102" s="657">
        <v>4059</v>
      </c>
      <c r="G102" s="657">
        <v>14196</v>
      </c>
      <c r="H102" s="657">
        <v>101375</v>
      </c>
      <c r="I102" s="657">
        <v>38594</v>
      </c>
      <c r="J102" s="657">
        <v>136941</v>
      </c>
      <c r="K102" s="658">
        <v>630</v>
      </c>
      <c r="L102" s="659">
        <v>1692</v>
      </c>
      <c r="M102" s="659">
        <v>7165</v>
      </c>
      <c r="N102" s="660">
        <v>1074090</v>
      </c>
      <c r="O102" s="660">
        <v>44900</v>
      </c>
      <c r="P102" s="660">
        <v>292480</v>
      </c>
      <c r="Q102" s="660">
        <v>892</v>
      </c>
      <c r="R102" s="660">
        <v>3134666</v>
      </c>
      <c r="S102" s="660">
        <v>116869</v>
      </c>
      <c r="T102" s="660">
        <v>3092</v>
      </c>
      <c r="U102" s="660">
        <v>13595614</v>
      </c>
      <c r="V102" s="660">
        <v>1570507</v>
      </c>
      <c r="W102" s="660">
        <v>2642108</v>
      </c>
      <c r="X102" s="660">
        <v>4371795</v>
      </c>
      <c r="Y102" s="660">
        <v>0</v>
      </c>
      <c r="Z102" s="660">
        <v>1097554</v>
      </c>
      <c r="AA102" s="660">
        <v>74813</v>
      </c>
      <c r="AB102" s="659">
        <v>1283686</v>
      </c>
      <c r="AC102" s="659">
        <v>242874</v>
      </c>
      <c r="AD102" s="659">
        <v>136896</v>
      </c>
      <c r="AE102" s="659">
        <v>101061</v>
      </c>
      <c r="AF102" s="659">
        <v>101303</v>
      </c>
      <c r="AG102" s="659">
        <v>1439126</v>
      </c>
      <c r="AH102" s="659">
        <v>120764</v>
      </c>
      <c r="AI102" s="659">
        <v>29280</v>
      </c>
      <c r="AJ102" s="659">
        <v>6378164</v>
      </c>
      <c r="AK102" s="659">
        <v>7138</v>
      </c>
      <c r="AL102" s="659">
        <v>53730</v>
      </c>
      <c r="AM102" s="659">
        <v>0</v>
      </c>
      <c r="AN102" s="659">
        <v>2434734</v>
      </c>
      <c r="AO102" s="659">
        <v>8697</v>
      </c>
      <c r="AP102" s="659">
        <v>0</v>
      </c>
      <c r="AQ102" s="659">
        <v>623</v>
      </c>
      <c r="AR102" s="659">
        <v>702025</v>
      </c>
      <c r="AS102" s="659">
        <v>327521</v>
      </c>
      <c r="AT102" s="659">
        <v>0</v>
      </c>
      <c r="AU102" s="659">
        <v>98495</v>
      </c>
      <c r="AV102" s="659">
        <v>12904</v>
      </c>
      <c r="AW102" s="659">
        <v>1946228</v>
      </c>
      <c r="AX102" s="659">
        <v>53402</v>
      </c>
      <c r="AY102" s="659">
        <v>103678</v>
      </c>
      <c r="AZ102" s="659">
        <v>524460</v>
      </c>
      <c r="BA102" s="659">
        <v>41221</v>
      </c>
      <c r="BB102" s="659">
        <v>0</v>
      </c>
      <c r="BC102" s="659">
        <v>0</v>
      </c>
      <c r="BD102" s="659">
        <v>7453</v>
      </c>
      <c r="BE102" s="659">
        <v>5688833</v>
      </c>
      <c r="BF102" s="659">
        <v>1434</v>
      </c>
      <c r="BG102" s="659">
        <v>7100</v>
      </c>
      <c r="BH102" s="659">
        <v>13361</v>
      </c>
      <c r="BI102" s="659">
        <v>1381</v>
      </c>
      <c r="BJ102" s="659">
        <v>7129</v>
      </c>
      <c r="BK102" s="659">
        <v>18613</v>
      </c>
      <c r="BL102" s="659">
        <v>326557</v>
      </c>
      <c r="BM102" s="659">
        <v>16543</v>
      </c>
      <c r="BN102" s="659">
        <v>76211</v>
      </c>
      <c r="BO102" s="659">
        <v>358269</v>
      </c>
      <c r="BP102" s="659">
        <v>46769</v>
      </c>
      <c r="BQ102" s="659">
        <v>73303</v>
      </c>
      <c r="BR102" s="659">
        <v>1283215</v>
      </c>
      <c r="BS102" s="659">
        <v>86947</v>
      </c>
      <c r="BT102" s="659">
        <v>1691030</v>
      </c>
      <c r="BU102" s="659">
        <v>35372</v>
      </c>
      <c r="BV102" s="659">
        <v>241347</v>
      </c>
      <c r="BW102" s="659">
        <v>21307</v>
      </c>
      <c r="BX102" s="659">
        <v>202467</v>
      </c>
      <c r="BY102" s="659">
        <v>35950</v>
      </c>
      <c r="BZ102" s="659">
        <v>4756</v>
      </c>
      <c r="CA102" s="659">
        <v>0</v>
      </c>
      <c r="CB102" s="659">
        <v>1212</v>
      </c>
      <c r="CC102" s="659">
        <v>152738</v>
      </c>
      <c r="CD102" s="659">
        <v>0</v>
      </c>
      <c r="CE102" s="659">
        <v>3647</v>
      </c>
    </row>
    <row r="103" spans="1:83" x14ac:dyDescent="0.25">
      <c r="A103" s="640">
        <v>337</v>
      </c>
      <c r="B103" s="571">
        <v>337</v>
      </c>
      <c r="C103" s="536" t="s">
        <v>340</v>
      </c>
      <c r="D103" s="537" t="s">
        <v>502</v>
      </c>
      <c r="E103" s="543">
        <v>8770</v>
      </c>
      <c r="F103" s="544">
        <v>12900</v>
      </c>
      <c r="G103" s="544">
        <v>22000</v>
      </c>
      <c r="H103" s="544">
        <v>671882</v>
      </c>
      <c r="I103" s="544">
        <v>0</v>
      </c>
      <c r="J103" s="544">
        <v>573895</v>
      </c>
      <c r="K103" s="545">
        <v>0</v>
      </c>
      <c r="L103" s="542">
        <v>0</v>
      </c>
      <c r="M103" s="542">
        <v>0</v>
      </c>
      <c r="N103" s="541">
        <v>1105692</v>
      </c>
      <c r="O103" s="541">
        <v>54913</v>
      </c>
      <c r="P103" s="541">
        <v>1385000</v>
      </c>
      <c r="Q103" s="541">
        <v>0</v>
      </c>
      <c r="R103" s="541">
        <v>7348694</v>
      </c>
      <c r="S103" s="541">
        <v>136461</v>
      </c>
      <c r="T103" s="541">
        <v>0</v>
      </c>
      <c r="U103" s="541">
        <v>119984863</v>
      </c>
      <c r="V103" s="541">
        <v>9940276</v>
      </c>
      <c r="W103" s="541">
        <v>4509435</v>
      </c>
      <c r="X103" s="541">
        <v>19276562</v>
      </c>
      <c r="Y103" s="541">
        <v>0</v>
      </c>
      <c r="Z103" s="541">
        <v>360000</v>
      </c>
      <c r="AA103" s="541">
        <v>34002</v>
      </c>
      <c r="AB103" s="542">
        <v>11789589</v>
      </c>
      <c r="AC103" s="542">
        <v>689536</v>
      </c>
      <c r="AD103" s="542">
        <v>316094</v>
      </c>
      <c r="AE103" s="542">
        <v>0</v>
      </c>
      <c r="AF103" s="542">
        <v>1714319</v>
      </c>
      <c r="AG103" s="542">
        <v>2103996</v>
      </c>
      <c r="AH103" s="542">
        <v>0</v>
      </c>
      <c r="AI103" s="542">
        <v>245275</v>
      </c>
      <c r="AJ103" s="542">
        <v>8627381</v>
      </c>
      <c r="AK103" s="542">
        <v>0</v>
      </c>
      <c r="AL103" s="542">
        <v>34358</v>
      </c>
      <c r="AM103" s="542">
        <v>0</v>
      </c>
      <c r="AN103" s="542">
        <v>7845057</v>
      </c>
      <c r="AO103" s="542">
        <v>0</v>
      </c>
      <c r="AP103" s="542">
        <v>0</v>
      </c>
      <c r="AQ103" s="542">
        <v>0</v>
      </c>
      <c r="AR103" s="542">
        <v>16082078</v>
      </c>
      <c r="AS103" s="542">
        <v>566143</v>
      </c>
      <c r="AT103" s="542">
        <v>0</v>
      </c>
      <c r="AU103" s="542">
        <v>351835</v>
      </c>
      <c r="AV103" s="542">
        <v>0</v>
      </c>
      <c r="AW103" s="542">
        <v>4900883</v>
      </c>
      <c r="AX103" s="542">
        <v>0</v>
      </c>
      <c r="AY103" s="542">
        <v>0</v>
      </c>
      <c r="AZ103" s="542">
        <v>3021404</v>
      </c>
      <c r="BA103" s="542">
        <v>0</v>
      </c>
      <c r="BB103" s="542">
        <v>0</v>
      </c>
      <c r="BC103" s="542">
        <v>0</v>
      </c>
      <c r="BD103" s="542">
        <v>0</v>
      </c>
      <c r="BE103" s="542">
        <v>219595</v>
      </c>
      <c r="BF103" s="542">
        <v>0</v>
      </c>
      <c r="BG103" s="542">
        <v>0</v>
      </c>
      <c r="BH103" s="542">
        <v>0</v>
      </c>
      <c r="BI103" s="542">
        <v>0</v>
      </c>
      <c r="BJ103" s="542">
        <v>0</v>
      </c>
      <c r="BK103" s="542">
        <v>87766</v>
      </c>
      <c r="BL103" s="542">
        <v>2386024</v>
      </c>
      <c r="BM103" s="542">
        <v>0</v>
      </c>
      <c r="BN103" s="542">
        <v>218417</v>
      </c>
      <c r="BO103" s="542">
        <v>1204248</v>
      </c>
      <c r="BP103" s="542">
        <v>689994</v>
      </c>
      <c r="BQ103" s="542">
        <v>1746949</v>
      </c>
      <c r="BR103" s="542">
        <v>737569</v>
      </c>
      <c r="BS103" s="542">
        <v>248559</v>
      </c>
      <c r="BT103" s="542">
        <v>1632750</v>
      </c>
      <c r="BU103" s="542">
        <v>276511</v>
      </c>
      <c r="BV103" s="542">
        <v>192838</v>
      </c>
      <c r="BW103" s="542">
        <v>0</v>
      </c>
      <c r="BX103" s="542">
        <v>441568</v>
      </c>
      <c r="BY103" s="542">
        <v>4794</v>
      </c>
      <c r="BZ103" s="542">
        <v>0</v>
      </c>
      <c r="CA103" s="542">
        <v>0</v>
      </c>
      <c r="CB103" s="542">
        <v>0</v>
      </c>
      <c r="CC103" s="542">
        <v>716719</v>
      </c>
      <c r="CD103" s="542">
        <v>0</v>
      </c>
      <c r="CE103" s="542">
        <v>0</v>
      </c>
    </row>
    <row r="104" spans="1:83" s="652" customFormat="1" ht="30" x14ac:dyDescent="0.25">
      <c r="A104" s="653">
        <v>338</v>
      </c>
      <c r="B104" s="654">
        <v>338</v>
      </c>
      <c r="C104" s="655" t="s">
        <v>135</v>
      </c>
      <c r="D104" s="647" t="s">
        <v>503</v>
      </c>
      <c r="E104" s="656">
        <v>63184</v>
      </c>
      <c r="F104" s="657">
        <v>13359</v>
      </c>
      <c r="G104" s="657">
        <v>126790</v>
      </c>
      <c r="H104" s="657">
        <v>777742</v>
      </c>
      <c r="I104" s="657">
        <v>60865</v>
      </c>
      <c r="J104" s="657">
        <v>749623</v>
      </c>
      <c r="K104" s="658">
        <v>630</v>
      </c>
      <c r="L104" s="659">
        <v>39983</v>
      </c>
      <c r="M104" s="659">
        <v>7165</v>
      </c>
      <c r="N104" s="660">
        <v>7496684</v>
      </c>
      <c r="O104" s="660">
        <v>224597</v>
      </c>
      <c r="P104" s="660">
        <v>2715055</v>
      </c>
      <c r="Q104" s="660">
        <v>2396</v>
      </c>
      <c r="R104" s="660">
        <v>52126501</v>
      </c>
      <c r="S104" s="660">
        <v>554540</v>
      </c>
      <c r="T104" s="660">
        <v>3092</v>
      </c>
      <c r="U104" s="660">
        <v>184411370</v>
      </c>
      <c r="V104" s="660">
        <v>17016993</v>
      </c>
      <c r="W104" s="660">
        <v>25933755</v>
      </c>
      <c r="X104" s="660">
        <v>30923717</v>
      </c>
      <c r="Y104" s="660">
        <v>0</v>
      </c>
      <c r="Z104" s="660">
        <v>5533662</v>
      </c>
      <c r="AA104" s="660">
        <v>266816</v>
      </c>
      <c r="AB104" s="659">
        <v>21346604</v>
      </c>
      <c r="AC104" s="659">
        <v>1595117</v>
      </c>
      <c r="AD104" s="659">
        <v>449047</v>
      </c>
      <c r="AE104" s="659">
        <v>613141</v>
      </c>
      <c r="AF104" s="659">
        <v>2245099</v>
      </c>
      <c r="AG104" s="659">
        <v>9643961</v>
      </c>
      <c r="AH104" s="659">
        <v>1823458</v>
      </c>
      <c r="AI104" s="659">
        <v>362086</v>
      </c>
      <c r="AJ104" s="659">
        <v>55781030</v>
      </c>
      <c r="AK104" s="659">
        <v>7138</v>
      </c>
      <c r="AL104" s="659">
        <v>225271</v>
      </c>
      <c r="AM104" s="659">
        <v>0</v>
      </c>
      <c r="AN104" s="659">
        <v>13479860</v>
      </c>
      <c r="AO104" s="659">
        <v>112232</v>
      </c>
      <c r="AP104" s="659">
        <v>0</v>
      </c>
      <c r="AQ104" s="659">
        <v>623</v>
      </c>
      <c r="AR104" s="659">
        <v>17152417</v>
      </c>
      <c r="AS104" s="659">
        <v>54205171</v>
      </c>
      <c r="AT104" s="659">
        <v>0</v>
      </c>
      <c r="AU104" s="659">
        <v>955109</v>
      </c>
      <c r="AV104" s="659">
        <v>13556</v>
      </c>
      <c r="AW104" s="659">
        <v>9931316</v>
      </c>
      <c r="AX104" s="659">
        <v>169821</v>
      </c>
      <c r="AY104" s="659">
        <v>306836</v>
      </c>
      <c r="AZ104" s="659">
        <v>4165876</v>
      </c>
      <c r="BA104" s="659">
        <v>164838</v>
      </c>
      <c r="BB104" s="659">
        <v>0</v>
      </c>
      <c r="BC104" s="659">
        <v>0</v>
      </c>
      <c r="BD104" s="659">
        <v>9278</v>
      </c>
      <c r="BE104" s="659">
        <v>8705335</v>
      </c>
      <c r="BF104" s="659">
        <v>1434</v>
      </c>
      <c r="BG104" s="659">
        <v>32448</v>
      </c>
      <c r="BH104" s="659">
        <v>13361</v>
      </c>
      <c r="BI104" s="659">
        <v>1381</v>
      </c>
      <c r="BJ104" s="659">
        <v>25173</v>
      </c>
      <c r="BK104" s="659">
        <v>89712</v>
      </c>
      <c r="BL104" s="659">
        <v>4213937</v>
      </c>
      <c r="BM104" s="659">
        <v>154807</v>
      </c>
      <c r="BN104" s="659">
        <v>938668</v>
      </c>
      <c r="BO104" s="659">
        <v>2134607</v>
      </c>
      <c r="BP104" s="659">
        <v>956782</v>
      </c>
      <c r="BQ104" s="659">
        <v>1903020</v>
      </c>
      <c r="BR104" s="659">
        <v>5091248</v>
      </c>
      <c r="BS104" s="659">
        <v>532586</v>
      </c>
      <c r="BT104" s="659">
        <v>9336216</v>
      </c>
      <c r="BU104" s="659">
        <v>487753</v>
      </c>
      <c r="BV104" s="659">
        <v>2493180</v>
      </c>
      <c r="BW104" s="659">
        <v>21307</v>
      </c>
      <c r="BX104" s="659">
        <v>814125</v>
      </c>
      <c r="BY104" s="659">
        <v>610883</v>
      </c>
      <c r="BZ104" s="659">
        <v>4756</v>
      </c>
      <c r="CA104" s="659">
        <v>0</v>
      </c>
      <c r="CB104" s="659">
        <v>1607</v>
      </c>
      <c r="CC104" s="659">
        <v>948299</v>
      </c>
      <c r="CD104" s="659">
        <v>0</v>
      </c>
      <c r="CE104" s="659">
        <v>3647</v>
      </c>
    </row>
    <row r="105" spans="1:83" x14ac:dyDescent="0.25">
      <c r="A105" s="640">
        <v>339</v>
      </c>
      <c r="B105" s="571">
        <v>339</v>
      </c>
      <c r="C105" s="536" t="s">
        <v>276</v>
      </c>
      <c r="D105" s="537" t="s">
        <v>504</v>
      </c>
      <c r="E105" s="543">
        <v>56349</v>
      </c>
      <c r="F105" s="544">
        <v>11653</v>
      </c>
      <c r="G105" s="544">
        <v>149314</v>
      </c>
      <c r="H105" s="544">
        <v>26743</v>
      </c>
      <c r="I105" s="544">
        <v>0</v>
      </c>
      <c r="J105" s="544">
        <v>8813</v>
      </c>
      <c r="K105" s="545">
        <v>0</v>
      </c>
      <c r="L105" s="542">
        <v>4435</v>
      </c>
      <c r="M105" s="542">
        <v>3934</v>
      </c>
      <c r="N105" s="541">
        <v>0</v>
      </c>
      <c r="O105" s="541">
        <v>265000</v>
      </c>
      <c r="P105" s="541">
        <v>120287</v>
      </c>
      <c r="Q105" s="541">
        <v>545</v>
      </c>
      <c r="R105" s="541">
        <v>8203805</v>
      </c>
      <c r="S105" s="541">
        <v>94784</v>
      </c>
      <c r="T105" s="541">
        <v>0</v>
      </c>
      <c r="U105" s="541">
        <v>5107651</v>
      </c>
      <c r="V105" s="541">
        <v>2224339</v>
      </c>
      <c r="W105" s="541">
        <v>2938440</v>
      </c>
      <c r="X105" s="541">
        <v>2936307</v>
      </c>
      <c r="Y105" s="541">
        <v>0</v>
      </c>
      <c r="Z105" s="541">
        <v>1500267</v>
      </c>
      <c r="AA105" s="541">
        <v>110286</v>
      </c>
      <c r="AB105" s="542">
        <v>863136</v>
      </c>
      <c r="AC105" s="542">
        <v>549885</v>
      </c>
      <c r="AD105" s="542">
        <v>30699</v>
      </c>
      <c r="AE105" s="542">
        <v>311926</v>
      </c>
      <c r="AF105" s="542">
        <v>35182</v>
      </c>
      <c r="AG105" s="542">
        <v>560781</v>
      </c>
      <c r="AH105" s="542">
        <v>680259</v>
      </c>
      <c r="AI105" s="542">
        <v>44728</v>
      </c>
      <c r="AJ105" s="542">
        <v>4432486</v>
      </c>
      <c r="AK105" s="542">
        <v>3095</v>
      </c>
      <c r="AL105" s="542">
        <v>72391</v>
      </c>
      <c r="AM105" s="542">
        <v>0</v>
      </c>
      <c r="AN105" s="542">
        <v>1200260</v>
      </c>
      <c r="AO105" s="542">
        <v>39690</v>
      </c>
      <c r="AP105" s="542">
        <v>0</v>
      </c>
      <c r="AQ105" s="542">
        <v>0</v>
      </c>
      <c r="AR105" s="542">
        <v>642268</v>
      </c>
      <c r="AS105" s="542">
        <v>508426</v>
      </c>
      <c r="AT105" s="542">
        <v>0</v>
      </c>
      <c r="AU105" s="542">
        <v>74758</v>
      </c>
      <c r="AV105" s="542">
        <v>250</v>
      </c>
      <c r="AW105" s="542">
        <v>3516587</v>
      </c>
      <c r="AX105" s="542">
        <v>77638</v>
      </c>
      <c r="AY105" s="542">
        <v>71789</v>
      </c>
      <c r="AZ105" s="542">
        <v>1558949</v>
      </c>
      <c r="BA105" s="542">
        <v>44841</v>
      </c>
      <c r="BB105" s="542">
        <v>0</v>
      </c>
      <c r="BC105" s="542">
        <v>0</v>
      </c>
      <c r="BD105" s="542">
        <v>20866</v>
      </c>
      <c r="BE105" s="542">
        <v>2638228</v>
      </c>
      <c r="BF105" s="542">
        <v>17020</v>
      </c>
      <c r="BG105" s="542">
        <v>44412</v>
      </c>
      <c r="BH105" s="542">
        <v>0</v>
      </c>
      <c r="BI105" s="542">
        <v>0</v>
      </c>
      <c r="BJ105" s="542">
        <v>31529</v>
      </c>
      <c r="BK105" s="542">
        <v>2318</v>
      </c>
      <c r="BL105" s="542">
        <v>611064</v>
      </c>
      <c r="BM105" s="542">
        <v>106310</v>
      </c>
      <c r="BN105" s="542">
        <v>148035</v>
      </c>
      <c r="BO105" s="542">
        <v>794701</v>
      </c>
      <c r="BP105" s="542">
        <v>251885</v>
      </c>
      <c r="BQ105" s="542">
        <v>40631</v>
      </c>
      <c r="BR105" s="542">
        <v>1472018</v>
      </c>
      <c r="BS105" s="542">
        <v>134746</v>
      </c>
      <c r="BT105" s="542">
        <v>1074707</v>
      </c>
      <c r="BU105" s="542">
        <v>104127</v>
      </c>
      <c r="BV105" s="542">
        <v>556801</v>
      </c>
      <c r="BW105" s="542">
        <v>144723</v>
      </c>
      <c r="BX105" s="542">
        <v>156453</v>
      </c>
      <c r="BY105" s="542">
        <v>42920</v>
      </c>
      <c r="BZ105" s="542">
        <v>0</v>
      </c>
      <c r="CA105" s="542">
        <v>0</v>
      </c>
      <c r="CB105" s="542">
        <v>20687</v>
      </c>
      <c r="CC105" s="542">
        <v>188980</v>
      </c>
      <c r="CD105" s="542">
        <v>0</v>
      </c>
      <c r="CE105" s="542">
        <v>0</v>
      </c>
    </row>
    <row r="106" spans="1:83" ht="30" x14ac:dyDescent="0.25">
      <c r="A106" s="640"/>
      <c r="B106" s="571">
        <v>340</v>
      </c>
      <c r="C106" s="536" t="s">
        <v>751</v>
      </c>
      <c r="D106" s="537" t="s">
        <v>505</v>
      </c>
      <c r="E106" s="543"/>
      <c r="F106" s="544"/>
      <c r="G106" s="544"/>
      <c r="H106" s="544"/>
      <c r="I106" s="544"/>
      <c r="J106" s="544"/>
      <c r="K106" s="545"/>
      <c r="L106" s="542"/>
      <c r="M106" s="542"/>
      <c r="N106" s="541"/>
      <c r="O106" s="541"/>
      <c r="P106" s="541"/>
      <c r="Q106" s="541"/>
      <c r="R106" s="541"/>
      <c r="S106" s="541"/>
      <c r="T106" s="541"/>
      <c r="U106" s="541"/>
      <c r="V106" s="541"/>
      <c r="W106" s="541"/>
      <c r="X106" s="541"/>
      <c r="Y106" s="541"/>
      <c r="Z106" s="541"/>
      <c r="AA106" s="541"/>
      <c r="AB106" s="542"/>
      <c r="AC106" s="542"/>
      <c r="AD106" s="542"/>
      <c r="AE106" s="542"/>
      <c r="AF106" s="542"/>
      <c r="AG106" s="542"/>
      <c r="AH106" s="542"/>
      <c r="AI106" s="542"/>
      <c r="AJ106" s="542"/>
      <c r="AK106" s="542"/>
      <c r="AL106" s="542"/>
      <c r="AM106" s="542"/>
      <c r="AN106" s="542"/>
      <c r="AO106" s="542"/>
      <c r="AP106" s="542"/>
      <c r="AQ106" s="542"/>
      <c r="AR106" s="542"/>
      <c r="AS106" s="542"/>
      <c r="AT106" s="542"/>
      <c r="AU106" s="542"/>
      <c r="AV106" s="542"/>
      <c r="AW106" s="542"/>
      <c r="AX106" s="542"/>
      <c r="AY106" s="542"/>
      <c r="AZ106" s="542"/>
      <c r="BA106" s="542"/>
      <c r="BB106" s="542"/>
      <c r="BC106" s="542"/>
      <c r="BD106" s="542"/>
      <c r="BE106" s="542"/>
      <c r="BF106" s="542"/>
      <c r="BG106" s="542"/>
      <c r="BH106" s="542"/>
      <c r="BI106" s="542"/>
      <c r="BJ106" s="542"/>
      <c r="BK106" s="542"/>
      <c r="BL106" s="542"/>
      <c r="BM106" s="542"/>
      <c r="BN106" s="542"/>
      <c r="BO106" s="542"/>
      <c r="BP106" s="542"/>
      <c r="BQ106" s="542"/>
      <c r="BR106" s="542"/>
      <c r="BS106" s="542"/>
      <c r="BT106" s="542"/>
      <c r="BU106" s="542"/>
      <c r="BV106" s="542"/>
      <c r="BW106" s="542"/>
      <c r="BX106" s="542"/>
      <c r="BY106" s="542"/>
      <c r="BZ106" s="542"/>
      <c r="CA106" s="542"/>
      <c r="CB106" s="542"/>
      <c r="CC106" s="542"/>
      <c r="CD106" s="542"/>
      <c r="CE106" s="542"/>
    </row>
    <row r="107" spans="1:83" x14ac:dyDescent="0.25">
      <c r="A107" s="640">
        <v>341</v>
      </c>
      <c r="B107" s="571">
        <v>341</v>
      </c>
      <c r="C107" s="536" t="s">
        <v>279</v>
      </c>
      <c r="D107" s="537" t="s">
        <v>506</v>
      </c>
      <c r="E107" s="543">
        <v>190236</v>
      </c>
      <c r="F107" s="544">
        <v>50086</v>
      </c>
      <c r="G107" s="544">
        <v>540178</v>
      </c>
      <c r="H107" s="544">
        <v>1634232</v>
      </c>
      <c r="I107" s="544">
        <v>1511805</v>
      </c>
      <c r="J107" s="544">
        <v>3435631</v>
      </c>
      <c r="K107" s="545">
        <v>74257</v>
      </c>
      <c r="L107" s="542">
        <v>347042</v>
      </c>
      <c r="M107" s="542">
        <v>215011</v>
      </c>
      <c r="N107" s="541">
        <v>12277286</v>
      </c>
      <c r="O107" s="541">
        <v>228428</v>
      </c>
      <c r="P107" s="541">
        <v>4453055</v>
      </c>
      <c r="Q107" s="541">
        <v>78976</v>
      </c>
      <c r="R107" s="541">
        <v>31907114</v>
      </c>
      <c r="S107" s="541">
        <v>1416586</v>
      </c>
      <c r="T107" s="541">
        <v>32586</v>
      </c>
      <c r="U107" s="541">
        <v>60436512</v>
      </c>
      <c r="V107" s="541">
        <v>11608516</v>
      </c>
      <c r="W107" s="541">
        <v>16481243</v>
      </c>
      <c r="X107" s="541">
        <v>28805076</v>
      </c>
      <c r="Y107" s="541">
        <v>0</v>
      </c>
      <c r="Z107" s="541">
        <v>10691817</v>
      </c>
      <c r="AA107" s="541">
        <v>993532</v>
      </c>
      <c r="AB107" s="542">
        <v>11641839</v>
      </c>
      <c r="AC107" s="542">
        <v>3030331</v>
      </c>
      <c r="AD107" s="542">
        <v>1209589</v>
      </c>
      <c r="AE107" s="542">
        <v>1921382</v>
      </c>
      <c r="AF107" s="542">
        <v>2143919</v>
      </c>
      <c r="AG107" s="542">
        <v>15010142</v>
      </c>
      <c r="AH107" s="542">
        <v>4455665</v>
      </c>
      <c r="AI107" s="542">
        <v>800527</v>
      </c>
      <c r="AJ107" s="542">
        <v>25988477</v>
      </c>
      <c r="AK107" s="542">
        <v>542600</v>
      </c>
      <c r="AL107" s="542">
        <v>775553</v>
      </c>
      <c r="AM107" s="542">
        <v>0</v>
      </c>
      <c r="AN107" s="542">
        <v>11018307</v>
      </c>
      <c r="AO107" s="542">
        <v>486125</v>
      </c>
      <c r="AP107" s="542">
        <v>0</v>
      </c>
      <c r="AQ107" s="542">
        <v>38721</v>
      </c>
      <c r="AR107" s="542">
        <v>6683478</v>
      </c>
      <c r="AS107" s="542">
        <v>6238857</v>
      </c>
      <c r="AT107" s="542">
        <v>0</v>
      </c>
      <c r="AU107" s="542">
        <v>1995544</v>
      </c>
      <c r="AV107" s="542">
        <v>130865</v>
      </c>
      <c r="AW107" s="542">
        <v>12393992</v>
      </c>
      <c r="AX107" s="542">
        <v>1584287</v>
      </c>
      <c r="AY107" s="542">
        <v>1312253</v>
      </c>
      <c r="AZ107" s="542">
        <v>6585599</v>
      </c>
      <c r="BA107" s="542">
        <v>746077</v>
      </c>
      <c r="BB107" s="542">
        <v>0</v>
      </c>
      <c r="BC107" s="542">
        <v>28969</v>
      </c>
      <c r="BD107" s="542">
        <v>220417</v>
      </c>
      <c r="BE107" s="542">
        <v>6283309</v>
      </c>
      <c r="BF107" s="542">
        <v>102824</v>
      </c>
      <c r="BG107" s="542">
        <v>443101</v>
      </c>
      <c r="BH107" s="542">
        <v>107644</v>
      </c>
      <c r="BI107" s="542">
        <v>71927</v>
      </c>
      <c r="BJ107" s="542">
        <v>168767</v>
      </c>
      <c r="BK107" s="542">
        <v>108040</v>
      </c>
      <c r="BL107" s="542">
        <v>2540523</v>
      </c>
      <c r="BM107" s="542">
        <v>739130</v>
      </c>
      <c r="BN107" s="542">
        <v>1395847</v>
      </c>
      <c r="BO107" s="542">
        <v>3253290</v>
      </c>
      <c r="BP107" s="542">
        <v>835320</v>
      </c>
      <c r="BQ107" s="542">
        <v>1154779</v>
      </c>
      <c r="BR107" s="542">
        <v>16181302</v>
      </c>
      <c r="BS107" s="542">
        <v>597918</v>
      </c>
      <c r="BT107" s="542">
        <v>9949389</v>
      </c>
      <c r="BU107" s="542">
        <v>323413</v>
      </c>
      <c r="BV107" s="542">
        <v>3997695</v>
      </c>
      <c r="BW107" s="542">
        <v>444819</v>
      </c>
      <c r="BX107" s="542">
        <v>1793924</v>
      </c>
      <c r="BY107" s="542">
        <v>875564</v>
      </c>
      <c r="BZ107" s="542">
        <v>61029</v>
      </c>
      <c r="CA107" s="542">
        <v>0</v>
      </c>
      <c r="CB107" s="542">
        <v>93993</v>
      </c>
      <c r="CC107" s="542">
        <v>722055</v>
      </c>
      <c r="CD107" s="542">
        <v>0</v>
      </c>
      <c r="CE107" s="542">
        <v>44508</v>
      </c>
    </row>
    <row r="108" spans="1:83" ht="30" x14ac:dyDescent="0.25">
      <c r="A108" s="640">
        <v>343</v>
      </c>
      <c r="B108" s="571">
        <v>342</v>
      </c>
      <c r="C108" s="536" t="s">
        <v>752</v>
      </c>
      <c r="D108" s="537" t="s">
        <v>507</v>
      </c>
      <c r="E108" s="543"/>
      <c r="F108" s="544"/>
      <c r="G108" s="544"/>
      <c r="H108" s="544"/>
      <c r="I108" s="544"/>
      <c r="J108" s="544"/>
      <c r="K108" s="545"/>
      <c r="L108" s="542"/>
      <c r="M108" s="542"/>
      <c r="N108" s="541"/>
      <c r="O108" s="541"/>
      <c r="P108" s="541"/>
      <c r="Q108" s="541"/>
      <c r="R108" s="541"/>
      <c r="S108" s="541"/>
      <c r="T108" s="541"/>
      <c r="U108" s="541"/>
      <c r="V108" s="541"/>
      <c r="W108" s="541"/>
      <c r="X108" s="541"/>
      <c r="Y108" s="541"/>
      <c r="Z108" s="541"/>
      <c r="AA108" s="541"/>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2"/>
      <c r="BJ108" s="542"/>
      <c r="BK108" s="542"/>
      <c r="BL108" s="542"/>
      <c r="BM108" s="542"/>
      <c r="BN108" s="542"/>
      <c r="BO108" s="542"/>
      <c r="BP108" s="542"/>
      <c r="BQ108" s="542"/>
      <c r="BR108" s="542"/>
      <c r="BS108" s="542"/>
      <c r="BT108" s="542"/>
      <c r="BU108" s="542"/>
      <c r="BV108" s="542"/>
      <c r="BW108" s="542"/>
      <c r="BX108" s="542"/>
      <c r="BY108" s="542"/>
      <c r="BZ108" s="542"/>
      <c r="CA108" s="542"/>
      <c r="CB108" s="542"/>
      <c r="CC108" s="542"/>
      <c r="CD108" s="542"/>
      <c r="CE108" s="542"/>
    </row>
    <row r="109" spans="1:83" x14ac:dyDescent="0.25">
      <c r="A109" s="640">
        <v>344</v>
      </c>
      <c r="B109" s="571">
        <v>343</v>
      </c>
      <c r="C109" s="536" t="s">
        <v>341</v>
      </c>
      <c r="D109" s="537" t="s">
        <v>508</v>
      </c>
      <c r="E109" s="543">
        <v>1600</v>
      </c>
      <c r="F109" s="544">
        <v>3600</v>
      </c>
      <c r="G109" s="544">
        <v>0</v>
      </c>
      <c r="H109" s="544">
        <v>39523</v>
      </c>
      <c r="I109" s="544">
        <v>65800</v>
      </c>
      <c r="J109" s="544">
        <v>50313</v>
      </c>
      <c r="K109" s="545">
        <v>0</v>
      </c>
      <c r="L109" s="542">
        <v>0</v>
      </c>
      <c r="M109" s="542">
        <v>0</v>
      </c>
      <c r="N109" s="541">
        <v>557713</v>
      </c>
      <c r="O109" s="541">
        <v>18778</v>
      </c>
      <c r="P109" s="541">
        <v>100000</v>
      </c>
      <c r="Q109" s="541">
        <v>0</v>
      </c>
      <c r="R109" s="541">
        <v>1212594</v>
      </c>
      <c r="S109" s="541">
        <v>29677</v>
      </c>
      <c r="T109" s="541">
        <v>0</v>
      </c>
      <c r="U109" s="541">
        <v>8677538</v>
      </c>
      <c r="V109" s="541">
        <v>432126</v>
      </c>
      <c r="W109" s="541">
        <v>1673751</v>
      </c>
      <c r="X109" s="541">
        <v>1657014</v>
      </c>
      <c r="Y109" s="541">
        <v>0</v>
      </c>
      <c r="Z109" s="541">
        <v>0</v>
      </c>
      <c r="AA109" s="541">
        <v>24946</v>
      </c>
      <c r="AB109" s="542">
        <v>1079660</v>
      </c>
      <c r="AC109" s="542">
        <v>75839</v>
      </c>
      <c r="AD109" s="542">
        <v>48871</v>
      </c>
      <c r="AE109" s="542">
        <v>0</v>
      </c>
      <c r="AF109" s="542">
        <v>38896</v>
      </c>
      <c r="AG109" s="542">
        <v>1216638</v>
      </c>
      <c r="AH109" s="542">
        <v>0</v>
      </c>
      <c r="AI109" s="542">
        <v>22438</v>
      </c>
      <c r="AJ109" s="542">
        <v>1988779</v>
      </c>
      <c r="AK109" s="542">
        <v>0</v>
      </c>
      <c r="AL109" s="542">
        <v>28901</v>
      </c>
      <c r="AM109" s="542">
        <v>0</v>
      </c>
      <c r="AN109" s="542">
        <v>1012028</v>
      </c>
      <c r="AO109" s="542">
        <v>7614</v>
      </c>
      <c r="AP109" s="542">
        <v>0</v>
      </c>
      <c r="AQ109" s="542">
        <v>0</v>
      </c>
      <c r="AR109" s="542">
        <v>1068896</v>
      </c>
      <c r="AS109" s="542">
        <v>149893</v>
      </c>
      <c r="AT109" s="542">
        <v>0</v>
      </c>
      <c r="AU109" s="542">
        <v>53165</v>
      </c>
      <c r="AV109" s="542">
        <v>0</v>
      </c>
      <c r="AW109" s="542">
        <v>1633627</v>
      </c>
      <c r="AX109" s="542">
        <v>0</v>
      </c>
      <c r="AY109" s="542">
        <v>31829</v>
      </c>
      <c r="AZ109" s="542">
        <v>280803</v>
      </c>
      <c r="BA109" s="542">
        <v>16634</v>
      </c>
      <c r="BB109" s="542">
        <v>0</v>
      </c>
      <c r="BC109" s="542">
        <v>0</v>
      </c>
      <c r="BD109" s="542">
        <v>0</v>
      </c>
      <c r="BE109" s="542">
        <v>281558</v>
      </c>
      <c r="BF109" s="542">
        <v>0</v>
      </c>
      <c r="BG109" s="542">
        <v>0</v>
      </c>
      <c r="BH109" s="542">
        <v>0</v>
      </c>
      <c r="BI109" s="542">
        <v>0</v>
      </c>
      <c r="BJ109" s="542">
        <v>0</v>
      </c>
      <c r="BK109" s="542">
        <v>16247</v>
      </c>
      <c r="BL109" s="542">
        <v>207860</v>
      </c>
      <c r="BM109" s="542">
        <v>0</v>
      </c>
      <c r="BN109" s="542">
        <v>34656</v>
      </c>
      <c r="BO109" s="542">
        <v>208317</v>
      </c>
      <c r="BP109" s="542">
        <v>17630</v>
      </c>
      <c r="BQ109" s="542">
        <v>14415</v>
      </c>
      <c r="BR109" s="542">
        <v>329223</v>
      </c>
      <c r="BS109" s="542">
        <v>12745</v>
      </c>
      <c r="BT109" s="542">
        <v>788500</v>
      </c>
      <c r="BU109" s="542">
        <v>18251</v>
      </c>
      <c r="BV109" s="542">
        <v>134701</v>
      </c>
      <c r="BW109" s="542">
        <v>0</v>
      </c>
      <c r="BX109" s="542">
        <v>96792</v>
      </c>
      <c r="BY109" s="542">
        <v>770</v>
      </c>
      <c r="BZ109" s="542">
        <v>0</v>
      </c>
      <c r="CA109" s="542">
        <v>0</v>
      </c>
      <c r="CB109" s="542">
        <v>0</v>
      </c>
      <c r="CC109" s="542">
        <v>75000</v>
      </c>
      <c r="CD109" s="542">
        <v>0</v>
      </c>
      <c r="CE109" s="542">
        <v>0</v>
      </c>
    </row>
    <row r="110" spans="1:83" x14ac:dyDescent="0.25">
      <c r="A110" s="640"/>
      <c r="B110" s="571">
        <v>344</v>
      </c>
      <c r="C110" s="536" t="s">
        <v>274</v>
      </c>
      <c r="D110" s="537" t="s">
        <v>509</v>
      </c>
      <c r="E110" s="543">
        <v>324</v>
      </c>
      <c r="F110" s="544">
        <v>0</v>
      </c>
      <c r="G110" s="544">
        <v>0</v>
      </c>
      <c r="H110" s="544">
        <v>14096</v>
      </c>
      <c r="I110" s="544">
        <v>581</v>
      </c>
      <c r="J110" s="544">
        <v>24703</v>
      </c>
      <c r="K110" s="545">
        <v>0</v>
      </c>
      <c r="L110" s="542">
        <v>0</v>
      </c>
      <c r="M110" s="542">
        <v>0</v>
      </c>
      <c r="N110" s="541">
        <v>66629</v>
      </c>
      <c r="O110" s="541">
        <v>926</v>
      </c>
      <c r="P110" s="541">
        <v>0</v>
      </c>
      <c r="Q110" s="541">
        <v>0</v>
      </c>
      <c r="R110" s="541">
        <v>199984</v>
      </c>
      <c r="S110" s="541">
        <v>3278</v>
      </c>
      <c r="T110" s="541">
        <v>0</v>
      </c>
      <c r="U110" s="541">
        <v>5053693</v>
      </c>
      <c r="V110" s="541">
        <v>370413</v>
      </c>
      <c r="W110" s="541">
        <v>136483</v>
      </c>
      <c r="X110" s="541">
        <v>534806</v>
      </c>
      <c r="Y110" s="541">
        <v>0</v>
      </c>
      <c r="Z110" s="541">
        <v>0</v>
      </c>
      <c r="AA110" s="541">
        <v>1767</v>
      </c>
      <c r="AB110" s="542">
        <v>323139</v>
      </c>
      <c r="AC110" s="542">
        <v>76216</v>
      </c>
      <c r="AD110" s="542">
        <v>9445</v>
      </c>
      <c r="AE110" s="542">
        <v>0</v>
      </c>
      <c r="AF110" s="542">
        <v>75968</v>
      </c>
      <c r="AG110" s="542">
        <v>41470</v>
      </c>
      <c r="AH110" s="542">
        <v>0</v>
      </c>
      <c r="AI110" s="542">
        <v>7926</v>
      </c>
      <c r="AJ110" s="542">
        <v>160982</v>
      </c>
      <c r="AK110" s="542">
        <v>0</v>
      </c>
      <c r="AL110" s="542">
        <v>2926</v>
      </c>
      <c r="AM110" s="542">
        <v>0</v>
      </c>
      <c r="AN110" s="542">
        <v>175088</v>
      </c>
      <c r="AO110" s="542">
        <v>0</v>
      </c>
      <c r="AP110" s="542">
        <v>0</v>
      </c>
      <c r="AQ110" s="542">
        <v>0</v>
      </c>
      <c r="AR110" s="542">
        <v>536070</v>
      </c>
      <c r="AS110" s="542">
        <v>15391</v>
      </c>
      <c r="AT110" s="542">
        <v>0</v>
      </c>
      <c r="AU110" s="542">
        <v>10455</v>
      </c>
      <c r="AV110" s="542">
        <v>0</v>
      </c>
      <c r="AW110" s="542">
        <v>147026</v>
      </c>
      <c r="AX110" s="542">
        <v>0</v>
      </c>
      <c r="AY110" s="542">
        <v>0</v>
      </c>
      <c r="AZ110" s="542">
        <v>41892</v>
      </c>
      <c r="BA110" s="542">
        <v>323</v>
      </c>
      <c r="BB110" s="542">
        <v>0</v>
      </c>
      <c r="BC110" s="542">
        <v>0</v>
      </c>
      <c r="BD110" s="542">
        <v>0</v>
      </c>
      <c r="BE110" s="542">
        <v>7643</v>
      </c>
      <c r="BF110" s="542">
        <v>0</v>
      </c>
      <c r="BG110" s="542">
        <v>0</v>
      </c>
      <c r="BH110" s="542">
        <v>0</v>
      </c>
      <c r="BI110" s="542">
        <v>0</v>
      </c>
      <c r="BJ110" s="542">
        <v>0</v>
      </c>
      <c r="BK110" s="542">
        <v>2694</v>
      </c>
      <c r="BL110" s="542">
        <v>77483</v>
      </c>
      <c r="BM110" s="542">
        <v>0</v>
      </c>
      <c r="BN110" s="542">
        <v>6149</v>
      </c>
      <c r="BO110" s="542">
        <v>31243</v>
      </c>
      <c r="BP110" s="542">
        <v>25552</v>
      </c>
      <c r="BQ110" s="542">
        <v>43977</v>
      </c>
      <c r="BR110" s="542">
        <v>28933</v>
      </c>
      <c r="BS110" s="542">
        <v>8819</v>
      </c>
      <c r="BT110" s="542">
        <v>65962</v>
      </c>
      <c r="BU110" s="542">
        <v>13186</v>
      </c>
      <c r="BV110" s="542">
        <v>5986</v>
      </c>
      <c r="BW110" s="542">
        <v>0</v>
      </c>
      <c r="BX110" s="542">
        <v>11605</v>
      </c>
      <c r="BY110" s="542">
        <v>0</v>
      </c>
      <c r="BZ110" s="542">
        <v>0</v>
      </c>
      <c r="CA110" s="542">
        <v>0</v>
      </c>
      <c r="CB110" s="542">
        <v>0</v>
      </c>
      <c r="CC110" s="542">
        <v>18554</v>
      </c>
      <c r="CD110" s="542">
        <v>0</v>
      </c>
      <c r="CE110" s="542">
        <v>0</v>
      </c>
    </row>
    <row r="111" spans="1:83" ht="30" x14ac:dyDescent="0.25">
      <c r="A111" s="640"/>
      <c r="B111" s="571">
        <v>346</v>
      </c>
      <c r="C111" s="536" t="s">
        <v>753</v>
      </c>
      <c r="D111" s="537" t="s">
        <v>510</v>
      </c>
      <c r="E111" s="543"/>
      <c r="F111" s="544"/>
      <c r="G111" s="544"/>
      <c r="H111" s="544"/>
      <c r="I111" s="544"/>
      <c r="J111" s="544"/>
      <c r="K111" s="545"/>
      <c r="L111" s="542"/>
      <c r="M111" s="542"/>
      <c r="N111" s="541"/>
      <c r="O111" s="541"/>
      <c r="P111" s="541"/>
      <c r="Q111" s="541"/>
      <c r="R111" s="541"/>
      <c r="S111" s="541"/>
      <c r="T111" s="541"/>
      <c r="U111" s="541"/>
      <c r="V111" s="541"/>
      <c r="W111" s="541"/>
      <c r="X111" s="541"/>
      <c r="Y111" s="541"/>
      <c r="Z111" s="541"/>
      <c r="AA111" s="541"/>
      <c r="AB111" s="542"/>
      <c r="AC111" s="542"/>
      <c r="AD111" s="542"/>
      <c r="AE111" s="542"/>
      <c r="AF111" s="542"/>
      <c r="AG111" s="542"/>
      <c r="AH111" s="542"/>
      <c r="AI111" s="542"/>
      <c r="AJ111" s="542"/>
      <c r="AK111" s="542"/>
      <c r="AL111" s="542"/>
      <c r="AM111" s="542"/>
      <c r="AN111" s="542"/>
      <c r="AO111" s="542"/>
      <c r="AP111" s="542"/>
      <c r="AQ111" s="542"/>
      <c r="AR111" s="542"/>
      <c r="AS111" s="542"/>
      <c r="AT111" s="542"/>
      <c r="AU111" s="542"/>
      <c r="AV111" s="542"/>
      <c r="AW111" s="542"/>
      <c r="AX111" s="542"/>
      <c r="AY111" s="542"/>
      <c r="AZ111" s="542"/>
      <c r="BA111" s="542"/>
      <c r="BB111" s="542"/>
      <c r="BC111" s="542"/>
      <c r="BD111" s="542"/>
      <c r="BE111" s="542"/>
      <c r="BF111" s="542"/>
      <c r="BG111" s="542"/>
      <c r="BH111" s="542"/>
      <c r="BI111" s="542"/>
      <c r="BJ111" s="542"/>
      <c r="BK111" s="542"/>
      <c r="BL111" s="542"/>
      <c r="BM111" s="542"/>
      <c r="BN111" s="542"/>
      <c r="BO111" s="542"/>
      <c r="BP111" s="542"/>
      <c r="BQ111" s="542"/>
      <c r="BR111" s="542"/>
      <c r="BS111" s="542"/>
      <c r="BT111" s="542"/>
      <c r="BU111" s="542"/>
      <c r="BV111" s="542"/>
      <c r="BW111" s="542"/>
      <c r="BX111" s="542"/>
      <c r="BY111" s="542"/>
      <c r="BZ111" s="542"/>
      <c r="CA111" s="542"/>
      <c r="CB111" s="542"/>
      <c r="CC111" s="542"/>
      <c r="CD111" s="542"/>
      <c r="CE111" s="542"/>
    </row>
    <row r="112" spans="1:83" ht="30" x14ac:dyDescent="0.25">
      <c r="A112" s="640"/>
      <c r="B112" s="571">
        <v>347</v>
      </c>
      <c r="C112" s="536" t="s">
        <v>754</v>
      </c>
      <c r="D112" s="537" t="s">
        <v>511</v>
      </c>
      <c r="E112" s="543"/>
      <c r="F112" s="544"/>
      <c r="G112" s="544"/>
      <c r="H112" s="544"/>
      <c r="I112" s="544"/>
      <c r="J112" s="544"/>
      <c r="K112" s="545"/>
      <c r="L112" s="542"/>
      <c r="M112" s="542"/>
      <c r="N112" s="541"/>
      <c r="O112" s="541"/>
      <c r="P112" s="541"/>
      <c r="Q112" s="541"/>
      <c r="R112" s="541"/>
      <c r="S112" s="541"/>
      <c r="T112" s="541"/>
      <c r="U112" s="541"/>
      <c r="V112" s="541"/>
      <c r="W112" s="541"/>
      <c r="X112" s="541"/>
      <c r="Y112" s="541"/>
      <c r="Z112" s="541"/>
      <c r="AA112" s="541"/>
      <c r="AB112" s="542"/>
      <c r="AC112" s="542"/>
      <c r="AD112" s="542"/>
      <c r="AE112" s="542"/>
      <c r="AF112" s="542"/>
      <c r="AG112" s="542"/>
      <c r="AH112" s="542"/>
      <c r="AI112" s="542"/>
      <c r="AJ112" s="542"/>
      <c r="AK112" s="542"/>
      <c r="AL112" s="542"/>
      <c r="AM112" s="542"/>
      <c r="AN112" s="542"/>
      <c r="AO112" s="542"/>
      <c r="AP112" s="542"/>
      <c r="AQ112" s="542"/>
      <c r="AR112" s="542"/>
      <c r="AS112" s="542"/>
      <c r="AT112" s="542"/>
      <c r="AU112" s="542"/>
      <c r="AV112" s="542"/>
      <c r="AW112" s="542"/>
      <c r="AX112" s="542"/>
      <c r="AY112" s="542"/>
      <c r="AZ112" s="542"/>
      <c r="BA112" s="542"/>
      <c r="BB112" s="542"/>
      <c r="BC112" s="542"/>
      <c r="BD112" s="542"/>
      <c r="BE112" s="542"/>
      <c r="BF112" s="542"/>
      <c r="BG112" s="542"/>
      <c r="BH112" s="542"/>
      <c r="BI112" s="542"/>
      <c r="BJ112" s="542"/>
      <c r="BK112" s="542"/>
      <c r="BL112" s="542"/>
      <c r="BM112" s="542"/>
      <c r="BN112" s="542"/>
      <c r="BO112" s="542"/>
      <c r="BP112" s="542"/>
      <c r="BQ112" s="542"/>
      <c r="BR112" s="542"/>
      <c r="BS112" s="542"/>
      <c r="BT112" s="542"/>
      <c r="BU112" s="542"/>
      <c r="BV112" s="542"/>
      <c r="BW112" s="542"/>
      <c r="BX112" s="542"/>
      <c r="BY112" s="542"/>
      <c r="BZ112" s="542"/>
      <c r="CA112" s="542"/>
      <c r="CB112" s="542"/>
      <c r="CC112" s="542"/>
      <c r="CD112" s="542"/>
      <c r="CE112" s="542"/>
    </row>
    <row r="113" spans="1:83" ht="30" x14ac:dyDescent="0.25">
      <c r="A113" s="640">
        <v>349</v>
      </c>
      <c r="B113" s="571">
        <v>349</v>
      </c>
      <c r="C113" s="536" t="s">
        <v>143</v>
      </c>
      <c r="D113" s="537" t="s">
        <v>512</v>
      </c>
      <c r="E113" s="543">
        <v>152359</v>
      </c>
      <c r="F113" s="544">
        <v>0</v>
      </c>
      <c r="G113" s="544">
        <v>218520</v>
      </c>
      <c r="H113" s="544">
        <v>0</v>
      </c>
      <c r="I113" s="544">
        <v>0</v>
      </c>
      <c r="J113" s="544">
        <v>0</v>
      </c>
      <c r="K113" s="545">
        <v>565138</v>
      </c>
      <c r="L113" s="542">
        <v>0</v>
      </c>
      <c r="M113" s="542">
        <v>0</v>
      </c>
      <c r="N113" s="541">
        <v>0</v>
      </c>
      <c r="O113" s="541">
        <v>0</v>
      </c>
      <c r="P113" s="541">
        <v>1571792</v>
      </c>
      <c r="Q113" s="541">
        <v>0</v>
      </c>
      <c r="R113" s="541">
        <v>33637552</v>
      </c>
      <c r="S113" s="541">
        <v>562487</v>
      </c>
      <c r="T113" s="541">
        <v>0</v>
      </c>
      <c r="U113" s="541">
        <v>75245081</v>
      </c>
      <c r="V113" s="541">
        <v>20648946</v>
      </c>
      <c r="W113" s="541">
        <v>24472897</v>
      </c>
      <c r="X113" s="541">
        <v>0</v>
      </c>
      <c r="Y113" s="541">
        <v>0</v>
      </c>
      <c r="Z113" s="541">
        <v>10012934</v>
      </c>
      <c r="AA113" s="541">
        <v>1366701</v>
      </c>
      <c r="AB113" s="542">
        <v>7257363</v>
      </c>
      <c r="AC113" s="542">
        <v>8438056</v>
      </c>
      <c r="AD113" s="542">
        <v>1070662</v>
      </c>
      <c r="AE113" s="542">
        <v>2963571</v>
      </c>
      <c r="AF113" s="542">
        <v>637065</v>
      </c>
      <c r="AG113" s="542">
        <v>1400835</v>
      </c>
      <c r="AH113" s="542">
        <v>828964</v>
      </c>
      <c r="AI113" s="542">
        <v>790052</v>
      </c>
      <c r="AJ113" s="542">
        <v>37730332</v>
      </c>
      <c r="AK113" s="542">
        <v>18297</v>
      </c>
      <c r="AL113" s="542">
        <v>913795</v>
      </c>
      <c r="AM113" s="542">
        <v>0</v>
      </c>
      <c r="AN113" s="542">
        <v>11007849</v>
      </c>
      <c r="AO113" s="542">
        <v>384682</v>
      </c>
      <c r="AP113" s="542">
        <v>0</v>
      </c>
      <c r="AQ113" s="542">
        <v>0</v>
      </c>
      <c r="AR113" s="542">
        <v>0</v>
      </c>
      <c r="AS113" s="542">
        <v>3067685</v>
      </c>
      <c r="AT113" s="542">
        <v>0</v>
      </c>
      <c r="AU113" s="542">
        <v>2282737</v>
      </c>
      <c r="AV113" s="542">
        <v>0</v>
      </c>
      <c r="AW113" s="542">
        <v>92752853</v>
      </c>
      <c r="AX113" s="542">
        <v>0</v>
      </c>
      <c r="AY113" s="542">
        <v>1170412</v>
      </c>
      <c r="AZ113" s="542">
        <v>459983</v>
      </c>
      <c r="BA113" s="542">
        <v>860269</v>
      </c>
      <c r="BB113" s="542">
        <v>0</v>
      </c>
      <c r="BC113" s="542">
        <v>0</v>
      </c>
      <c r="BD113" s="542">
        <v>153921</v>
      </c>
      <c r="BE113" s="542">
        <v>12637247</v>
      </c>
      <c r="BF113" s="542">
        <v>0</v>
      </c>
      <c r="BG113" s="542">
        <v>506134</v>
      </c>
      <c r="BH113" s="542">
        <v>5856</v>
      </c>
      <c r="BI113" s="542">
        <v>0</v>
      </c>
      <c r="BJ113" s="542">
        <v>111869</v>
      </c>
      <c r="BK113" s="542">
        <v>0</v>
      </c>
      <c r="BL113" s="542">
        <v>2500055</v>
      </c>
      <c r="BM113" s="542">
        <v>1969587</v>
      </c>
      <c r="BN113" s="542">
        <v>839206</v>
      </c>
      <c r="BO113" s="542">
        <v>2983569</v>
      </c>
      <c r="BP113" s="542">
        <v>1121846</v>
      </c>
      <c r="BQ113" s="542">
        <v>120823</v>
      </c>
      <c r="BR113" s="542">
        <v>0</v>
      </c>
      <c r="BS113" s="542">
        <v>92231</v>
      </c>
      <c r="BT113" s="542">
        <v>0</v>
      </c>
      <c r="BU113" s="542">
        <v>1146580</v>
      </c>
      <c r="BV113" s="542">
        <v>2522194</v>
      </c>
      <c r="BW113" s="542">
        <v>0</v>
      </c>
      <c r="BX113" s="542">
        <v>2513785</v>
      </c>
      <c r="BY113" s="542">
        <v>138546</v>
      </c>
      <c r="BZ113" s="542">
        <v>5453</v>
      </c>
      <c r="CA113" s="542">
        <v>0</v>
      </c>
      <c r="CB113" s="542">
        <v>439094</v>
      </c>
      <c r="CC113" s="542">
        <v>1420159</v>
      </c>
      <c r="CD113" s="542">
        <v>0</v>
      </c>
      <c r="CE113" s="542">
        <v>2630</v>
      </c>
    </row>
    <row r="114" spans="1:83" ht="30" x14ac:dyDescent="0.25">
      <c r="A114" s="640">
        <v>350</v>
      </c>
      <c r="B114" s="571">
        <v>350</v>
      </c>
      <c r="C114" s="536" t="s">
        <v>317</v>
      </c>
      <c r="D114" s="537" t="s">
        <v>513</v>
      </c>
      <c r="E114" s="543">
        <v>19</v>
      </c>
      <c r="F114" s="544">
        <v>0</v>
      </c>
      <c r="G114" s="544">
        <v>2326</v>
      </c>
      <c r="H114" s="544">
        <v>0</v>
      </c>
      <c r="I114" s="544">
        <v>0</v>
      </c>
      <c r="J114" s="544">
        <v>0</v>
      </c>
      <c r="K114" s="545">
        <v>0</v>
      </c>
      <c r="L114" s="542">
        <v>0</v>
      </c>
      <c r="M114" s="542">
        <v>0</v>
      </c>
      <c r="N114" s="541">
        <v>0</v>
      </c>
      <c r="O114" s="541">
        <v>0</v>
      </c>
      <c r="P114" s="541">
        <v>2029</v>
      </c>
      <c r="Q114" s="541">
        <v>0</v>
      </c>
      <c r="R114" s="541">
        <v>205458</v>
      </c>
      <c r="S114" s="541">
        <v>3886</v>
      </c>
      <c r="T114" s="541">
        <v>0</v>
      </c>
      <c r="U114" s="541">
        <v>4933148</v>
      </c>
      <c r="V114" s="541">
        <v>123523</v>
      </c>
      <c r="W114" s="541">
        <v>124360</v>
      </c>
      <c r="X114" s="541">
        <v>0</v>
      </c>
      <c r="Y114" s="541">
        <v>0</v>
      </c>
      <c r="Z114" s="541">
        <v>57834</v>
      </c>
      <c r="AA114" s="541">
        <v>26472</v>
      </c>
      <c r="AB114" s="542">
        <v>77632</v>
      </c>
      <c r="AC114" s="542">
        <v>2381</v>
      </c>
      <c r="AD114" s="542">
        <v>498</v>
      </c>
      <c r="AE114" s="542">
        <v>2739</v>
      </c>
      <c r="AF114" s="542">
        <v>89943</v>
      </c>
      <c r="AG114" s="542">
        <v>22186</v>
      </c>
      <c r="AH114" s="542">
        <v>6876</v>
      </c>
      <c r="AI114" s="542">
        <v>199</v>
      </c>
      <c r="AJ114" s="542">
        <v>141195</v>
      </c>
      <c r="AK114" s="542">
        <v>3774</v>
      </c>
      <c r="AL114" s="542">
        <v>1</v>
      </c>
      <c r="AM114" s="542">
        <v>0</v>
      </c>
      <c r="AN114" s="542">
        <v>496673</v>
      </c>
      <c r="AO114" s="542">
        <v>115618</v>
      </c>
      <c r="AP114" s="542">
        <v>0</v>
      </c>
      <c r="AQ114" s="542">
        <v>0</v>
      </c>
      <c r="AR114" s="542">
        <v>0</v>
      </c>
      <c r="AS114" s="542">
        <v>94517</v>
      </c>
      <c r="AT114" s="542">
        <v>0</v>
      </c>
      <c r="AU114" s="542">
        <v>8516</v>
      </c>
      <c r="AV114" s="542">
        <v>0</v>
      </c>
      <c r="AW114" s="542">
        <v>268436</v>
      </c>
      <c r="AX114" s="542">
        <v>0</v>
      </c>
      <c r="AY114" s="542">
        <v>2437</v>
      </c>
      <c r="AZ114" s="542">
        <v>102728</v>
      </c>
      <c r="BA114" s="542">
        <v>95260</v>
      </c>
      <c r="BB114" s="542">
        <v>0</v>
      </c>
      <c r="BC114" s="542">
        <v>0</v>
      </c>
      <c r="BD114" s="542">
        <v>737</v>
      </c>
      <c r="BE114" s="542">
        <v>72916</v>
      </c>
      <c r="BF114" s="542">
        <v>0</v>
      </c>
      <c r="BG114" s="542">
        <v>28</v>
      </c>
      <c r="BH114" s="542">
        <v>0</v>
      </c>
      <c r="BI114" s="542">
        <v>0</v>
      </c>
      <c r="BJ114" s="542">
        <v>263</v>
      </c>
      <c r="BK114" s="542">
        <v>0</v>
      </c>
      <c r="BL114" s="542">
        <v>9167</v>
      </c>
      <c r="BM114" s="542">
        <v>30</v>
      </c>
      <c r="BN114" s="542">
        <v>33623</v>
      </c>
      <c r="BO114" s="542">
        <v>80603</v>
      </c>
      <c r="BP114" s="542">
        <v>396</v>
      </c>
      <c r="BQ114" s="542">
        <v>1105</v>
      </c>
      <c r="BR114" s="542">
        <v>0</v>
      </c>
      <c r="BS114" s="542">
        <v>0</v>
      </c>
      <c r="BT114" s="542">
        <v>0</v>
      </c>
      <c r="BU114" s="542">
        <v>639</v>
      </c>
      <c r="BV114" s="542">
        <v>1881</v>
      </c>
      <c r="BW114" s="542">
        <v>0</v>
      </c>
      <c r="BX114" s="542">
        <v>136074</v>
      </c>
      <c r="BY114" s="542">
        <v>680</v>
      </c>
      <c r="BZ114" s="542">
        <v>0</v>
      </c>
      <c r="CA114" s="542">
        <v>0</v>
      </c>
      <c r="CB114" s="542">
        <v>90</v>
      </c>
      <c r="CC114" s="542">
        <v>25475</v>
      </c>
      <c r="CD114" s="542">
        <v>0</v>
      </c>
      <c r="CE114" s="542">
        <v>1</v>
      </c>
    </row>
    <row r="115" spans="1:83" ht="30" x14ac:dyDescent="0.25">
      <c r="A115" s="640">
        <v>351</v>
      </c>
      <c r="B115" s="571">
        <v>351</v>
      </c>
      <c r="C115" s="536" t="s">
        <v>318</v>
      </c>
      <c r="D115" s="537" t="s">
        <v>514</v>
      </c>
      <c r="E115" s="543">
        <v>6527</v>
      </c>
      <c r="F115" s="544">
        <v>0</v>
      </c>
      <c r="G115" s="544">
        <v>5189</v>
      </c>
      <c r="H115" s="544">
        <v>0</v>
      </c>
      <c r="I115" s="544">
        <v>0</v>
      </c>
      <c r="J115" s="544">
        <v>0</v>
      </c>
      <c r="K115" s="545">
        <v>8805</v>
      </c>
      <c r="L115" s="542">
        <v>0</v>
      </c>
      <c r="M115" s="542">
        <v>0</v>
      </c>
      <c r="N115" s="541">
        <v>0</v>
      </c>
      <c r="O115" s="541">
        <v>0</v>
      </c>
      <c r="P115" s="541">
        <v>0</v>
      </c>
      <c r="Q115" s="541">
        <v>0</v>
      </c>
      <c r="R115" s="541">
        <v>1288284</v>
      </c>
      <c r="S115" s="541">
        <v>12126</v>
      </c>
      <c r="T115" s="541">
        <v>0</v>
      </c>
      <c r="U115" s="541">
        <v>2789813</v>
      </c>
      <c r="V115" s="541">
        <v>922510</v>
      </c>
      <c r="W115" s="541">
        <v>436664</v>
      </c>
      <c r="X115" s="541">
        <v>0</v>
      </c>
      <c r="Y115" s="541">
        <v>0</v>
      </c>
      <c r="Z115" s="541">
        <v>312352</v>
      </c>
      <c r="AA115" s="541">
        <v>40716</v>
      </c>
      <c r="AB115" s="542">
        <v>106720</v>
      </c>
      <c r="AC115" s="542">
        <v>402240</v>
      </c>
      <c r="AD115" s="542">
        <v>27845</v>
      </c>
      <c r="AE115" s="542">
        <v>59134</v>
      </c>
      <c r="AF115" s="542">
        <v>0</v>
      </c>
      <c r="AG115" s="542">
        <v>4880</v>
      </c>
      <c r="AH115" s="542">
        <v>4392</v>
      </c>
      <c r="AI115" s="542">
        <v>13953</v>
      </c>
      <c r="AJ115" s="542">
        <v>879571</v>
      </c>
      <c r="AK115" s="542">
        <v>0</v>
      </c>
      <c r="AL115" s="542">
        <v>40564</v>
      </c>
      <c r="AM115" s="542">
        <v>0</v>
      </c>
      <c r="AN115" s="542">
        <v>268831</v>
      </c>
      <c r="AO115" s="542">
        <v>17833</v>
      </c>
      <c r="AP115" s="542">
        <v>0</v>
      </c>
      <c r="AQ115" s="542">
        <v>0</v>
      </c>
      <c r="AR115" s="542">
        <v>0</v>
      </c>
      <c r="AS115" s="542">
        <v>32651</v>
      </c>
      <c r="AT115" s="542">
        <v>0</v>
      </c>
      <c r="AU115" s="542">
        <v>50150</v>
      </c>
      <c r="AV115" s="542">
        <v>0</v>
      </c>
      <c r="AW115" s="542">
        <v>3169100</v>
      </c>
      <c r="AX115" s="542">
        <v>0</v>
      </c>
      <c r="AY115" s="542">
        <v>0</v>
      </c>
      <c r="AZ115" s="542">
        <v>0</v>
      </c>
      <c r="BA115" s="542">
        <v>36073</v>
      </c>
      <c r="BB115" s="542">
        <v>0</v>
      </c>
      <c r="BC115" s="542">
        <v>0</v>
      </c>
      <c r="BD115" s="542">
        <v>0</v>
      </c>
      <c r="BE115" s="542">
        <v>112480</v>
      </c>
      <c r="BF115" s="542">
        <v>0</v>
      </c>
      <c r="BG115" s="542">
        <v>1299</v>
      </c>
      <c r="BH115" s="542">
        <v>0</v>
      </c>
      <c r="BI115" s="542">
        <v>0</v>
      </c>
      <c r="BJ115" s="542">
        <v>0</v>
      </c>
      <c r="BK115" s="542">
        <v>0</v>
      </c>
      <c r="BL115" s="542">
        <v>55030</v>
      </c>
      <c r="BM115" s="542">
        <v>21127</v>
      </c>
      <c r="BN115" s="542">
        <v>31113</v>
      </c>
      <c r="BO115" s="542">
        <v>121296</v>
      </c>
      <c r="BP115" s="542">
        <v>33210</v>
      </c>
      <c r="BQ115" s="542">
        <v>1875</v>
      </c>
      <c r="BR115" s="542">
        <v>0</v>
      </c>
      <c r="BS115" s="542">
        <v>0</v>
      </c>
      <c r="BT115" s="542">
        <v>0</v>
      </c>
      <c r="BU115" s="542">
        <v>28118</v>
      </c>
      <c r="BV115" s="542">
        <v>20128</v>
      </c>
      <c r="BW115" s="542">
        <v>0</v>
      </c>
      <c r="BX115" s="542">
        <v>25810</v>
      </c>
      <c r="BY115" s="542">
        <v>0</v>
      </c>
      <c r="BZ115" s="542">
        <v>0</v>
      </c>
      <c r="CA115" s="542">
        <v>0</v>
      </c>
      <c r="CB115" s="542">
        <v>9856</v>
      </c>
      <c r="CC115" s="542">
        <v>50015</v>
      </c>
      <c r="CD115" s="542">
        <v>0</v>
      </c>
      <c r="CE115" s="542">
        <v>0</v>
      </c>
    </row>
    <row r="116" spans="1:83" x14ac:dyDescent="0.25">
      <c r="A116" s="640">
        <v>352</v>
      </c>
      <c r="B116" s="571">
        <v>352</v>
      </c>
      <c r="C116" s="536" t="s">
        <v>320</v>
      </c>
      <c r="D116" s="537" t="s">
        <v>515</v>
      </c>
      <c r="E116" s="543">
        <v>0</v>
      </c>
      <c r="F116" s="544">
        <v>0</v>
      </c>
      <c r="G116" s="544">
        <v>0</v>
      </c>
      <c r="H116" s="544">
        <v>0</v>
      </c>
      <c r="I116" s="544">
        <v>0</v>
      </c>
      <c r="J116" s="544">
        <v>0</v>
      </c>
      <c r="K116" s="545">
        <v>0</v>
      </c>
      <c r="L116" s="542">
        <v>0</v>
      </c>
      <c r="M116" s="542">
        <v>0</v>
      </c>
      <c r="N116" s="541">
        <v>0</v>
      </c>
      <c r="O116" s="541">
        <v>0</v>
      </c>
      <c r="P116" s="541">
        <v>0</v>
      </c>
      <c r="Q116" s="541">
        <v>0</v>
      </c>
      <c r="R116" s="541">
        <v>0</v>
      </c>
      <c r="S116" s="541">
        <v>0</v>
      </c>
      <c r="T116" s="541">
        <v>0</v>
      </c>
      <c r="U116" s="541">
        <v>0</v>
      </c>
      <c r="V116" s="541">
        <v>0</v>
      </c>
      <c r="W116" s="541">
        <v>0</v>
      </c>
      <c r="X116" s="541">
        <v>0</v>
      </c>
      <c r="Y116" s="541">
        <v>0</v>
      </c>
      <c r="Z116" s="541">
        <v>0</v>
      </c>
      <c r="AA116" s="541">
        <v>0</v>
      </c>
      <c r="AB116" s="542">
        <v>0</v>
      </c>
      <c r="AC116" s="542">
        <v>0</v>
      </c>
      <c r="AD116" s="542">
        <v>10005</v>
      </c>
      <c r="AE116" s="542">
        <v>0</v>
      </c>
      <c r="AF116" s="542">
        <v>0</v>
      </c>
      <c r="AG116" s="542">
        <v>0</v>
      </c>
      <c r="AH116" s="542">
        <v>0</v>
      </c>
      <c r="AI116" s="542">
        <v>0</v>
      </c>
      <c r="AJ116" s="542">
        <v>0</v>
      </c>
      <c r="AK116" s="542">
        <v>65000</v>
      </c>
      <c r="AL116" s="542">
        <v>0</v>
      </c>
      <c r="AM116" s="542">
        <v>0</v>
      </c>
      <c r="AN116" s="542">
        <v>40827</v>
      </c>
      <c r="AO116" s="542">
        <v>0</v>
      </c>
      <c r="AP116" s="542">
        <v>0</v>
      </c>
      <c r="AQ116" s="542">
        <v>0</v>
      </c>
      <c r="AR116" s="542">
        <v>0</v>
      </c>
      <c r="AS116" s="542">
        <v>0</v>
      </c>
      <c r="AT116" s="542">
        <v>0</v>
      </c>
      <c r="AU116" s="542">
        <v>0</v>
      </c>
      <c r="AV116" s="542">
        <v>0</v>
      </c>
      <c r="AW116" s="542">
        <v>617230</v>
      </c>
      <c r="AX116" s="542">
        <v>0</v>
      </c>
      <c r="AY116" s="542">
        <v>0</v>
      </c>
      <c r="AZ116" s="542">
        <v>0</v>
      </c>
      <c r="BA116" s="542">
        <v>0</v>
      </c>
      <c r="BB116" s="542">
        <v>0</v>
      </c>
      <c r="BC116" s="542">
        <v>0</v>
      </c>
      <c r="BD116" s="542">
        <v>0</v>
      </c>
      <c r="BE116" s="542">
        <v>0</v>
      </c>
      <c r="BF116" s="542">
        <v>0</v>
      </c>
      <c r="BG116" s="542">
        <v>0</v>
      </c>
      <c r="BH116" s="542">
        <v>0</v>
      </c>
      <c r="BI116" s="542">
        <v>0</v>
      </c>
      <c r="BJ116" s="542">
        <v>0</v>
      </c>
      <c r="BK116" s="542">
        <v>0</v>
      </c>
      <c r="BL116" s="542">
        <v>0</v>
      </c>
      <c r="BM116" s="542">
        <v>0</v>
      </c>
      <c r="BN116" s="542">
        <v>34611</v>
      </c>
      <c r="BO116" s="542">
        <v>0</v>
      </c>
      <c r="BP116" s="542">
        <v>0</v>
      </c>
      <c r="BQ116" s="542">
        <v>0</v>
      </c>
      <c r="BR116" s="542">
        <v>0</v>
      </c>
      <c r="BS116" s="542">
        <v>0</v>
      </c>
      <c r="BT116" s="542">
        <v>0</v>
      </c>
      <c r="BU116" s="542">
        <v>11300</v>
      </c>
      <c r="BV116" s="542">
        <v>328490</v>
      </c>
      <c r="BW116" s="542">
        <v>0</v>
      </c>
      <c r="BX116" s="542">
        <v>115250</v>
      </c>
      <c r="BY116" s="542">
        <v>95000</v>
      </c>
      <c r="BZ116" s="542">
        <v>0</v>
      </c>
      <c r="CA116" s="542">
        <v>0</v>
      </c>
      <c r="CB116" s="542">
        <v>0</v>
      </c>
      <c r="CC116" s="542">
        <v>0</v>
      </c>
      <c r="CD116" s="542">
        <v>0</v>
      </c>
      <c r="CE116" s="542">
        <v>0</v>
      </c>
    </row>
    <row r="117" spans="1:83" x14ac:dyDescent="0.25">
      <c r="A117" s="640">
        <v>353</v>
      </c>
      <c r="B117" s="571">
        <v>353</v>
      </c>
      <c r="C117" s="536" t="s">
        <v>321</v>
      </c>
      <c r="D117" s="537" t="s">
        <v>516</v>
      </c>
      <c r="E117" s="543">
        <v>0</v>
      </c>
      <c r="F117" s="544">
        <v>0</v>
      </c>
      <c r="G117" s="544">
        <v>0</v>
      </c>
      <c r="H117" s="544">
        <v>0</v>
      </c>
      <c r="I117" s="544">
        <v>0</v>
      </c>
      <c r="J117" s="544">
        <v>0</v>
      </c>
      <c r="K117" s="545">
        <v>0</v>
      </c>
      <c r="L117" s="542">
        <v>0</v>
      </c>
      <c r="M117" s="542">
        <v>0</v>
      </c>
      <c r="N117" s="541">
        <v>0</v>
      </c>
      <c r="O117" s="541">
        <v>0</v>
      </c>
      <c r="P117" s="541">
        <v>0</v>
      </c>
      <c r="Q117" s="541">
        <v>0</v>
      </c>
      <c r="R117" s="541">
        <v>0</v>
      </c>
      <c r="S117" s="541">
        <v>0</v>
      </c>
      <c r="T117" s="541">
        <v>0</v>
      </c>
      <c r="U117" s="541">
        <v>0</v>
      </c>
      <c r="V117" s="541">
        <v>0</v>
      </c>
      <c r="W117" s="541">
        <v>0</v>
      </c>
      <c r="X117" s="541">
        <v>0</v>
      </c>
      <c r="Y117" s="541">
        <v>0</v>
      </c>
      <c r="Z117" s="541">
        <v>0</v>
      </c>
      <c r="AA117" s="541">
        <v>2645</v>
      </c>
      <c r="AB117" s="542">
        <v>0</v>
      </c>
      <c r="AC117" s="542">
        <v>0</v>
      </c>
      <c r="AD117" s="542">
        <v>0</v>
      </c>
      <c r="AE117" s="542">
        <v>0</v>
      </c>
      <c r="AF117" s="542">
        <v>0</v>
      </c>
      <c r="AG117" s="542">
        <v>0</v>
      </c>
      <c r="AH117" s="542">
        <v>86498</v>
      </c>
      <c r="AI117" s="542">
        <v>0</v>
      </c>
      <c r="AJ117" s="542">
        <v>102394</v>
      </c>
      <c r="AK117" s="542">
        <v>0</v>
      </c>
      <c r="AL117" s="542">
        <v>0</v>
      </c>
      <c r="AM117" s="542">
        <v>0</v>
      </c>
      <c r="AN117" s="542">
        <v>0</v>
      </c>
      <c r="AO117" s="542">
        <v>0</v>
      </c>
      <c r="AP117" s="542">
        <v>0</v>
      </c>
      <c r="AQ117" s="542">
        <v>0</v>
      </c>
      <c r="AR117" s="542">
        <v>0</v>
      </c>
      <c r="AS117" s="542">
        <v>0</v>
      </c>
      <c r="AT117" s="542">
        <v>0</v>
      </c>
      <c r="AU117" s="542">
        <v>0</v>
      </c>
      <c r="AV117" s="542">
        <v>0</v>
      </c>
      <c r="AW117" s="542">
        <v>270417</v>
      </c>
      <c r="AX117" s="542">
        <v>0</v>
      </c>
      <c r="AY117" s="542">
        <v>0</v>
      </c>
      <c r="AZ117" s="542">
        <v>0</v>
      </c>
      <c r="BA117" s="542">
        <v>0</v>
      </c>
      <c r="BB117" s="542">
        <v>0</v>
      </c>
      <c r="BC117" s="542">
        <v>0</v>
      </c>
      <c r="BD117" s="542">
        <v>0</v>
      </c>
      <c r="BE117" s="542">
        <v>225975</v>
      </c>
      <c r="BF117" s="542">
        <v>0</v>
      </c>
      <c r="BG117" s="542">
        <v>0</v>
      </c>
      <c r="BH117" s="542">
        <v>0</v>
      </c>
      <c r="BI117" s="542">
        <v>0</v>
      </c>
      <c r="BJ117" s="542">
        <v>0</v>
      </c>
      <c r="BK117" s="542">
        <v>0</v>
      </c>
      <c r="BL117" s="542">
        <v>0</v>
      </c>
      <c r="BM117" s="542">
        <v>0</v>
      </c>
      <c r="BN117" s="542">
        <v>0</v>
      </c>
      <c r="BO117" s="542">
        <v>0</v>
      </c>
      <c r="BP117" s="542">
        <v>0</v>
      </c>
      <c r="BQ117" s="542">
        <v>0</v>
      </c>
      <c r="BR117" s="542">
        <v>0</v>
      </c>
      <c r="BS117" s="542">
        <v>305000</v>
      </c>
      <c r="BT117" s="542">
        <v>0</v>
      </c>
      <c r="BU117" s="542">
        <v>0</v>
      </c>
      <c r="BV117" s="542">
        <v>328490</v>
      </c>
      <c r="BW117" s="542">
        <v>0</v>
      </c>
      <c r="BX117" s="542">
        <v>0</v>
      </c>
      <c r="BY117" s="542">
        <v>0</v>
      </c>
      <c r="BZ117" s="542">
        <v>0</v>
      </c>
      <c r="CA117" s="542">
        <v>0</v>
      </c>
      <c r="CB117" s="542">
        <v>0</v>
      </c>
      <c r="CC117" s="542">
        <v>0</v>
      </c>
      <c r="CD117" s="542">
        <v>0</v>
      </c>
      <c r="CE117" s="542">
        <v>0</v>
      </c>
    </row>
    <row r="118" spans="1:83" ht="45" x14ac:dyDescent="0.25">
      <c r="A118" s="640">
        <v>356</v>
      </c>
      <c r="B118" s="571">
        <v>356</v>
      </c>
      <c r="C118" s="536" t="s">
        <v>665</v>
      </c>
      <c r="D118" s="537" t="s">
        <v>891</v>
      </c>
      <c r="E118" s="543">
        <v>0</v>
      </c>
      <c r="F118" s="544">
        <v>0</v>
      </c>
      <c r="G118" s="544">
        <v>0</v>
      </c>
      <c r="H118" s="544">
        <v>0</v>
      </c>
      <c r="I118" s="544">
        <v>0</v>
      </c>
      <c r="J118" s="544">
        <v>0</v>
      </c>
      <c r="K118" s="545">
        <v>0</v>
      </c>
      <c r="L118" s="542">
        <v>0</v>
      </c>
      <c r="M118" s="542">
        <v>0</v>
      </c>
      <c r="N118" s="541">
        <v>0</v>
      </c>
      <c r="O118" s="541">
        <v>0</v>
      </c>
      <c r="P118" s="541">
        <v>0</v>
      </c>
      <c r="Q118" s="541">
        <v>0</v>
      </c>
      <c r="R118" s="541">
        <v>124596880</v>
      </c>
      <c r="S118" s="541">
        <v>0</v>
      </c>
      <c r="T118" s="541">
        <v>0</v>
      </c>
      <c r="U118" s="541">
        <v>0</v>
      </c>
      <c r="V118" s="541">
        <v>0</v>
      </c>
      <c r="W118" s="541">
        <v>24717460</v>
      </c>
      <c r="X118" s="541">
        <v>0</v>
      </c>
      <c r="Y118" s="541">
        <v>0</v>
      </c>
      <c r="Z118" s="541">
        <v>0</v>
      </c>
      <c r="AA118" s="541">
        <v>0</v>
      </c>
      <c r="AB118" s="542">
        <v>0</v>
      </c>
      <c r="AC118" s="542">
        <v>0</v>
      </c>
      <c r="AD118" s="542">
        <v>0</v>
      </c>
      <c r="AE118" s="542">
        <v>0</v>
      </c>
      <c r="AF118" s="542">
        <v>0</v>
      </c>
      <c r="AG118" s="542">
        <v>0</v>
      </c>
      <c r="AH118" s="542">
        <v>0</v>
      </c>
      <c r="AI118" s="542">
        <v>0</v>
      </c>
      <c r="AJ118" s="542">
        <v>72429582</v>
      </c>
      <c r="AK118" s="542">
        <v>0</v>
      </c>
      <c r="AL118" s="542">
        <v>0</v>
      </c>
      <c r="AM118" s="542">
        <v>0</v>
      </c>
      <c r="AN118" s="542">
        <v>25817558</v>
      </c>
      <c r="AO118" s="542">
        <v>0</v>
      </c>
      <c r="AP118" s="542">
        <v>0</v>
      </c>
      <c r="AQ118" s="542">
        <v>0</v>
      </c>
      <c r="AR118" s="542">
        <v>0</v>
      </c>
      <c r="AS118" s="542">
        <v>0</v>
      </c>
      <c r="AT118" s="542">
        <v>0</v>
      </c>
      <c r="AU118" s="542">
        <v>0</v>
      </c>
      <c r="AV118" s="542">
        <v>223574</v>
      </c>
      <c r="AW118" s="542">
        <v>0</v>
      </c>
      <c r="AX118" s="542">
        <v>0</v>
      </c>
      <c r="AY118" s="542">
        <v>0</v>
      </c>
      <c r="AZ118" s="542">
        <v>0</v>
      </c>
      <c r="BA118" s="542">
        <v>0</v>
      </c>
      <c r="BB118" s="542">
        <v>0</v>
      </c>
      <c r="BC118" s="542">
        <v>0</v>
      </c>
      <c r="BD118" s="542">
        <v>0</v>
      </c>
      <c r="BE118" s="542">
        <v>0</v>
      </c>
      <c r="BF118" s="542">
        <v>0</v>
      </c>
      <c r="BG118" s="542">
        <v>0</v>
      </c>
      <c r="BH118" s="542">
        <v>0</v>
      </c>
      <c r="BI118" s="542">
        <v>0</v>
      </c>
      <c r="BJ118" s="542">
        <v>0</v>
      </c>
      <c r="BK118" s="542">
        <v>0</v>
      </c>
      <c r="BL118" s="542">
        <v>0</v>
      </c>
      <c r="BM118" s="542">
        <v>1963104</v>
      </c>
      <c r="BN118" s="542">
        <v>0</v>
      </c>
      <c r="BO118" s="542">
        <v>0</v>
      </c>
      <c r="BP118" s="542">
        <v>0</v>
      </c>
      <c r="BQ118" s="542">
        <v>0</v>
      </c>
      <c r="BR118" s="542">
        <v>0</v>
      </c>
      <c r="BS118" s="542">
        <v>1454712</v>
      </c>
      <c r="BT118" s="542">
        <v>17509463</v>
      </c>
      <c r="BU118" s="542">
        <v>0</v>
      </c>
      <c r="BV118" s="542">
        <v>0</v>
      </c>
      <c r="BW118" s="542">
        <v>0</v>
      </c>
      <c r="BX118" s="542">
        <v>0</v>
      </c>
      <c r="BY118" s="542">
        <v>0</v>
      </c>
      <c r="BZ118" s="542">
        <v>0</v>
      </c>
      <c r="CA118" s="542">
        <v>0</v>
      </c>
      <c r="CB118" s="542">
        <v>0</v>
      </c>
      <c r="CC118" s="542">
        <v>0</v>
      </c>
      <c r="CD118" s="542">
        <v>0</v>
      </c>
      <c r="CE118" s="542">
        <v>0</v>
      </c>
    </row>
    <row r="119" spans="1:83" ht="30" x14ac:dyDescent="0.25">
      <c r="A119" s="640">
        <v>357</v>
      </c>
      <c r="B119" s="571">
        <v>357</v>
      </c>
      <c r="C119" s="536" t="s">
        <v>666</v>
      </c>
      <c r="D119" s="537" t="s">
        <v>517</v>
      </c>
      <c r="E119" s="543">
        <v>0</v>
      </c>
      <c r="F119" s="544">
        <v>0</v>
      </c>
      <c r="G119" s="544">
        <v>0</v>
      </c>
      <c r="H119" s="544">
        <v>0</v>
      </c>
      <c r="I119" s="544">
        <v>0</v>
      </c>
      <c r="J119" s="544">
        <v>0</v>
      </c>
      <c r="K119" s="545">
        <v>0</v>
      </c>
      <c r="L119" s="542">
        <v>0</v>
      </c>
      <c r="M119" s="542">
        <v>0</v>
      </c>
      <c r="N119" s="541">
        <v>0</v>
      </c>
      <c r="O119" s="541">
        <v>0</v>
      </c>
      <c r="P119" s="541">
        <v>0</v>
      </c>
      <c r="Q119" s="541">
        <v>0</v>
      </c>
      <c r="R119" s="541">
        <v>46018425</v>
      </c>
      <c r="S119" s="541">
        <v>0</v>
      </c>
      <c r="T119" s="541">
        <v>0</v>
      </c>
      <c r="U119" s="541">
        <v>0</v>
      </c>
      <c r="V119" s="541">
        <v>0</v>
      </c>
      <c r="W119" s="541">
        <v>15115435</v>
      </c>
      <c r="X119" s="541">
        <v>0</v>
      </c>
      <c r="Y119" s="541">
        <v>0</v>
      </c>
      <c r="Z119" s="541">
        <v>0</v>
      </c>
      <c r="AA119" s="541">
        <v>0</v>
      </c>
      <c r="AB119" s="542">
        <v>0</v>
      </c>
      <c r="AC119" s="542">
        <v>0</v>
      </c>
      <c r="AD119" s="542">
        <v>0</v>
      </c>
      <c r="AE119" s="542">
        <v>0</v>
      </c>
      <c r="AF119" s="542">
        <v>0</v>
      </c>
      <c r="AG119" s="542">
        <v>0</v>
      </c>
      <c r="AH119" s="542">
        <v>0</v>
      </c>
      <c r="AI119" s="542">
        <v>0</v>
      </c>
      <c r="AJ119" s="542">
        <v>44239876</v>
      </c>
      <c r="AK119" s="542">
        <v>0</v>
      </c>
      <c r="AL119" s="542">
        <v>0</v>
      </c>
      <c r="AM119" s="542">
        <v>0</v>
      </c>
      <c r="AN119" s="542">
        <v>12024360</v>
      </c>
      <c r="AO119" s="542">
        <v>0</v>
      </c>
      <c r="AP119" s="542">
        <v>0</v>
      </c>
      <c r="AQ119" s="542">
        <v>0</v>
      </c>
      <c r="AR119" s="542">
        <v>0</v>
      </c>
      <c r="AS119" s="542">
        <v>0</v>
      </c>
      <c r="AT119" s="542">
        <v>0</v>
      </c>
      <c r="AU119" s="542">
        <v>0</v>
      </c>
      <c r="AV119" s="542">
        <v>212145</v>
      </c>
      <c r="AW119" s="542">
        <v>0</v>
      </c>
      <c r="AX119" s="542">
        <v>0</v>
      </c>
      <c r="AY119" s="542">
        <v>0</v>
      </c>
      <c r="AZ119" s="542">
        <v>0</v>
      </c>
      <c r="BA119" s="542">
        <v>0</v>
      </c>
      <c r="BB119" s="542">
        <v>0</v>
      </c>
      <c r="BC119" s="542">
        <v>0</v>
      </c>
      <c r="BD119" s="542">
        <v>0</v>
      </c>
      <c r="BE119" s="542">
        <v>0</v>
      </c>
      <c r="BF119" s="542">
        <v>0</v>
      </c>
      <c r="BG119" s="542">
        <v>0</v>
      </c>
      <c r="BH119" s="542">
        <v>0</v>
      </c>
      <c r="BI119" s="542">
        <v>0</v>
      </c>
      <c r="BJ119" s="542">
        <v>0</v>
      </c>
      <c r="BK119" s="542">
        <v>0</v>
      </c>
      <c r="BL119" s="542">
        <v>0</v>
      </c>
      <c r="BM119" s="542">
        <v>1469109</v>
      </c>
      <c r="BN119" s="542">
        <v>0</v>
      </c>
      <c r="BO119" s="542">
        <v>0</v>
      </c>
      <c r="BP119" s="542">
        <v>0</v>
      </c>
      <c r="BQ119" s="542">
        <v>0</v>
      </c>
      <c r="BR119" s="542">
        <v>0</v>
      </c>
      <c r="BS119" s="542">
        <v>1091600</v>
      </c>
      <c r="BT119" s="542">
        <v>9360933</v>
      </c>
      <c r="BU119" s="542">
        <v>0</v>
      </c>
      <c r="BV119" s="542">
        <v>0</v>
      </c>
      <c r="BW119" s="542">
        <v>0</v>
      </c>
      <c r="BX119" s="542">
        <v>0</v>
      </c>
      <c r="BY119" s="542">
        <v>0</v>
      </c>
      <c r="BZ119" s="542">
        <v>0</v>
      </c>
      <c r="CA119" s="542">
        <v>0</v>
      </c>
      <c r="CB119" s="542">
        <v>0</v>
      </c>
      <c r="CC119" s="542">
        <v>0</v>
      </c>
      <c r="CD119" s="542">
        <v>0</v>
      </c>
      <c r="CE119" s="542">
        <v>0</v>
      </c>
    </row>
    <row r="120" spans="1:83" x14ac:dyDescent="0.25">
      <c r="A120" s="640">
        <v>359</v>
      </c>
      <c r="B120" s="571">
        <v>359</v>
      </c>
      <c r="C120" s="536" t="s">
        <v>342</v>
      </c>
      <c r="D120" s="537" t="s">
        <v>518</v>
      </c>
      <c r="E120" s="543">
        <v>0</v>
      </c>
      <c r="F120" s="544">
        <v>0</v>
      </c>
      <c r="G120" s="544">
        <v>0</v>
      </c>
      <c r="H120" s="544">
        <v>0</v>
      </c>
      <c r="I120" s="544">
        <v>0</v>
      </c>
      <c r="J120" s="544">
        <v>0</v>
      </c>
      <c r="K120" s="545">
        <v>0</v>
      </c>
      <c r="L120" s="542">
        <v>0</v>
      </c>
      <c r="M120" s="542">
        <v>0</v>
      </c>
      <c r="N120" s="541">
        <v>0</v>
      </c>
      <c r="O120" s="541">
        <v>0</v>
      </c>
      <c r="P120" s="541">
        <v>0</v>
      </c>
      <c r="Q120" s="541">
        <v>0</v>
      </c>
      <c r="R120" s="541">
        <v>17446137</v>
      </c>
      <c r="S120" s="541">
        <v>0</v>
      </c>
      <c r="T120" s="541">
        <v>0</v>
      </c>
      <c r="U120" s="541">
        <v>0</v>
      </c>
      <c r="V120" s="541">
        <v>0</v>
      </c>
      <c r="W120" s="541">
        <v>543647</v>
      </c>
      <c r="X120" s="541">
        <v>0</v>
      </c>
      <c r="Y120" s="541">
        <v>0</v>
      </c>
      <c r="Z120" s="541">
        <v>0</v>
      </c>
      <c r="AA120" s="541">
        <v>0</v>
      </c>
      <c r="AB120" s="542">
        <v>0</v>
      </c>
      <c r="AC120" s="542">
        <v>0</v>
      </c>
      <c r="AD120" s="542">
        <v>0</v>
      </c>
      <c r="AE120" s="542">
        <v>0</v>
      </c>
      <c r="AF120" s="542">
        <v>0</v>
      </c>
      <c r="AG120" s="542">
        <v>0</v>
      </c>
      <c r="AH120" s="542">
        <v>0</v>
      </c>
      <c r="AI120" s="542">
        <v>0</v>
      </c>
      <c r="AJ120" s="542">
        <v>10088858</v>
      </c>
      <c r="AK120" s="542">
        <v>0</v>
      </c>
      <c r="AL120" s="542">
        <v>0</v>
      </c>
      <c r="AM120" s="542">
        <v>0</v>
      </c>
      <c r="AN120" s="542">
        <v>5566126</v>
      </c>
      <c r="AO120" s="542">
        <v>0</v>
      </c>
      <c r="AP120" s="542">
        <v>0</v>
      </c>
      <c r="AQ120" s="542">
        <v>0</v>
      </c>
      <c r="AR120" s="542">
        <v>0</v>
      </c>
      <c r="AS120" s="542">
        <v>0</v>
      </c>
      <c r="AT120" s="542">
        <v>0</v>
      </c>
      <c r="AU120" s="542">
        <v>0</v>
      </c>
      <c r="AV120" s="542">
        <v>0</v>
      </c>
      <c r="AW120" s="542">
        <v>0</v>
      </c>
      <c r="AX120" s="542">
        <v>0</v>
      </c>
      <c r="AY120" s="542">
        <v>0</v>
      </c>
      <c r="AZ120" s="542">
        <v>0</v>
      </c>
      <c r="BA120" s="542">
        <v>0</v>
      </c>
      <c r="BB120" s="542">
        <v>0</v>
      </c>
      <c r="BC120" s="542">
        <v>0</v>
      </c>
      <c r="BD120" s="542">
        <v>0</v>
      </c>
      <c r="BE120" s="542">
        <v>0</v>
      </c>
      <c r="BF120" s="542">
        <v>0</v>
      </c>
      <c r="BG120" s="542">
        <v>0</v>
      </c>
      <c r="BH120" s="542">
        <v>0</v>
      </c>
      <c r="BI120" s="542">
        <v>0</v>
      </c>
      <c r="BJ120" s="542">
        <v>0</v>
      </c>
      <c r="BK120" s="542">
        <v>0</v>
      </c>
      <c r="BL120" s="542">
        <v>0</v>
      </c>
      <c r="BM120" s="542">
        <v>300175</v>
      </c>
      <c r="BN120" s="542">
        <v>0</v>
      </c>
      <c r="BO120" s="542">
        <v>0</v>
      </c>
      <c r="BP120" s="542">
        <v>0</v>
      </c>
      <c r="BQ120" s="542">
        <v>0</v>
      </c>
      <c r="BR120" s="542">
        <v>0</v>
      </c>
      <c r="BS120" s="542">
        <v>43109</v>
      </c>
      <c r="BT120" s="542">
        <v>0</v>
      </c>
      <c r="BU120" s="542">
        <v>0</v>
      </c>
      <c r="BV120" s="542">
        <v>0</v>
      </c>
      <c r="BW120" s="542">
        <v>0</v>
      </c>
      <c r="BX120" s="542">
        <v>0</v>
      </c>
      <c r="BY120" s="542">
        <v>0</v>
      </c>
      <c r="BZ120" s="542">
        <v>0</v>
      </c>
      <c r="CA120" s="542">
        <v>0</v>
      </c>
      <c r="CB120" s="542">
        <v>0</v>
      </c>
      <c r="CC120" s="542">
        <v>0</v>
      </c>
      <c r="CD120" s="542">
        <v>0</v>
      </c>
      <c r="CE120" s="542">
        <v>0</v>
      </c>
    </row>
    <row r="121" spans="1:83" ht="30" x14ac:dyDescent="0.25">
      <c r="A121" s="640">
        <v>360</v>
      </c>
      <c r="B121" s="571">
        <v>360</v>
      </c>
      <c r="C121" s="536" t="s">
        <v>147</v>
      </c>
      <c r="D121" s="537" t="s">
        <v>519</v>
      </c>
      <c r="E121" s="543">
        <v>0</v>
      </c>
      <c r="F121" s="544">
        <v>0</v>
      </c>
      <c r="G121" s="544">
        <v>0</v>
      </c>
      <c r="H121" s="544">
        <v>0</v>
      </c>
      <c r="I121" s="544">
        <v>0</v>
      </c>
      <c r="J121" s="544">
        <v>0</v>
      </c>
      <c r="K121" s="545">
        <v>0</v>
      </c>
      <c r="L121" s="542">
        <v>0</v>
      </c>
      <c r="M121" s="542">
        <v>0</v>
      </c>
      <c r="N121" s="541">
        <v>0</v>
      </c>
      <c r="O121" s="541">
        <v>0</v>
      </c>
      <c r="P121" s="541">
        <v>0</v>
      </c>
      <c r="Q121" s="541">
        <v>0</v>
      </c>
      <c r="R121" s="541">
        <v>26504920</v>
      </c>
      <c r="S121" s="541">
        <v>0</v>
      </c>
      <c r="T121" s="541">
        <v>0</v>
      </c>
      <c r="U121" s="541">
        <v>0</v>
      </c>
      <c r="V121" s="541">
        <v>0</v>
      </c>
      <c r="W121" s="541">
        <v>6132910</v>
      </c>
      <c r="X121" s="541">
        <v>0</v>
      </c>
      <c r="Y121" s="541">
        <v>0</v>
      </c>
      <c r="Z121" s="541">
        <v>0</v>
      </c>
      <c r="AA121" s="541">
        <v>0</v>
      </c>
      <c r="AB121" s="542">
        <v>0</v>
      </c>
      <c r="AC121" s="542">
        <v>0</v>
      </c>
      <c r="AD121" s="542">
        <v>0</v>
      </c>
      <c r="AE121" s="542">
        <v>0</v>
      </c>
      <c r="AF121" s="542">
        <v>0</v>
      </c>
      <c r="AG121" s="542">
        <v>0</v>
      </c>
      <c r="AH121" s="542">
        <v>0</v>
      </c>
      <c r="AI121" s="542">
        <v>0</v>
      </c>
      <c r="AJ121" s="542">
        <v>18066940</v>
      </c>
      <c r="AK121" s="542">
        <v>0</v>
      </c>
      <c r="AL121" s="542">
        <v>0</v>
      </c>
      <c r="AM121" s="542">
        <v>0</v>
      </c>
      <c r="AN121" s="542">
        <v>7423420</v>
      </c>
      <c r="AO121" s="542">
        <v>0</v>
      </c>
      <c r="AP121" s="542">
        <v>0</v>
      </c>
      <c r="AQ121" s="542">
        <v>0</v>
      </c>
      <c r="AR121" s="542">
        <v>0</v>
      </c>
      <c r="AS121" s="542">
        <v>0</v>
      </c>
      <c r="AT121" s="542">
        <v>0</v>
      </c>
      <c r="AU121" s="542">
        <v>0</v>
      </c>
      <c r="AV121" s="542">
        <v>53828</v>
      </c>
      <c r="AW121" s="542">
        <v>0</v>
      </c>
      <c r="AX121" s="542">
        <v>0</v>
      </c>
      <c r="AY121" s="542">
        <v>0</v>
      </c>
      <c r="AZ121" s="542">
        <v>0</v>
      </c>
      <c r="BA121" s="542">
        <v>0</v>
      </c>
      <c r="BB121" s="542">
        <v>0</v>
      </c>
      <c r="BC121" s="542">
        <v>0</v>
      </c>
      <c r="BD121" s="542">
        <v>0</v>
      </c>
      <c r="BE121" s="542">
        <v>0</v>
      </c>
      <c r="BF121" s="542">
        <v>0</v>
      </c>
      <c r="BG121" s="542">
        <v>0</v>
      </c>
      <c r="BH121" s="542">
        <v>0</v>
      </c>
      <c r="BI121" s="542">
        <v>0</v>
      </c>
      <c r="BJ121" s="542">
        <v>0</v>
      </c>
      <c r="BK121" s="542">
        <v>0</v>
      </c>
      <c r="BL121" s="542">
        <v>0</v>
      </c>
      <c r="BM121" s="542">
        <v>440261</v>
      </c>
      <c r="BN121" s="542">
        <v>0</v>
      </c>
      <c r="BO121" s="542">
        <v>0</v>
      </c>
      <c r="BP121" s="542">
        <v>0</v>
      </c>
      <c r="BQ121" s="542">
        <v>0</v>
      </c>
      <c r="BR121" s="542">
        <v>0</v>
      </c>
      <c r="BS121" s="542">
        <v>414045</v>
      </c>
      <c r="BT121" s="542">
        <v>1517957</v>
      </c>
      <c r="BU121" s="542">
        <v>0</v>
      </c>
      <c r="BV121" s="542">
        <v>0</v>
      </c>
      <c r="BW121" s="542">
        <v>0</v>
      </c>
      <c r="BX121" s="542">
        <v>0</v>
      </c>
      <c r="BY121" s="542">
        <v>0</v>
      </c>
      <c r="BZ121" s="542">
        <v>0</v>
      </c>
      <c r="CA121" s="542">
        <v>0</v>
      </c>
      <c r="CB121" s="542">
        <v>0</v>
      </c>
      <c r="CC121" s="542">
        <v>0</v>
      </c>
      <c r="CD121" s="542">
        <v>0</v>
      </c>
      <c r="CE121" s="542">
        <v>0</v>
      </c>
    </row>
    <row r="122" spans="1:83" ht="30" x14ac:dyDescent="0.25">
      <c r="A122" s="640">
        <v>361</v>
      </c>
      <c r="B122" s="571">
        <v>361</v>
      </c>
      <c r="C122" s="536" t="s">
        <v>125</v>
      </c>
      <c r="D122" s="537" t="s">
        <v>520</v>
      </c>
      <c r="E122" s="543">
        <v>0</v>
      </c>
      <c r="F122" s="544">
        <v>0</v>
      </c>
      <c r="G122" s="544">
        <v>0</v>
      </c>
      <c r="H122" s="544">
        <v>0</v>
      </c>
      <c r="I122" s="544">
        <v>0</v>
      </c>
      <c r="J122" s="544">
        <v>0</v>
      </c>
      <c r="K122" s="545">
        <v>0</v>
      </c>
      <c r="L122" s="542">
        <v>0</v>
      </c>
      <c r="M122" s="542">
        <v>0</v>
      </c>
      <c r="N122" s="541">
        <v>0</v>
      </c>
      <c r="O122" s="541">
        <v>0</v>
      </c>
      <c r="P122" s="541">
        <v>0</v>
      </c>
      <c r="Q122" s="541">
        <v>0</v>
      </c>
      <c r="R122" s="541">
        <v>50247591</v>
      </c>
      <c r="S122" s="541">
        <v>0</v>
      </c>
      <c r="T122" s="541">
        <v>0</v>
      </c>
      <c r="U122" s="541">
        <v>0</v>
      </c>
      <c r="V122" s="541">
        <v>0</v>
      </c>
      <c r="W122" s="541">
        <v>6656698</v>
      </c>
      <c r="X122" s="541">
        <v>0</v>
      </c>
      <c r="Y122" s="541">
        <v>0</v>
      </c>
      <c r="Z122" s="541">
        <v>0</v>
      </c>
      <c r="AA122" s="541">
        <v>0</v>
      </c>
      <c r="AB122" s="542">
        <v>0</v>
      </c>
      <c r="AC122" s="542">
        <v>0</v>
      </c>
      <c r="AD122" s="542">
        <v>0</v>
      </c>
      <c r="AE122" s="542">
        <v>0</v>
      </c>
      <c r="AF122" s="542">
        <v>0</v>
      </c>
      <c r="AG122" s="542">
        <v>0</v>
      </c>
      <c r="AH122" s="542">
        <v>0</v>
      </c>
      <c r="AI122" s="542">
        <v>0</v>
      </c>
      <c r="AJ122" s="542">
        <v>23522220</v>
      </c>
      <c r="AK122" s="542">
        <v>0</v>
      </c>
      <c r="AL122" s="542">
        <v>0</v>
      </c>
      <c r="AM122" s="542">
        <v>0</v>
      </c>
      <c r="AN122" s="542">
        <v>5750482</v>
      </c>
      <c r="AO122" s="542">
        <v>0</v>
      </c>
      <c r="AP122" s="542">
        <v>0</v>
      </c>
      <c r="AQ122" s="542">
        <v>0</v>
      </c>
      <c r="AR122" s="542">
        <v>0</v>
      </c>
      <c r="AS122" s="542">
        <v>0</v>
      </c>
      <c r="AT122" s="542">
        <v>0</v>
      </c>
      <c r="AU122" s="542">
        <v>0</v>
      </c>
      <c r="AV122" s="542">
        <v>756844</v>
      </c>
      <c r="AW122" s="542">
        <v>0</v>
      </c>
      <c r="AX122" s="542">
        <v>0</v>
      </c>
      <c r="AY122" s="542">
        <v>0</v>
      </c>
      <c r="AZ122" s="542">
        <v>0</v>
      </c>
      <c r="BA122" s="542">
        <v>0</v>
      </c>
      <c r="BB122" s="542">
        <v>0</v>
      </c>
      <c r="BC122" s="542">
        <v>0</v>
      </c>
      <c r="BD122" s="542">
        <v>0</v>
      </c>
      <c r="BE122" s="542">
        <v>0</v>
      </c>
      <c r="BF122" s="542">
        <v>0</v>
      </c>
      <c r="BG122" s="542">
        <v>0</v>
      </c>
      <c r="BH122" s="542">
        <v>0</v>
      </c>
      <c r="BI122" s="542">
        <v>0</v>
      </c>
      <c r="BJ122" s="542">
        <v>0</v>
      </c>
      <c r="BK122" s="542">
        <v>0</v>
      </c>
      <c r="BL122" s="542">
        <v>0</v>
      </c>
      <c r="BM122" s="542">
        <v>1554815</v>
      </c>
      <c r="BN122" s="542">
        <v>0</v>
      </c>
      <c r="BO122" s="542">
        <v>0</v>
      </c>
      <c r="BP122" s="542">
        <v>0</v>
      </c>
      <c r="BQ122" s="542">
        <v>0</v>
      </c>
      <c r="BR122" s="542">
        <v>0</v>
      </c>
      <c r="BS122" s="542">
        <v>193297</v>
      </c>
      <c r="BT122" s="542">
        <v>2717023</v>
      </c>
      <c r="BU122" s="542">
        <v>0</v>
      </c>
      <c r="BV122" s="542">
        <v>0</v>
      </c>
      <c r="BW122" s="542">
        <v>0</v>
      </c>
      <c r="BX122" s="542">
        <v>0</v>
      </c>
      <c r="BY122" s="542">
        <v>0</v>
      </c>
      <c r="BZ122" s="542">
        <v>0</v>
      </c>
      <c r="CA122" s="542">
        <v>0</v>
      </c>
      <c r="CB122" s="542">
        <v>0</v>
      </c>
      <c r="CC122" s="542">
        <v>0</v>
      </c>
      <c r="CD122" s="542">
        <v>0</v>
      </c>
      <c r="CE122" s="542">
        <v>0</v>
      </c>
    </row>
    <row r="123" spans="1:83" x14ac:dyDescent="0.25">
      <c r="A123" s="640">
        <v>362</v>
      </c>
      <c r="B123" s="571">
        <v>362</v>
      </c>
      <c r="C123" s="536" t="s">
        <v>126</v>
      </c>
      <c r="D123" s="537" t="s">
        <v>521</v>
      </c>
      <c r="E123" s="543">
        <v>0</v>
      </c>
      <c r="F123" s="544">
        <v>0</v>
      </c>
      <c r="G123" s="544">
        <v>0</v>
      </c>
      <c r="H123" s="544">
        <v>0</v>
      </c>
      <c r="I123" s="544">
        <v>0</v>
      </c>
      <c r="J123" s="544">
        <v>0</v>
      </c>
      <c r="K123" s="545">
        <v>0</v>
      </c>
      <c r="L123" s="542">
        <v>0</v>
      </c>
      <c r="M123" s="542">
        <v>0</v>
      </c>
      <c r="N123" s="541">
        <v>0</v>
      </c>
      <c r="O123" s="541">
        <v>0</v>
      </c>
      <c r="P123" s="541">
        <v>0</v>
      </c>
      <c r="Q123" s="541">
        <v>0</v>
      </c>
      <c r="R123" s="541">
        <v>122348260</v>
      </c>
      <c r="S123" s="541">
        <v>0</v>
      </c>
      <c r="T123" s="541">
        <v>0</v>
      </c>
      <c r="U123" s="541">
        <v>0</v>
      </c>
      <c r="V123" s="541">
        <v>0</v>
      </c>
      <c r="W123" s="541">
        <v>15771026</v>
      </c>
      <c r="X123" s="541">
        <v>0</v>
      </c>
      <c r="Y123" s="541">
        <v>0</v>
      </c>
      <c r="Z123" s="541">
        <v>0</v>
      </c>
      <c r="AA123" s="541">
        <v>0</v>
      </c>
      <c r="AB123" s="542">
        <v>0</v>
      </c>
      <c r="AC123" s="542">
        <v>0</v>
      </c>
      <c r="AD123" s="542">
        <v>0</v>
      </c>
      <c r="AE123" s="542">
        <v>0</v>
      </c>
      <c r="AF123" s="542">
        <v>0</v>
      </c>
      <c r="AG123" s="542">
        <v>0</v>
      </c>
      <c r="AH123" s="542">
        <v>0</v>
      </c>
      <c r="AI123" s="542">
        <v>0</v>
      </c>
      <c r="AJ123" s="542">
        <v>49564830</v>
      </c>
      <c r="AK123" s="542">
        <v>0</v>
      </c>
      <c r="AL123" s="542">
        <v>0</v>
      </c>
      <c r="AM123" s="542">
        <v>0</v>
      </c>
      <c r="AN123" s="542">
        <v>14891226</v>
      </c>
      <c r="AO123" s="542">
        <v>0</v>
      </c>
      <c r="AP123" s="542">
        <v>0</v>
      </c>
      <c r="AQ123" s="542">
        <v>0</v>
      </c>
      <c r="AR123" s="542">
        <v>0</v>
      </c>
      <c r="AS123" s="542">
        <v>0</v>
      </c>
      <c r="AT123" s="542">
        <v>0</v>
      </c>
      <c r="AU123" s="542">
        <v>0</v>
      </c>
      <c r="AV123" s="542">
        <v>775678</v>
      </c>
      <c r="AW123" s="542">
        <v>0</v>
      </c>
      <c r="AX123" s="542">
        <v>0</v>
      </c>
      <c r="AY123" s="542">
        <v>0</v>
      </c>
      <c r="AZ123" s="542">
        <v>0</v>
      </c>
      <c r="BA123" s="542">
        <v>0</v>
      </c>
      <c r="BB123" s="542">
        <v>0</v>
      </c>
      <c r="BC123" s="542">
        <v>0</v>
      </c>
      <c r="BD123" s="542">
        <v>0</v>
      </c>
      <c r="BE123" s="542">
        <v>0</v>
      </c>
      <c r="BF123" s="542">
        <v>0</v>
      </c>
      <c r="BG123" s="542">
        <v>0</v>
      </c>
      <c r="BH123" s="542">
        <v>0</v>
      </c>
      <c r="BI123" s="542">
        <v>0</v>
      </c>
      <c r="BJ123" s="542">
        <v>0</v>
      </c>
      <c r="BK123" s="542">
        <v>0</v>
      </c>
      <c r="BL123" s="542">
        <v>0</v>
      </c>
      <c r="BM123" s="542">
        <v>1748635</v>
      </c>
      <c r="BN123" s="542">
        <v>0</v>
      </c>
      <c r="BO123" s="542">
        <v>0</v>
      </c>
      <c r="BP123" s="542">
        <v>0</v>
      </c>
      <c r="BQ123" s="542">
        <v>0</v>
      </c>
      <c r="BR123" s="542">
        <v>0</v>
      </c>
      <c r="BS123" s="542">
        <v>524900</v>
      </c>
      <c r="BT123" s="542">
        <v>15428070</v>
      </c>
      <c r="BU123" s="542">
        <v>0</v>
      </c>
      <c r="BV123" s="542">
        <v>0</v>
      </c>
      <c r="BW123" s="542">
        <v>0</v>
      </c>
      <c r="BX123" s="542">
        <v>0</v>
      </c>
      <c r="BY123" s="542">
        <v>0</v>
      </c>
      <c r="BZ123" s="542">
        <v>0</v>
      </c>
      <c r="CA123" s="542">
        <v>0</v>
      </c>
      <c r="CB123" s="542">
        <v>0</v>
      </c>
      <c r="CC123" s="542">
        <v>0</v>
      </c>
      <c r="CD123" s="542">
        <v>0</v>
      </c>
      <c r="CE123" s="542">
        <v>0</v>
      </c>
    </row>
    <row r="124" spans="1:83" ht="30" x14ac:dyDescent="0.25">
      <c r="A124" s="640">
        <v>363</v>
      </c>
      <c r="B124" s="571">
        <v>363</v>
      </c>
      <c r="C124" s="536" t="s">
        <v>328</v>
      </c>
      <c r="D124" s="537" t="s">
        <v>522</v>
      </c>
      <c r="E124" s="543">
        <v>0</v>
      </c>
      <c r="F124" s="544">
        <v>0</v>
      </c>
      <c r="G124" s="544">
        <v>0</v>
      </c>
      <c r="H124" s="544">
        <v>0</v>
      </c>
      <c r="I124" s="544">
        <v>0</v>
      </c>
      <c r="J124" s="544">
        <v>0</v>
      </c>
      <c r="K124" s="545">
        <v>0</v>
      </c>
      <c r="L124" s="542">
        <v>0</v>
      </c>
      <c r="M124" s="542">
        <v>0</v>
      </c>
      <c r="N124" s="541">
        <v>0</v>
      </c>
      <c r="O124" s="541">
        <v>0</v>
      </c>
      <c r="P124" s="541">
        <v>0</v>
      </c>
      <c r="Q124" s="541">
        <v>0</v>
      </c>
      <c r="R124" s="541">
        <v>271652</v>
      </c>
      <c r="S124" s="541">
        <v>0</v>
      </c>
      <c r="T124" s="541">
        <v>0</v>
      </c>
      <c r="U124" s="541">
        <v>0</v>
      </c>
      <c r="V124" s="541">
        <v>0</v>
      </c>
      <c r="W124" s="541">
        <v>100106</v>
      </c>
      <c r="X124" s="541">
        <v>0</v>
      </c>
      <c r="Y124" s="541">
        <v>0</v>
      </c>
      <c r="Z124" s="541">
        <v>0</v>
      </c>
      <c r="AA124" s="541">
        <v>0</v>
      </c>
      <c r="AB124" s="542">
        <v>0</v>
      </c>
      <c r="AC124" s="542">
        <v>0</v>
      </c>
      <c r="AD124" s="542">
        <v>0</v>
      </c>
      <c r="AE124" s="542">
        <v>0</v>
      </c>
      <c r="AF124" s="542">
        <v>0</v>
      </c>
      <c r="AG124" s="542">
        <v>0</v>
      </c>
      <c r="AH124" s="542">
        <v>0</v>
      </c>
      <c r="AI124" s="542">
        <v>0</v>
      </c>
      <c r="AJ124" s="542">
        <v>175395</v>
      </c>
      <c r="AK124" s="542">
        <v>0</v>
      </c>
      <c r="AL124" s="542">
        <v>0</v>
      </c>
      <c r="AM124" s="542">
        <v>0</v>
      </c>
      <c r="AN124" s="542">
        <v>918265</v>
      </c>
      <c r="AO124" s="542">
        <v>0</v>
      </c>
      <c r="AP124" s="542">
        <v>0</v>
      </c>
      <c r="AQ124" s="542">
        <v>0</v>
      </c>
      <c r="AR124" s="542">
        <v>0</v>
      </c>
      <c r="AS124" s="542">
        <v>0</v>
      </c>
      <c r="AT124" s="542">
        <v>0</v>
      </c>
      <c r="AU124" s="542">
        <v>0</v>
      </c>
      <c r="AV124" s="542">
        <v>10553</v>
      </c>
      <c r="AW124" s="542">
        <v>0</v>
      </c>
      <c r="AX124" s="542">
        <v>0</v>
      </c>
      <c r="AY124" s="542">
        <v>0</v>
      </c>
      <c r="AZ124" s="542">
        <v>0</v>
      </c>
      <c r="BA124" s="542">
        <v>0</v>
      </c>
      <c r="BB124" s="542">
        <v>0</v>
      </c>
      <c r="BC124" s="542">
        <v>0</v>
      </c>
      <c r="BD124" s="542">
        <v>0</v>
      </c>
      <c r="BE124" s="542">
        <v>0</v>
      </c>
      <c r="BF124" s="542">
        <v>0</v>
      </c>
      <c r="BG124" s="542">
        <v>0</v>
      </c>
      <c r="BH124" s="542">
        <v>0</v>
      </c>
      <c r="BI124" s="542">
        <v>0</v>
      </c>
      <c r="BJ124" s="542">
        <v>0</v>
      </c>
      <c r="BK124" s="542">
        <v>0</v>
      </c>
      <c r="BL124" s="542">
        <v>0</v>
      </c>
      <c r="BM124" s="542">
        <v>1919</v>
      </c>
      <c r="BN124" s="542">
        <v>0</v>
      </c>
      <c r="BO124" s="542">
        <v>0</v>
      </c>
      <c r="BP124" s="542">
        <v>0</v>
      </c>
      <c r="BQ124" s="542">
        <v>0</v>
      </c>
      <c r="BR124" s="542">
        <v>0</v>
      </c>
      <c r="BS124" s="542">
        <v>97</v>
      </c>
      <c r="BT124" s="542">
        <v>30383</v>
      </c>
      <c r="BU124" s="542">
        <v>0</v>
      </c>
      <c r="BV124" s="542">
        <v>0</v>
      </c>
      <c r="BW124" s="542">
        <v>0</v>
      </c>
      <c r="BX124" s="542">
        <v>0</v>
      </c>
      <c r="BY124" s="542">
        <v>0</v>
      </c>
      <c r="BZ124" s="542">
        <v>0</v>
      </c>
      <c r="CA124" s="542">
        <v>0</v>
      </c>
      <c r="CB124" s="542">
        <v>0</v>
      </c>
      <c r="CC124" s="542">
        <v>0</v>
      </c>
      <c r="CD124" s="542">
        <v>0</v>
      </c>
      <c r="CE124" s="542">
        <v>0</v>
      </c>
    </row>
    <row r="125" spans="1:83" ht="30" x14ac:dyDescent="0.25">
      <c r="A125" s="640">
        <v>364</v>
      </c>
      <c r="B125" s="571">
        <v>364</v>
      </c>
      <c r="C125" s="536" t="s">
        <v>329</v>
      </c>
      <c r="D125" s="537" t="s">
        <v>523</v>
      </c>
      <c r="E125" s="543">
        <v>0</v>
      </c>
      <c r="F125" s="544">
        <v>0</v>
      </c>
      <c r="G125" s="544">
        <v>0</v>
      </c>
      <c r="H125" s="544">
        <v>0</v>
      </c>
      <c r="I125" s="544">
        <v>0</v>
      </c>
      <c r="J125" s="544">
        <v>0</v>
      </c>
      <c r="K125" s="545">
        <v>0</v>
      </c>
      <c r="L125" s="542">
        <v>0</v>
      </c>
      <c r="M125" s="542">
        <v>0</v>
      </c>
      <c r="N125" s="541">
        <v>0</v>
      </c>
      <c r="O125" s="541">
        <v>0</v>
      </c>
      <c r="P125" s="541">
        <v>0</v>
      </c>
      <c r="Q125" s="541">
        <v>0</v>
      </c>
      <c r="R125" s="541">
        <v>1318542</v>
      </c>
      <c r="S125" s="541">
        <v>0</v>
      </c>
      <c r="T125" s="541">
        <v>0</v>
      </c>
      <c r="U125" s="541">
        <v>0</v>
      </c>
      <c r="V125" s="541">
        <v>0</v>
      </c>
      <c r="W125" s="541">
        <v>7896</v>
      </c>
      <c r="X125" s="541">
        <v>0</v>
      </c>
      <c r="Y125" s="541">
        <v>0</v>
      </c>
      <c r="Z125" s="541">
        <v>0</v>
      </c>
      <c r="AA125" s="541">
        <v>0</v>
      </c>
      <c r="AB125" s="542">
        <v>0</v>
      </c>
      <c r="AC125" s="542">
        <v>0</v>
      </c>
      <c r="AD125" s="542">
        <v>0</v>
      </c>
      <c r="AE125" s="542">
        <v>0</v>
      </c>
      <c r="AF125" s="542">
        <v>0</v>
      </c>
      <c r="AG125" s="542">
        <v>0</v>
      </c>
      <c r="AH125" s="542">
        <v>0</v>
      </c>
      <c r="AI125" s="542">
        <v>0</v>
      </c>
      <c r="AJ125" s="542">
        <v>212251</v>
      </c>
      <c r="AK125" s="542">
        <v>0</v>
      </c>
      <c r="AL125" s="542">
        <v>0</v>
      </c>
      <c r="AM125" s="542">
        <v>0</v>
      </c>
      <c r="AN125" s="542">
        <v>148362</v>
      </c>
      <c r="AO125" s="542">
        <v>0</v>
      </c>
      <c r="AP125" s="542">
        <v>0</v>
      </c>
      <c r="AQ125" s="542">
        <v>0</v>
      </c>
      <c r="AR125" s="542">
        <v>0</v>
      </c>
      <c r="AS125" s="542">
        <v>0</v>
      </c>
      <c r="AT125" s="542">
        <v>0</v>
      </c>
      <c r="AU125" s="542">
        <v>0</v>
      </c>
      <c r="AV125" s="542">
        <v>0</v>
      </c>
      <c r="AW125" s="542">
        <v>0</v>
      </c>
      <c r="AX125" s="542">
        <v>0</v>
      </c>
      <c r="AY125" s="542">
        <v>0</v>
      </c>
      <c r="AZ125" s="542">
        <v>0</v>
      </c>
      <c r="BA125" s="542">
        <v>0</v>
      </c>
      <c r="BB125" s="542">
        <v>0</v>
      </c>
      <c r="BC125" s="542">
        <v>0</v>
      </c>
      <c r="BD125" s="542">
        <v>0</v>
      </c>
      <c r="BE125" s="542">
        <v>0</v>
      </c>
      <c r="BF125" s="542">
        <v>0</v>
      </c>
      <c r="BG125" s="542">
        <v>0</v>
      </c>
      <c r="BH125" s="542">
        <v>0</v>
      </c>
      <c r="BI125" s="542">
        <v>0</v>
      </c>
      <c r="BJ125" s="542">
        <v>0</v>
      </c>
      <c r="BK125" s="542">
        <v>0</v>
      </c>
      <c r="BL125" s="542">
        <v>0</v>
      </c>
      <c r="BM125" s="542">
        <v>14104</v>
      </c>
      <c r="BN125" s="542">
        <v>0</v>
      </c>
      <c r="BO125" s="542">
        <v>0</v>
      </c>
      <c r="BP125" s="542">
        <v>0</v>
      </c>
      <c r="BQ125" s="542">
        <v>0</v>
      </c>
      <c r="BR125" s="542">
        <v>0</v>
      </c>
      <c r="BS125" s="542">
        <v>8058</v>
      </c>
      <c r="BT125" s="542">
        <v>0</v>
      </c>
      <c r="BU125" s="542">
        <v>0</v>
      </c>
      <c r="BV125" s="542">
        <v>0</v>
      </c>
      <c r="BW125" s="542">
        <v>0</v>
      </c>
      <c r="BX125" s="542">
        <v>0</v>
      </c>
      <c r="BY125" s="542">
        <v>0</v>
      </c>
      <c r="BZ125" s="542">
        <v>0</v>
      </c>
      <c r="CA125" s="542">
        <v>0</v>
      </c>
      <c r="CB125" s="542">
        <v>0</v>
      </c>
      <c r="CC125" s="542">
        <v>0</v>
      </c>
      <c r="CD125" s="542">
        <v>0</v>
      </c>
      <c r="CE125" s="542">
        <v>0</v>
      </c>
    </row>
    <row r="126" spans="1:83" x14ac:dyDescent="0.25">
      <c r="A126" s="640">
        <v>365</v>
      </c>
      <c r="B126" s="571">
        <v>365</v>
      </c>
      <c r="C126" s="536" t="s">
        <v>331</v>
      </c>
      <c r="D126" s="537" t="s">
        <v>524</v>
      </c>
      <c r="E126" s="543">
        <v>0</v>
      </c>
      <c r="F126" s="544">
        <v>0</v>
      </c>
      <c r="G126" s="544">
        <v>0</v>
      </c>
      <c r="H126" s="544">
        <v>0</v>
      </c>
      <c r="I126" s="544">
        <v>0</v>
      </c>
      <c r="J126" s="544">
        <v>0</v>
      </c>
      <c r="K126" s="545">
        <v>0</v>
      </c>
      <c r="L126" s="542">
        <v>0</v>
      </c>
      <c r="M126" s="542">
        <v>0</v>
      </c>
      <c r="N126" s="541">
        <v>0</v>
      </c>
      <c r="O126" s="541">
        <v>0</v>
      </c>
      <c r="P126" s="541">
        <v>0</v>
      </c>
      <c r="Q126" s="541">
        <v>0</v>
      </c>
      <c r="R126" s="541">
        <v>0</v>
      </c>
      <c r="S126" s="541">
        <v>0</v>
      </c>
      <c r="T126" s="541">
        <v>0</v>
      </c>
      <c r="U126" s="541">
        <v>0</v>
      </c>
      <c r="V126" s="541">
        <v>0</v>
      </c>
      <c r="W126" s="541">
        <v>0</v>
      </c>
      <c r="X126" s="541">
        <v>0</v>
      </c>
      <c r="Y126" s="541">
        <v>0</v>
      </c>
      <c r="Z126" s="541">
        <v>0</v>
      </c>
      <c r="AA126" s="541">
        <v>0</v>
      </c>
      <c r="AB126" s="542">
        <v>0</v>
      </c>
      <c r="AC126" s="542">
        <v>0</v>
      </c>
      <c r="AD126" s="542">
        <v>0</v>
      </c>
      <c r="AE126" s="542">
        <v>0</v>
      </c>
      <c r="AF126" s="542">
        <v>0</v>
      </c>
      <c r="AG126" s="542">
        <v>0</v>
      </c>
      <c r="AH126" s="542">
        <v>0</v>
      </c>
      <c r="AI126" s="542">
        <v>0</v>
      </c>
      <c r="AJ126" s="542">
        <v>0</v>
      </c>
      <c r="AK126" s="542">
        <v>0</v>
      </c>
      <c r="AL126" s="542">
        <v>0</v>
      </c>
      <c r="AM126" s="542">
        <v>0</v>
      </c>
      <c r="AN126" s="542">
        <v>0</v>
      </c>
      <c r="AO126" s="542">
        <v>0</v>
      </c>
      <c r="AP126" s="542">
        <v>0</v>
      </c>
      <c r="AQ126" s="542">
        <v>0</v>
      </c>
      <c r="AR126" s="542">
        <v>0</v>
      </c>
      <c r="AS126" s="542">
        <v>0</v>
      </c>
      <c r="AT126" s="542">
        <v>0</v>
      </c>
      <c r="AU126" s="542">
        <v>0</v>
      </c>
      <c r="AV126" s="542">
        <v>0</v>
      </c>
      <c r="AW126" s="542">
        <v>0</v>
      </c>
      <c r="AX126" s="542">
        <v>0</v>
      </c>
      <c r="AY126" s="542">
        <v>0</v>
      </c>
      <c r="AZ126" s="542">
        <v>0</v>
      </c>
      <c r="BA126" s="542">
        <v>0</v>
      </c>
      <c r="BB126" s="542">
        <v>0</v>
      </c>
      <c r="BC126" s="542">
        <v>0</v>
      </c>
      <c r="BD126" s="542">
        <v>0</v>
      </c>
      <c r="BE126" s="542">
        <v>0</v>
      </c>
      <c r="BF126" s="542">
        <v>0</v>
      </c>
      <c r="BG126" s="542">
        <v>0</v>
      </c>
      <c r="BH126" s="542">
        <v>0</v>
      </c>
      <c r="BI126" s="542">
        <v>0</v>
      </c>
      <c r="BJ126" s="542">
        <v>0</v>
      </c>
      <c r="BK126" s="542">
        <v>0</v>
      </c>
      <c r="BL126" s="542">
        <v>0</v>
      </c>
      <c r="BM126" s="542">
        <v>0</v>
      </c>
      <c r="BN126" s="542">
        <v>0</v>
      </c>
      <c r="BO126" s="542">
        <v>0</v>
      </c>
      <c r="BP126" s="542">
        <v>0</v>
      </c>
      <c r="BQ126" s="542">
        <v>0</v>
      </c>
      <c r="BR126" s="542">
        <v>0</v>
      </c>
      <c r="BS126" s="542">
        <v>0</v>
      </c>
      <c r="BT126" s="542">
        <v>0</v>
      </c>
      <c r="BU126" s="542">
        <v>0</v>
      </c>
      <c r="BV126" s="542">
        <v>0</v>
      </c>
      <c r="BW126" s="542">
        <v>0</v>
      </c>
      <c r="BX126" s="542">
        <v>0</v>
      </c>
      <c r="BY126" s="542">
        <v>0</v>
      </c>
      <c r="BZ126" s="542">
        <v>0</v>
      </c>
      <c r="CA126" s="542">
        <v>0</v>
      </c>
      <c r="CB126" s="542">
        <v>0</v>
      </c>
      <c r="CC126" s="542">
        <v>0</v>
      </c>
      <c r="CD126" s="542">
        <v>0</v>
      </c>
      <c r="CE126" s="542">
        <v>0</v>
      </c>
    </row>
    <row r="127" spans="1:83" ht="30" x14ac:dyDescent="0.25">
      <c r="A127" s="640">
        <v>366</v>
      </c>
      <c r="B127" s="571">
        <v>366</v>
      </c>
      <c r="C127" s="536" t="s">
        <v>644</v>
      </c>
      <c r="D127" s="537" t="s">
        <v>525</v>
      </c>
      <c r="E127" s="543">
        <v>0</v>
      </c>
      <c r="F127" s="544">
        <v>0</v>
      </c>
      <c r="G127" s="544">
        <v>0</v>
      </c>
      <c r="H127" s="544">
        <v>0</v>
      </c>
      <c r="I127" s="544">
        <v>0</v>
      </c>
      <c r="J127" s="544">
        <v>0</v>
      </c>
      <c r="K127" s="545">
        <v>0</v>
      </c>
      <c r="L127" s="542">
        <v>0</v>
      </c>
      <c r="M127" s="542">
        <v>0</v>
      </c>
      <c r="N127" s="541">
        <v>0</v>
      </c>
      <c r="O127" s="541">
        <v>0</v>
      </c>
      <c r="P127" s="541">
        <v>0</v>
      </c>
      <c r="Q127" s="541">
        <v>0</v>
      </c>
      <c r="R127" s="541">
        <v>516309</v>
      </c>
      <c r="S127" s="541">
        <v>0</v>
      </c>
      <c r="T127" s="541">
        <v>0</v>
      </c>
      <c r="U127" s="541">
        <v>0</v>
      </c>
      <c r="V127" s="541">
        <v>0</v>
      </c>
      <c r="W127" s="541">
        <v>704552</v>
      </c>
      <c r="X127" s="541">
        <v>0</v>
      </c>
      <c r="Y127" s="541">
        <v>0</v>
      </c>
      <c r="Z127" s="541">
        <v>0</v>
      </c>
      <c r="AA127" s="541">
        <v>0</v>
      </c>
      <c r="AB127" s="542">
        <v>0</v>
      </c>
      <c r="AC127" s="542">
        <v>0</v>
      </c>
      <c r="AD127" s="542">
        <v>0</v>
      </c>
      <c r="AE127" s="542">
        <v>0</v>
      </c>
      <c r="AF127" s="542">
        <v>0</v>
      </c>
      <c r="AG127" s="542">
        <v>0</v>
      </c>
      <c r="AH127" s="542">
        <v>0</v>
      </c>
      <c r="AI127" s="542">
        <v>0</v>
      </c>
      <c r="AJ127" s="542">
        <v>2765412</v>
      </c>
      <c r="AK127" s="542">
        <v>0</v>
      </c>
      <c r="AL127" s="542">
        <v>0</v>
      </c>
      <c r="AM127" s="542">
        <v>0</v>
      </c>
      <c r="AN127" s="542">
        <v>40827</v>
      </c>
      <c r="AO127" s="542">
        <v>0</v>
      </c>
      <c r="AP127" s="542">
        <v>0</v>
      </c>
      <c r="AQ127" s="542">
        <v>0</v>
      </c>
      <c r="AR127" s="542">
        <v>0</v>
      </c>
      <c r="AS127" s="542">
        <v>0</v>
      </c>
      <c r="AT127" s="542">
        <v>0</v>
      </c>
      <c r="AU127" s="542">
        <v>0</v>
      </c>
      <c r="AV127" s="542">
        <v>55000</v>
      </c>
      <c r="AW127" s="542">
        <v>0</v>
      </c>
      <c r="AX127" s="542">
        <v>0</v>
      </c>
      <c r="AY127" s="542">
        <v>0</v>
      </c>
      <c r="AZ127" s="542">
        <v>0</v>
      </c>
      <c r="BA127" s="542">
        <v>0</v>
      </c>
      <c r="BB127" s="542">
        <v>0</v>
      </c>
      <c r="BC127" s="542">
        <v>0</v>
      </c>
      <c r="BD127" s="542">
        <v>0</v>
      </c>
      <c r="BE127" s="542">
        <v>0</v>
      </c>
      <c r="BF127" s="542">
        <v>0</v>
      </c>
      <c r="BG127" s="542">
        <v>0</v>
      </c>
      <c r="BH127" s="542">
        <v>0</v>
      </c>
      <c r="BI127" s="542">
        <v>0</v>
      </c>
      <c r="BJ127" s="542">
        <v>0</v>
      </c>
      <c r="BK127" s="542">
        <v>0</v>
      </c>
      <c r="BL127" s="542">
        <v>0</v>
      </c>
      <c r="BM127" s="542">
        <v>0</v>
      </c>
      <c r="BN127" s="542">
        <v>0</v>
      </c>
      <c r="BO127" s="542">
        <v>0</v>
      </c>
      <c r="BP127" s="542">
        <v>0</v>
      </c>
      <c r="BQ127" s="542">
        <v>0</v>
      </c>
      <c r="BR127" s="542">
        <v>0</v>
      </c>
      <c r="BS127" s="542">
        <v>297000</v>
      </c>
      <c r="BT127" s="542">
        <v>21641</v>
      </c>
      <c r="BU127" s="542">
        <v>0</v>
      </c>
      <c r="BV127" s="542">
        <v>0</v>
      </c>
      <c r="BW127" s="542">
        <v>0</v>
      </c>
      <c r="BX127" s="542">
        <v>0</v>
      </c>
      <c r="BY127" s="542">
        <v>0</v>
      </c>
      <c r="BZ127" s="542">
        <v>0</v>
      </c>
      <c r="CA127" s="542">
        <v>0</v>
      </c>
      <c r="CB127" s="542">
        <v>0</v>
      </c>
      <c r="CC127" s="542">
        <v>0</v>
      </c>
      <c r="CD127" s="542">
        <v>0</v>
      </c>
      <c r="CE127" s="542">
        <v>0</v>
      </c>
    </row>
    <row r="128" spans="1:83" ht="30" x14ac:dyDescent="0.25">
      <c r="A128" s="640"/>
      <c r="B128" s="571">
        <v>367</v>
      </c>
      <c r="C128" s="536" t="s">
        <v>755</v>
      </c>
      <c r="D128" s="537" t="s">
        <v>526</v>
      </c>
      <c r="E128" s="543"/>
      <c r="F128" s="544"/>
      <c r="G128" s="544"/>
      <c r="H128" s="544"/>
      <c r="I128" s="544"/>
      <c r="J128" s="544"/>
      <c r="K128" s="545"/>
      <c r="L128" s="542"/>
      <c r="M128" s="542"/>
      <c r="N128" s="541"/>
      <c r="O128" s="541"/>
      <c r="P128" s="541"/>
      <c r="Q128" s="541"/>
      <c r="R128" s="541"/>
      <c r="S128" s="541"/>
      <c r="T128" s="541"/>
      <c r="U128" s="541"/>
      <c r="V128" s="541"/>
      <c r="W128" s="541"/>
      <c r="X128" s="541"/>
      <c r="Y128" s="541"/>
      <c r="Z128" s="541"/>
      <c r="AA128" s="541"/>
      <c r="AB128" s="542"/>
      <c r="AC128" s="542"/>
      <c r="AD128" s="542"/>
      <c r="AE128" s="542"/>
      <c r="AF128" s="542"/>
      <c r="AG128" s="542"/>
      <c r="AH128" s="542"/>
      <c r="AI128" s="542"/>
      <c r="AJ128" s="542"/>
      <c r="AK128" s="542"/>
      <c r="AL128" s="542"/>
      <c r="AM128" s="542"/>
      <c r="AN128" s="542"/>
      <c r="AO128" s="542"/>
      <c r="AP128" s="542"/>
      <c r="AQ128" s="542"/>
      <c r="AR128" s="542"/>
      <c r="AS128" s="542"/>
      <c r="AT128" s="542"/>
      <c r="AU128" s="542"/>
      <c r="AV128" s="542"/>
      <c r="AW128" s="542"/>
      <c r="AX128" s="542"/>
      <c r="AY128" s="542"/>
      <c r="AZ128" s="542"/>
      <c r="BA128" s="542"/>
      <c r="BB128" s="542"/>
      <c r="BC128" s="542"/>
      <c r="BD128" s="542"/>
      <c r="BE128" s="542"/>
      <c r="BF128" s="542"/>
      <c r="BG128" s="542"/>
      <c r="BH128" s="542"/>
      <c r="BI128" s="542"/>
      <c r="BJ128" s="542"/>
      <c r="BK128" s="542"/>
      <c r="BL128" s="542"/>
      <c r="BM128" s="542"/>
      <c r="BN128" s="542"/>
      <c r="BO128" s="542"/>
      <c r="BP128" s="542"/>
      <c r="BQ128" s="542"/>
      <c r="BR128" s="542"/>
      <c r="BS128" s="542"/>
      <c r="BT128" s="542"/>
      <c r="BU128" s="542"/>
      <c r="BV128" s="542"/>
      <c r="BW128" s="542"/>
      <c r="BX128" s="542"/>
      <c r="BY128" s="542"/>
      <c r="BZ128" s="542"/>
      <c r="CA128" s="542"/>
      <c r="CB128" s="542"/>
      <c r="CC128" s="542"/>
      <c r="CD128" s="542"/>
      <c r="CE128" s="542"/>
    </row>
    <row r="129" spans="1:83" ht="30" x14ac:dyDescent="0.25">
      <c r="A129" s="640">
        <v>368</v>
      </c>
      <c r="B129" s="571">
        <v>368</v>
      </c>
      <c r="C129" s="536" t="s">
        <v>286</v>
      </c>
      <c r="D129" s="537" t="s">
        <v>527</v>
      </c>
      <c r="E129" s="543">
        <v>0</v>
      </c>
      <c r="F129" s="544">
        <v>0</v>
      </c>
      <c r="G129" s="544">
        <v>0</v>
      </c>
      <c r="H129" s="544">
        <v>0</v>
      </c>
      <c r="I129" s="544">
        <v>0</v>
      </c>
      <c r="J129" s="544">
        <v>0</v>
      </c>
      <c r="K129" s="545">
        <v>0</v>
      </c>
      <c r="L129" s="542">
        <v>21195</v>
      </c>
      <c r="M129" s="542">
        <v>0</v>
      </c>
      <c r="N129" s="541">
        <v>118115</v>
      </c>
      <c r="O129" s="541">
        <v>0</v>
      </c>
      <c r="P129" s="541">
        <v>0</v>
      </c>
      <c r="Q129" s="541">
        <v>0</v>
      </c>
      <c r="R129" s="541">
        <v>30829</v>
      </c>
      <c r="S129" s="541">
        <v>0</v>
      </c>
      <c r="T129" s="541">
        <v>0</v>
      </c>
      <c r="U129" s="541">
        <v>191146</v>
      </c>
      <c r="V129" s="541">
        <v>0</v>
      </c>
      <c r="W129" s="541">
        <v>0</v>
      </c>
      <c r="X129" s="541">
        <v>0</v>
      </c>
      <c r="Y129" s="541">
        <v>0</v>
      </c>
      <c r="Z129" s="541">
        <v>374088</v>
      </c>
      <c r="AA129" s="541">
        <v>0</v>
      </c>
      <c r="AB129" s="542">
        <v>14720</v>
      </c>
      <c r="AC129" s="542">
        <v>0</v>
      </c>
      <c r="AD129" s="542">
        <v>0</v>
      </c>
      <c r="AE129" s="542">
        <v>0</v>
      </c>
      <c r="AF129" s="542">
        <v>0</v>
      </c>
      <c r="AG129" s="542">
        <v>2700</v>
      </c>
      <c r="AH129" s="542">
        <v>0</v>
      </c>
      <c r="AI129" s="542">
        <v>0</v>
      </c>
      <c r="AJ129" s="542">
        <v>0</v>
      </c>
      <c r="AK129" s="542">
        <v>0</v>
      </c>
      <c r="AL129" s="542">
        <v>0</v>
      </c>
      <c r="AM129" s="542">
        <v>0</v>
      </c>
      <c r="AN129" s="542">
        <v>23380</v>
      </c>
      <c r="AO129" s="542">
        <v>0</v>
      </c>
      <c r="AP129" s="542">
        <v>0</v>
      </c>
      <c r="AQ129" s="542">
        <v>0</v>
      </c>
      <c r="AR129" s="542">
        <v>0</v>
      </c>
      <c r="AS129" s="542">
        <v>0</v>
      </c>
      <c r="AT129" s="542">
        <v>0</v>
      </c>
      <c r="AU129" s="542">
        <v>0</v>
      </c>
      <c r="AV129" s="542">
        <v>0</v>
      </c>
      <c r="AW129" s="542">
        <v>0</v>
      </c>
      <c r="AX129" s="542">
        <v>12902</v>
      </c>
      <c r="AY129" s="542">
        <v>33000</v>
      </c>
      <c r="AZ129" s="542">
        <v>106979</v>
      </c>
      <c r="BA129" s="542">
        <v>0</v>
      </c>
      <c r="BB129" s="542">
        <v>0</v>
      </c>
      <c r="BC129" s="542">
        <v>0</v>
      </c>
      <c r="BD129" s="542">
        <v>1825</v>
      </c>
      <c r="BE129" s="542">
        <v>0</v>
      </c>
      <c r="BF129" s="542">
        <v>0</v>
      </c>
      <c r="BG129" s="542">
        <v>0</v>
      </c>
      <c r="BH129" s="542">
        <v>0</v>
      </c>
      <c r="BI129" s="542">
        <v>0</v>
      </c>
      <c r="BJ129" s="542">
        <v>0</v>
      </c>
      <c r="BK129" s="542">
        <v>0</v>
      </c>
      <c r="BL129" s="542">
        <v>0</v>
      </c>
      <c r="BM129" s="542">
        <v>0</v>
      </c>
      <c r="BN129" s="542">
        <v>0</v>
      </c>
      <c r="BO129" s="542">
        <v>22500</v>
      </c>
      <c r="BP129" s="542">
        <v>0</v>
      </c>
      <c r="BQ129" s="542">
        <v>0</v>
      </c>
      <c r="BR129" s="542">
        <v>0</v>
      </c>
      <c r="BS129" s="542">
        <v>0</v>
      </c>
      <c r="BT129" s="542">
        <v>0</v>
      </c>
      <c r="BU129" s="542">
        <v>0</v>
      </c>
      <c r="BV129" s="542">
        <v>0</v>
      </c>
      <c r="BW129" s="542">
        <v>0</v>
      </c>
      <c r="BX129" s="542">
        <v>0</v>
      </c>
      <c r="BY129" s="542">
        <v>0</v>
      </c>
      <c r="BZ129" s="542">
        <v>0</v>
      </c>
      <c r="CA129" s="542">
        <v>0</v>
      </c>
      <c r="CB129" s="542">
        <v>0</v>
      </c>
      <c r="CC129" s="542">
        <v>0</v>
      </c>
      <c r="CD129" s="542">
        <v>0</v>
      </c>
      <c r="CE129" s="542">
        <v>0</v>
      </c>
    </row>
    <row r="130" spans="1:83" x14ac:dyDescent="0.25">
      <c r="A130" s="640">
        <v>369</v>
      </c>
      <c r="B130" s="571">
        <v>369</v>
      </c>
      <c r="C130" s="536" t="s">
        <v>291</v>
      </c>
      <c r="D130" s="537" t="s">
        <v>528</v>
      </c>
      <c r="E130" s="543">
        <v>107147</v>
      </c>
      <c r="F130" s="544">
        <v>28278</v>
      </c>
      <c r="G130" s="544">
        <v>296816</v>
      </c>
      <c r="H130" s="544">
        <v>862497</v>
      </c>
      <c r="I130" s="544">
        <v>1372365</v>
      </c>
      <c r="J130" s="544">
        <v>1214436</v>
      </c>
      <c r="K130" s="545">
        <v>8972</v>
      </c>
      <c r="L130" s="542">
        <v>269564</v>
      </c>
      <c r="M130" s="542">
        <v>88902</v>
      </c>
      <c r="N130" s="541">
        <v>4350103</v>
      </c>
      <c r="O130" s="541">
        <v>200045</v>
      </c>
      <c r="P130" s="541">
        <v>1159887</v>
      </c>
      <c r="Q130" s="541">
        <v>10359</v>
      </c>
      <c r="R130" s="541">
        <v>11652664</v>
      </c>
      <c r="S130" s="541">
        <v>140260</v>
      </c>
      <c r="T130" s="541">
        <v>5125</v>
      </c>
      <c r="U130" s="541">
        <v>19042579</v>
      </c>
      <c r="V130" s="541">
        <v>4878716</v>
      </c>
      <c r="W130" s="541">
        <v>3152247</v>
      </c>
      <c r="X130" s="541">
        <v>9470590</v>
      </c>
      <c r="Y130" s="541">
        <v>0</v>
      </c>
      <c r="Z130" s="541">
        <v>4586485</v>
      </c>
      <c r="AA130" s="541">
        <v>403650</v>
      </c>
      <c r="AB130" s="542">
        <v>4395356</v>
      </c>
      <c r="AC130" s="542">
        <v>1732605</v>
      </c>
      <c r="AD130" s="542">
        <v>1468369</v>
      </c>
      <c r="AE130" s="542">
        <v>800298</v>
      </c>
      <c r="AF130" s="542">
        <v>1042513</v>
      </c>
      <c r="AG130" s="542">
        <v>1518006</v>
      </c>
      <c r="AH130" s="542">
        <v>1806854</v>
      </c>
      <c r="AI130" s="542">
        <v>614312</v>
      </c>
      <c r="AJ130" s="542">
        <v>11810293</v>
      </c>
      <c r="AK130" s="542">
        <v>343702</v>
      </c>
      <c r="AL130" s="542">
        <v>495436</v>
      </c>
      <c r="AM130" s="542">
        <v>0</v>
      </c>
      <c r="AN130" s="542">
        <v>2033160</v>
      </c>
      <c r="AO130" s="542">
        <v>257136</v>
      </c>
      <c r="AP130" s="542">
        <v>0</v>
      </c>
      <c r="AQ130" s="542">
        <v>44361</v>
      </c>
      <c r="AR130" s="542">
        <v>1328461</v>
      </c>
      <c r="AS130" s="542">
        <v>1982427</v>
      </c>
      <c r="AT130" s="542">
        <v>0</v>
      </c>
      <c r="AU130" s="542">
        <v>826633</v>
      </c>
      <c r="AV130" s="542">
        <v>61865</v>
      </c>
      <c r="AW130" s="542">
        <v>2845524</v>
      </c>
      <c r="AX130" s="542">
        <v>753613</v>
      </c>
      <c r="AY130" s="542">
        <v>791027</v>
      </c>
      <c r="AZ130" s="542">
        <v>2308212</v>
      </c>
      <c r="BA130" s="542">
        <v>368294</v>
      </c>
      <c r="BB130" s="542">
        <v>0</v>
      </c>
      <c r="BC130" s="542">
        <v>28969</v>
      </c>
      <c r="BD130" s="542">
        <v>23284</v>
      </c>
      <c r="BE130" s="542">
        <v>1066206</v>
      </c>
      <c r="BF130" s="542">
        <v>16401</v>
      </c>
      <c r="BG130" s="542">
        <v>50732</v>
      </c>
      <c r="BH130" s="542">
        <v>9111</v>
      </c>
      <c r="BI130" s="542">
        <v>28885</v>
      </c>
      <c r="BJ130" s="542">
        <v>125681</v>
      </c>
      <c r="BK130" s="542">
        <v>81329</v>
      </c>
      <c r="BL130" s="542">
        <v>512818</v>
      </c>
      <c r="BM130" s="542">
        <v>269985</v>
      </c>
      <c r="BN130" s="542">
        <v>603209</v>
      </c>
      <c r="BO130" s="542">
        <v>315620</v>
      </c>
      <c r="BP130" s="542">
        <v>367550</v>
      </c>
      <c r="BQ130" s="542">
        <v>882390</v>
      </c>
      <c r="BR130" s="542">
        <v>6159344</v>
      </c>
      <c r="BS130" s="542">
        <v>417727</v>
      </c>
      <c r="BT130" s="542">
        <v>5591188</v>
      </c>
      <c r="BU130" s="542">
        <v>293881</v>
      </c>
      <c r="BV130" s="542">
        <v>529463</v>
      </c>
      <c r="BW130" s="542">
        <v>234034</v>
      </c>
      <c r="BX130" s="542">
        <v>941547</v>
      </c>
      <c r="BY130" s="542">
        <v>834371</v>
      </c>
      <c r="BZ130" s="542">
        <v>25281</v>
      </c>
      <c r="CA130" s="542">
        <v>0</v>
      </c>
      <c r="CB130" s="542">
        <v>74687</v>
      </c>
      <c r="CC130" s="542">
        <v>304456</v>
      </c>
      <c r="CD130" s="542">
        <v>0</v>
      </c>
      <c r="CE130" s="542">
        <v>37430</v>
      </c>
    </row>
    <row r="131" spans="1:83" x14ac:dyDescent="0.25">
      <c r="A131" s="640">
        <v>370</v>
      </c>
      <c r="B131" s="571">
        <v>370</v>
      </c>
      <c r="C131" s="536" t="s">
        <v>293</v>
      </c>
      <c r="D131" s="537" t="s">
        <v>529</v>
      </c>
      <c r="E131" s="543">
        <v>1924</v>
      </c>
      <c r="F131" s="544">
        <v>3600</v>
      </c>
      <c r="G131" s="544">
        <v>0</v>
      </c>
      <c r="H131" s="544">
        <v>53750</v>
      </c>
      <c r="I131" s="544">
        <v>66381</v>
      </c>
      <c r="J131" s="544">
        <v>75016</v>
      </c>
      <c r="K131" s="545">
        <v>0</v>
      </c>
      <c r="L131" s="542">
        <v>0</v>
      </c>
      <c r="M131" s="542">
        <v>0</v>
      </c>
      <c r="N131" s="541">
        <v>625407</v>
      </c>
      <c r="O131" s="541">
        <v>19704</v>
      </c>
      <c r="P131" s="541">
        <v>100000</v>
      </c>
      <c r="Q131" s="541">
        <v>0</v>
      </c>
      <c r="R131" s="541">
        <v>1412578</v>
      </c>
      <c r="S131" s="541">
        <v>33182</v>
      </c>
      <c r="T131" s="541">
        <v>0</v>
      </c>
      <c r="U131" s="541">
        <v>12956213</v>
      </c>
      <c r="V131" s="541">
        <v>705324</v>
      </c>
      <c r="W131" s="541">
        <v>1823684</v>
      </c>
      <c r="X131" s="541">
        <v>2187379</v>
      </c>
      <c r="Y131" s="541">
        <v>0</v>
      </c>
      <c r="Z131" s="541">
        <v>0</v>
      </c>
      <c r="AA131" s="541">
        <v>26713</v>
      </c>
      <c r="AB131" s="542">
        <v>1365637</v>
      </c>
      <c r="AC131" s="542">
        <v>109167</v>
      </c>
      <c r="AD131" s="542">
        <v>58507</v>
      </c>
      <c r="AE131" s="542">
        <v>10224</v>
      </c>
      <c r="AF131" s="542">
        <v>115406</v>
      </c>
      <c r="AG131" s="542">
        <v>1253945</v>
      </c>
      <c r="AH131" s="542">
        <v>0</v>
      </c>
      <c r="AI131" s="542">
        <v>30364</v>
      </c>
      <c r="AJ131" s="542">
        <v>2153314</v>
      </c>
      <c r="AK131" s="542">
        <v>0</v>
      </c>
      <c r="AL131" s="542">
        <v>31827</v>
      </c>
      <c r="AM131" s="542">
        <v>0</v>
      </c>
      <c r="AN131" s="542">
        <v>1175874</v>
      </c>
      <c r="AO131" s="542">
        <v>0</v>
      </c>
      <c r="AP131" s="542">
        <v>0</v>
      </c>
      <c r="AQ131" s="542">
        <v>0</v>
      </c>
      <c r="AR131" s="542">
        <v>135454</v>
      </c>
      <c r="AS131" s="542">
        <v>165287</v>
      </c>
      <c r="AT131" s="542">
        <v>0</v>
      </c>
      <c r="AU131" s="542">
        <v>64541</v>
      </c>
      <c r="AV131" s="542">
        <v>0</v>
      </c>
      <c r="AW131" s="542">
        <v>1780654</v>
      </c>
      <c r="AX131" s="542">
        <v>0</v>
      </c>
      <c r="AY131" s="542">
        <v>0</v>
      </c>
      <c r="AZ131" s="542">
        <v>322714</v>
      </c>
      <c r="BA131" s="542">
        <v>16664</v>
      </c>
      <c r="BB131" s="542">
        <v>0</v>
      </c>
      <c r="BC131" s="542">
        <v>0</v>
      </c>
      <c r="BD131" s="542">
        <v>0</v>
      </c>
      <c r="BE131" s="542">
        <v>289242</v>
      </c>
      <c r="BF131" s="542">
        <v>0</v>
      </c>
      <c r="BG131" s="542">
        <v>0</v>
      </c>
      <c r="BH131" s="542">
        <v>0</v>
      </c>
      <c r="BI131" s="542">
        <v>0</v>
      </c>
      <c r="BJ131" s="542">
        <v>0</v>
      </c>
      <c r="BK131" s="542">
        <v>18941</v>
      </c>
      <c r="BL131" s="542">
        <v>285373</v>
      </c>
      <c r="BM131" s="542">
        <v>0</v>
      </c>
      <c r="BN131" s="542">
        <v>40805</v>
      </c>
      <c r="BO131" s="542">
        <v>241401</v>
      </c>
      <c r="BP131" s="542">
        <v>35279</v>
      </c>
      <c r="BQ131" s="542">
        <v>58392</v>
      </c>
      <c r="BR131" s="542">
        <v>361383</v>
      </c>
      <c r="BS131" s="542">
        <v>21564</v>
      </c>
      <c r="BT131" s="542">
        <v>861667</v>
      </c>
      <c r="BU131" s="542">
        <v>31437</v>
      </c>
      <c r="BV131" s="542">
        <v>140688</v>
      </c>
      <c r="BW131" s="542">
        <v>0</v>
      </c>
      <c r="BX131" s="542">
        <v>108397</v>
      </c>
      <c r="BY131" s="542">
        <v>770</v>
      </c>
      <c r="BZ131" s="542">
        <v>0</v>
      </c>
      <c r="CA131" s="542">
        <v>0</v>
      </c>
      <c r="CB131" s="542">
        <v>0</v>
      </c>
      <c r="CC131" s="542">
        <v>94032</v>
      </c>
      <c r="CD131" s="542">
        <v>0</v>
      </c>
      <c r="CE131" s="542">
        <v>0</v>
      </c>
    </row>
    <row r="132" spans="1:83" ht="30" x14ac:dyDescent="0.25">
      <c r="A132" s="640">
        <v>371</v>
      </c>
      <c r="B132" s="571">
        <v>371</v>
      </c>
      <c r="C132" s="536" t="s">
        <v>344</v>
      </c>
      <c r="D132" s="537" t="s">
        <v>530</v>
      </c>
      <c r="E132" s="543">
        <v>0</v>
      </c>
      <c r="F132" s="544">
        <v>0</v>
      </c>
      <c r="G132" s="544">
        <v>0</v>
      </c>
      <c r="H132" s="544">
        <v>0</v>
      </c>
      <c r="I132" s="544">
        <v>0</v>
      </c>
      <c r="J132" s="544">
        <v>0</v>
      </c>
      <c r="K132" s="545">
        <v>0</v>
      </c>
      <c r="L132" s="542">
        <v>0</v>
      </c>
      <c r="M132" s="542">
        <v>0</v>
      </c>
      <c r="N132" s="541">
        <v>0</v>
      </c>
      <c r="O132" s="541">
        <v>0</v>
      </c>
      <c r="P132" s="541">
        <v>0</v>
      </c>
      <c r="Q132" s="541">
        <v>0</v>
      </c>
      <c r="R132" s="541">
        <v>0</v>
      </c>
      <c r="S132" s="541">
        <v>0</v>
      </c>
      <c r="T132" s="541">
        <v>0</v>
      </c>
      <c r="U132" s="541">
        <v>0</v>
      </c>
      <c r="V132" s="541">
        <v>0</v>
      </c>
      <c r="W132" s="541">
        <v>0</v>
      </c>
      <c r="X132" s="541">
        <v>0</v>
      </c>
      <c r="Y132" s="541">
        <v>0</v>
      </c>
      <c r="Z132" s="541">
        <v>0</v>
      </c>
      <c r="AA132" s="541">
        <v>0</v>
      </c>
      <c r="AB132" s="542">
        <v>0</v>
      </c>
      <c r="AC132" s="542">
        <v>0</v>
      </c>
      <c r="AD132" s="542">
        <v>0</v>
      </c>
      <c r="AE132" s="542">
        <v>0</v>
      </c>
      <c r="AF132" s="542">
        <v>0</v>
      </c>
      <c r="AG132" s="542">
        <v>0</v>
      </c>
      <c r="AH132" s="542">
        <v>0</v>
      </c>
      <c r="AI132" s="542">
        <v>0</v>
      </c>
      <c r="AJ132" s="542">
        <v>0</v>
      </c>
      <c r="AK132" s="542">
        <v>0</v>
      </c>
      <c r="AL132" s="542">
        <v>0</v>
      </c>
      <c r="AM132" s="542">
        <v>0</v>
      </c>
      <c r="AN132" s="542">
        <v>0</v>
      </c>
      <c r="AO132" s="542">
        <v>0</v>
      </c>
      <c r="AP132" s="542">
        <v>0</v>
      </c>
      <c r="AQ132" s="542">
        <v>0</v>
      </c>
      <c r="AR132" s="542">
        <v>0</v>
      </c>
      <c r="AS132" s="542">
        <v>0</v>
      </c>
      <c r="AT132" s="542">
        <v>0</v>
      </c>
      <c r="AU132" s="542">
        <v>0</v>
      </c>
      <c r="AV132" s="542">
        <v>0</v>
      </c>
      <c r="AW132" s="542">
        <v>0</v>
      </c>
      <c r="AX132" s="542">
        <v>0</v>
      </c>
      <c r="AY132" s="542">
        <v>0</v>
      </c>
      <c r="AZ132" s="542">
        <v>0</v>
      </c>
      <c r="BA132" s="542">
        <v>0</v>
      </c>
      <c r="BB132" s="542">
        <v>0</v>
      </c>
      <c r="BC132" s="542">
        <v>0</v>
      </c>
      <c r="BD132" s="542">
        <v>0</v>
      </c>
      <c r="BE132" s="542">
        <v>0</v>
      </c>
      <c r="BF132" s="542">
        <v>0</v>
      </c>
      <c r="BG132" s="542">
        <v>0</v>
      </c>
      <c r="BH132" s="542">
        <v>0</v>
      </c>
      <c r="BI132" s="542">
        <v>0</v>
      </c>
      <c r="BJ132" s="542">
        <v>0</v>
      </c>
      <c r="BK132" s="542">
        <v>0</v>
      </c>
      <c r="BL132" s="542">
        <v>0</v>
      </c>
      <c r="BM132" s="542">
        <v>0</v>
      </c>
      <c r="BN132" s="542">
        <v>0</v>
      </c>
      <c r="BO132" s="542">
        <v>0</v>
      </c>
      <c r="BP132" s="542">
        <v>0</v>
      </c>
      <c r="BQ132" s="542">
        <v>0</v>
      </c>
      <c r="BR132" s="542">
        <v>0</v>
      </c>
      <c r="BS132" s="542">
        <v>0</v>
      </c>
      <c r="BT132" s="542">
        <v>0</v>
      </c>
      <c r="BU132" s="542">
        <v>0</v>
      </c>
      <c r="BV132" s="542">
        <v>0</v>
      </c>
      <c r="BW132" s="542">
        <v>0</v>
      </c>
      <c r="BX132" s="542">
        <v>0</v>
      </c>
      <c r="BY132" s="542">
        <v>0</v>
      </c>
      <c r="BZ132" s="542">
        <v>0</v>
      </c>
      <c r="CA132" s="542">
        <v>0</v>
      </c>
      <c r="CB132" s="542">
        <v>0</v>
      </c>
      <c r="CC132" s="542">
        <v>0</v>
      </c>
      <c r="CD132" s="542">
        <v>0</v>
      </c>
      <c r="CE132" s="542">
        <v>0</v>
      </c>
    </row>
    <row r="133" spans="1:83" x14ac:dyDescent="0.25">
      <c r="A133" s="640">
        <v>373</v>
      </c>
      <c r="B133" s="571">
        <v>373</v>
      </c>
      <c r="C133" s="536" t="s">
        <v>662</v>
      </c>
      <c r="D133" s="537" t="s">
        <v>531</v>
      </c>
      <c r="E133" s="543">
        <v>393728</v>
      </c>
      <c r="F133" s="544">
        <v>66766</v>
      </c>
      <c r="G133" s="544">
        <v>981680</v>
      </c>
      <c r="H133" s="544">
        <v>586875</v>
      </c>
      <c r="I133" s="544">
        <v>316447</v>
      </c>
      <c r="J133" s="544">
        <v>1003786</v>
      </c>
      <c r="K133" s="545">
        <v>52438</v>
      </c>
      <c r="L133" s="542">
        <v>198854</v>
      </c>
      <c r="M133" s="542">
        <v>257135</v>
      </c>
      <c r="N133" s="541">
        <v>17972125</v>
      </c>
      <c r="O133" s="541">
        <v>241166</v>
      </c>
      <c r="P133" s="541">
        <v>6488356</v>
      </c>
      <c r="Q133" s="541">
        <v>70333</v>
      </c>
      <c r="R133" s="541">
        <v>75958628</v>
      </c>
      <c r="S133" s="541">
        <v>944769</v>
      </c>
      <c r="T133" s="541">
        <v>176019</v>
      </c>
      <c r="U133" s="541">
        <v>102566684</v>
      </c>
      <c r="V133" s="541">
        <v>12123753</v>
      </c>
      <c r="W133" s="541">
        <v>78026401</v>
      </c>
      <c r="X133" s="541">
        <v>42407050</v>
      </c>
      <c r="Y133" s="541">
        <v>0</v>
      </c>
      <c r="Z133" s="541">
        <v>28942276</v>
      </c>
      <c r="AA133" s="541">
        <v>1477269</v>
      </c>
      <c r="AB133" s="542">
        <v>9345338</v>
      </c>
      <c r="AC133" s="542">
        <v>7393280</v>
      </c>
      <c r="AD133" s="542">
        <v>2638991</v>
      </c>
      <c r="AE133" s="542">
        <v>3188424</v>
      </c>
      <c r="AF133" s="542">
        <v>3075599</v>
      </c>
      <c r="AG133" s="542">
        <v>49640182</v>
      </c>
      <c r="AH133" s="542">
        <v>6712040</v>
      </c>
      <c r="AI133" s="542">
        <v>1111040</v>
      </c>
      <c r="AJ133" s="542">
        <v>35746196</v>
      </c>
      <c r="AK133" s="542">
        <v>898757</v>
      </c>
      <c r="AL133" s="542">
        <v>907746</v>
      </c>
      <c r="AM133" s="542">
        <v>0</v>
      </c>
      <c r="AN133" s="542">
        <v>19447420</v>
      </c>
      <c r="AO133" s="542">
        <v>509129</v>
      </c>
      <c r="AP133" s="542">
        <v>0</v>
      </c>
      <c r="AQ133" s="542">
        <v>92411</v>
      </c>
      <c r="AR133" s="542">
        <v>8628605</v>
      </c>
      <c r="AS133" s="542">
        <v>9155812</v>
      </c>
      <c r="AT133" s="542">
        <v>0</v>
      </c>
      <c r="AU133" s="542">
        <v>2360959</v>
      </c>
      <c r="AV133" s="542">
        <v>330929</v>
      </c>
      <c r="AW133" s="542">
        <v>12918311</v>
      </c>
      <c r="AX133" s="542">
        <v>1761955</v>
      </c>
      <c r="AY133" s="542">
        <v>2262029</v>
      </c>
      <c r="AZ133" s="542">
        <v>3629210</v>
      </c>
      <c r="BA133" s="542">
        <v>1490653</v>
      </c>
      <c r="BB133" s="542">
        <v>0</v>
      </c>
      <c r="BC133" s="542">
        <v>15079</v>
      </c>
      <c r="BD133" s="542">
        <v>15931</v>
      </c>
      <c r="BE133" s="542">
        <v>10691741</v>
      </c>
      <c r="BF133" s="542">
        <v>210181</v>
      </c>
      <c r="BG133" s="542">
        <v>237308</v>
      </c>
      <c r="BH133" s="542">
        <v>195894</v>
      </c>
      <c r="BI133" s="542">
        <v>121742</v>
      </c>
      <c r="BJ133" s="542">
        <v>337844</v>
      </c>
      <c r="BK133" s="542">
        <v>26116</v>
      </c>
      <c r="BL133" s="542">
        <v>3750878</v>
      </c>
      <c r="BM133" s="542">
        <v>616111</v>
      </c>
      <c r="BN133" s="542">
        <v>1559487</v>
      </c>
      <c r="BO133" s="542">
        <v>3924633</v>
      </c>
      <c r="BP133" s="542">
        <v>1390621</v>
      </c>
      <c r="BQ133" s="542">
        <v>2147470</v>
      </c>
      <c r="BR133" s="542">
        <v>21044989</v>
      </c>
      <c r="BS133" s="542">
        <v>1384599</v>
      </c>
      <c r="BT133" s="542">
        <v>14995972</v>
      </c>
      <c r="BU133" s="542">
        <v>1553132</v>
      </c>
      <c r="BV133" s="542">
        <v>3107564</v>
      </c>
      <c r="BW133" s="542">
        <v>677832</v>
      </c>
      <c r="BX133" s="542">
        <v>3499261</v>
      </c>
      <c r="BY133" s="542">
        <v>524881</v>
      </c>
      <c r="BZ133" s="542">
        <v>49304</v>
      </c>
      <c r="CA133" s="542">
        <v>0</v>
      </c>
      <c r="CB133" s="542">
        <v>50208</v>
      </c>
      <c r="CC133" s="542">
        <v>1239937</v>
      </c>
      <c r="CD133" s="542">
        <v>0</v>
      </c>
      <c r="CE133" s="542">
        <v>126209</v>
      </c>
    </row>
    <row r="134" spans="1:83" ht="30" x14ac:dyDescent="0.25">
      <c r="A134" s="640">
        <v>375</v>
      </c>
      <c r="B134" s="571">
        <v>375</v>
      </c>
      <c r="C134" s="536" t="s">
        <v>308</v>
      </c>
      <c r="D134" s="537" t="s">
        <v>532</v>
      </c>
      <c r="E134" s="543">
        <v>167154</v>
      </c>
      <c r="F134" s="544">
        <v>0</v>
      </c>
      <c r="G134" s="544">
        <v>561528</v>
      </c>
      <c r="H134" s="544">
        <v>0</v>
      </c>
      <c r="I134" s="544">
        <v>0</v>
      </c>
      <c r="J134" s="544">
        <v>0</v>
      </c>
      <c r="K134" s="545">
        <v>-52210</v>
      </c>
      <c r="L134" s="542">
        <v>0</v>
      </c>
      <c r="M134" s="542">
        <v>0</v>
      </c>
      <c r="N134" s="541">
        <v>0</v>
      </c>
      <c r="O134" s="541">
        <v>0</v>
      </c>
      <c r="P134" s="541">
        <v>-293629</v>
      </c>
      <c r="Q134" s="541">
        <v>0</v>
      </c>
      <c r="R134" s="541">
        <v>33351283</v>
      </c>
      <c r="S134" s="541">
        <v>881868</v>
      </c>
      <c r="T134" s="541">
        <v>0</v>
      </c>
      <c r="U134" s="541">
        <v>43642448</v>
      </c>
      <c r="V134" s="541">
        <v>12468063</v>
      </c>
      <c r="W134" s="541">
        <v>16632027</v>
      </c>
      <c r="X134" s="541">
        <v>0</v>
      </c>
      <c r="Y134" s="541">
        <v>0</v>
      </c>
      <c r="Z134" s="541">
        <v>5135106</v>
      </c>
      <c r="AA134" s="541">
        <v>1443963</v>
      </c>
      <c r="AB134" s="542">
        <v>10137154</v>
      </c>
      <c r="AC134" s="542">
        <v>-281336</v>
      </c>
      <c r="AD134" s="542">
        <v>731303</v>
      </c>
      <c r="AE134" s="542">
        <v>712537</v>
      </c>
      <c r="AF134" s="542">
        <v>1939897</v>
      </c>
      <c r="AG134" s="542">
        <v>2940906</v>
      </c>
      <c r="AH134" s="542">
        <v>2276321</v>
      </c>
      <c r="AI134" s="542">
        <v>-153878</v>
      </c>
      <c r="AJ134" s="542">
        <v>16864378</v>
      </c>
      <c r="AK134" s="542">
        <v>757944</v>
      </c>
      <c r="AL134" s="542">
        <v>368163</v>
      </c>
      <c r="AM134" s="542">
        <v>0</v>
      </c>
      <c r="AN134" s="542">
        <v>3124894</v>
      </c>
      <c r="AO134" s="542">
        <v>340049</v>
      </c>
      <c r="AP134" s="542">
        <v>0</v>
      </c>
      <c r="AQ134" s="542">
        <v>0</v>
      </c>
      <c r="AR134" s="542">
        <v>0</v>
      </c>
      <c r="AS134" s="542">
        <v>2875808</v>
      </c>
      <c r="AT134" s="542">
        <v>0</v>
      </c>
      <c r="AU134" s="542">
        <v>730641</v>
      </c>
      <c r="AV134" s="542">
        <v>0</v>
      </c>
      <c r="AW134" s="542">
        <v>28207857</v>
      </c>
      <c r="AX134" s="542">
        <v>0</v>
      </c>
      <c r="AY134" s="542">
        <v>2638384</v>
      </c>
      <c r="AZ134" s="542">
        <v>5402724</v>
      </c>
      <c r="BA134" s="542">
        <v>875055</v>
      </c>
      <c r="BB134" s="542">
        <v>0</v>
      </c>
      <c r="BC134" s="542">
        <v>0</v>
      </c>
      <c r="BD134" s="542">
        <v>-35509</v>
      </c>
      <c r="BE134" s="542">
        <v>5493248</v>
      </c>
      <c r="BF134" s="542">
        <v>0</v>
      </c>
      <c r="BG134" s="542">
        <v>95811</v>
      </c>
      <c r="BH134" s="542">
        <v>110423</v>
      </c>
      <c r="BI134" s="542">
        <v>0</v>
      </c>
      <c r="BJ134" s="542">
        <v>171798</v>
      </c>
      <c r="BK134" s="542">
        <v>0</v>
      </c>
      <c r="BL134" s="542">
        <v>1161845</v>
      </c>
      <c r="BM134" s="542">
        <v>-678570</v>
      </c>
      <c r="BN134" s="542">
        <v>213650</v>
      </c>
      <c r="BO134" s="542">
        <v>823030</v>
      </c>
      <c r="BP134" s="542">
        <v>580086</v>
      </c>
      <c r="BQ134" s="542">
        <v>679771</v>
      </c>
      <c r="BR134" s="542">
        <v>0</v>
      </c>
      <c r="BS134" s="542">
        <v>578866</v>
      </c>
      <c r="BT134" s="542">
        <v>0</v>
      </c>
      <c r="BU134" s="542">
        <v>567953</v>
      </c>
      <c r="BV134" s="542">
        <v>2497151</v>
      </c>
      <c r="BW134" s="542">
        <v>0</v>
      </c>
      <c r="BX134" s="542">
        <v>458564</v>
      </c>
      <c r="BY134" s="542">
        <v>902312</v>
      </c>
      <c r="BZ134" s="542">
        <v>11553</v>
      </c>
      <c r="CA134" s="542">
        <v>0</v>
      </c>
      <c r="CB134" s="542">
        <v>-3505</v>
      </c>
      <c r="CC134" s="542">
        <v>141878</v>
      </c>
      <c r="CD134" s="542">
        <v>0</v>
      </c>
      <c r="CE134" s="542">
        <v>4198</v>
      </c>
    </row>
    <row r="135" spans="1:83" ht="30" x14ac:dyDescent="0.25">
      <c r="A135" s="640">
        <v>376</v>
      </c>
      <c r="B135" s="571">
        <v>376</v>
      </c>
      <c r="C135" s="536" t="s">
        <v>127</v>
      </c>
      <c r="D135" s="537" t="s">
        <v>533</v>
      </c>
      <c r="E135" s="543">
        <v>1</v>
      </c>
      <c r="F135" s="544">
        <v>249212</v>
      </c>
      <c r="G135" s="544">
        <v>7226</v>
      </c>
      <c r="H135" s="544">
        <v>0</v>
      </c>
      <c r="I135" s="544">
        <v>-1</v>
      </c>
      <c r="J135" s="544">
        <v>0</v>
      </c>
      <c r="K135" s="545">
        <v>0</v>
      </c>
      <c r="L135" s="542">
        <v>0</v>
      </c>
      <c r="M135" s="542">
        <v>0</v>
      </c>
      <c r="N135" s="541">
        <v>-1443656</v>
      </c>
      <c r="O135" s="541">
        <v>0</v>
      </c>
      <c r="P135" s="541">
        <v>-1</v>
      </c>
      <c r="Q135" s="541">
        <v>1</v>
      </c>
      <c r="R135" s="541">
        <v>-19963777</v>
      </c>
      <c r="S135" s="541">
        <v>0</v>
      </c>
      <c r="T135" s="541">
        <v>0</v>
      </c>
      <c r="U135" s="541">
        <v>-27853975</v>
      </c>
      <c r="V135" s="541">
        <v>-1005420</v>
      </c>
      <c r="W135" s="541">
        <v>-11102207</v>
      </c>
      <c r="X135" s="541">
        <v>-779718</v>
      </c>
      <c r="Y135" s="541">
        <v>0</v>
      </c>
      <c r="Z135" s="541">
        <v>0</v>
      </c>
      <c r="AA135" s="541">
        <v>0</v>
      </c>
      <c r="AB135" s="542">
        <v>-2640735</v>
      </c>
      <c r="AC135" s="542">
        <v>-797241</v>
      </c>
      <c r="AD135" s="542">
        <v>0</v>
      </c>
      <c r="AE135" s="542">
        <v>-32673</v>
      </c>
      <c r="AF135" s="542">
        <v>0</v>
      </c>
      <c r="AG135" s="542">
        <v>-2244277</v>
      </c>
      <c r="AH135" s="542">
        <v>-632436</v>
      </c>
      <c r="AI135" s="542">
        <v>0</v>
      </c>
      <c r="AJ135" s="542">
        <v>-26796627</v>
      </c>
      <c r="AK135" s="542">
        <v>0</v>
      </c>
      <c r="AL135" s="542">
        <v>0</v>
      </c>
      <c r="AM135" s="542">
        <v>0</v>
      </c>
      <c r="AN135" s="542">
        <v>-826086</v>
      </c>
      <c r="AO135" s="542">
        <v>-22434</v>
      </c>
      <c r="AP135" s="542">
        <v>0</v>
      </c>
      <c r="AQ135" s="542">
        <v>0</v>
      </c>
      <c r="AR135" s="542">
        <v>-450000</v>
      </c>
      <c r="AS135" s="542">
        <v>-1086766</v>
      </c>
      <c r="AT135" s="542">
        <v>0</v>
      </c>
      <c r="AU135" s="542">
        <v>77524</v>
      </c>
      <c r="AV135" s="542">
        <v>2384</v>
      </c>
      <c r="AW135" s="542">
        <v>-1835199</v>
      </c>
      <c r="AX135" s="542">
        <v>0</v>
      </c>
      <c r="AY135" s="542">
        <v>0</v>
      </c>
      <c r="AZ135" s="542">
        <v>0</v>
      </c>
      <c r="BA135" s="542">
        <v>0</v>
      </c>
      <c r="BB135" s="542">
        <v>0</v>
      </c>
      <c r="BC135" s="542">
        <v>0</v>
      </c>
      <c r="BD135" s="542">
        <v>0</v>
      </c>
      <c r="BE135" s="542">
        <v>-4085559</v>
      </c>
      <c r="BF135" s="542">
        <v>0</v>
      </c>
      <c r="BG135" s="542">
        <v>0</v>
      </c>
      <c r="BH135" s="542">
        <v>0</v>
      </c>
      <c r="BI135" s="542">
        <v>0</v>
      </c>
      <c r="BJ135" s="542">
        <v>0</v>
      </c>
      <c r="BK135" s="542">
        <v>0</v>
      </c>
      <c r="BL135" s="542">
        <v>-617523</v>
      </c>
      <c r="BM135" s="542">
        <v>0</v>
      </c>
      <c r="BN135" s="542">
        <v>-26627</v>
      </c>
      <c r="BO135" s="542">
        <v>0</v>
      </c>
      <c r="BP135" s="542">
        <v>0</v>
      </c>
      <c r="BQ135" s="542">
        <v>0</v>
      </c>
      <c r="BR135" s="542">
        <v>0</v>
      </c>
      <c r="BS135" s="542">
        <v>-20095</v>
      </c>
      <c r="BT135" s="542">
        <v>-1860863</v>
      </c>
      <c r="BU135" s="542">
        <v>-33075</v>
      </c>
      <c r="BV135" s="542">
        <v>-493166</v>
      </c>
      <c r="BW135" s="542">
        <v>0</v>
      </c>
      <c r="BX135" s="542">
        <v>0</v>
      </c>
      <c r="BY135" s="542">
        <v>-327853</v>
      </c>
      <c r="BZ135" s="542">
        <v>0</v>
      </c>
      <c r="CA135" s="542">
        <v>0</v>
      </c>
      <c r="CB135" s="542">
        <v>0</v>
      </c>
      <c r="CC135" s="542">
        <v>-1</v>
      </c>
      <c r="CD135" s="542">
        <v>0</v>
      </c>
      <c r="CE135" s="542">
        <v>0</v>
      </c>
    </row>
    <row r="136" spans="1:83" ht="30" x14ac:dyDescent="0.25">
      <c r="A136" s="640">
        <v>377</v>
      </c>
      <c r="B136" s="571">
        <v>377</v>
      </c>
      <c r="C136" s="536" t="s">
        <v>128</v>
      </c>
      <c r="D136" s="537" t="s">
        <v>534</v>
      </c>
      <c r="E136" s="543">
        <v>0</v>
      </c>
      <c r="F136" s="544">
        <v>0</v>
      </c>
      <c r="G136" s="544">
        <v>3001</v>
      </c>
      <c r="H136" s="544">
        <v>0</v>
      </c>
      <c r="I136" s="544">
        <v>0</v>
      </c>
      <c r="J136" s="544">
        <v>0</v>
      </c>
      <c r="K136" s="545">
        <v>0</v>
      </c>
      <c r="L136" s="542">
        <v>0</v>
      </c>
      <c r="M136" s="542">
        <v>0</v>
      </c>
      <c r="N136" s="541">
        <v>0</v>
      </c>
      <c r="O136" s="541">
        <v>0</v>
      </c>
      <c r="P136" s="541">
        <v>0</v>
      </c>
      <c r="Q136" s="541">
        <v>0</v>
      </c>
      <c r="R136" s="541">
        <v>-3724852</v>
      </c>
      <c r="S136" s="541">
        <v>0</v>
      </c>
      <c r="T136" s="541">
        <v>0</v>
      </c>
      <c r="U136" s="541">
        <v>-5526586</v>
      </c>
      <c r="V136" s="541">
        <v>-263333</v>
      </c>
      <c r="W136" s="541">
        <v>-2467156</v>
      </c>
      <c r="X136" s="541">
        <v>0</v>
      </c>
      <c r="Y136" s="541">
        <v>0</v>
      </c>
      <c r="Z136" s="541">
        <v>0</v>
      </c>
      <c r="AA136" s="541">
        <v>0</v>
      </c>
      <c r="AB136" s="542">
        <v>-976589</v>
      </c>
      <c r="AC136" s="542">
        <v>-12071</v>
      </c>
      <c r="AD136" s="542">
        <v>0</v>
      </c>
      <c r="AE136" s="542">
        <v>3566</v>
      </c>
      <c r="AF136" s="542">
        <v>0</v>
      </c>
      <c r="AG136" s="542">
        <v>-231674</v>
      </c>
      <c r="AH136" s="542">
        <v>-84852</v>
      </c>
      <c r="AI136" s="542">
        <v>22790</v>
      </c>
      <c r="AJ136" s="542">
        <v>1286271</v>
      </c>
      <c r="AK136" s="542">
        <v>0</v>
      </c>
      <c r="AL136" s="542">
        <v>0</v>
      </c>
      <c r="AM136" s="542">
        <v>0</v>
      </c>
      <c r="AN136" s="542">
        <v>-244335</v>
      </c>
      <c r="AO136" s="542">
        <v>0</v>
      </c>
      <c r="AP136" s="542">
        <v>0</v>
      </c>
      <c r="AQ136" s="542">
        <v>0</v>
      </c>
      <c r="AR136" s="542">
        <v>0</v>
      </c>
      <c r="AS136" s="542">
        <v>-244800</v>
      </c>
      <c r="AT136" s="542">
        <v>0</v>
      </c>
      <c r="AU136" s="542">
        <v>36956</v>
      </c>
      <c r="AV136" s="542">
        <v>0</v>
      </c>
      <c r="AW136" s="542">
        <v>457589</v>
      </c>
      <c r="AX136" s="542">
        <v>0</v>
      </c>
      <c r="AY136" s="542">
        <v>1</v>
      </c>
      <c r="AZ136" s="542">
        <v>0</v>
      </c>
      <c r="BA136" s="542">
        <v>1</v>
      </c>
      <c r="BB136" s="542">
        <v>0</v>
      </c>
      <c r="BC136" s="542">
        <v>0</v>
      </c>
      <c r="BD136" s="542">
        <v>-1741360</v>
      </c>
      <c r="BE136" s="542">
        <v>-585701</v>
      </c>
      <c r="BF136" s="542">
        <v>0</v>
      </c>
      <c r="BG136" s="542">
        <v>0</v>
      </c>
      <c r="BH136" s="542">
        <v>0</v>
      </c>
      <c r="BI136" s="542">
        <v>0</v>
      </c>
      <c r="BJ136" s="542">
        <v>0</v>
      </c>
      <c r="BK136" s="542">
        <v>0</v>
      </c>
      <c r="BL136" s="542">
        <v>-1008220</v>
      </c>
      <c r="BM136" s="542">
        <v>0</v>
      </c>
      <c r="BN136" s="542">
        <v>-8875</v>
      </c>
      <c r="BO136" s="542">
        <v>0</v>
      </c>
      <c r="BP136" s="542">
        <v>-1</v>
      </c>
      <c r="BQ136" s="542">
        <v>0</v>
      </c>
      <c r="BR136" s="542">
        <v>0</v>
      </c>
      <c r="BS136" s="542">
        <v>-4555</v>
      </c>
      <c r="BT136" s="542">
        <v>0</v>
      </c>
      <c r="BU136" s="542">
        <v>-6025</v>
      </c>
      <c r="BV136" s="542">
        <v>-226668</v>
      </c>
      <c r="BW136" s="542">
        <v>0</v>
      </c>
      <c r="BX136" s="542">
        <v>50000</v>
      </c>
      <c r="BY136" s="542">
        <v>-45146</v>
      </c>
      <c r="BZ136" s="542">
        <v>0</v>
      </c>
      <c r="CA136" s="542">
        <v>0</v>
      </c>
      <c r="CB136" s="542">
        <v>0</v>
      </c>
      <c r="CC136" s="542">
        <v>-26784</v>
      </c>
      <c r="CD136" s="542">
        <v>0</v>
      </c>
      <c r="CE136" s="542">
        <v>0</v>
      </c>
    </row>
    <row r="137" spans="1:83" ht="30" x14ac:dyDescent="0.25">
      <c r="A137" s="640">
        <v>378</v>
      </c>
      <c r="B137" s="571">
        <v>378</v>
      </c>
      <c r="C137" s="536" t="s">
        <v>129</v>
      </c>
      <c r="D137" s="537" t="s">
        <v>535</v>
      </c>
      <c r="E137" s="543">
        <v>0</v>
      </c>
      <c r="F137" s="544">
        <v>0</v>
      </c>
      <c r="G137" s="544">
        <v>0</v>
      </c>
      <c r="H137" s="544">
        <v>0</v>
      </c>
      <c r="I137" s="544">
        <v>0</v>
      </c>
      <c r="J137" s="544">
        <v>0</v>
      </c>
      <c r="K137" s="545">
        <v>0</v>
      </c>
      <c r="L137" s="542">
        <v>0</v>
      </c>
      <c r="M137" s="542">
        <v>0</v>
      </c>
      <c r="N137" s="541">
        <v>0</v>
      </c>
      <c r="O137" s="541">
        <v>0</v>
      </c>
      <c r="P137" s="541">
        <v>0</v>
      </c>
      <c r="Q137" s="541">
        <v>0</v>
      </c>
      <c r="R137" s="541">
        <v>-1625609</v>
      </c>
      <c r="S137" s="541">
        <v>0</v>
      </c>
      <c r="T137" s="541">
        <v>0</v>
      </c>
      <c r="U137" s="541">
        <v>0</v>
      </c>
      <c r="V137" s="541">
        <v>0</v>
      </c>
      <c r="W137" s="541">
        <v>-1387776</v>
      </c>
      <c r="X137" s="541">
        <v>0</v>
      </c>
      <c r="Y137" s="541">
        <v>0</v>
      </c>
      <c r="Z137" s="541">
        <v>0</v>
      </c>
      <c r="AA137" s="541">
        <v>0</v>
      </c>
      <c r="AB137" s="542">
        <v>0</v>
      </c>
      <c r="AC137" s="542">
        <v>0</v>
      </c>
      <c r="AD137" s="542">
        <v>0</v>
      </c>
      <c r="AE137" s="542">
        <v>0</v>
      </c>
      <c r="AF137" s="542">
        <v>0</v>
      </c>
      <c r="AG137" s="542">
        <v>0</v>
      </c>
      <c r="AH137" s="542">
        <v>0</v>
      </c>
      <c r="AI137" s="542">
        <v>0</v>
      </c>
      <c r="AJ137" s="542">
        <v>1378442</v>
      </c>
      <c r="AK137" s="542">
        <v>0</v>
      </c>
      <c r="AL137" s="542">
        <v>0</v>
      </c>
      <c r="AM137" s="542">
        <v>0</v>
      </c>
      <c r="AN137" s="542">
        <v>-93080</v>
      </c>
      <c r="AO137" s="542">
        <v>0</v>
      </c>
      <c r="AP137" s="542">
        <v>0</v>
      </c>
      <c r="AQ137" s="542">
        <v>0</v>
      </c>
      <c r="AR137" s="542">
        <v>0</v>
      </c>
      <c r="AS137" s="542">
        <v>0</v>
      </c>
      <c r="AT137" s="542">
        <v>0</v>
      </c>
      <c r="AU137" s="542">
        <v>0</v>
      </c>
      <c r="AV137" s="542">
        <v>-20084</v>
      </c>
      <c r="AW137" s="542">
        <v>0</v>
      </c>
      <c r="AX137" s="542">
        <v>0</v>
      </c>
      <c r="AY137" s="542">
        <v>0</v>
      </c>
      <c r="AZ137" s="542">
        <v>0</v>
      </c>
      <c r="BA137" s="542">
        <v>0</v>
      </c>
      <c r="BB137" s="542">
        <v>0</v>
      </c>
      <c r="BC137" s="542">
        <v>0</v>
      </c>
      <c r="BD137" s="542">
        <v>0</v>
      </c>
      <c r="BE137" s="542">
        <v>0</v>
      </c>
      <c r="BF137" s="542">
        <v>0</v>
      </c>
      <c r="BG137" s="542">
        <v>0</v>
      </c>
      <c r="BH137" s="542">
        <v>0</v>
      </c>
      <c r="BI137" s="542">
        <v>0</v>
      </c>
      <c r="BJ137" s="542">
        <v>0</v>
      </c>
      <c r="BK137" s="542">
        <v>0</v>
      </c>
      <c r="BL137" s="542">
        <v>0</v>
      </c>
      <c r="BM137" s="542">
        <v>0</v>
      </c>
      <c r="BN137" s="542">
        <v>0</v>
      </c>
      <c r="BO137" s="542">
        <v>0</v>
      </c>
      <c r="BP137" s="542">
        <v>0</v>
      </c>
      <c r="BQ137" s="542">
        <v>0</v>
      </c>
      <c r="BR137" s="542">
        <v>0</v>
      </c>
      <c r="BS137" s="542">
        <v>-14907</v>
      </c>
      <c r="BT137" s="542">
        <v>-21395</v>
      </c>
      <c r="BU137" s="542">
        <v>0</v>
      </c>
      <c r="BV137" s="542">
        <v>0</v>
      </c>
      <c r="BW137" s="542">
        <v>0</v>
      </c>
      <c r="BX137" s="542">
        <v>0</v>
      </c>
      <c r="BY137" s="542">
        <v>0</v>
      </c>
      <c r="BZ137" s="542">
        <v>0</v>
      </c>
      <c r="CA137" s="542">
        <v>0</v>
      </c>
      <c r="CB137" s="542">
        <v>0</v>
      </c>
      <c r="CC137" s="542">
        <v>0</v>
      </c>
      <c r="CD137" s="542">
        <v>0</v>
      </c>
      <c r="CE137" s="542">
        <v>0</v>
      </c>
    </row>
    <row r="138" spans="1:83" ht="30" x14ac:dyDescent="0.25">
      <c r="A138" s="640">
        <v>379</v>
      </c>
      <c r="B138" s="571">
        <v>379</v>
      </c>
      <c r="C138" s="536" t="s">
        <v>137</v>
      </c>
      <c r="D138" s="537" t="s">
        <v>536</v>
      </c>
      <c r="E138" s="543">
        <v>201656</v>
      </c>
      <c r="F138" s="544">
        <v>122080</v>
      </c>
      <c r="G138" s="544">
        <v>898339</v>
      </c>
      <c r="H138" s="544">
        <v>4077703</v>
      </c>
      <c r="I138" s="544">
        <v>4530580</v>
      </c>
      <c r="J138" s="544">
        <v>4623988</v>
      </c>
      <c r="K138" s="545">
        <v>218136</v>
      </c>
      <c r="L138" s="542">
        <v>832737</v>
      </c>
      <c r="M138" s="542">
        <v>895587</v>
      </c>
      <c r="N138" s="541">
        <v>9266869</v>
      </c>
      <c r="O138" s="541">
        <v>628280</v>
      </c>
      <c r="P138" s="541">
        <v>8121620</v>
      </c>
      <c r="Q138" s="541">
        <v>262164</v>
      </c>
      <c r="R138" s="541">
        <v>32325160</v>
      </c>
      <c r="S138" s="541">
        <v>1832758</v>
      </c>
      <c r="T138" s="541">
        <v>214925</v>
      </c>
      <c r="U138" s="541">
        <v>36630383</v>
      </c>
      <c r="V138" s="541">
        <v>10595183</v>
      </c>
      <c r="W138" s="541">
        <v>19708484</v>
      </c>
      <c r="X138" s="541">
        <v>31854127</v>
      </c>
      <c r="Y138" s="541">
        <v>0</v>
      </c>
      <c r="Z138" s="541">
        <v>14175695</v>
      </c>
      <c r="AA138" s="541">
        <v>1637812</v>
      </c>
      <c r="AB138" s="542">
        <v>12405515</v>
      </c>
      <c r="AC138" s="542">
        <v>1314740</v>
      </c>
      <c r="AD138" s="542">
        <v>1741802</v>
      </c>
      <c r="AE138" s="542">
        <v>1375641</v>
      </c>
      <c r="AF138" s="542">
        <v>3083740</v>
      </c>
      <c r="AG138" s="542">
        <v>17724965</v>
      </c>
      <c r="AH138" s="542">
        <v>5011239</v>
      </c>
      <c r="AI138" s="542">
        <v>1187942</v>
      </c>
      <c r="AJ138" s="542">
        <v>22686565</v>
      </c>
      <c r="AK138" s="542">
        <v>2966366</v>
      </c>
      <c r="AL138" s="542">
        <v>701685</v>
      </c>
      <c r="AM138" s="542">
        <v>0</v>
      </c>
      <c r="AN138" s="542">
        <v>10381486</v>
      </c>
      <c r="AO138" s="542">
        <v>780763</v>
      </c>
      <c r="AP138" s="542">
        <v>0</v>
      </c>
      <c r="AQ138" s="542">
        <v>87619</v>
      </c>
      <c r="AR138" s="542">
        <v>2024468</v>
      </c>
      <c r="AS138" s="542">
        <v>54165549</v>
      </c>
      <c r="AT138" s="542">
        <v>0</v>
      </c>
      <c r="AU138" s="542">
        <v>1925126</v>
      </c>
      <c r="AV138" s="542">
        <v>423484</v>
      </c>
      <c r="AW138" s="542">
        <v>15112074</v>
      </c>
      <c r="AX138" s="542">
        <v>3759881</v>
      </c>
      <c r="AY138" s="542">
        <v>1908470</v>
      </c>
      <c r="AZ138" s="542">
        <v>14533452</v>
      </c>
      <c r="BA138" s="542">
        <v>1963050</v>
      </c>
      <c r="BB138" s="542">
        <v>0</v>
      </c>
      <c r="BC138" s="542">
        <v>88430</v>
      </c>
      <c r="BD138" s="542">
        <v>452371</v>
      </c>
      <c r="BE138" s="542">
        <v>6040901</v>
      </c>
      <c r="BF138" s="542">
        <v>498860</v>
      </c>
      <c r="BG138" s="542">
        <v>913426</v>
      </c>
      <c r="BH138" s="542">
        <v>170259</v>
      </c>
      <c r="BI138" s="542">
        <v>271382</v>
      </c>
      <c r="BJ138" s="542">
        <v>557766</v>
      </c>
      <c r="BK138" s="542">
        <v>291280</v>
      </c>
      <c r="BL138" s="542">
        <v>1805075</v>
      </c>
      <c r="BM138" s="542">
        <v>459912</v>
      </c>
      <c r="BN138" s="542">
        <v>1135530</v>
      </c>
      <c r="BO138" s="542">
        <v>3075787</v>
      </c>
      <c r="BP138" s="542">
        <v>998358</v>
      </c>
      <c r="BQ138" s="542">
        <v>2058112</v>
      </c>
      <c r="BR138" s="542">
        <v>11714990</v>
      </c>
      <c r="BS138" s="542">
        <v>744145</v>
      </c>
      <c r="BT138" s="542">
        <v>19170552</v>
      </c>
      <c r="BU138" s="542">
        <v>766397</v>
      </c>
      <c r="BV138" s="542">
        <v>5494324</v>
      </c>
      <c r="BW138" s="542">
        <v>1132644</v>
      </c>
      <c r="BX138" s="542">
        <v>1751510</v>
      </c>
      <c r="BY138" s="542">
        <v>2108110</v>
      </c>
      <c r="BZ138" s="542">
        <v>340138</v>
      </c>
      <c r="CA138" s="542">
        <v>0</v>
      </c>
      <c r="CB138" s="542">
        <v>122384</v>
      </c>
      <c r="CC138" s="542">
        <v>412981</v>
      </c>
      <c r="CD138" s="542">
        <v>0</v>
      </c>
      <c r="CE138" s="542">
        <v>376165</v>
      </c>
    </row>
    <row r="139" spans="1:83" ht="30" x14ac:dyDescent="0.25">
      <c r="A139" s="640">
        <v>380</v>
      </c>
      <c r="B139" s="571">
        <v>380</v>
      </c>
      <c r="C139" s="536" t="s">
        <v>140</v>
      </c>
      <c r="D139" s="537" t="s">
        <v>537</v>
      </c>
      <c r="E139" s="543">
        <v>470</v>
      </c>
      <c r="F139" s="544">
        <v>731</v>
      </c>
      <c r="G139" s="544">
        <v>43699</v>
      </c>
      <c r="H139" s="544">
        <v>28758</v>
      </c>
      <c r="I139" s="544">
        <v>15390</v>
      </c>
      <c r="J139" s="544">
        <v>36023</v>
      </c>
      <c r="K139" s="545">
        <v>7736</v>
      </c>
      <c r="L139" s="542">
        <v>1097</v>
      </c>
      <c r="M139" s="542">
        <v>4625</v>
      </c>
      <c r="N139" s="541">
        <v>162495</v>
      </c>
      <c r="O139" s="541">
        <v>1273</v>
      </c>
      <c r="P139" s="541">
        <v>76221</v>
      </c>
      <c r="Q139" s="541">
        <v>731</v>
      </c>
      <c r="R139" s="541">
        <v>1062402</v>
      </c>
      <c r="S139" s="541">
        <v>1</v>
      </c>
      <c r="T139" s="541">
        <v>0</v>
      </c>
      <c r="U139" s="541">
        <v>877131</v>
      </c>
      <c r="V139" s="541">
        <v>89456</v>
      </c>
      <c r="W139" s="541">
        <v>117011</v>
      </c>
      <c r="X139" s="541">
        <v>29873</v>
      </c>
      <c r="Y139" s="541">
        <v>0</v>
      </c>
      <c r="Z139" s="541">
        <v>140197</v>
      </c>
      <c r="AA139" s="541">
        <v>23692</v>
      </c>
      <c r="AB139" s="542">
        <v>251894</v>
      </c>
      <c r="AC139" s="542">
        <v>114406</v>
      </c>
      <c r="AD139" s="542">
        <v>21779</v>
      </c>
      <c r="AE139" s="542">
        <v>50713</v>
      </c>
      <c r="AF139" s="542">
        <v>75572</v>
      </c>
      <c r="AG139" s="542">
        <v>11728</v>
      </c>
      <c r="AH139" s="542">
        <v>91289</v>
      </c>
      <c r="AI139" s="542">
        <v>41172</v>
      </c>
      <c r="AJ139" s="542">
        <v>904197</v>
      </c>
      <c r="AK139" s="542">
        <v>1552</v>
      </c>
      <c r="AL139" s="542">
        <v>8066</v>
      </c>
      <c r="AM139" s="542">
        <v>0</v>
      </c>
      <c r="AN139" s="542">
        <v>487226</v>
      </c>
      <c r="AO139" s="542">
        <v>951</v>
      </c>
      <c r="AP139" s="542">
        <v>0</v>
      </c>
      <c r="AQ139" s="542">
        <v>0</v>
      </c>
      <c r="AR139" s="542">
        <v>69669</v>
      </c>
      <c r="AS139" s="542">
        <v>36020473</v>
      </c>
      <c r="AT139" s="542">
        <v>0</v>
      </c>
      <c r="AU139" s="542">
        <v>69998</v>
      </c>
      <c r="AV139" s="542">
        <v>24083</v>
      </c>
      <c r="AW139" s="542">
        <v>123634</v>
      </c>
      <c r="AX139" s="542">
        <v>8556</v>
      </c>
      <c r="AY139" s="542">
        <v>51426</v>
      </c>
      <c r="AZ139" s="542">
        <v>174993</v>
      </c>
      <c r="BA139" s="542">
        <v>18663</v>
      </c>
      <c r="BB139" s="542">
        <v>0</v>
      </c>
      <c r="BC139" s="542">
        <v>0</v>
      </c>
      <c r="BD139" s="542">
        <v>490</v>
      </c>
      <c r="BE139" s="542">
        <v>97418</v>
      </c>
      <c r="BF139" s="542">
        <v>2139</v>
      </c>
      <c r="BG139" s="542">
        <v>40023</v>
      </c>
      <c r="BH139" s="542">
        <v>32010</v>
      </c>
      <c r="BI139" s="542">
        <v>708</v>
      </c>
      <c r="BJ139" s="542">
        <v>14494</v>
      </c>
      <c r="BK139" s="542">
        <v>5618</v>
      </c>
      <c r="BL139" s="542">
        <v>154532</v>
      </c>
      <c r="BM139" s="542">
        <v>17283</v>
      </c>
      <c r="BN139" s="542">
        <v>2806</v>
      </c>
      <c r="BO139" s="542">
        <v>3803</v>
      </c>
      <c r="BP139" s="542">
        <v>1654</v>
      </c>
      <c r="BQ139" s="542">
        <v>4312</v>
      </c>
      <c r="BR139" s="542">
        <v>94775</v>
      </c>
      <c r="BS139" s="542">
        <v>35931</v>
      </c>
      <c r="BT139" s="542">
        <v>37267</v>
      </c>
      <c r="BU139" s="542">
        <v>15088</v>
      </c>
      <c r="BV139" s="542">
        <v>93000</v>
      </c>
      <c r="BW139" s="542">
        <v>6218</v>
      </c>
      <c r="BX139" s="542">
        <v>294176</v>
      </c>
      <c r="BY139" s="542">
        <v>43299</v>
      </c>
      <c r="BZ139" s="542">
        <v>105</v>
      </c>
      <c r="CA139" s="542">
        <v>0</v>
      </c>
      <c r="CB139" s="542">
        <v>1750</v>
      </c>
      <c r="CC139" s="542">
        <v>2498</v>
      </c>
      <c r="CD139" s="542">
        <v>0</v>
      </c>
      <c r="CE139" s="542">
        <v>4703</v>
      </c>
    </row>
    <row r="140" spans="1:83" ht="30" x14ac:dyDescent="0.25">
      <c r="A140" s="640">
        <v>381</v>
      </c>
      <c r="B140" s="571">
        <v>381</v>
      </c>
      <c r="C140" s="536" t="s">
        <v>132</v>
      </c>
      <c r="D140" s="537" t="s">
        <v>538</v>
      </c>
      <c r="E140" s="543">
        <v>1056442</v>
      </c>
      <c r="F140" s="544">
        <v>0</v>
      </c>
      <c r="G140" s="544">
        <v>4336919</v>
      </c>
      <c r="H140" s="544">
        <v>0</v>
      </c>
      <c r="I140" s="544">
        <v>0</v>
      </c>
      <c r="J140" s="544">
        <v>0</v>
      </c>
      <c r="K140" s="545">
        <v>2584979</v>
      </c>
      <c r="L140" s="542">
        <v>0</v>
      </c>
      <c r="M140" s="542">
        <v>0</v>
      </c>
      <c r="N140" s="541">
        <v>0</v>
      </c>
      <c r="O140" s="541">
        <v>0</v>
      </c>
      <c r="P140" s="541">
        <v>15380095</v>
      </c>
      <c r="Q140" s="541">
        <v>0</v>
      </c>
      <c r="R140" s="541">
        <v>128946710</v>
      </c>
      <c r="S140" s="541">
        <v>2483037</v>
      </c>
      <c r="T140" s="541">
        <v>0</v>
      </c>
      <c r="U140" s="541">
        <v>189789820</v>
      </c>
      <c r="V140" s="541">
        <v>66882875</v>
      </c>
      <c r="W140" s="541">
        <v>80564256</v>
      </c>
      <c r="X140" s="541">
        <v>0</v>
      </c>
      <c r="Y140" s="541">
        <v>0</v>
      </c>
      <c r="Z140" s="541">
        <v>47379855</v>
      </c>
      <c r="AA140" s="541">
        <v>11566568</v>
      </c>
      <c r="AB140" s="542">
        <v>36747542</v>
      </c>
      <c r="AC140" s="542">
        <v>25619285</v>
      </c>
      <c r="AD140" s="542">
        <v>4405671</v>
      </c>
      <c r="AE140" s="542">
        <v>7989107</v>
      </c>
      <c r="AF140" s="542">
        <v>13299230</v>
      </c>
      <c r="AG140" s="542">
        <v>10562591</v>
      </c>
      <c r="AH140" s="542">
        <v>11004437</v>
      </c>
      <c r="AI140" s="542">
        <v>4315408</v>
      </c>
      <c r="AJ140" s="542">
        <v>133728462</v>
      </c>
      <c r="AK140" s="542">
        <v>2406196</v>
      </c>
      <c r="AL140" s="542">
        <v>4989342</v>
      </c>
      <c r="AM140" s="542">
        <v>0</v>
      </c>
      <c r="AN140" s="542">
        <v>33976496</v>
      </c>
      <c r="AO140" s="542">
        <v>1516977</v>
      </c>
      <c r="AP140" s="542">
        <v>0</v>
      </c>
      <c r="AQ140" s="542">
        <v>0</v>
      </c>
      <c r="AR140" s="542">
        <v>0</v>
      </c>
      <c r="AS140" s="542">
        <v>22761155</v>
      </c>
      <c r="AT140" s="542">
        <v>0</v>
      </c>
      <c r="AU140" s="542">
        <v>12254219</v>
      </c>
      <c r="AV140" s="542">
        <v>0</v>
      </c>
      <c r="AW140" s="542">
        <v>140802314</v>
      </c>
      <c r="AX140" s="542">
        <v>0</v>
      </c>
      <c r="AY140" s="542">
        <v>8163054</v>
      </c>
      <c r="AZ140" s="542">
        <v>10609408</v>
      </c>
      <c r="BA140" s="542">
        <v>6978429</v>
      </c>
      <c r="BB140" s="542">
        <v>0</v>
      </c>
      <c r="BC140" s="542">
        <v>0</v>
      </c>
      <c r="BD140" s="542">
        <v>812230</v>
      </c>
      <c r="BE140" s="542">
        <v>37768878</v>
      </c>
      <c r="BF140" s="542">
        <v>0</v>
      </c>
      <c r="BG140" s="542">
        <v>3049872</v>
      </c>
      <c r="BH140" s="542">
        <v>2508015</v>
      </c>
      <c r="BI140" s="542">
        <v>0</v>
      </c>
      <c r="BJ140" s="542">
        <v>3310431</v>
      </c>
      <c r="BK140" s="542">
        <v>0</v>
      </c>
      <c r="BL140" s="542">
        <v>16301188</v>
      </c>
      <c r="BM140" s="542">
        <v>6780328</v>
      </c>
      <c r="BN140" s="542">
        <v>6496088</v>
      </c>
      <c r="BO140" s="542">
        <v>4356471</v>
      </c>
      <c r="BP140" s="542">
        <v>2997237</v>
      </c>
      <c r="BQ140" s="542">
        <v>1412335</v>
      </c>
      <c r="BR140" s="542">
        <v>0</v>
      </c>
      <c r="BS140" s="542">
        <v>5297821</v>
      </c>
      <c r="BT140" s="542">
        <v>0</v>
      </c>
      <c r="BU140" s="542">
        <v>7629229</v>
      </c>
      <c r="BV140" s="542">
        <v>16981610</v>
      </c>
      <c r="BW140" s="542">
        <v>0</v>
      </c>
      <c r="BX140" s="542">
        <v>12864732</v>
      </c>
      <c r="BY140" s="542">
        <v>3248496</v>
      </c>
      <c r="BZ140" s="542">
        <v>684739</v>
      </c>
      <c r="CA140" s="542">
        <v>0</v>
      </c>
      <c r="CB140" s="542">
        <v>5025327</v>
      </c>
      <c r="CC140" s="542">
        <v>4327643</v>
      </c>
      <c r="CD140" s="542">
        <v>0</v>
      </c>
      <c r="CE140" s="542">
        <v>859213</v>
      </c>
    </row>
    <row r="141" spans="1:83" ht="30" x14ac:dyDescent="0.25">
      <c r="A141" s="640">
        <v>382</v>
      </c>
      <c r="B141" s="571">
        <v>382</v>
      </c>
      <c r="C141" s="536" t="s">
        <v>133</v>
      </c>
      <c r="D141" s="537" t="s">
        <v>539</v>
      </c>
      <c r="E141" s="543">
        <v>0</v>
      </c>
      <c r="F141" s="544">
        <v>0</v>
      </c>
      <c r="G141" s="544">
        <v>0</v>
      </c>
      <c r="H141" s="544">
        <v>0</v>
      </c>
      <c r="I141" s="544">
        <v>0</v>
      </c>
      <c r="J141" s="544">
        <v>0</v>
      </c>
      <c r="K141" s="545">
        <v>0</v>
      </c>
      <c r="L141" s="542">
        <v>0</v>
      </c>
      <c r="M141" s="542">
        <v>0</v>
      </c>
      <c r="N141" s="541">
        <v>0</v>
      </c>
      <c r="O141" s="541">
        <v>0</v>
      </c>
      <c r="P141" s="541">
        <v>0</v>
      </c>
      <c r="Q141" s="541">
        <v>0</v>
      </c>
      <c r="R141" s="541">
        <v>148853180</v>
      </c>
      <c r="S141" s="541">
        <v>0</v>
      </c>
      <c r="T141" s="541">
        <v>0</v>
      </c>
      <c r="U141" s="541">
        <v>0</v>
      </c>
      <c r="V141" s="541">
        <v>0</v>
      </c>
      <c r="W141" s="541">
        <v>21903936</v>
      </c>
      <c r="X141" s="541">
        <v>0</v>
      </c>
      <c r="Y141" s="541">
        <v>0</v>
      </c>
      <c r="Z141" s="541">
        <v>0</v>
      </c>
      <c r="AA141" s="541">
        <v>0</v>
      </c>
      <c r="AB141" s="542">
        <v>0</v>
      </c>
      <c r="AC141" s="542">
        <v>0</v>
      </c>
      <c r="AD141" s="542">
        <v>0</v>
      </c>
      <c r="AE141" s="542">
        <v>0</v>
      </c>
      <c r="AF141" s="542">
        <v>0</v>
      </c>
      <c r="AG141" s="542">
        <v>0</v>
      </c>
      <c r="AH141" s="542">
        <v>0</v>
      </c>
      <c r="AI141" s="542">
        <v>0</v>
      </c>
      <c r="AJ141" s="542">
        <v>67631770</v>
      </c>
      <c r="AK141" s="542">
        <v>0</v>
      </c>
      <c r="AL141" s="542">
        <v>0</v>
      </c>
      <c r="AM141" s="542">
        <v>0</v>
      </c>
      <c r="AN141" s="542">
        <v>22314646</v>
      </c>
      <c r="AO141" s="542">
        <v>0</v>
      </c>
      <c r="AP141" s="542">
        <v>0</v>
      </c>
      <c r="AQ141" s="542">
        <v>0</v>
      </c>
      <c r="AR141" s="542">
        <v>0</v>
      </c>
      <c r="AS141" s="542">
        <v>0</v>
      </c>
      <c r="AT141" s="542">
        <v>0</v>
      </c>
      <c r="AU141" s="542">
        <v>0</v>
      </c>
      <c r="AV141" s="542">
        <v>829506</v>
      </c>
      <c r="AW141" s="542">
        <v>0</v>
      </c>
      <c r="AX141" s="542">
        <v>0</v>
      </c>
      <c r="AY141" s="542">
        <v>0</v>
      </c>
      <c r="AZ141" s="542">
        <v>0</v>
      </c>
      <c r="BA141" s="542">
        <v>0</v>
      </c>
      <c r="BB141" s="542">
        <v>0</v>
      </c>
      <c r="BC141" s="542">
        <v>0</v>
      </c>
      <c r="BD141" s="542">
        <v>0</v>
      </c>
      <c r="BE141" s="542">
        <v>0</v>
      </c>
      <c r="BF141" s="542">
        <v>0</v>
      </c>
      <c r="BG141" s="542">
        <v>0</v>
      </c>
      <c r="BH141" s="542">
        <v>0</v>
      </c>
      <c r="BI141" s="542">
        <v>0</v>
      </c>
      <c r="BJ141" s="542">
        <v>0</v>
      </c>
      <c r="BK141" s="542">
        <v>0</v>
      </c>
      <c r="BL141" s="542">
        <v>0</v>
      </c>
      <c r="BM141" s="542">
        <v>2188896</v>
      </c>
      <c r="BN141" s="542">
        <v>0</v>
      </c>
      <c r="BO141" s="542">
        <v>0</v>
      </c>
      <c r="BP141" s="542">
        <v>0</v>
      </c>
      <c r="BQ141" s="542">
        <v>0</v>
      </c>
      <c r="BR141" s="542">
        <v>0</v>
      </c>
      <c r="BS141" s="542">
        <v>938945</v>
      </c>
      <c r="BT141" s="542">
        <v>16946027</v>
      </c>
      <c r="BU141" s="542">
        <v>0</v>
      </c>
      <c r="BV141" s="542">
        <v>0</v>
      </c>
      <c r="BW141" s="542">
        <v>0</v>
      </c>
      <c r="BX141" s="542">
        <v>0</v>
      </c>
      <c r="BY141" s="542">
        <v>0</v>
      </c>
      <c r="BZ141" s="542">
        <v>0</v>
      </c>
      <c r="CA141" s="542">
        <v>0</v>
      </c>
      <c r="CB141" s="542">
        <v>0</v>
      </c>
      <c r="CC141" s="542">
        <v>0</v>
      </c>
      <c r="CD141" s="542">
        <v>0</v>
      </c>
      <c r="CE141" s="542">
        <v>0</v>
      </c>
    </row>
    <row r="142" spans="1:83" x14ac:dyDescent="0.25">
      <c r="A142" s="640">
        <v>383</v>
      </c>
      <c r="B142" s="571">
        <v>383</v>
      </c>
      <c r="C142" s="536" t="s">
        <v>307</v>
      </c>
      <c r="D142" s="537" t="s">
        <v>540</v>
      </c>
      <c r="E142" s="543">
        <v>0</v>
      </c>
      <c r="F142" s="544">
        <v>0</v>
      </c>
      <c r="G142" s="544">
        <v>0</v>
      </c>
      <c r="H142" s="544">
        <v>0</v>
      </c>
      <c r="I142" s="544">
        <v>0</v>
      </c>
      <c r="J142" s="544">
        <v>0</v>
      </c>
      <c r="K142" s="545">
        <v>0</v>
      </c>
      <c r="L142" s="542">
        <v>0</v>
      </c>
      <c r="M142" s="542">
        <v>0</v>
      </c>
      <c r="N142" s="541">
        <v>0</v>
      </c>
      <c r="O142" s="541">
        <v>0</v>
      </c>
      <c r="P142" s="541">
        <v>0</v>
      </c>
      <c r="Q142" s="541">
        <v>0</v>
      </c>
      <c r="R142" s="541">
        <v>0</v>
      </c>
      <c r="S142" s="541">
        <v>0</v>
      </c>
      <c r="T142" s="541">
        <v>0</v>
      </c>
      <c r="U142" s="541">
        <v>0</v>
      </c>
      <c r="V142" s="541">
        <v>0</v>
      </c>
      <c r="W142" s="541">
        <v>0</v>
      </c>
      <c r="X142" s="541">
        <v>0</v>
      </c>
      <c r="Y142" s="541">
        <v>0</v>
      </c>
      <c r="Z142" s="541">
        <v>40100</v>
      </c>
      <c r="AA142" s="541">
        <v>0</v>
      </c>
      <c r="AB142" s="542">
        <v>0</v>
      </c>
      <c r="AC142" s="542">
        <v>0</v>
      </c>
      <c r="AD142" s="542">
        <v>0</v>
      </c>
      <c r="AE142" s="542">
        <v>0</v>
      </c>
      <c r="AF142" s="542">
        <v>0</v>
      </c>
      <c r="AG142" s="542">
        <v>0</v>
      </c>
      <c r="AH142" s="542">
        <v>0</v>
      </c>
      <c r="AI142" s="542">
        <v>0</v>
      </c>
      <c r="AJ142" s="542">
        <v>0</v>
      </c>
      <c r="AK142" s="542">
        <v>0</v>
      </c>
      <c r="AL142" s="542">
        <v>0</v>
      </c>
      <c r="AM142" s="542">
        <v>0</v>
      </c>
      <c r="AN142" s="542">
        <v>0</v>
      </c>
      <c r="AO142" s="542">
        <v>0</v>
      </c>
      <c r="AP142" s="542">
        <v>0</v>
      </c>
      <c r="AQ142" s="542">
        <v>0</v>
      </c>
      <c r="AR142" s="542">
        <v>0</v>
      </c>
      <c r="AS142" s="542">
        <v>0</v>
      </c>
      <c r="AT142" s="542">
        <v>0</v>
      </c>
      <c r="AU142" s="542">
        <v>0</v>
      </c>
      <c r="AV142" s="542">
        <v>0</v>
      </c>
      <c r="AW142" s="542">
        <v>0</v>
      </c>
      <c r="AX142" s="542">
        <v>0</v>
      </c>
      <c r="AY142" s="542">
        <v>0</v>
      </c>
      <c r="AZ142" s="542">
        <v>0</v>
      </c>
      <c r="BA142" s="542">
        <v>0</v>
      </c>
      <c r="BB142" s="542">
        <v>0</v>
      </c>
      <c r="BC142" s="542">
        <v>0</v>
      </c>
      <c r="BD142" s="542">
        <v>0</v>
      </c>
      <c r="BE142" s="542">
        <v>0</v>
      </c>
      <c r="BF142" s="542">
        <v>0</v>
      </c>
      <c r="BG142" s="542">
        <v>0</v>
      </c>
      <c r="BH142" s="542">
        <v>0</v>
      </c>
      <c r="BI142" s="542">
        <v>0</v>
      </c>
      <c r="BJ142" s="542">
        <v>0</v>
      </c>
      <c r="BK142" s="542">
        <v>0</v>
      </c>
      <c r="BL142" s="542">
        <v>0</v>
      </c>
      <c r="BM142" s="542">
        <v>0</v>
      </c>
      <c r="BN142" s="542">
        <v>0</v>
      </c>
      <c r="BO142" s="542">
        <v>0</v>
      </c>
      <c r="BP142" s="542">
        <v>0</v>
      </c>
      <c r="BQ142" s="542">
        <v>6562</v>
      </c>
      <c r="BR142" s="542">
        <v>0</v>
      </c>
      <c r="BS142" s="542">
        <v>0</v>
      </c>
      <c r="BT142" s="542">
        <v>0</v>
      </c>
      <c r="BU142" s="542">
        <v>0</v>
      </c>
      <c r="BV142" s="542">
        <v>0</v>
      </c>
      <c r="BW142" s="542">
        <v>0</v>
      </c>
      <c r="BX142" s="542">
        <v>0</v>
      </c>
      <c r="BY142" s="542">
        <v>0</v>
      </c>
      <c r="BZ142" s="542">
        <v>0</v>
      </c>
      <c r="CA142" s="542">
        <v>0</v>
      </c>
      <c r="CB142" s="542">
        <v>0</v>
      </c>
      <c r="CC142" s="542">
        <v>0</v>
      </c>
      <c r="CD142" s="542">
        <v>0</v>
      </c>
      <c r="CE142" s="542">
        <v>0</v>
      </c>
    </row>
    <row r="143" spans="1:83" ht="45" x14ac:dyDescent="0.25">
      <c r="A143" s="640">
        <v>384</v>
      </c>
      <c r="B143" s="571">
        <v>384</v>
      </c>
      <c r="C143" s="536" t="s">
        <v>146</v>
      </c>
      <c r="D143" s="537" t="s">
        <v>541</v>
      </c>
      <c r="E143" s="543">
        <v>0</v>
      </c>
      <c r="F143" s="544">
        <v>0</v>
      </c>
      <c r="G143" s="544">
        <v>0</v>
      </c>
      <c r="H143" s="544">
        <v>0</v>
      </c>
      <c r="I143" s="544">
        <v>0</v>
      </c>
      <c r="J143" s="544">
        <v>0</v>
      </c>
      <c r="K143" s="545">
        <v>0</v>
      </c>
      <c r="L143" s="542">
        <v>0</v>
      </c>
      <c r="M143" s="542">
        <v>0</v>
      </c>
      <c r="N143" s="541">
        <v>0</v>
      </c>
      <c r="O143" s="541">
        <v>0</v>
      </c>
      <c r="P143" s="541">
        <v>0</v>
      </c>
      <c r="Q143" s="541">
        <v>0</v>
      </c>
      <c r="R143" s="541">
        <v>0</v>
      </c>
      <c r="S143" s="541">
        <v>0</v>
      </c>
      <c r="T143" s="541">
        <v>0</v>
      </c>
      <c r="U143" s="541">
        <v>0</v>
      </c>
      <c r="V143" s="541">
        <v>0</v>
      </c>
      <c r="W143" s="541">
        <v>0</v>
      </c>
      <c r="X143" s="541">
        <v>0</v>
      </c>
      <c r="Y143" s="541">
        <v>0</v>
      </c>
      <c r="Z143" s="541">
        <v>0</v>
      </c>
      <c r="AA143" s="541">
        <v>0</v>
      </c>
      <c r="AB143" s="542">
        <v>0</v>
      </c>
      <c r="AC143" s="542">
        <v>0</v>
      </c>
      <c r="AD143" s="542">
        <v>0</v>
      </c>
      <c r="AE143" s="542">
        <v>0</v>
      </c>
      <c r="AF143" s="542">
        <v>0</v>
      </c>
      <c r="AG143" s="542">
        <v>0</v>
      </c>
      <c r="AH143" s="542">
        <v>0</v>
      </c>
      <c r="AI143" s="542">
        <v>0</v>
      </c>
      <c r="AJ143" s="542">
        <v>0</v>
      </c>
      <c r="AK143" s="542">
        <v>0</v>
      </c>
      <c r="AL143" s="542">
        <v>0</v>
      </c>
      <c r="AM143" s="542">
        <v>0</v>
      </c>
      <c r="AN143" s="542">
        <v>0</v>
      </c>
      <c r="AO143" s="542">
        <v>0</v>
      </c>
      <c r="AP143" s="542">
        <v>0</v>
      </c>
      <c r="AQ143" s="542">
        <v>0</v>
      </c>
      <c r="AR143" s="542">
        <v>0</v>
      </c>
      <c r="AS143" s="542">
        <v>0</v>
      </c>
      <c r="AT143" s="542">
        <v>0</v>
      </c>
      <c r="AU143" s="542">
        <v>0</v>
      </c>
      <c r="AV143" s="542">
        <v>0</v>
      </c>
      <c r="AW143" s="542">
        <v>0</v>
      </c>
      <c r="AX143" s="542">
        <v>0</v>
      </c>
      <c r="AY143" s="542">
        <v>0</v>
      </c>
      <c r="AZ143" s="542">
        <v>0</v>
      </c>
      <c r="BA143" s="542">
        <v>0</v>
      </c>
      <c r="BB143" s="542">
        <v>0</v>
      </c>
      <c r="BC143" s="542">
        <v>0</v>
      </c>
      <c r="BD143" s="542">
        <v>0</v>
      </c>
      <c r="BE143" s="542">
        <v>0</v>
      </c>
      <c r="BF143" s="542">
        <v>0</v>
      </c>
      <c r="BG143" s="542">
        <v>0</v>
      </c>
      <c r="BH143" s="542">
        <v>0</v>
      </c>
      <c r="BI143" s="542">
        <v>0</v>
      </c>
      <c r="BJ143" s="542">
        <v>0</v>
      </c>
      <c r="BK143" s="542">
        <v>0</v>
      </c>
      <c r="BL143" s="542">
        <v>0</v>
      </c>
      <c r="BM143" s="542">
        <v>0</v>
      </c>
      <c r="BN143" s="542">
        <v>0</v>
      </c>
      <c r="BO143" s="542">
        <v>0</v>
      </c>
      <c r="BP143" s="542">
        <v>0</v>
      </c>
      <c r="BQ143" s="542">
        <v>0</v>
      </c>
      <c r="BR143" s="542">
        <v>0</v>
      </c>
      <c r="BS143" s="542">
        <v>0</v>
      </c>
      <c r="BT143" s="542">
        <v>0</v>
      </c>
      <c r="BU143" s="542">
        <v>0</v>
      </c>
      <c r="BV143" s="542">
        <v>0</v>
      </c>
      <c r="BW143" s="542">
        <v>0</v>
      </c>
      <c r="BX143" s="542">
        <v>0</v>
      </c>
      <c r="BY143" s="542">
        <v>0</v>
      </c>
      <c r="BZ143" s="542">
        <v>0</v>
      </c>
      <c r="CA143" s="542">
        <v>0</v>
      </c>
      <c r="CB143" s="542">
        <v>0</v>
      </c>
      <c r="CC143" s="542">
        <v>0</v>
      </c>
      <c r="CD143" s="542">
        <v>0</v>
      </c>
      <c r="CE143" s="542">
        <v>0</v>
      </c>
    </row>
    <row r="144" spans="1:83" s="652" customFormat="1" ht="30" x14ac:dyDescent="0.25">
      <c r="A144" s="653">
        <v>385</v>
      </c>
      <c r="B144" s="654">
        <v>385</v>
      </c>
      <c r="C144" s="655" t="s">
        <v>134</v>
      </c>
      <c r="D144" s="647" t="s">
        <v>542</v>
      </c>
      <c r="E144" s="656">
        <v>362906</v>
      </c>
      <c r="F144" s="657">
        <v>296911</v>
      </c>
      <c r="G144" s="657">
        <v>1599907</v>
      </c>
      <c r="H144" s="657">
        <v>7834926</v>
      </c>
      <c r="I144" s="657">
        <v>6695783</v>
      </c>
      <c r="J144" s="657">
        <v>9936492</v>
      </c>
      <c r="K144" s="658">
        <v>230666</v>
      </c>
      <c r="L144" s="659">
        <v>2601296</v>
      </c>
      <c r="M144" s="659">
        <v>1255074</v>
      </c>
      <c r="N144" s="660">
        <v>69761405</v>
      </c>
      <c r="O144" s="660">
        <v>1177376</v>
      </c>
      <c r="P144" s="660">
        <v>14271674</v>
      </c>
      <c r="Q144" s="660">
        <v>436436</v>
      </c>
      <c r="R144" s="660">
        <v>123460755</v>
      </c>
      <c r="S144" s="660">
        <v>6167775</v>
      </c>
      <c r="T144" s="660">
        <v>337482</v>
      </c>
      <c r="U144" s="660">
        <v>216755346</v>
      </c>
      <c r="V144" s="660">
        <v>55993748</v>
      </c>
      <c r="W144" s="660">
        <v>57764171</v>
      </c>
      <c r="X144" s="660">
        <v>194219773</v>
      </c>
      <c r="Y144" s="660">
        <v>0</v>
      </c>
      <c r="Z144" s="660">
        <v>43689813</v>
      </c>
      <c r="AA144" s="660">
        <v>3166788</v>
      </c>
      <c r="AB144" s="659">
        <v>45871699</v>
      </c>
      <c r="AC144" s="659">
        <v>5512042</v>
      </c>
      <c r="AD144" s="659">
        <v>4962956</v>
      </c>
      <c r="AE144" s="659">
        <v>2476139</v>
      </c>
      <c r="AF144" s="659">
        <v>7081387</v>
      </c>
      <c r="AG144" s="659">
        <v>44942172</v>
      </c>
      <c r="AH144" s="659">
        <v>12324325</v>
      </c>
      <c r="AI144" s="659">
        <v>3704011</v>
      </c>
      <c r="AJ144" s="659">
        <v>93272218</v>
      </c>
      <c r="AK144" s="659">
        <v>6745221</v>
      </c>
      <c r="AL144" s="659">
        <v>3565263</v>
      </c>
      <c r="AM144" s="659">
        <v>0</v>
      </c>
      <c r="AN144" s="659">
        <v>30726027</v>
      </c>
      <c r="AO144" s="659">
        <v>1150556</v>
      </c>
      <c r="AP144" s="659">
        <v>0</v>
      </c>
      <c r="AQ144" s="659">
        <v>197392</v>
      </c>
      <c r="AR144" s="659">
        <v>38080030</v>
      </c>
      <c r="AS144" s="659">
        <v>99055747</v>
      </c>
      <c r="AT144" s="659">
        <v>0</v>
      </c>
      <c r="AU144" s="659">
        <v>3856532</v>
      </c>
      <c r="AV144" s="659">
        <v>698640</v>
      </c>
      <c r="AW144" s="659">
        <v>48904635</v>
      </c>
      <c r="AX144" s="659">
        <v>9951859</v>
      </c>
      <c r="AY144" s="659">
        <v>4719703</v>
      </c>
      <c r="AZ144" s="659">
        <v>26406359</v>
      </c>
      <c r="BA144" s="659">
        <v>3982235</v>
      </c>
      <c r="BB144" s="659">
        <v>0</v>
      </c>
      <c r="BC144" s="659">
        <v>142729</v>
      </c>
      <c r="BD144" s="659">
        <v>674785</v>
      </c>
      <c r="BE144" s="659">
        <v>12760013</v>
      </c>
      <c r="BF144" s="659">
        <v>824493</v>
      </c>
      <c r="BG144" s="659">
        <v>999785</v>
      </c>
      <c r="BH144" s="659">
        <v>235998</v>
      </c>
      <c r="BI144" s="659">
        <v>356222</v>
      </c>
      <c r="BJ144" s="659">
        <v>845681</v>
      </c>
      <c r="BK144" s="659">
        <v>590723</v>
      </c>
      <c r="BL144" s="659">
        <v>8282535</v>
      </c>
      <c r="BM144" s="659">
        <v>894094</v>
      </c>
      <c r="BN144" s="659">
        <v>3342049</v>
      </c>
      <c r="BO144" s="659">
        <v>12601147</v>
      </c>
      <c r="BP144" s="659">
        <v>2128950</v>
      </c>
      <c r="BQ144" s="659">
        <v>4791831</v>
      </c>
      <c r="BR144" s="659">
        <v>36587487</v>
      </c>
      <c r="BS144" s="659">
        <v>1778447</v>
      </c>
      <c r="BT144" s="659">
        <v>48848039</v>
      </c>
      <c r="BU144" s="659">
        <v>2079636</v>
      </c>
      <c r="BV144" s="659">
        <v>10572065</v>
      </c>
      <c r="BW144" s="659">
        <v>5416249</v>
      </c>
      <c r="BX144" s="659">
        <v>5145667</v>
      </c>
      <c r="BY144" s="659">
        <v>2468321</v>
      </c>
      <c r="BZ144" s="659">
        <v>675267</v>
      </c>
      <c r="CA144" s="659">
        <v>0</v>
      </c>
      <c r="CB144" s="659">
        <v>161480</v>
      </c>
      <c r="CC144" s="659">
        <v>1497899</v>
      </c>
      <c r="CD144" s="659">
        <v>0</v>
      </c>
      <c r="CE144" s="659">
        <v>451961</v>
      </c>
    </row>
    <row r="145" spans="1:83" x14ac:dyDescent="0.25">
      <c r="A145" s="640">
        <v>386</v>
      </c>
      <c r="B145" s="571">
        <v>386</v>
      </c>
      <c r="C145" s="536" t="s">
        <v>280</v>
      </c>
      <c r="D145" s="537" t="s">
        <v>543</v>
      </c>
      <c r="E145" s="543">
        <v>0</v>
      </c>
      <c r="F145" s="544">
        <v>0</v>
      </c>
      <c r="G145" s="544">
        <v>0</v>
      </c>
      <c r="H145" s="544">
        <v>0</v>
      </c>
      <c r="I145" s="544">
        <v>0</v>
      </c>
      <c r="J145" s="544">
        <v>0</v>
      </c>
      <c r="K145" s="545">
        <v>0</v>
      </c>
      <c r="L145" s="542">
        <v>0</v>
      </c>
      <c r="M145" s="542">
        <v>0</v>
      </c>
      <c r="N145" s="541">
        <v>0</v>
      </c>
      <c r="O145" s="541">
        <v>0</v>
      </c>
      <c r="P145" s="541">
        <v>0</v>
      </c>
      <c r="Q145" s="541">
        <v>0</v>
      </c>
      <c r="R145" s="541">
        <v>0</v>
      </c>
      <c r="S145" s="541">
        <v>0</v>
      </c>
      <c r="T145" s="541">
        <v>0</v>
      </c>
      <c r="U145" s="541">
        <v>0</v>
      </c>
      <c r="V145" s="541">
        <v>0</v>
      </c>
      <c r="W145" s="541">
        <v>704552</v>
      </c>
      <c r="X145" s="541">
        <v>0</v>
      </c>
      <c r="Y145" s="541">
        <v>0</v>
      </c>
      <c r="Z145" s="541">
        <v>0</v>
      </c>
      <c r="AA145" s="541">
        <v>29895</v>
      </c>
      <c r="AB145" s="542">
        <v>0</v>
      </c>
      <c r="AC145" s="542">
        <v>0</v>
      </c>
      <c r="AD145" s="542">
        <v>0</v>
      </c>
      <c r="AE145" s="542">
        <v>0</v>
      </c>
      <c r="AF145" s="542">
        <v>0</v>
      </c>
      <c r="AG145" s="542">
        <v>0</v>
      </c>
      <c r="AH145" s="542">
        <v>86498</v>
      </c>
      <c r="AI145" s="542">
        <v>0</v>
      </c>
      <c r="AJ145" s="542">
        <v>2874231</v>
      </c>
      <c r="AK145" s="542">
        <v>0</v>
      </c>
      <c r="AL145" s="542">
        <v>0</v>
      </c>
      <c r="AM145" s="542">
        <v>0</v>
      </c>
      <c r="AN145" s="542">
        <v>0</v>
      </c>
      <c r="AO145" s="542">
        <v>0</v>
      </c>
      <c r="AP145" s="542">
        <v>0</v>
      </c>
      <c r="AQ145" s="542">
        <v>0</v>
      </c>
      <c r="AR145" s="542">
        <v>0</v>
      </c>
      <c r="AS145" s="542">
        <v>0</v>
      </c>
      <c r="AT145" s="542">
        <v>0</v>
      </c>
      <c r="AU145" s="542">
        <v>0</v>
      </c>
      <c r="AV145" s="542">
        <v>55000</v>
      </c>
      <c r="AW145" s="542">
        <v>4026726</v>
      </c>
      <c r="AX145" s="542">
        <v>0</v>
      </c>
      <c r="AY145" s="542">
        <v>0</v>
      </c>
      <c r="AZ145" s="542">
        <v>0</v>
      </c>
      <c r="BA145" s="542">
        <v>0</v>
      </c>
      <c r="BB145" s="542">
        <v>0</v>
      </c>
      <c r="BC145" s="542">
        <v>0</v>
      </c>
      <c r="BD145" s="542">
        <v>0</v>
      </c>
      <c r="BE145" s="542">
        <v>225975</v>
      </c>
      <c r="BF145" s="542">
        <v>0</v>
      </c>
      <c r="BG145" s="542">
        <v>0</v>
      </c>
      <c r="BH145" s="542">
        <v>0</v>
      </c>
      <c r="BI145" s="542">
        <v>0</v>
      </c>
      <c r="BJ145" s="542">
        <v>0</v>
      </c>
      <c r="BK145" s="542">
        <v>0</v>
      </c>
      <c r="BL145" s="542">
        <v>0</v>
      </c>
      <c r="BM145" s="542">
        <v>0</v>
      </c>
      <c r="BN145" s="542">
        <v>0</v>
      </c>
      <c r="BO145" s="542">
        <v>0</v>
      </c>
      <c r="BP145" s="542">
        <v>0</v>
      </c>
      <c r="BQ145" s="542">
        <v>0</v>
      </c>
      <c r="BR145" s="542">
        <v>0</v>
      </c>
      <c r="BS145" s="542">
        <v>602000</v>
      </c>
      <c r="BT145" s="542">
        <v>36495</v>
      </c>
      <c r="BU145" s="542">
        <v>0</v>
      </c>
      <c r="BV145" s="542">
        <v>0</v>
      </c>
      <c r="BW145" s="542">
        <v>0</v>
      </c>
      <c r="BX145" s="542">
        <v>0</v>
      </c>
      <c r="BY145" s="542">
        <v>0</v>
      </c>
      <c r="BZ145" s="542">
        <v>0</v>
      </c>
      <c r="CA145" s="542">
        <v>0</v>
      </c>
      <c r="CB145" s="542">
        <v>0</v>
      </c>
      <c r="CC145" s="542">
        <v>0</v>
      </c>
      <c r="CD145" s="542">
        <v>0</v>
      </c>
      <c r="CE145" s="542">
        <v>0</v>
      </c>
    </row>
    <row r="146" spans="1:83" x14ac:dyDescent="0.25">
      <c r="A146" s="640">
        <v>387</v>
      </c>
      <c r="B146" s="571">
        <v>387</v>
      </c>
      <c r="C146" s="536" t="s">
        <v>281</v>
      </c>
      <c r="D146" s="537" t="s">
        <v>544</v>
      </c>
      <c r="E146" s="543">
        <v>0</v>
      </c>
      <c r="F146" s="544">
        <v>0</v>
      </c>
      <c r="G146" s="544">
        <v>0</v>
      </c>
      <c r="H146" s="544">
        <v>0</v>
      </c>
      <c r="I146" s="544">
        <v>0</v>
      </c>
      <c r="J146" s="544">
        <v>0</v>
      </c>
      <c r="K146" s="545">
        <v>0</v>
      </c>
      <c r="L146" s="542">
        <v>0</v>
      </c>
      <c r="M146" s="542">
        <v>0</v>
      </c>
      <c r="N146" s="541">
        <v>0</v>
      </c>
      <c r="O146" s="541">
        <v>0</v>
      </c>
      <c r="P146" s="541">
        <v>0</v>
      </c>
      <c r="Q146" s="541">
        <v>0</v>
      </c>
      <c r="R146" s="541">
        <v>1279079</v>
      </c>
      <c r="S146" s="541">
        <v>0</v>
      </c>
      <c r="T146" s="541">
        <v>0</v>
      </c>
      <c r="U146" s="541">
        <v>0</v>
      </c>
      <c r="V146" s="541">
        <v>0</v>
      </c>
      <c r="W146" s="541">
        <v>0</v>
      </c>
      <c r="X146" s="541">
        <v>126000</v>
      </c>
      <c r="Y146" s="541">
        <v>0</v>
      </c>
      <c r="Z146" s="541">
        <v>0</v>
      </c>
      <c r="AA146" s="541">
        <v>27250</v>
      </c>
      <c r="AB146" s="542">
        <v>0</v>
      </c>
      <c r="AC146" s="542">
        <v>14000</v>
      </c>
      <c r="AD146" s="542">
        <v>0</v>
      </c>
      <c r="AE146" s="542">
        <v>0</v>
      </c>
      <c r="AF146" s="542">
        <v>0</v>
      </c>
      <c r="AG146" s="542">
        <v>0</v>
      </c>
      <c r="AH146" s="542">
        <v>0</v>
      </c>
      <c r="AI146" s="542">
        <v>0</v>
      </c>
      <c r="AJ146" s="542">
        <v>0</v>
      </c>
      <c r="AK146" s="542">
        <v>65000</v>
      </c>
      <c r="AL146" s="542">
        <v>0</v>
      </c>
      <c r="AM146" s="542">
        <v>0</v>
      </c>
      <c r="AN146" s="542">
        <v>0</v>
      </c>
      <c r="AO146" s="542">
        <v>0</v>
      </c>
      <c r="AP146" s="542">
        <v>0</v>
      </c>
      <c r="AQ146" s="542">
        <v>0</v>
      </c>
      <c r="AR146" s="542">
        <v>0</v>
      </c>
      <c r="AS146" s="542">
        <v>0</v>
      </c>
      <c r="AT146" s="542">
        <v>0</v>
      </c>
      <c r="AU146" s="542">
        <v>0</v>
      </c>
      <c r="AV146" s="542">
        <v>0</v>
      </c>
      <c r="AW146" s="542">
        <v>4723081</v>
      </c>
      <c r="AX146" s="542">
        <v>0</v>
      </c>
      <c r="AY146" s="542">
        <v>0</v>
      </c>
      <c r="AZ146" s="542">
        <v>0</v>
      </c>
      <c r="BA146" s="542">
        <v>0</v>
      </c>
      <c r="BB146" s="542">
        <v>0</v>
      </c>
      <c r="BC146" s="542">
        <v>0</v>
      </c>
      <c r="BD146" s="542">
        <v>0</v>
      </c>
      <c r="BE146" s="542">
        <v>0</v>
      </c>
      <c r="BF146" s="542">
        <v>0</v>
      </c>
      <c r="BG146" s="542">
        <v>0</v>
      </c>
      <c r="BH146" s="542">
        <v>0</v>
      </c>
      <c r="BI146" s="542">
        <v>0</v>
      </c>
      <c r="BJ146" s="542">
        <v>0</v>
      </c>
      <c r="BK146" s="542">
        <v>0</v>
      </c>
      <c r="BL146" s="542">
        <v>0</v>
      </c>
      <c r="BM146" s="542">
        <v>0</v>
      </c>
      <c r="BN146" s="542">
        <v>34611</v>
      </c>
      <c r="BO146" s="542">
        <v>0</v>
      </c>
      <c r="BP146" s="542">
        <v>0</v>
      </c>
      <c r="BQ146" s="542">
        <v>0</v>
      </c>
      <c r="BR146" s="542">
        <v>0</v>
      </c>
      <c r="BS146" s="542">
        <v>0</v>
      </c>
      <c r="BT146" s="542">
        <v>0</v>
      </c>
      <c r="BU146" s="542">
        <v>11300</v>
      </c>
      <c r="BV146" s="542">
        <v>0</v>
      </c>
      <c r="BW146" s="542">
        <v>0</v>
      </c>
      <c r="BX146" s="542">
        <v>115250</v>
      </c>
      <c r="BY146" s="542">
        <v>95000</v>
      </c>
      <c r="BZ146" s="542">
        <v>0</v>
      </c>
      <c r="CA146" s="542">
        <v>0</v>
      </c>
      <c r="CB146" s="542">
        <v>0</v>
      </c>
      <c r="CC146" s="542">
        <v>0</v>
      </c>
      <c r="CD146" s="542">
        <v>0</v>
      </c>
      <c r="CE146" s="542">
        <v>0</v>
      </c>
    </row>
    <row r="147" spans="1:83" x14ac:dyDescent="0.25">
      <c r="A147" s="640">
        <v>388</v>
      </c>
      <c r="B147" s="571">
        <v>388</v>
      </c>
      <c r="C147" s="536" t="s">
        <v>275</v>
      </c>
      <c r="D147" s="537" t="s">
        <v>545</v>
      </c>
      <c r="E147" s="543">
        <v>261352</v>
      </c>
      <c r="F147" s="544">
        <v>33960</v>
      </c>
      <c r="G147" s="544">
        <v>680541</v>
      </c>
      <c r="H147" s="544">
        <v>1467865</v>
      </c>
      <c r="I147" s="544">
        <v>864450</v>
      </c>
      <c r="J147" s="544">
        <v>2730782</v>
      </c>
      <c r="K147" s="545">
        <v>56464</v>
      </c>
      <c r="L147" s="542">
        <v>274607</v>
      </c>
      <c r="M147" s="542">
        <v>160478</v>
      </c>
      <c r="N147" s="541">
        <v>14699411</v>
      </c>
      <c r="O147" s="541">
        <v>466978</v>
      </c>
      <c r="P147" s="541">
        <v>5288232</v>
      </c>
      <c r="Q147" s="541">
        <v>64385</v>
      </c>
      <c r="R147" s="541">
        <v>42682509</v>
      </c>
      <c r="S147" s="541">
        <v>1315935</v>
      </c>
      <c r="T147" s="541">
        <v>45438</v>
      </c>
      <c r="U147" s="541">
        <v>64619293</v>
      </c>
      <c r="V147" s="541">
        <v>13859251</v>
      </c>
      <c r="W147" s="541">
        <v>20761583</v>
      </c>
      <c r="X147" s="541">
        <v>26680632</v>
      </c>
      <c r="Y147" s="541">
        <v>0</v>
      </c>
      <c r="Z147" s="541">
        <v>13864899</v>
      </c>
      <c r="AA147" s="541">
        <v>1002684</v>
      </c>
      <c r="AB147" s="542">
        <v>10907285</v>
      </c>
      <c r="AC147" s="542">
        <v>4267583</v>
      </c>
      <c r="AD147" s="542">
        <v>2186320</v>
      </c>
      <c r="AE147" s="542">
        <v>2611222</v>
      </c>
      <c r="AF147" s="542">
        <v>2522740</v>
      </c>
      <c r="AG147" s="542">
        <v>13697424</v>
      </c>
      <c r="AH147" s="542">
        <v>4602974</v>
      </c>
      <c r="AI147" s="542">
        <v>942261</v>
      </c>
      <c r="AJ147" s="542">
        <v>37403459</v>
      </c>
      <c r="AK147" s="542">
        <v>339336</v>
      </c>
      <c r="AL147" s="542">
        <v>780508</v>
      </c>
      <c r="AM147" s="542">
        <v>0</v>
      </c>
      <c r="AN147" s="542">
        <v>12380495</v>
      </c>
      <c r="AO147" s="542">
        <v>510449</v>
      </c>
      <c r="AP147" s="542">
        <v>0</v>
      </c>
      <c r="AQ147" s="542">
        <v>42357</v>
      </c>
      <c r="AR147" s="542">
        <v>6102516</v>
      </c>
      <c r="AS147" s="542">
        <v>7850504</v>
      </c>
      <c r="AT147" s="542">
        <v>0</v>
      </c>
      <c r="AU147" s="542">
        <v>2391235</v>
      </c>
      <c r="AV147" s="542">
        <v>206960</v>
      </c>
      <c r="AW147" s="542">
        <v>17432352</v>
      </c>
      <c r="AX147" s="542">
        <v>1110166</v>
      </c>
      <c r="AY147" s="542">
        <v>1499767</v>
      </c>
      <c r="AZ147" s="542">
        <v>8467012</v>
      </c>
      <c r="BA147" s="542">
        <v>961225</v>
      </c>
      <c r="BB147" s="542">
        <v>0</v>
      </c>
      <c r="BC147" s="542">
        <v>17356</v>
      </c>
      <c r="BD147" s="542">
        <v>177496</v>
      </c>
      <c r="BE147" s="542">
        <v>8428819</v>
      </c>
      <c r="BF147" s="542">
        <v>147377</v>
      </c>
      <c r="BG147" s="542">
        <v>297579</v>
      </c>
      <c r="BH147" s="542">
        <v>129169</v>
      </c>
      <c r="BI147" s="542">
        <v>58948</v>
      </c>
      <c r="BJ147" s="542">
        <v>222669</v>
      </c>
      <c r="BK147" s="542">
        <v>87363</v>
      </c>
      <c r="BL147" s="542">
        <v>3244892</v>
      </c>
      <c r="BM147" s="542">
        <v>842394</v>
      </c>
      <c r="BN147" s="542">
        <v>1711885</v>
      </c>
      <c r="BO147" s="542">
        <v>3335985</v>
      </c>
      <c r="BP147" s="542">
        <v>1054849</v>
      </c>
      <c r="BQ147" s="542">
        <v>1323855</v>
      </c>
      <c r="BR147" s="542">
        <v>16976054</v>
      </c>
      <c r="BS147" s="542">
        <v>1514667</v>
      </c>
      <c r="BT147" s="542">
        <v>10074373</v>
      </c>
      <c r="BU147" s="542">
        <v>610652</v>
      </c>
      <c r="BV147" s="542">
        <v>4447117</v>
      </c>
      <c r="BW147" s="542">
        <v>695893</v>
      </c>
      <c r="BX147" s="542">
        <v>1895219</v>
      </c>
      <c r="BY147" s="542">
        <v>774051</v>
      </c>
      <c r="BZ147" s="542">
        <v>88349</v>
      </c>
      <c r="CA147" s="542">
        <v>0</v>
      </c>
      <c r="CB147" s="542">
        <v>101415</v>
      </c>
      <c r="CC147" s="542">
        <v>1278238</v>
      </c>
      <c r="CD147" s="542">
        <v>0</v>
      </c>
      <c r="CE147" s="542">
        <v>55131</v>
      </c>
    </row>
    <row r="148" spans="1:83" ht="30" x14ac:dyDescent="0.25">
      <c r="A148" s="640">
        <v>389</v>
      </c>
      <c r="B148" s="571">
        <v>389</v>
      </c>
      <c r="C148" s="536" t="s">
        <v>282</v>
      </c>
      <c r="D148" s="537" t="s">
        <v>546</v>
      </c>
      <c r="E148" s="543">
        <v>0</v>
      </c>
      <c r="F148" s="544">
        <v>0</v>
      </c>
      <c r="G148" s="544">
        <v>0</v>
      </c>
      <c r="H148" s="544">
        <v>0</v>
      </c>
      <c r="I148" s="544">
        <v>0</v>
      </c>
      <c r="J148" s="544">
        <v>0</v>
      </c>
      <c r="K148" s="545">
        <v>0</v>
      </c>
      <c r="L148" s="542">
        <v>0</v>
      </c>
      <c r="M148" s="542">
        <v>0</v>
      </c>
      <c r="N148" s="541">
        <v>0</v>
      </c>
      <c r="O148" s="541">
        <v>0</v>
      </c>
      <c r="P148" s="541">
        <v>0</v>
      </c>
      <c r="Q148" s="541">
        <v>0</v>
      </c>
      <c r="R148" s="541">
        <v>0</v>
      </c>
      <c r="S148" s="541">
        <v>-170891</v>
      </c>
      <c r="T148" s="541">
        <v>0</v>
      </c>
      <c r="U148" s="541">
        <v>0</v>
      </c>
      <c r="V148" s="541">
        <v>0</v>
      </c>
      <c r="W148" s="541">
        <v>0</v>
      </c>
      <c r="X148" s="541">
        <v>0</v>
      </c>
      <c r="Y148" s="541">
        <v>0</v>
      </c>
      <c r="Z148" s="541">
        <v>0</v>
      </c>
      <c r="AA148" s="541">
        <v>0</v>
      </c>
      <c r="AB148" s="542">
        <v>0</v>
      </c>
      <c r="AC148" s="542">
        <v>0</v>
      </c>
      <c r="AD148" s="542">
        <v>-117474</v>
      </c>
      <c r="AE148" s="542">
        <v>0</v>
      </c>
      <c r="AF148" s="542">
        <v>0</v>
      </c>
      <c r="AG148" s="542">
        <v>0</v>
      </c>
      <c r="AH148" s="542">
        <v>0</v>
      </c>
      <c r="AI148" s="542">
        <v>0</v>
      </c>
      <c r="AJ148" s="542">
        <v>0</v>
      </c>
      <c r="AK148" s="542">
        <v>0</v>
      </c>
      <c r="AL148" s="542">
        <v>0</v>
      </c>
      <c r="AM148" s="542">
        <v>0</v>
      </c>
      <c r="AN148" s="542">
        <v>0</v>
      </c>
      <c r="AO148" s="542">
        <v>0</v>
      </c>
      <c r="AP148" s="542">
        <v>0</v>
      </c>
      <c r="AQ148" s="542">
        <v>0</v>
      </c>
      <c r="AR148" s="542">
        <v>0</v>
      </c>
      <c r="AS148" s="542">
        <v>0</v>
      </c>
      <c r="AT148" s="542">
        <v>0</v>
      </c>
      <c r="AU148" s="542">
        <v>0</v>
      </c>
      <c r="AV148" s="542">
        <v>0</v>
      </c>
      <c r="AW148" s="542">
        <v>0</v>
      </c>
      <c r="AX148" s="542">
        <v>0</v>
      </c>
      <c r="AY148" s="542">
        <v>0</v>
      </c>
      <c r="AZ148" s="542">
        <v>0</v>
      </c>
      <c r="BA148" s="542">
        <v>0</v>
      </c>
      <c r="BB148" s="542">
        <v>0</v>
      </c>
      <c r="BC148" s="542">
        <v>0</v>
      </c>
      <c r="BD148" s="542">
        <v>0</v>
      </c>
      <c r="BE148" s="542">
        <v>0</v>
      </c>
      <c r="BF148" s="542">
        <v>0</v>
      </c>
      <c r="BG148" s="542">
        <v>0</v>
      </c>
      <c r="BH148" s="542">
        <v>0</v>
      </c>
      <c r="BI148" s="542">
        <v>0</v>
      </c>
      <c r="BJ148" s="542">
        <v>0</v>
      </c>
      <c r="BK148" s="542">
        <v>0</v>
      </c>
      <c r="BL148" s="542">
        <v>0</v>
      </c>
      <c r="BM148" s="542">
        <v>0</v>
      </c>
      <c r="BN148" s="542">
        <v>0</v>
      </c>
      <c r="BO148" s="542">
        <v>0</v>
      </c>
      <c r="BP148" s="542">
        <v>0</v>
      </c>
      <c r="BQ148" s="542">
        <v>0</v>
      </c>
      <c r="BR148" s="542">
        <v>0</v>
      </c>
      <c r="BS148" s="542">
        <v>0</v>
      </c>
      <c r="BT148" s="542">
        <v>0</v>
      </c>
      <c r="BU148" s="542">
        <v>0</v>
      </c>
      <c r="BV148" s="542">
        <v>0</v>
      </c>
      <c r="BW148" s="542">
        <v>0</v>
      </c>
      <c r="BX148" s="542">
        <v>0</v>
      </c>
      <c r="BY148" s="542">
        <v>0</v>
      </c>
      <c r="BZ148" s="542">
        <v>0</v>
      </c>
      <c r="CA148" s="542">
        <v>0</v>
      </c>
      <c r="CB148" s="542">
        <v>0</v>
      </c>
      <c r="CC148" s="542">
        <v>0</v>
      </c>
      <c r="CD148" s="542">
        <v>0</v>
      </c>
      <c r="CE148" s="542">
        <v>0</v>
      </c>
    </row>
    <row r="149" spans="1:83" x14ac:dyDescent="0.25">
      <c r="A149" s="640">
        <v>391</v>
      </c>
      <c r="B149" s="571">
        <v>391</v>
      </c>
      <c r="C149" s="536" t="s">
        <v>287</v>
      </c>
      <c r="D149" s="537" t="s">
        <v>547</v>
      </c>
      <c r="E149" s="543">
        <v>23400</v>
      </c>
      <c r="F149" s="544">
        <v>5318</v>
      </c>
      <c r="G149" s="544">
        <v>62890</v>
      </c>
      <c r="H149" s="544">
        <v>374777</v>
      </c>
      <c r="I149" s="544">
        <v>191483</v>
      </c>
      <c r="J149" s="544">
        <v>263097</v>
      </c>
      <c r="K149" s="545">
        <v>113412</v>
      </c>
      <c r="L149" s="542">
        <v>61440</v>
      </c>
      <c r="M149" s="542">
        <v>19622</v>
      </c>
      <c r="N149" s="541">
        <v>1051409</v>
      </c>
      <c r="O149" s="541">
        <v>48982</v>
      </c>
      <c r="P149" s="541">
        <v>1471279</v>
      </c>
      <c r="Q149" s="541">
        <v>9969</v>
      </c>
      <c r="R149" s="541">
        <v>5534206</v>
      </c>
      <c r="S149" s="541">
        <v>103284</v>
      </c>
      <c r="T149" s="541">
        <v>6027</v>
      </c>
      <c r="U149" s="541">
        <v>5248530</v>
      </c>
      <c r="V149" s="541">
        <v>1360337</v>
      </c>
      <c r="W149" s="541">
        <v>2704382</v>
      </c>
      <c r="X149" s="541">
        <v>7250961</v>
      </c>
      <c r="Y149" s="541">
        <v>0</v>
      </c>
      <c r="Z149" s="541">
        <v>1667708</v>
      </c>
      <c r="AA149" s="541">
        <v>114359</v>
      </c>
      <c r="AB149" s="542">
        <v>959708</v>
      </c>
      <c r="AC149" s="542">
        <v>693091</v>
      </c>
      <c r="AD149" s="542">
        <v>185134</v>
      </c>
      <c r="AE149" s="542">
        <v>583919</v>
      </c>
      <c r="AF149" s="542">
        <v>29528</v>
      </c>
      <c r="AG149" s="542">
        <v>3187758</v>
      </c>
      <c r="AH149" s="542">
        <v>159621</v>
      </c>
      <c r="AI149" s="542">
        <v>360653</v>
      </c>
      <c r="AJ149" s="542">
        <v>5202285</v>
      </c>
      <c r="AK149" s="542">
        <v>75243</v>
      </c>
      <c r="AL149" s="542">
        <v>75840</v>
      </c>
      <c r="AM149" s="542">
        <v>0</v>
      </c>
      <c r="AN149" s="542">
        <v>1227022</v>
      </c>
      <c r="AO149" s="542">
        <v>59756</v>
      </c>
      <c r="AP149" s="542">
        <v>0</v>
      </c>
      <c r="AQ149" s="542">
        <v>6752</v>
      </c>
      <c r="AR149" s="542">
        <v>334153</v>
      </c>
      <c r="AS149" s="542">
        <v>1935554</v>
      </c>
      <c r="AT149" s="542">
        <v>0</v>
      </c>
      <c r="AU149" s="542">
        <v>327124</v>
      </c>
      <c r="AV149" s="542">
        <v>11538</v>
      </c>
      <c r="AW149" s="542">
        <v>519417</v>
      </c>
      <c r="AX149" s="542">
        <v>198208</v>
      </c>
      <c r="AY149" s="542">
        <v>700772</v>
      </c>
      <c r="AZ149" s="542">
        <v>217782</v>
      </c>
      <c r="BA149" s="542">
        <v>51483</v>
      </c>
      <c r="BB149" s="542">
        <v>0</v>
      </c>
      <c r="BC149" s="542">
        <v>0</v>
      </c>
      <c r="BD149" s="542">
        <v>174602</v>
      </c>
      <c r="BE149" s="542">
        <v>2034035</v>
      </c>
      <c r="BF149" s="542">
        <v>12897</v>
      </c>
      <c r="BG149" s="542">
        <v>103981</v>
      </c>
      <c r="BH149" s="542">
        <v>7241</v>
      </c>
      <c r="BI149" s="542">
        <v>3888</v>
      </c>
      <c r="BJ149" s="542">
        <v>24148</v>
      </c>
      <c r="BK149" s="542">
        <v>21724</v>
      </c>
      <c r="BL149" s="542">
        <v>339163</v>
      </c>
      <c r="BM149" s="542">
        <v>91386</v>
      </c>
      <c r="BN149" s="542">
        <v>395887</v>
      </c>
      <c r="BO149" s="542">
        <v>350087</v>
      </c>
      <c r="BP149" s="542">
        <v>96286</v>
      </c>
      <c r="BQ149" s="542">
        <v>144004</v>
      </c>
      <c r="BR149" s="542">
        <v>1881641</v>
      </c>
      <c r="BS149" s="542">
        <v>13403</v>
      </c>
      <c r="BT149" s="542">
        <v>548847</v>
      </c>
      <c r="BU149" s="542">
        <v>75940</v>
      </c>
      <c r="BV149" s="542">
        <v>519729</v>
      </c>
      <c r="BW149" s="542">
        <v>44425</v>
      </c>
      <c r="BX149" s="542">
        <v>526399</v>
      </c>
      <c r="BY149" s="542">
        <v>136402</v>
      </c>
      <c r="BZ149" s="542">
        <v>11622</v>
      </c>
      <c r="CA149" s="542">
        <v>0</v>
      </c>
      <c r="CB149" s="542">
        <v>23605</v>
      </c>
      <c r="CC149" s="542">
        <v>70606</v>
      </c>
      <c r="CD149" s="542">
        <v>0</v>
      </c>
      <c r="CE149" s="542">
        <v>6630</v>
      </c>
    </row>
    <row r="150" spans="1:83" ht="30" x14ac:dyDescent="0.25">
      <c r="A150" s="640">
        <v>500</v>
      </c>
      <c r="B150" s="571">
        <v>500</v>
      </c>
      <c r="C150" s="536" t="s">
        <v>268</v>
      </c>
      <c r="D150" s="537" t="s">
        <v>548</v>
      </c>
      <c r="E150" s="543">
        <v>48258</v>
      </c>
      <c r="F150" s="544">
        <v>33882</v>
      </c>
      <c r="G150" s="544">
        <v>87625</v>
      </c>
      <c r="H150" s="544">
        <v>239355</v>
      </c>
      <c r="I150" s="544">
        <v>0</v>
      </c>
      <c r="J150" s="544">
        <v>0</v>
      </c>
      <c r="K150" s="545">
        <v>0</v>
      </c>
      <c r="L150" s="542">
        <v>21234</v>
      </c>
      <c r="M150" s="542">
        <v>0</v>
      </c>
      <c r="N150" s="541">
        <v>478006</v>
      </c>
      <c r="O150" s="541">
        <v>70937</v>
      </c>
      <c r="P150" s="541">
        <v>800000</v>
      </c>
      <c r="Q150" s="541">
        <v>0</v>
      </c>
      <c r="R150" s="541">
        <v>2000884</v>
      </c>
      <c r="S150" s="541">
        <v>272809</v>
      </c>
      <c r="T150" s="541">
        <v>0</v>
      </c>
      <c r="U150" s="541">
        <v>10494893</v>
      </c>
      <c r="V150" s="541">
        <v>1234840</v>
      </c>
      <c r="W150" s="541">
        <v>2145251</v>
      </c>
      <c r="X150" s="541">
        <v>10385306</v>
      </c>
      <c r="Y150" s="541">
        <v>0</v>
      </c>
      <c r="Z150" s="541">
        <v>1438389</v>
      </c>
      <c r="AA150" s="541">
        <v>127335</v>
      </c>
      <c r="AB150" s="542">
        <v>1997309</v>
      </c>
      <c r="AC150" s="542">
        <v>257555</v>
      </c>
      <c r="AD150" s="542">
        <v>74563</v>
      </c>
      <c r="AE150" s="542">
        <v>0</v>
      </c>
      <c r="AF150" s="542">
        <v>243364</v>
      </c>
      <c r="AG150" s="542">
        <v>6964688</v>
      </c>
      <c r="AH150" s="542">
        <v>536790</v>
      </c>
      <c r="AI150" s="542">
        <v>50710</v>
      </c>
      <c r="AJ150" s="542">
        <v>3034811</v>
      </c>
      <c r="AK150" s="542">
        <v>151418</v>
      </c>
      <c r="AL150" s="542">
        <v>24969</v>
      </c>
      <c r="AM150" s="542">
        <v>0</v>
      </c>
      <c r="AN150" s="542">
        <v>4088387</v>
      </c>
      <c r="AO150" s="542">
        <v>173145</v>
      </c>
      <c r="AP150" s="542">
        <v>0</v>
      </c>
      <c r="AQ150" s="542">
        <v>0</v>
      </c>
      <c r="AR150" s="542">
        <v>3915800</v>
      </c>
      <c r="AS150" s="542">
        <v>117978</v>
      </c>
      <c r="AT150" s="542">
        <v>0</v>
      </c>
      <c r="AU150" s="542">
        <v>543717</v>
      </c>
      <c r="AV150" s="542">
        <v>41033</v>
      </c>
      <c r="AW150" s="542">
        <v>2893026</v>
      </c>
      <c r="AX150" s="542">
        <v>15162</v>
      </c>
      <c r="AY150" s="542">
        <v>144943</v>
      </c>
      <c r="AZ150" s="542">
        <v>121680</v>
      </c>
      <c r="BA150" s="542">
        <v>4186</v>
      </c>
      <c r="BB150" s="542">
        <v>0</v>
      </c>
      <c r="BC150" s="542">
        <v>0</v>
      </c>
      <c r="BD150" s="542">
        <v>169588</v>
      </c>
      <c r="BE150" s="542">
        <v>655310</v>
      </c>
      <c r="BF150" s="542">
        <v>41195</v>
      </c>
      <c r="BG150" s="542">
        <v>63485</v>
      </c>
      <c r="BH150" s="542">
        <v>25685</v>
      </c>
      <c r="BI150" s="542">
        <v>20730</v>
      </c>
      <c r="BJ150" s="542">
        <v>66253</v>
      </c>
      <c r="BK150" s="542">
        <v>44653</v>
      </c>
      <c r="BL150" s="542">
        <v>23429</v>
      </c>
      <c r="BM150" s="542">
        <v>218107</v>
      </c>
      <c r="BN150" s="542">
        <v>139035</v>
      </c>
      <c r="BO150" s="542">
        <v>155546</v>
      </c>
      <c r="BP150" s="542">
        <v>215780</v>
      </c>
      <c r="BQ150" s="542">
        <v>82371</v>
      </c>
      <c r="BR150" s="542">
        <v>0</v>
      </c>
      <c r="BS150" s="542">
        <v>203597</v>
      </c>
      <c r="BT150" s="542">
        <v>367237</v>
      </c>
      <c r="BU150" s="542">
        <v>378463</v>
      </c>
      <c r="BV150" s="542">
        <v>133602</v>
      </c>
      <c r="BW150" s="542">
        <v>0</v>
      </c>
      <c r="BX150" s="542">
        <v>191105</v>
      </c>
      <c r="BY150" s="542">
        <v>352813</v>
      </c>
      <c r="BZ150" s="542">
        <v>158253</v>
      </c>
      <c r="CA150" s="542">
        <v>0</v>
      </c>
      <c r="CB150" s="542">
        <v>7179</v>
      </c>
      <c r="CC150" s="542">
        <v>31087</v>
      </c>
      <c r="CD150" s="542">
        <v>0</v>
      </c>
      <c r="CE150" s="542">
        <v>22460</v>
      </c>
    </row>
    <row r="151" spans="1:83" x14ac:dyDescent="0.25">
      <c r="A151" s="640"/>
      <c r="B151" s="571">
        <v>501</v>
      </c>
      <c r="C151" s="536" t="s">
        <v>271</v>
      </c>
      <c r="D151" s="537" t="s">
        <v>549</v>
      </c>
      <c r="E151" s="543">
        <v>0</v>
      </c>
      <c r="F151" s="544">
        <v>0</v>
      </c>
      <c r="G151" s="544">
        <v>0</v>
      </c>
      <c r="H151" s="544">
        <v>0</v>
      </c>
      <c r="I151" s="544">
        <v>0</v>
      </c>
      <c r="J151" s="544">
        <v>0</v>
      </c>
      <c r="K151" s="545">
        <v>0</v>
      </c>
      <c r="L151" s="542">
        <v>0</v>
      </c>
      <c r="M151" s="542">
        <v>0</v>
      </c>
      <c r="N151" s="541">
        <v>0</v>
      </c>
      <c r="O151" s="541">
        <v>0</v>
      </c>
      <c r="P151" s="541">
        <v>0</v>
      </c>
      <c r="Q151" s="541">
        <v>0</v>
      </c>
      <c r="R151" s="541">
        <v>0</v>
      </c>
      <c r="S151" s="541">
        <v>0</v>
      </c>
      <c r="T151" s="541">
        <v>0</v>
      </c>
      <c r="U151" s="541">
        <v>0</v>
      </c>
      <c r="V151" s="541">
        <v>0</v>
      </c>
      <c r="W151" s="541">
        <v>0</v>
      </c>
      <c r="X151" s="541">
        <v>0</v>
      </c>
      <c r="Y151" s="541">
        <v>0</v>
      </c>
      <c r="Z151" s="541">
        <v>0</v>
      </c>
      <c r="AA151" s="541">
        <v>0</v>
      </c>
      <c r="AB151" s="542">
        <v>0</v>
      </c>
      <c r="AC151" s="542">
        <v>0</v>
      </c>
      <c r="AD151" s="542">
        <v>0</v>
      </c>
      <c r="AE151" s="542">
        <v>0</v>
      </c>
      <c r="AF151" s="542">
        <v>0</v>
      </c>
      <c r="AG151" s="542">
        <v>0</v>
      </c>
      <c r="AH151" s="542">
        <v>0</v>
      </c>
      <c r="AI151" s="542">
        <v>0</v>
      </c>
      <c r="AJ151" s="542">
        <v>0</v>
      </c>
      <c r="AK151" s="542">
        <v>0</v>
      </c>
      <c r="AL151" s="542">
        <v>0</v>
      </c>
      <c r="AM151" s="542">
        <v>0</v>
      </c>
      <c r="AN151" s="542">
        <v>0</v>
      </c>
      <c r="AO151" s="542">
        <v>0</v>
      </c>
      <c r="AP151" s="542">
        <v>0</v>
      </c>
      <c r="AQ151" s="542">
        <v>0</v>
      </c>
      <c r="AR151" s="542">
        <v>0</v>
      </c>
      <c r="AS151" s="542">
        <v>0</v>
      </c>
      <c r="AT151" s="542">
        <v>0</v>
      </c>
      <c r="AU151" s="542">
        <v>0</v>
      </c>
      <c r="AV151" s="542">
        <v>0</v>
      </c>
      <c r="AW151" s="542">
        <v>0</v>
      </c>
      <c r="AX151" s="542">
        <v>0</v>
      </c>
      <c r="AY151" s="542">
        <v>0</v>
      </c>
      <c r="AZ151" s="542">
        <v>0</v>
      </c>
      <c r="BA151" s="542">
        <v>0</v>
      </c>
      <c r="BB151" s="542">
        <v>0</v>
      </c>
      <c r="BC151" s="542">
        <v>0</v>
      </c>
      <c r="BD151" s="542">
        <v>0</v>
      </c>
      <c r="BE151" s="542">
        <v>0</v>
      </c>
      <c r="BF151" s="542">
        <v>0</v>
      </c>
      <c r="BG151" s="542">
        <v>0</v>
      </c>
      <c r="BH151" s="542">
        <v>0</v>
      </c>
      <c r="BI151" s="542">
        <v>0</v>
      </c>
      <c r="BJ151" s="542">
        <v>0</v>
      </c>
      <c r="BK151" s="542">
        <v>0</v>
      </c>
      <c r="BL151" s="542">
        <v>0</v>
      </c>
      <c r="BM151" s="542">
        <v>0</v>
      </c>
      <c r="BN151" s="542">
        <v>0</v>
      </c>
      <c r="BO151" s="542">
        <v>0</v>
      </c>
      <c r="BP151" s="542">
        <v>0</v>
      </c>
      <c r="BQ151" s="542">
        <v>0</v>
      </c>
      <c r="BR151" s="542">
        <v>0</v>
      </c>
      <c r="BS151" s="542">
        <v>0</v>
      </c>
      <c r="BT151" s="542">
        <v>0</v>
      </c>
      <c r="BU151" s="542">
        <v>0</v>
      </c>
      <c r="BV151" s="542">
        <v>0</v>
      </c>
      <c r="BW151" s="542">
        <v>0</v>
      </c>
      <c r="BX151" s="542">
        <v>0</v>
      </c>
      <c r="BY151" s="542">
        <v>0</v>
      </c>
      <c r="BZ151" s="542">
        <v>0</v>
      </c>
      <c r="CA151" s="542">
        <v>0</v>
      </c>
      <c r="CB151" s="542">
        <v>0</v>
      </c>
      <c r="CC151" s="542">
        <v>0</v>
      </c>
      <c r="CD151" s="542">
        <v>0</v>
      </c>
      <c r="CE151" s="542">
        <v>0</v>
      </c>
    </row>
    <row r="152" spans="1:83" ht="30" x14ac:dyDescent="0.25">
      <c r="A152" s="640">
        <v>502</v>
      </c>
      <c r="B152" s="571">
        <v>502</v>
      </c>
      <c r="C152" s="536" t="s">
        <v>272</v>
      </c>
      <c r="D152" s="537" t="s">
        <v>550</v>
      </c>
      <c r="E152" s="543">
        <v>132994</v>
      </c>
      <c r="F152" s="544">
        <v>0</v>
      </c>
      <c r="G152" s="544">
        <v>533631</v>
      </c>
      <c r="H152" s="544">
        <v>0</v>
      </c>
      <c r="I152" s="544">
        <v>0</v>
      </c>
      <c r="J152" s="544">
        <v>0</v>
      </c>
      <c r="K152" s="545">
        <v>4371</v>
      </c>
      <c r="L152" s="542">
        <v>0</v>
      </c>
      <c r="M152" s="542">
        <v>0</v>
      </c>
      <c r="N152" s="541">
        <v>0</v>
      </c>
      <c r="O152" s="541">
        <v>0</v>
      </c>
      <c r="P152" s="541">
        <v>802283</v>
      </c>
      <c r="Q152" s="541">
        <v>0</v>
      </c>
      <c r="R152" s="541">
        <v>117850809</v>
      </c>
      <c r="S152" s="541">
        <v>833600</v>
      </c>
      <c r="T152" s="541">
        <v>0</v>
      </c>
      <c r="U152" s="541">
        <v>45229064</v>
      </c>
      <c r="V152" s="541">
        <v>13392459</v>
      </c>
      <c r="W152" s="541">
        <v>24390597</v>
      </c>
      <c r="X152" s="541">
        <v>1893816</v>
      </c>
      <c r="Y152" s="541">
        <v>0</v>
      </c>
      <c r="Z152" s="541">
        <v>4862639</v>
      </c>
      <c r="AA152" s="541">
        <v>1194216</v>
      </c>
      <c r="AB152" s="542">
        <v>11431418</v>
      </c>
      <c r="AC152" s="542">
        <v>75236</v>
      </c>
      <c r="AD152" s="542">
        <v>615394</v>
      </c>
      <c r="AE152" s="542">
        <v>757546</v>
      </c>
      <c r="AF152" s="542">
        <v>2432612</v>
      </c>
      <c r="AG152" s="542">
        <v>3037333</v>
      </c>
      <c r="AH152" s="542">
        <v>2255734</v>
      </c>
      <c r="AI152" s="542">
        <v>67625</v>
      </c>
      <c r="AJ152" s="542">
        <v>34726383</v>
      </c>
      <c r="AK152" s="542">
        <v>754831</v>
      </c>
      <c r="AL152" s="542">
        <v>302981</v>
      </c>
      <c r="AM152" s="542">
        <v>0</v>
      </c>
      <c r="AN152" s="542">
        <v>7641541</v>
      </c>
      <c r="AO152" s="542">
        <v>329753</v>
      </c>
      <c r="AP152" s="542">
        <v>0</v>
      </c>
      <c r="AQ152" s="542">
        <v>0</v>
      </c>
      <c r="AR152" s="542">
        <v>0</v>
      </c>
      <c r="AS152" s="542">
        <v>3194228</v>
      </c>
      <c r="AT152" s="542">
        <v>0</v>
      </c>
      <c r="AU152" s="542">
        <v>516386</v>
      </c>
      <c r="AV152" s="542">
        <v>734063</v>
      </c>
      <c r="AW152" s="542">
        <v>26764195</v>
      </c>
      <c r="AX152" s="542">
        <v>0</v>
      </c>
      <c r="AY152" s="542">
        <v>1601587</v>
      </c>
      <c r="AZ152" s="542">
        <v>5055852</v>
      </c>
      <c r="BA152" s="542">
        <v>836196</v>
      </c>
      <c r="BB152" s="542">
        <v>0</v>
      </c>
      <c r="BC152" s="542">
        <v>0</v>
      </c>
      <c r="BD152" s="542">
        <v>92949</v>
      </c>
      <c r="BE152" s="542">
        <v>7466587</v>
      </c>
      <c r="BF152" s="542">
        <v>0</v>
      </c>
      <c r="BG152" s="542">
        <v>135003</v>
      </c>
      <c r="BH152" s="542">
        <v>93765</v>
      </c>
      <c r="BI152" s="542">
        <v>0</v>
      </c>
      <c r="BJ152" s="542">
        <v>153128</v>
      </c>
      <c r="BK152" s="542">
        <v>0</v>
      </c>
      <c r="BL152" s="542">
        <v>1861581</v>
      </c>
      <c r="BM152" s="542">
        <v>657348</v>
      </c>
      <c r="BN152" s="542">
        <v>57048</v>
      </c>
      <c r="BO152" s="542">
        <v>692013</v>
      </c>
      <c r="BP152" s="542">
        <v>519283</v>
      </c>
      <c r="BQ152" s="542">
        <v>758799</v>
      </c>
      <c r="BR152" s="542">
        <v>0</v>
      </c>
      <c r="BS152" s="542">
        <v>560072</v>
      </c>
      <c r="BT152" s="542">
        <v>5115920</v>
      </c>
      <c r="BU152" s="542">
        <v>544438</v>
      </c>
      <c r="BV152" s="542">
        <v>3306614</v>
      </c>
      <c r="BW152" s="542">
        <v>0</v>
      </c>
      <c r="BX152" s="542">
        <v>253162</v>
      </c>
      <c r="BY152" s="542">
        <v>937440</v>
      </c>
      <c r="BZ152" s="542">
        <v>3129</v>
      </c>
      <c r="CA152" s="542">
        <v>0</v>
      </c>
      <c r="CB152" s="542">
        <v>4565</v>
      </c>
      <c r="CC152" s="542">
        <v>116419</v>
      </c>
      <c r="CD152" s="542">
        <v>0</v>
      </c>
      <c r="CE152" s="542">
        <v>6828</v>
      </c>
    </row>
    <row r="153" spans="1:83" ht="30" x14ac:dyDescent="0.25">
      <c r="A153" s="640">
        <v>503</v>
      </c>
      <c r="B153" s="571">
        <v>503</v>
      </c>
      <c r="C153" s="536" t="s">
        <v>273</v>
      </c>
      <c r="D153" s="537" t="s">
        <v>551</v>
      </c>
      <c r="E153" s="543">
        <v>31238</v>
      </c>
      <c r="F153" s="544">
        <v>0</v>
      </c>
      <c r="G153" s="544">
        <v>58977</v>
      </c>
      <c r="H153" s="544">
        <v>0</v>
      </c>
      <c r="I153" s="544">
        <v>0</v>
      </c>
      <c r="J153" s="544">
        <v>0</v>
      </c>
      <c r="K153" s="545">
        <v>7329</v>
      </c>
      <c r="L153" s="542">
        <v>0</v>
      </c>
      <c r="M153" s="542">
        <v>0</v>
      </c>
      <c r="N153" s="541">
        <v>0</v>
      </c>
      <c r="O153" s="541">
        <v>0</v>
      </c>
      <c r="P153" s="541">
        <v>110875</v>
      </c>
      <c r="Q153" s="541">
        <v>0</v>
      </c>
      <c r="R153" s="541">
        <v>17545455</v>
      </c>
      <c r="S153" s="541">
        <v>7495</v>
      </c>
      <c r="T153" s="541">
        <v>0</v>
      </c>
      <c r="U153" s="541">
        <v>8753979</v>
      </c>
      <c r="V153" s="541">
        <v>84928</v>
      </c>
      <c r="W153" s="541">
        <v>826311</v>
      </c>
      <c r="X153" s="541">
        <v>0</v>
      </c>
      <c r="Y153" s="541">
        <v>0</v>
      </c>
      <c r="Z153" s="541">
        <v>43490</v>
      </c>
      <c r="AA153" s="541">
        <v>195823</v>
      </c>
      <c r="AB153" s="542">
        <v>854327</v>
      </c>
      <c r="AC153" s="542">
        <v>177798</v>
      </c>
      <c r="AD153" s="542">
        <v>71653</v>
      </c>
      <c r="AE153" s="542">
        <v>0</v>
      </c>
      <c r="AF153" s="542">
        <v>130459</v>
      </c>
      <c r="AG153" s="542">
        <v>464391</v>
      </c>
      <c r="AH153" s="542">
        <v>155405</v>
      </c>
      <c r="AI153" s="542">
        <v>0</v>
      </c>
      <c r="AJ153" s="542">
        <v>4488029</v>
      </c>
      <c r="AK153" s="542">
        <v>320</v>
      </c>
      <c r="AL153" s="542">
        <v>13325</v>
      </c>
      <c r="AM153" s="542">
        <v>0</v>
      </c>
      <c r="AN153" s="542">
        <v>1850363</v>
      </c>
      <c r="AO153" s="542">
        <v>24266</v>
      </c>
      <c r="AP153" s="542">
        <v>0</v>
      </c>
      <c r="AQ153" s="542">
        <v>0</v>
      </c>
      <c r="AR153" s="542">
        <v>0</v>
      </c>
      <c r="AS153" s="542">
        <v>75538</v>
      </c>
      <c r="AT153" s="542">
        <v>0</v>
      </c>
      <c r="AU153" s="542">
        <v>54229</v>
      </c>
      <c r="AV153" s="542">
        <v>27904</v>
      </c>
      <c r="AW153" s="542">
        <v>5533284</v>
      </c>
      <c r="AX153" s="542">
        <v>0</v>
      </c>
      <c r="AY153" s="542">
        <v>22548</v>
      </c>
      <c r="AZ153" s="542">
        <v>108835</v>
      </c>
      <c r="BA153" s="542">
        <v>30595</v>
      </c>
      <c r="BB153" s="542">
        <v>0</v>
      </c>
      <c r="BC153" s="542">
        <v>0</v>
      </c>
      <c r="BD153" s="542">
        <v>7725</v>
      </c>
      <c r="BE153" s="542">
        <v>0</v>
      </c>
      <c r="BF153" s="542">
        <v>0</v>
      </c>
      <c r="BG153" s="542">
        <v>0</v>
      </c>
      <c r="BH153" s="542">
        <v>0</v>
      </c>
      <c r="BI153" s="542">
        <v>0</v>
      </c>
      <c r="BJ153" s="542">
        <v>19530</v>
      </c>
      <c r="BK153" s="542">
        <v>0</v>
      </c>
      <c r="BL153" s="542">
        <v>0</v>
      </c>
      <c r="BM153" s="542">
        <v>956280</v>
      </c>
      <c r="BN153" s="542">
        <v>35255</v>
      </c>
      <c r="BO153" s="542">
        <v>4522</v>
      </c>
      <c r="BP153" s="542">
        <v>97782</v>
      </c>
      <c r="BQ153" s="542">
        <v>0</v>
      </c>
      <c r="BR153" s="542">
        <v>0</v>
      </c>
      <c r="BS153" s="542">
        <v>121026</v>
      </c>
      <c r="BT153" s="542">
        <v>239932</v>
      </c>
      <c r="BU153" s="542">
        <v>53808</v>
      </c>
      <c r="BV153" s="542">
        <v>170852</v>
      </c>
      <c r="BW153" s="542">
        <v>0</v>
      </c>
      <c r="BX153" s="542">
        <v>165006</v>
      </c>
      <c r="BY153" s="542">
        <v>32586</v>
      </c>
      <c r="BZ153" s="542">
        <v>0</v>
      </c>
      <c r="CA153" s="542">
        <v>0</v>
      </c>
      <c r="CB153" s="542">
        <v>7395</v>
      </c>
      <c r="CC153" s="542">
        <v>190401</v>
      </c>
      <c r="CD153" s="542">
        <v>0</v>
      </c>
      <c r="CE153" s="542">
        <v>0</v>
      </c>
    </row>
    <row r="154" spans="1:83" ht="30" x14ac:dyDescent="0.25">
      <c r="A154" s="640">
        <v>504</v>
      </c>
      <c r="B154" s="571">
        <v>504</v>
      </c>
      <c r="C154" s="536" t="s">
        <v>277</v>
      </c>
      <c r="D154" s="537" t="s">
        <v>552</v>
      </c>
      <c r="E154" s="543">
        <v>32584</v>
      </c>
      <c r="F154" s="544">
        <v>6561</v>
      </c>
      <c r="G154" s="544">
        <v>34247</v>
      </c>
      <c r="H154" s="544">
        <v>85462</v>
      </c>
      <c r="I154" s="544">
        <v>75000</v>
      </c>
      <c r="J154" s="544">
        <v>0</v>
      </c>
      <c r="K154" s="545">
        <v>0</v>
      </c>
      <c r="L154" s="542">
        <v>0</v>
      </c>
      <c r="M154" s="542">
        <v>18817</v>
      </c>
      <c r="N154" s="541">
        <v>1395280</v>
      </c>
      <c r="O154" s="541">
        <v>0</v>
      </c>
      <c r="P154" s="541">
        <v>657730</v>
      </c>
      <c r="Q154" s="541">
        <v>0</v>
      </c>
      <c r="R154" s="541">
        <v>2281335</v>
      </c>
      <c r="S154" s="541">
        <v>152413</v>
      </c>
      <c r="T154" s="541">
        <v>5125</v>
      </c>
      <c r="U154" s="541">
        <v>3817097</v>
      </c>
      <c r="V154" s="541">
        <v>1117599</v>
      </c>
      <c r="W154" s="541">
        <v>979262</v>
      </c>
      <c r="X154" s="541">
        <v>935194</v>
      </c>
      <c r="Y154" s="541">
        <v>0</v>
      </c>
      <c r="Z154" s="541">
        <v>547240</v>
      </c>
      <c r="AA154" s="541">
        <v>56047</v>
      </c>
      <c r="AB154" s="542">
        <v>194694</v>
      </c>
      <c r="AC154" s="542">
        <v>138012</v>
      </c>
      <c r="AD154" s="542">
        <v>1102032</v>
      </c>
      <c r="AE154" s="542">
        <v>115417</v>
      </c>
      <c r="AF154" s="542">
        <v>184981</v>
      </c>
      <c r="AG154" s="542">
        <v>200950</v>
      </c>
      <c r="AH154" s="542">
        <v>312551</v>
      </c>
      <c r="AI154" s="542">
        <v>54779</v>
      </c>
      <c r="AJ154" s="542">
        <v>1046342</v>
      </c>
      <c r="AK154" s="542">
        <v>19911</v>
      </c>
      <c r="AL154" s="542">
        <v>25989</v>
      </c>
      <c r="AM154" s="542">
        <v>0</v>
      </c>
      <c r="AN154" s="542">
        <v>727487</v>
      </c>
      <c r="AO154" s="542">
        <v>19593</v>
      </c>
      <c r="AP154" s="542">
        <v>0</v>
      </c>
      <c r="AQ154" s="542">
        <v>7212</v>
      </c>
      <c r="AR154" s="542">
        <v>274807</v>
      </c>
      <c r="AS154" s="542">
        <v>168020</v>
      </c>
      <c r="AT154" s="542">
        <v>0</v>
      </c>
      <c r="AU154" s="542">
        <v>87285</v>
      </c>
      <c r="AV154" s="542">
        <v>12792</v>
      </c>
      <c r="AW154" s="542">
        <v>412861</v>
      </c>
      <c r="AX154" s="542">
        <v>12087</v>
      </c>
      <c r="AY154" s="542">
        <v>73075</v>
      </c>
      <c r="AZ154" s="542">
        <v>1597855</v>
      </c>
      <c r="BA154" s="542">
        <v>62457</v>
      </c>
      <c r="BB154" s="542">
        <v>0</v>
      </c>
      <c r="BC154" s="542">
        <v>0</v>
      </c>
      <c r="BD154" s="542">
        <v>0</v>
      </c>
      <c r="BE154" s="542">
        <v>239327</v>
      </c>
      <c r="BF154" s="542">
        <v>16401</v>
      </c>
      <c r="BG154" s="542">
        <v>17641</v>
      </c>
      <c r="BH154" s="542">
        <v>9111</v>
      </c>
      <c r="BI154" s="542">
        <v>8069</v>
      </c>
      <c r="BJ154" s="542">
        <v>16479</v>
      </c>
      <c r="BK154" s="542">
        <v>18964</v>
      </c>
      <c r="BL154" s="542">
        <v>145032</v>
      </c>
      <c r="BM154" s="542">
        <v>43292</v>
      </c>
      <c r="BN154" s="542">
        <v>44449</v>
      </c>
      <c r="BO154" s="542">
        <v>119130</v>
      </c>
      <c r="BP154" s="542">
        <v>68361</v>
      </c>
      <c r="BQ154" s="542">
        <v>186000</v>
      </c>
      <c r="BR154" s="542">
        <v>518202</v>
      </c>
      <c r="BS154" s="542">
        <v>46858</v>
      </c>
      <c r="BT154" s="542">
        <v>2343460</v>
      </c>
      <c r="BU154" s="542">
        <v>219706</v>
      </c>
      <c r="BV154" s="542">
        <v>393894</v>
      </c>
      <c r="BW154" s="542">
        <v>0</v>
      </c>
      <c r="BX154" s="542">
        <v>108215</v>
      </c>
      <c r="BY154" s="542">
        <v>85715</v>
      </c>
      <c r="BZ154" s="542">
        <v>25281</v>
      </c>
      <c r="CA154" s="542">
        <v>0</v>
      </c>
      <c r="CB154" s="542">
        <v>7353</v>
      </c>
      <c r="CC154" s="542">
        <v>334379</v>
      </c>
      <c r="CD154" s="542">
        <v>0</v>
      </c>
      <c r="CE154" s="542">
        <v>4159</v>
      </c>
    </row>
    <row r="155" spans="1:83" ht="30" x14ac:dyDescent="0.25">
      <c r="A155" s="640">
        <v>505</v>
      </c>
      <c r="B155" s="571">
        <v>505</v>
      </c>
      <c r="C155" s="536" t="s">
        <v>278</v>
      </c>
      <c r="D155" s="537" t="s">
        <v>553</v>
      </c>
      <c r="E155" s="543">
        <v>0</v>
      </c>
      <c r="F155" s="544">
        <v>0</v>
      </c>
      <c r="G155" s="544">
        <v>50000</v>
      </c>
      <c r="H155" s="544">
        <v>0</v>
      </c>
      <c r="I155" s="544">
        <v>0</v>
      </c>
      <c r="J155" s="544">
        <v>49175</v>
      </c>
      <c r="K155" s="545">
        <v>0</v>
      </c>
      <c r="L155" s="542">
        <v>0</v>
      </c>
      <c r="M155" s="542">
        <v>0</v>
      </c>
      <c r="N155" s="541">
        <v>15008000</v>
      </c>
      <c r="O155" s="541">
        <v>13626</v>
      </c>
      <c r="P155" s="541">
        <v>229402</v>
      </c>
      <c r="Q155" s="541">
        <v>0</v>
      </c>
      <c r="R155" s="541">
        <v>1279350</v>
      </c>
      <c r="S155" s="541">
        <v>2787</v>
      </c>
      <c r="T155" s="541">
        <v>0</v>
      </c>
      <c r="U155" s="541">
        <v>0</v>
      </c>
      <c r="V155" s="541">
        <v>289522</v>
      </c>
      <c r="W155" s="541">
        <v>320312</v>
      </c>
      <c r="X155" s="541">
        <v>11459805</v>
      </c>
      <c r="Y155" s="541">
        <v>0</v>
      </c>
      <c r="Z155" s="541">
        <v>303914</v>
      </c>
      <c r="AA155" s="541">
        <v>0</v>
      </c>
      <c r="AB155" s="542">
        <v>684022</v>
      </c>
      <c r="AC155" s="542">
        <v>320121</v>
      </c>
      <c r="AD155" s="542">
        <v>0</v>
      </c>
      <c r="AE155" s="542">
        <v>35818</v>
      </c>
      <c r="AF155" s="542">
        <v>0</v>
      </c>
      <c r="AG155" s="542">
        <v>1281243</v>
      </c>
      <c r="AH155" s="542">
        <v>0</v>
      </c>
      <c r="AI155" s="542">
        <v>0</v>
      </c>
      <c r="AJ155" s="542">
        <v>3884401</v>
      </c>
      <c r="AK155" s="542">
        <v>0</v>
      </c>
      <c r="AL155" s="542">
        <v>0</v>
      </c>
      <c r="AM155" s="542">
        <v>0</v>
      </c>
      <c r="AN155" s="542">
        <v>207039</v>
      </c>
      <c r="AO155" s="542">
        <v>0</v>
      </c>
      <c r="AP155" s="542">
        <v>0</v>
      </c>
      <c r="AQ155" s="542">
        <v>0</v>
      </c>
      <c r="AR155" s="542">
        <v>0</v>
      </c>
      <c r="AS155" s="542">
        <v>103311</v>
      </c>
      <c r="AT155" s="542">
        <v>0</v>
      </c>
      <c r="AU155" s="542">
        <v>75077</v>
      </c>
      <c r="AV155" s="542">
        <v>0</v>
      </c>
      <c r="AW155" s="542">
        <v>4132910</v>
      </c>
      <c r="AX155" s="542">
        <v>8266</v>
      </c>
      <c r="AY155" s="542">
        <v>150000</v>
      </c>
      <c r="AZ155" s="542">
        <v>0</v>
      </c>
      <c r="BA155" s="542">
        <v>100000</v>
      </c>
      <c r="BB155" s="542">
        <v>0</v>
      </c>
      <c r="BC155" s="542">
        <v>0</v>
      </c>
      <c r="BD155" s="542">
        <v>0</v>
      </c>
      <c r="BE155" s="542">
        <v>5000</v>
      </c>
      <c r="BF155" s="542">
        <v>0</v>
      </c>
      <c r="BG155" s="542">
        <v>0</v>
      </c>
      <c r="BH155" s="542">
        <v>0</v>
      </c>
      <c r="BI155" s="542">
        <v>0</v>
      </c>
      <c r="BJ155" s="542">
        <v>0</v>
      </c>
      <c r="BK155" s="542">
        <v>0</v>
      </c>
      <c r="BL155" s="542">
        <v>0</v>
      </c>
      <c r="BM155" s="542">
        <v>0</v>
      </c>
      <c r="BN155" s="542">
        <v>34904</v>
      </c>
      <c r="BO155" s="542">
        <v>18600</v>
      </c>
      <c r="BP155" s="542">
        <v>0</v>
      </c>
      <c r="BQ155" s="542">
        <v>0</v>
      </c>
      <c r="BR155" s="542">
        <v>559349</v>
      </c>
      <c r="BS155" s="542">
        <v>69383</v>
      </c>
      <c r="BT155" s="542">
        <v>99835</v>
      </c>
      <c r="BU155" s="542">
        <v>0</v>
      </c>
      <c r="BV155" s="542">
        <v>22075</v>
      </c>
      <c r="BW155" s="542">
        <v>102572</v>
      </c>
      <c r="BX155" s="542">
        <v>0</v>
      </c>
      <c r="BY155" s="542">
        <v>4820</v>
      </c>
      <c r="BZ155" s="542">
        <v>0</v>
      </c>
      <c r="CA155" s="542">
        <v>0</v>
      </c>
      <c r="CB155" s="542">
        <v>0</v>
      </c>
      <c r="CC155" s="542">
        <v>0</v>
      </c>
      <c r="CD155" s="542">
        <v>0</v>
      </c>
      <c r="CE155" s="542">
        <v>0</v>
      </c>
    </row>
    <row r="156" spans="1:83" ht="30" x14ac:dyDescent="0.25">
      <c r="A156" s="640">
        <v>506</v>
      </c>
      <c r="B156" s="571">
        <v>506</v>
      </c>
      <c r="C156" s="536" t="s">
        <v>284</v>
      </c>
      <c r="D156" s="537" t="s">
        <v>554</v>
      </c>
      <c r="E156" s="543">
        <v>129528</v>
      </c>
      <c r="F156" s="544">
        <v>82149</v>
      </c>
      <c r="G156" s="544">
        <v>704125</v>
      </c>
      <c r="H156" s="544">
        <v>3434813</v>
      </c>
      <c r="I156" s="544">
        <v>4323708</v>
      </c>
      <c r="J156" s="544">
        <v>4324868</v>
      </c>
      <c r="K156" s="545">
        <v>96988</v>
      </c>
      <c r="L156" s="542">
        <v>748966</v>
      </c>
      <c r="M156" s="542">
        <v>871340</v>
      </c>
      <c r="N156" s="541">
        <v>7222220</v>
      </c>
      <c r="O156" s="541">
        <v>506252</v>
      </c>
      <c r="P156" s="541">
        <v>5774120</v>
      </c>
      <c r="Q156" s="541">
        <v>251464</v>
      </c>
      <c r="R156" s="541">
        <v>24993135</v>
      </c>
      <c r="S156" s="541">
        <v>1453976</v>
      </c>
      <c r="T156" s="541">
        <v>203605</v>
      </c>
      <c r="U156" s="541">
        <v>27127319</v>
      </c>
      <c r="V156" s="541">
        <v>8407246</v>
      </c>
      <c r="W156" s="541">
        <v>16009671</v>
      </c>
      <c r="X156" s="541">
        <v>24517081</v>
      </c>
      <c r="Y156" s="541">
        <v>0</v>
      </c>
      <c r="Z156" s="541">
        <v>11285983</v>
      </c>
      <c r="AA156" s="541">
        <v>1364163</v>
      </c>
      <c r="AB156" s="542">
        <v>9404178</v>
      </c>
      <c r="AC156" s="542">
        <v>249689</v>
      </c>
      <c r="AD156" s="542">
        <v>1460326</v>
      </c>
      <c r="AE156" s="542">
        <v>705702</v>
      </c>
      <c r="AF156" s="542">
        <v>2735276</v>
      </c>
      <c r="AG156" s="542">
        <v>8706965</v>
      </c>
      <c r="AH156" s="542">
        <v>4545656</v>
      </c>
      <c r="AI156" s="542">
        <v>735407</v>
      </c>
      <c r="AJ156" s="542">
        <v>16942553</v>
      </c>
      <c r="AK156" s="542">
        <v>2753253</v>
      </c>
      <c r="AL156" s="542">
        <v>586653</v>
      </c>
      <c r="AM156" s="542">
        <v>0</v>
      </c>
      <c r="AN156" s="542">
        <v>7170083</v>
      </c>
      <c r="AO156" s="542">
        <v>555703</v>
      </c>
      <c r="AP156" s="542">
        <v>0</v>
      </c>
      <c r="AQ156" s="542">
        <v>80867</v>
      </c>
      <c r="AR156" s="542">
        <v>1620646</v>
      </c>
      <c r="AS156" s="542">
        <v>15588725</v>
      </c>
      <c r="AT156" s="542">
        <v>0</v>
      </c>
      <c r="AU156" s="542">
        <v>1062081</v>
      </c>
      <c r="AV156" s="542">
        <v>346830</v>
      </c>
      <c r="AW156" s="542">
        <v>11526449</v>
      </c>
      <c r="AX156" s="542">
        <v>3537955</v>
      </c>
      <c r="AY156" s="542">
        <v>1011330</v>
      </c>
      <c r="AZ156" s="542">
        <v>14125976</v>
      </c>
      <c r="BA156" s="542">
        <v>1888718</v>
      </c>
      <c r="BB156" s="542">
        <v>0</v>
      </c>
      <c r="BC156" s="542">
        <v>88430</v>
      </c>
      <c r="BD156" s="542">
        <v>275454</v>
      </c>
      <c r="BE156" s="542">
        <v>3248985</v>
      </c>
      <c r="BF156" s="542">
        <v>437697</v>
      </c>
      <c r="BG156" s="542">
        <v>705937</v>
      </c>
      <c r="BH156" s="542">
        <v>105323</v>
      </c>
      <c r="BI156" s="542">
        <v>266786</v>
      </c>
      <c r="BJ156" s="542">
        <v>452871</v>
      </c>
      <c r="BK156" s="542">
        <v>219285</v>
      </c>
      <c r="BL156" s="542">
        <v>1309704</v>
      </c>
      <c r="BM156" s="542">
        <v>131108</v>
      </c>
      <c r="BN156" s="542">
        <v>597802</v>
      </c>
      <c r="BO156" s="542">
        <v>2513447</v>
      </c>
      <c r="BP156" s="542">
        <v>682895</v>
      </c>
      <c r="BQ156" s="542">
        <v>1827425</v>
      </c>
      <c r="BR156" s="542">
        <v>9920227</v>
      </c>
      <c r="BS156" s="542">
        <v>491214</v>
      </c>
      <c r="BT156" s="542">
        <v>18211074</v>
      </c>
      <c r="BU156" s="542">
        <v>567969</v>
      </c>
      <c r="BV156" s="542">
        <v>4747993</v>
      </c>
      <c r="BW156" s="542">
        <v>1081651</v>
      </c>
      <c r="BX156" s="542">
        <v>925273</v>
      </c>
      <c r="BY156" s="542">
        <v>1575596</v>
      </c>
      <c r="BZ156" s="542">
        <v>157282</v>
      </c>
      <c r="CA156" s="542">
        <v>0</v>
      </c>
      <c r="CB156" s="542">
        <v>89850</v>
      </c>
      <c r="CC156" s="542">
        <v>312224</v>
      </c>
      <c r="CD156" s="542">
        <v>0</v>
      </c>
      <c r="CE156" s="542">
        <v>342372</v>
      </c>
    </row>
    <row r="157" spans="1:83" ht="30" x14ac:dyDescent="0.25">
      <c r="A157" s="640">
        <v>507</v>
      </c>
      <c r="B157" s="571">
        <v>507</v>
      </c>
      <c r="C157" s="536" t="s">
        <v>302</v>
      </c>
      <c r="D157" s="537" t="s">
        <v>555</v>
      </c>
      <c r="E157" s="543">
        <v>0</v>
      </c>
      <c r="F157" s="544">
        <v>84284</v>
      </c>
      <c r="G157" s="544">
        <v>0</v>
      </c>
      <c r="H157" s="544">
        <v>0</v>
      </c>
      <c r="I157" s="544">
        <v>-1</v>
      </c>
      <c r="J157" s="544">
        <v>0</v>
      </c>
      <c r="K157" s="545">
        <v>0</v>
      </c>
      <c r="L157" s="542">
        <v>0</v>
      </c>
      <c r="M157" s="542">
        <v>0</v>
      </c>
      <c r="N157" s="541">
        <v>0</v>
      </c>
      <c r="O157" s="541">
        <v>0</v>
      </c>
      <c r="P157" s="541">
        <v>-1</v>
      </c>
      <c r="Q157" s="541">
        <v>1</v>
      </c>
      <c r="R157" s="541">
        <v>0</v>
      </c>
      <c r="S157" s="541">
        <v>0</v>
      </c>
      <c r="T157" s="541">
        <v>0</v>
      </c>
      <c r="U157" s="541">
        <v>0</v>
      </c>
      <c r="V157" s="541">
        <v>0</v>
      </c>
      <c r="W157" s="541">
        <v>0</v>
      </c>
      <c r="X157" s="541">
        <v>2514188</v>
      </c>
      <c r="Y157" s="541">
        <v>0</v>
      </c>
      <c r="Z157" s="541">
        <v>0</v>
      </c>
      <c r="AA157" s="541">
        <v>0</v>
      </c>
      <c r="AB157" s="542">
        <v>0</v>
      </c>
      <c r="AC157" s="542">
        <v>-731523</v>
      </c>
      <c r="AD157" s="542">
        <v>0</v>
      </c>
      <c r="AE157" s="542">
        <v>-98</v>
      </c>
      <c r="AF157" s="542">
        <v>0</v>
      </c>
      <c r="AG157" s="542">
        <v>0</v>
      </c>
      <c r="AH157" s="542">
        <v>0</v>
      </c>
      <c r="AI157" s="542">
        <v>0</v>
      </c>
      <c r="AJ157" s="542">
        <v>0</v>
      </c>
      <c r="AK157" s="542">
        <v>0</v>
      </c>
      <c r="AL157" s="542">
        <v>0</v>
      </c>
      <c r="AM157" s="542">
        <v>0</v>
      </c>
      <c r="AN157" s="542">
        <v>0</v>
      </c>
      <c r="AO157" s="542">
        <v>0</v>
      </c>
      <c r="AP157" s="542">
        <v>0</v>
      </c>
      <c r="AQ157" s="542">
        <v>0</v>
      </c>
      <c r="AR157" s="542">
        <v>0</v>
      </c>
      <c r="AS157" s="542">
        <v>0</v>
      </c>
      <c r="AT157" s="542">
        <v>0</v>
      </c>
      <c r="AU157" s="542">
        <v>0</v>
      </c>
      <c r="AV157" s="542">
        <v>0</v>
      </c>
      <c r="AW157" s="542">
        <v>0</v>
      </c>
      <c r="AX157" s="542">
        <v>0</v>
      </c>
      <c r="AY157" s="542">
        <v>1</v>
      </c>
      <c r="AZ157" s="542">
        <v>0</v>
      </c>
      <c r="BA157" s="542">
        <v>0</v>
      </c>
      <c r="BB157" s="542">
        <v>0</v>
      </c>
      <c r="BC157" s="542">
        <v>0</v>
      </c>
      <c r="BD157" s="542">
        <v>0</v>
      </c>
      <c r="BE157" s="542">
        <v>0</v>
      </c>
      <c r="BF157" s="542">
        <v>0</v>
      </c>
      <c r="BG157" s="542">
        <v>0</v>
      </c>
      <c r="BH157" s="542">
        <v>0</v>
      </c>
      <c r="BI157" s="542">
        <v>0</v>
      </c>
      <c r="BJ157" s="542">
        <v>0</v>
      </c>
      <c r="BK157" s="542">
        <v>0</v>
      </c>
      <c r="BL157" s="542">
        <v>0</v>
      </c>
      <c r="BM157" s="542">
        <v>0</v>
      </c>
      <c r="BN157" s="542">
        <v>0</v>
      </c>
      <c r="BO157" s="542">
        <v>0</v>
      </c>
      <c r="BP157" s="542">
        <v>2</v>
      </c>
      <c r="BQ157" s="542">
        <v>0</v>
      </c>
      <c r="BR157" s="542">
        <v>0</v>
      </c>
      <c r="BS157" s="542">
        <v>0</v>
      </c>
      <c r="BT157" s="542">
        <v>0</v>
      </c>
      <c r="BU157" s="542">
        <v>0</v>
      </c>
      <c r="BV157" s="542">
        <v>0</v>
      </c>
      <c r="BW157" s="542">
        <v>0</v>
      </c>
      <c r="BX157" s="542">
        <v>0</v>
      </c>
      <c r="BY157" s="542">
        <v>0</v>
      </c>
      <c r="BZ157" s="542">
        <v>0</v>
      </c>
      <c r="CA157" s="542">
        <v>0</v>
      </c>
      <c r="CB157" s="542">
        <v>0</v>
      </c>
      <c r="CC157" s="542">
        <v>0</v>
      </c>
      <c r="CD157" s="542">
        <v>0</v>
      </c>
      <c r="CE157" s="542">
        <v>0</v>
      </c>
    </row>
    <row r="158" spans="1:83" ht="30" x14ac:dyDescent="0.25">
      <c r="A158" s="640">
        <v>508</v>
      </c>
      <c r="B158" s="571">
        <v>508</v>
      </c>
      <c r="C158" s="536" t="s">
        <v>299</v>
      </c>
      <c r="D158" s="537" t="s">
        <v>556</v>
      </c>
      <c r="E158" s="543">
        <v>0</v>
      </c>
      <c r="F158" s="544">
        <v>0</v>
      </c>
      <c r="G158" s="544">
        <v>0</v>
      </c>
      <c r="H158" s="544">
        <v>0</v>
      </c>
      <c r="I158" s="544">
        <v>0</v>
      </c>
      <c r="J158" s="544">
        <v>0</v>
      </c>
      <c r="K158" s="545">
        <v>0</v>
      </c>
      <c r="L158" s="542">
        <v>0</v>
      </c>
      <c r="M158" s="542">
        <v>0</v>
      </c>
      <c r="N158" s="541">
        <v>0</v>
      </c>
      <c r="O158" s="541">
        <v>0</v>
      </c>
      <c r="P158" s="541">
        <v>0</v>
      </c>
      <c r="Q158" s="541">
        <v>0</v>
      </c>
      <c r="R158" s="541">
        <v>0</v>
      </c>
      <c r="S158" s="541">
        <v>0</v>
      </c>
      <c r="T158" s="541">
        <v>0</v>
      </c>
      <c r="U158" s="541">
        <v>0</v>
      </c>
      <c r="V158" s="541">
        <v>0</v>
      </c>
      <c r="W158" s="541">
        <v>0</v>
      </c>
      <c r="X158" s="541">
        <v>0</v>
      </c>
      <c r="Y158" s="541">
        <v>0</v>
      </c>
      <c r="Z158" s="541">
        <v>0</v>
      </c>
      <c r="AA158" s="541">
        <v>0</v>
      </c>
      <c r="AB158" s="542">
        <v>0</v>
      </c>
      <c r="AC158" s="542">
        <v>0</v>
      </c>
      <c r="AD158" s="542">
        <v>0</v>
      </c>
      <c r="AE158" s="542">
        <v>0</v>
      </c>
      <c r="AF158" s="542">
        <v>0</v>
      </c>
      <c r="AG158" s="542">
        <v>0</v>
      </c>
      <c r="AH158" s="542">
        <v>0</v>
      </c>
      <c r="AI158" s="542">
        <v>0</v>
      </c>
      <c r="AJ158" s="542">
        <v>0</v>
      </c>
      <c r="AK158" s="542">
        <v>0</v>
      </c>
      <c r="AL158" s="542">
        <v>0</v>
      </c>
      <c r="AM158" s="542">
        <v>0</v>
      </c>
      <c r="AN158" s="542">
        <v>0</v>
      </c>
      <c r="AO158" s="542">
        <v>0</v>
      </c>
      <c r="AP158" s="542">
        <v>0</v>
      </c>
      <c r="AQ158" s="542">
        <v>0</v>
      </c>
      <c r="AR158" s="542">
        <v>0</v>
      </c>
      <c r="AS158" s="542">
        <v>0</v>
      </c>
      <c r="AT158" s="542">
        <v>0</v>
      </c>
      <c r="AU158" s="542">
        <v>0</v>
      </c>
      <c r="AV158" s="542">
        <v>0</v>
      </c>
      <c r="AW158" s="542">
        <v>0</v>
      </c>
      <c r="AX158" s="542">
        <v>0</v>
      </c>
      <c r="AY158" s="542">
        <v>0</v>
      </c>
      <c r="AZ158" s="542">
        <v>0</v>
      </c>
      <c r="BA158" s="542">
        <v>0</v>
      </c>
      <c r="BB158" s="542">
        <v>0</v>
      </c>
      <c r="BC158" s="542">
        <v>0</v>
      </c>
      <c r="BD158" s="542">
        <v>0</v>
      </c>
      <c r="BE158" s="542">
        <v>0</v>
      </c>
      <c r="BF158" s="542">
        <v>0</v>
      </c>
      <c r="BG158" s="542">
        <v>0</v>
      </c>
      <c r="BH158" s="542">
        <v>0</v>
      </c>
      <c r="BI158" s="542">
        <v>0</v>
      </c>
      <c r="BJ158" s="542">
        <v>0</v>
      </c>
      <c r="BK158" s="542">
        <v>0</v>
      </c>
      <c r="BL158" s="542">
        <v>0</v>
      </c>
      <c r="BM158" s="542">
        <v>0</v>
      </c>
      <c r="BN158" s="542">
        <v>0</v>
      </c>
      <c r="BO158" s="542">
        <v>0</v>
      </c>
      <c r="BP158" s="542">
        <v>0</v>
      </c>
      <c r="BQ158" s="542">
        <v>0</v>
      </c>
      <c r="BR158" s="542">
        <v>0</v>
      </c>
      <c r="BS158" s="542">
        <v>0</v>
      </c>
      <c r="BT158" s="542">
        <v>0</v>
      </c>
      <c r="BU158" s="542">
        <v>0</v>
      </c>
      <c r="BV158" s="542">
        <v>0</v>
      </c>
      <c r="BW158" s="542">
        <v>0</v>
      </c>
      <c r="BX158" s="542">
        <v>0</v>
      </c>
      <c r="BY158" s="542">
        <v>0</v>
      </c>
      <c r="BZ158" s="542">
        <v>0</v>
      </c>
      <c r="CA158" s="542">
        <v>0</v>
      </c>
      <c r="CB158" s="542">
        <v>0</v>
      </c>
      <c r="CC158" s="542">
        <v>0</v>
      </c>
      <c r="CD158" s="542">
        <v>0</v>
      </c>
      <c r="CE158" s="542">
        <v>0</v>
      </c>
    </row>
    <row r="159" spans="1:83" ht="30" x14ac:dyDescent="0.25">
      <c r="A159" s="640">
        <v>509</v>
      </c>
      <c r="B159" s="571">
        <v>509</v>
      </c>
      <c r="C159" s="536" t="s">
        <v>300</v>
      </c>
      <c r="D159" s="537" t="s">
        <v>557</v>
      </c>
      <c r="E159" s="543">
        <v>0</v>
      </c>
      <c r="F159" s="544">
        <v>0</v>
      </c>
      <c r="G159" s="544">
        <v>0</v>
      </c>
      <c r="H159" s="544">
        <v>0</v>
      </c>
      <c r="I159" s="544">
        <v>0</v>
      </c>
      <c r="J159" s="544">
        <v>0</v>
      </c>
      <c r="K159" s="545">
        <v>0</v>
      </c>
      <c r="L159" s="542">
        <v>0</v>
      </c>
      <c r="M159" s="542">
        <v>0</v>
      </c>
      <c r="N159" s="541">
        <v>0</v>
      </c>
      <c r="O159" s="541">
        <v>0</v>
      </c>
      <c r="P159" s="541">
        <v>0</v>
      </c>
      <c r="Q159" s="541">
        <v>0</v>
      </c>
      <c r="R159" s="541">
        <v>0</v>
      </c>
      <c r="S159" s="541">
        <v>0</v>
      </c>
      <c r="T159" s="541">
        <v>0</v>
      </c>
      <c r="U159" s="541">
        <v>0</v>
      </c>
      <c r="V159" s="541">
        <v>0</v>
      </c>
      <c r="W159" s="541">
        <v>0</v>
      </c>
      <c r="X159" s="541">
        <v>0</v>
      </c>
      <c r="Y159" s="541">
        <v>0</v>
      </c>
      <c r="Z159" s="541">
        <v>0</v>
      </c>
      <c r="AA159" s="541">
        <v>0</v>
      </c>
      <c r="AB159" s="542">
        <v>0</v>
      </c>
      <c r="AC159" s="542">
        <v>0</v>
      </c>
      <c r="AD159" s="542">
        <v>0</v>
      </c>
      <c r="AE159" s="542">
        <v>0</v>
      </c>
      <c r="AF159" s="542">
        <v>0</v>
      </c>
      <c r="AG159" s="542">
        <v>0</v>
      </c>
      <c r="AH159" s="542">
        <v>0</v>
      </c>
      <c r="AI159" s="542">
        <v>0</v>
      </c>
      <c r="AJ159" s="542">
        <v>0</v>
      </c>
      <c r="AK159" s="542">
        <v>0</v>
      </c>
      <c r="AL159" s="542">
        <v>0</v>
      </c>
      <c r="AM159" s="542">
        <v>0</v>
      </c>
      <c r="AN159" s="542">
        <v>0</v>
      </c>
      <c r="AO159" s="542">
        <v>0</v>
      </c>
      <c r="AP159" s="542">
        <v>0</v>
      </c>
      <c r="AQ159" s="542">
        <v>0</v>
      </c>
      <c r="AR159" s="542">
        <v>0</v>
      </c>
      <c r="AS159" s="542">
        <v>0</v>
      </c>
      <c r="AT159" s="542">
        <v>0</v>
      </c>
      <c r="AU159" s="542">
        <v>0</v>
      </c>
      <c r="AV159" s="542">
        <v>0</v>
      </c>
      <c r="AW159" s="542">
        <v>0</v>
      </c>
      <c r="AX159" s="542">
        <v>0</v>
      </c>
      <c r="AY159" s="542">
        <v>0</v>
      </c>
      <c r="AZ159" s="542">
        <v>0</v>
      </c>
      <c r="BA159" s="542">
        <v>0</v>
      </c>
      <c r="BB159" s="542">
        <v>0</v>
      </c>
      <c r="BC159" s="542">
        <v>0</v>
      </c>
      <c r="BD159" s="542">
        <v>0</v>
      </c>
      <c r="BE159" s="542">
        <v>0</v>
      </c>
      <c r="BF159" s="542">
        <v>0</v>
      </c>
      <c r="BG159" s="542">
        <v>0</v>
      </c>
      <c r="BH159" s="542">
        <v>0</v>
      </c>
      <c r="BI159" s="542">
        <v>0</v>
      </c>
      <c r="BJ159" s="542">
        <v>0</v>
      </c>
      <c r="BK159" s="542">
        <v>0</v>
      </c>
      <c r="BL159" s="542">
        <v>0</v>
      </c>
      <c r="BM159" s="542">
        <v>0</v>
      </c>
      <c r="BN159" s="542">
        <v>0</v>
      </c>
      <c r="BO159" s="542">
        <v>0</v>
      </c>
      <c r="BP159" s="542">
        <v>0</v>
      </c>
      <c r="BQ159" s="542">
        <v>0</v>
      </c>
      <c r="BR159" s="542">
        <v>0</v>
      </c>
      <c r="BS159" s="542">
        <v>0</v>
      </c>
      <c r="BT159" s="542">
        <v>0</v>
      </c>
      <c r="BU159" s="542">
        <v>0</v>
      </c>
      <c r="BV159" s="542">
        <v>0</v>
      </c>
      <c r="BW159" s="542">
        <v>0</v>
      </c>
      <c r="BX159" s="542">
        <v>0</v>
      </c>
      <c r="BY159" s="542">
        <v>0</v>
      </c>
      <c r="BZ159" s="542">
        <v>0</v>
      </c>
      <c r="CA159" s="542">
        <v>0</v>
      </c>
      <c r="CB159" s="542">
        <v>0</v>
      </c>
      <c r="CC159" s="542">
        <v>0</v>
      </c>
      <c r="CD159" s="542">
        <v>0</v>
      </c>
      <c r="CE159" s="542">
        <v>0</v>
      </c>
    </row>
    <row r="160" spans="1:83" ht="30" x14ac:dyDescent="0.25">
      <c r="A160" s="640">
        <v>510</v>
      </c>
      <c r="B160" s="571">
        <v>510</v>
      </c>
      <c r="C160" s="536" t="s">
        <v>306</v>
      </c>
      <c r="D160" s="537" t="s">
        <v>558</v>
      </c>
      <c r="E160" s="543">
        <v>2046</v>
      </c>
      <c r="F160" s="544">
        <v>0</v>
      </c>
      <c r="G160" s="544">
        <v>0</v>
      </c>
      <c r="H160" s="544">
        <v>0</v>
      </c>
      <c r="I160" s="544">
        <v>0</v>
      </c>
      <c r="J160" s="544">
        <v>0</v>
      </c>
      <c r="K160" s="545">
        <v>30924</v>
      </c>
      <c r="L160" s="542">
        <v>0</v>
      </c>
      <c r="M160" s="542">
        <v>0</v>
      </c>
      <c r="N160" s="541">
        <v>0</v>
      </c>
      <c r="O160" s="541">
        <v>0</v>
      </c>
      <c r="P160" s="541">
        <v>49172</v>
      </c>
      <c r="Q160" s="541">
        <v>0</v>
      </c>
      <c r="R160" s="541">
        <v>316551</v>
      </c>
      <c r="S160" s="541">
        <v>17279</v>
      </c>
      <c r="T160" s="541">
        <v>0</v>
      </c>
      <c r="U160" s="541">
        <v>352346</v>
      </c>
      <c r="V160" s="541">
        <v>259538</v>
      </c>
      <c r="W160" s="541">
        <v>40422</v>
      </c>
      <c r="X160" s="541">
        <v>0</v>
      </c>
      <c r="Y160" s="541">
        <v>0</v>
      </c>
      <c r="Z160" s="541">
        <v>309966</v>
      </c>
      <c r="AA160" s="541">
        <v>20590</v>
      </c>
      <c r="AB160" s="542">
        <v>64701</v>
      </c>
      <c r="AC160" s="542">
        <v>0</v>
      </c>
      <c r="AD160" s="542">
        <v>0</v>
      </c>
      <c r="AE160" s="542">
        <v>0</v>
      </c>
      <c r="AF160" s="542">
        <v>0</v>
      </c>
      <c r="AG160" s="542">
        <v>62172</v>
      </c>
      <c r="AH160" s="542">
        <v>0</v>
      </c>
      <c r="AI160" s="542">
        <v>0</v>
      </c>
      <c r="AJ160" s="542">
        <v>0</v>
      </c>
      <c r="AK160" s="542">
        <v>0</v>
      </c>
      <c r="AL160" s="542">
        <v>663</v>
      </c>
      <c r="AM160" s="542">
        <v>0</v>
      </c>
      <c r="AN160" s="542">
        <v>122481</v>
      </c>
      <c r="AO160" s="542">
        <v>0</v>
      </c>
      <c r="AP160" s="542">
        <v>0</v>
      </c>
      <c r="AQ160" s="542">
        <v>0</v>
      </c>
      <c r="AR160" s="542">
        <v>0</v>
      </c>
      <c r="AS160" s="542">
        <v>36954</v>
      </c>
      <c r="AT160" s="542">
        <v>0</v>
      </c>
      <c r="AU160" s="542">
        <v>93911</v>
      </c>
      <c r="AV160" s="542">
        <v>0</v>
      </c>
      <c r="AW160" s="542">
        <v>502609</v>
      </c>
      <c r="AX160" s="542">
        <v>0</v>
      </c>
      <c r="AY160" s="542">
        <v>35763</v>
      </c>
      <c r="AZ160" s="542">
        <v>33944</v>
      </c>
      <c r="BA160" s="542">
        <v>16196</v>
      </c>
      <c r="BB160" s="542">
        <v>0</v>
      </c>
      <c r="BC160" s="542">
        <v>0</v>
      </c>
      <c r="BD160" s="542">
        <v>0</v>
      </c>
      <c r="BE160" s="542">
        <v>142905</v>
      </c>
      <c r="BF160" s="542">
        <v>0</v>
      </c>
      <c r="BG160" s="542">
        <v>0</v>
      </c>
      <c r="BH160" s="542">
        <v>0</v>
      </c>
      <c r="BI160" s="542">
        <v>0</v>
      </c>
      <c r="BJ160" s="542">
        <v>0</v>
      </c>
      <c r="BK160" s="542">
        <v>0</v>
      </c>
      <c r="BL160" s="542">
        <v>87357</v>
      </c>
      <c r="BM160" s="542">
        <v>10395</v>
      </c>
      <c r="BN160" s="542">
        <v>0</v>
      </c>
      <c r="BO160" s="542">
        <v>0</v>
      </c>
      <c r="BP160" s="542">
        <v>9944</v>
      </c>
      <c r="BQ160" s="542">
        <v>0</v>
      </c>
      <c r="BR160" s="542">
        <v>0</v>
      </c>
      <c r="BS160" s="542">
        <v>21329</v>
      </c>
      <c r="BT160" s="542">
        <v>0</v>
      </c>
      <c r="BU160" s="542">
        <v>6704</v>
      </c>
      <c r="BV160" s="542">
        <v>0</v>
      </c>
      <c r="BW160" s="542">
        <v>0</v>
      </c>
      <c r="BX160" s="542">
        <v>9061</v>
      </c>
      <c r="BY160" s="542">
        <v>29386</v>
      </c>
      <c r="BZ160" s="542">
        <v>12353</v>
      </c>
      <c r="CA160" s="542">
        <v>0</v>
      </c>
      <c r="CB160" s="542">
        <v>0</v>
      </c>
      <c r="CC160" s="542">
        <v>18707</v>
      </c>
      <c r="CD160" s="542">
        <v>0</v>
      </c>
      <c r="CE160" s="542">
        <v>0</v>
      </c>
    </row>
    <row r="161" spans="1:83" ht="30" x14ac:dyDescent="0.25">
      <c r="A161" s="640">
        <v>511</v>
      </c>
      <c r="B161" s="571">
        <v>511</v>
      </c>
      <c r="C161" s="536" t="s">
        <v>311</v>
      </c>
      <c r="D161" s="537" t="s">
        <v>559</v>
      </c>
      <c r="E161" s="543">
        <v>0</v>
      </c>
      <c r="F161" s="544">
        <v>0</v>
      </c>
      <c r="G161" s="544">
        <v>0</v>
      </c>
      <c r="H161" s="544">
        <v>0</v>
      </c>
      <c r="I161" s="544">
        <v>0</v>
      </c>
      <c r="J161" s="544">
        <v>0</v>
      </c>
      <c r="K161" s="545">
        <v>0</v>
      </c>
      <c r="L161" s="542">
        <v>0</v>
      </c>
      <c r="M161" s="542">
        <v>0</v>
      </c>
      <c r="N161" s="541">
        <v>0</v>
      </c>
      <c r="O161" s="541">
        <v>0</v>
      </c>
      <c r="P161" s="541">
        <v>0</v>
      </c>
      <c r="Q161" s="541">
        <v>0</v>
      </c>
      <c r="R161" s="541">
        <v>3308153</v>
      </c>
      <c r="S161" s="541">
        <v>0</v>
      </c>
      <c r="T161" s="541">
        <v>0</v>
      </c>
      <c r="U161" s="541">
        <v>0</v>
      </c>
      <c r="V161" s="541">
        <v>0</v>
      </c>
      <c r="W161" s="541">
        <v>22610</v>
      </c>
      <c r="X161" s="541">
        <v>0</v>
      </c>
      <c r="Y161" s="541">
        <v>0</v>
      </c>
      <c r="Z161" s="541">
        <v>0</v>
      </c>
      <c r="AA161" s="541">
        <v>0</v>
      </c>
      <c r="AB161" s="542">
        <v>0</v>
      </c>
      <c r="AC161" s="542">
        <v>0</v>
      </c>
      <c r="AD161" s="542">
        <v>0</v>
      </c>
      <c r="AE161" s="542">
        <v>0</v>
      </c>
      <c r="AF161" s="542">
        <v>0</v>
      </c>
      <c r="AG161" s="542">
        <v>0</v>
      </c>
      <c r="AH161" s="542">
        <v>0</v>
      </c>
      <c r="AI161" s="542">
        <v>0</v>
      </c>
      <c r="AJ161" s="542">
        <v>2241845</v>
      </c>
      <c r="AK161" s="542">
        <v>0</v>
      </c>
      <c r="AL161" s="542">
        <v>0</v>
      </c>
      <c r="AM161" s="542">
        <v>0</v>
      </c>
      <c r="AN161" s="542">
        <v>678286</v>
      </c>
      <c r="AO161" s="542">
        <v>0</v>
      </c>
      <c r="AP161" s="542">
        <v>0</v>
      </c>
      <c r="AQ161" s="542">
        <v>0</v>
      </c>
      <c r="AR161" s="542">
        <v>0</v>
      </c>
      <c r="AS161" s="542">
        <v>0</v>
      </c>
      <c r="AT161" s="542">
        <v>0</v>
      </c>
      <c r="AU161" s="542">
        <v>0</v>
      </c>
      <c r="AV161" s="542">
        <v>0</v>
      </c>
      <c r="AW161" s="542">
        <v>0</v>
      </c>
      <c r="AX161" s="542">
        <v>0</v>
      </c>
      <c r="AY161" s="542">
        <v>0</v>
      </c>
      <c r="AZ161" s="542">
        <v>0</v>
      </c>
      <c r="BA161" s="542">
        <v>0</v>
      </c>
      <c r="BB161" s="542">
        <v>0</v>
      </c>
      <c r="BC161" s="542">
        <v>0</v>
      </c>
      <c r="BD161" s="542">
        <v>0</v>
      </c>
      <c r="BE161" s="542">
        <v>0</v>
      </c>
      <c r="BF161" s="542">
        <v>0</v>
      </c>
      <c r="BG161" s="542">
        <v>0</v>
      </c>
      <c r="BH161" s="542">
        <v>0</v>
      </c>
      <c r="BI161" s="542">
        <v>0</v>
      </c>
      <c r="BJ161" s="542">
        <v>0</v>
      </c>
      <c r="BK161" s="542">
        <v>0</v>
      </c>
      <c r="BL161" s="542">
        <v>0</v>
      </c>
      <c r="BM161" s="542">
        <v>4493</v>
      </c>
      <c r="BN161" s="542">
        <v>0</v>
      </c>
      <c r="BO161" s="542">
        <v>0</v>
      </c>
      <c r="BP161" s="542">
        <v>0</v>
      </c>
      <c r="BQ161" s="542">
        <v>0</v>
      </c>
      <c r="BR161" s="542">
        <v>0</v>
      </c>
      <c r="BS161" s="542">
        <v>33482</v>
      </c>
      <c r="BT161" s="542">
        <v>445836</v>
      </c>
      <c r="BU161" s="542">
        <v>0</v>
      </c>
      <c r="BV161" s="542">
        <v>0</v>
      </c>
      <c r="BW161" s="542">
        <v>0</v>
      </c>
      <c r="BX161" s="542">
        <v>0</v>
      </c>
      <c r="BY161" s="542">
        <v>0</v>
      </c>
      <c r="BZ161" s="542">
        <v>0</v>
      </c>
      <c r="CA161" s="542">
        <v>0</v>
      </c>
      <c r="CB161" s="542">
        <v>0</v>
      </c>
      <c r="CC161" s="542">
        <v>0</v>
      </c>
      <c r="CD161" s="542">
        <v>0</v>
      </c>
      <c r="CE161" s="542">
        <v>0</v>
      </c>
    </row>
    <row r="162" spans="1:83" ht="30" x14ac:dyDescent="0.25">
      <c r="A162" s="640">
        <v>512</v>
      </c>
      <c r="B162" s="571">
        <v>512</v>
      </c>
      <c r="C162" s="536" t="s">
        <v>338</v>
      </c>
      <c r="D162" s="537" t="s">
        <v>560</v>
      </c>
      <c r="E162" s="543">
        <v>0</v>
      </c>
      <c r="F162" s="544">
        <v>0</v>
      </c>
      <c r="G162" s="544">
        <v>0</v>
      </c>
      <c r="H162" s="544">
        <v>0</v>
      </c>
      <c r="I162" s="544">
        <v>0</v>
      </c>
      <c r="J162" s="544">
        <v>0</v>
      </c>
      <c r="K162" s="545">
        <v>0</v>
      </c>
      <c r="L162" s="542">
        <v>0</v>
      </c>
      <c r="M162" s="542">
        <v>0</v>
      </c>
      <c r="N162" s="541">
        <v>0</v>
      </c>
      <c r="O162" s="541">
        <v>0</v>
      </c>
      <c r="P162" s="541">
        <v>0</v>
      </c>
      <c r="Q162" s="541">
        <v>0</v>
      </c>
      <c r="R162" s="541">
        <v>0</v>
      </c>
      <c r="S162" s="541">
        <v>20461</v>
      </c>
      <c r="T162" s="541">
        <v>0</v>
      </c>
      <c r="U162" s="541">
        <v>189493</v>
      </c>
      <c r="V162" s="541">
        <v>0</v>
      </c>
      <c r="W162" s="541">
        <v>0</v>
      </c>
      <c r="X162" s="541">
        <v>0</v>
      </c>
      <c r="Y162" s="541">
        <v>0</v>
      </c>
      <c r="Z162" s="541">
        <v>29491</v>
      </c>
      <c r="AA162" s="541">
        <v>0</v>
      </c>
      <c r="AB162" s="542">
        <v>0</v>
      </c>
      <c r="AC162" s="542">
        <v>0</v>
      </c>
      <c r="AD162" s="542">
        <v>0</v>
      </c>
      <c r="AE162" s="542">
        <v>0</v>
      </c>
      <c r="AF162" s="542">
        <v>0</v>
      </c>
      <c r="AG162" s="542">
        <v>0</v>
      </c>
      <c r="AH162" s="542">
        <v>527</v>
      </c>
      <c r="AI162" s="542">
        <v>0</v>
      </c>
      <c r="AJ162" s="542">
        <v>0</v>
      </c>
      <c r="AK162" s="542">
        <v>0</v>
      </c>
      <c r="AL162" s="542">
        <v>0</v>
      </c>
      <c r="AM162" s="542">
        <v>0</v>
      </c>
      <c r="AN162" s="542">
        <v>0</v>
      </c>
      <c r="AO162" s="542">
        <v>0</v>
      </c>
      <c r="AP162" s="542">
        <v>0</v>
      </c>
      <c r="AQ162" s="542">
        <v>0</v>
      </c>
      <c r="AR162" s="542">
        <v>0</v>
      </c>
      <c r="AS162" s="542">
        <v>0</v>
      </c>
      <c r="AT162" s="542">
        <v>0</v>
      </c>
      <c r="AU162" s="542">
        <v>0</v>
      </c>
      <c r="AV162" s="542">
        <v>0</v>
      </c>
      <c r="AW162" s="542">
        <v>500</v>
      </c>
      <c r="AX162" s="542">
        <v>0</v>
      </c>
      <c r="AY162" s="542">
        <v>0</v>
      </c>
      <c r="AZ162" s="542">
        <v>0</v>
      </c>
      <c r="BA162" s="542">
        <v>0</v>
      </c>
      <c r="BB162" s="542">
        <v>0</v>
      </c>
      <c r="BC162" s="542">
        <v>0</v>
      </c>
      <c r="BD162" s="542">
        <v>0</v>
      </c>
      <c r="BE162" s="542">
        <v>0</v>
      </c>
      <c r="BF162" s="542">
        <v>0</v>
      </c>
      <c r="BG162" s="542">
        <v>0</v>
      </c>
      <c r="BH162" s="542">
        <v>0</v>
      </c>
      <c r="BI162" s="542">
        <v>0</v>
      </c>
      <c r="BJ162" s="542">
        <v>0</v>
      </c>
      <c r="BK162" s="542">
        <v>0</v>
      </c>
      <c r="BL162" s="542">
        <v>0</v>
      </c>
      <c r="BM162" s="542">
        <v>0</v>
      </c>
      <c r="BN162" s="542">
        <v>18183</v>
      </c>
      <c r="BO162" s="542">
        <v>5387</v>
      </c>
      <c r="BP162" s="542">
        <v>0</v>
      </c>
      <c r="BQ162" s="542">
        <v>0</v>
      </c>
      <c r="BR162" s="542">
        <v>0</v>
      </c>
      <c r="BS162" s="542">
        <v>0</v>
      </c>
      <c r="BT162" s="542">
        <v>0</v>
      </c>
      <c r="BU162" s="542">
        <v>0</v>
      </c>
      <c r="BV162" s="542">
        <v>0</v>
      </c>
      <c r="BW162" s="542">
        <v>0</v>
      </c>
      <c r="BX162" s="542">
        <v>0</v>
      </c>
      <c r="BY162" s="542">
        <v>0</v>
      </c>
      <c r="BZ162" s="542">
        <v>0</v>
      </c>
      <c r="CA162" s="542">
        <v>0</v>
      </c>
      <c r="CB162" s="542">
        <v>0</v>
      </c>
      <c r="CC162" s="542">
        <v>0</v>
      </c>
      <c r="CD162" s="542">
        <v>0</v>
      </c>
      <c r="CE162" s="542">
        <v>0</v>
      </c>
    </row>
    <row r="163" spans="1:83" ht="30" x14ac:dyDescent="0.25">
      <c r="A163" s="640">
        <v>513</v>
      </c>
      <c r="B163" s="571">
        <v>513</v>
      </c>
      <c r="C163" s="536" t="s">
        <v>345</v>
      </c>
      <c r="D163" s="537" t="s">
        <v>561</v>
      </c>
      <c r="E163" s="543">
        <v>0</v>
      </c>
      <c r="F163" s="544">
        <v>0</v>
      </c>
      <c r="G163" s="544">
        <v>0</v>
      </c>
      <c r="H163" s="544">
        <v>0</v>
      </c>
      <c r="I163" s="544">
        <v>0</v>
      </c>
      <c r="J163" s="544">
        <v>0</v>
      </c>
      <c r="K163" s="545">
        <v>0</v>
      </c>
      <c r="L163" s="542">
        <v>0</v>
      </c>
      <c r="M163" s="542">
        <v>0</v>
      </c>
      <c r="N163" s="541">
        <v>0</v>
      </c>
      <c r="O163" s="541">
        <v>0</v>
      </c>
      <c r="P163" s="541">
        <v>0</v>
      </c>
      <c r="Q163" s="541">
        <v>0</v>
      </c>
      <c r="R163" s="541">
        <v>0</v>
      </c>
      <c r="S163" s="541">
        <v>0</v>
      </c>
      <c r="T163" s="541">
        <v>0</v>
      </c>
      <c r="U163" s="541">
        <v>0</v>
      </c>
      <c r="V163" s="541">
        <v>0</v>
      </c>
      <c r="W163" s="541">
        <v>0</v>
      </c>
      <c r="X163" s="541">
        <v>0</v>
      </c>
      <c r="Y163" s="541">
        <v>0</v>
      </c>
      <c r="Z163" s="541">
        <v>0</v>
      </c>
      <c r="AA163" s="541">
        <v>0</v>
      </c>
      <c r="AB163" s="542">
        <v>0</v>
      </c>
      <c r="AC163" s="542">
        <v>0</v>
      </c>
      <c r="AD163" s="542">
        <v>0</v>
      </c>
      <c r="AE163" s="542">
        <v>0</v>
      </c>
      <c r="AF163" s="542">
        <v>0</v>
      </c>
      <c r="AG163" s="542">
        <v>0</v>
      </c>
      <c r="AH163" s="542">
        <v>0</v>
      </c>
      <c r="AI163" s="542">
        <v>0</v>
      </c>
      <c r="AJ163" s="542">
        <v>0</v>
      </c>
      <c r="AK163" s="542">
        <v>0</v>
      </c>
      <c r="AL163" s="542">
        <v>0</v>
      </c>
      <c r="AM163" s="542">
        <v>0</v>
      </c>
      <c r="AN163" s="542">
        <v>0</v>
      </c>
      <c r="AO163" s="542">
        <v>0</v>
      </c>
      <c r="AP163" s="542">
        <v>0</v>
      </c>
      <c r="AQ163" s="542">
        <v>0</v>
      </c>
      <c r="AR163" s="542">
        <v>0</v>
      </c>
      <c r="AS163" s="542">
        <v>0</v>
      </c>
      <c r="AT163" s="542">
        <v>0</v>
      </c>
      <c r="AU163" s="542">
        <v>0</v>
      </c>
      <c r="AV163" s="542">
        <v>0</v>
      </c>
      <c r="AW163" s="542">
        <v>0</v>
      </c>
      <c r="AX163" s="542">
        <v>0</v>
      </c>
      <c r="AY163" s="542">
        <v>0</v>
      </c>
      <c r="AZ163" s="542">
        <v>0</v>
      </c>
      <c r="BA163" s="542">
        <v>0</v>
      </c>
      <c r="BB163" s="542">
        <v>0</v>
      </c>
      <c r="BC163" s="542">
        <v>0</v>
      </c>
      <c r="BD163" s="542">
        <v>0</v>
      </c>
      <c r="BE163" s="542">
        <v>0</v>
      </c>
      <c r="BF163" s="542">
        <v>0</v>
      </c>
      <c r="BG163" s="542">
        <v>0</v>
      </c>
      <c r="BH163" s="542">
        <v>0</v>
      </c>
      <c r="BI163" s="542">
        <v>0</v>
      </c>
      <c r="BJ163" s="542">
        <v>0</v>
      </c>
      <c r="BK163" s="542">
        <v>0</v>
      </c>
      <c r="BL163" s="542">
        <v>0</v>
      </c>
      <c r="BM163" s="542">
        <v>0</v>
      </c>
      <c r="BN163" s="542">
        <v>0</v>
      </c>
      <c r="BO163" s="542">
        <v>0</v>
      </c>
      <c r="BP163" s="542">
        <v>0</v>
      </c>
      <c r="BQ163" s="542">
        <v>0</v>
      </c>
      <c r="BR163" s="542">
        <v>0</v>
      </c>
      <c r="BS163" s="542">
        <v>0</v>
      </c>
      <c r="BT163" s="542">
        <v>0</v>
      </c>
      <c r="BU163" s="542">
        <v>0</v>
      </c>
      <c r="BV163" s="542">
        <v>0</v>
      </c>
      <c r="BW163" s="542">
        <v>0</v>
      </c>
      <c r="BX163" s="542">
        <v>0</v>
      </c>
      <c r="BY163" s="542">
        <v>0</v>
      </c>
      <c r="BZ163" s="542">
        <v>0</v>
      </c>
      <c r="CA163" s="542">
        <v>0</v>
      </c>
      <c r="CB163" s="542">
        <v>0</v>
      </c>
      <c r="CC163" s="542">
        <v>0</v>
      </c>
      <c r="CD163" s="542">
        <v>0</v>
      </c>
      <c r="CE163" s="542">
        <v>0</v>
      </c>
    </row>
    <row r="164" spans="1:83" ht="30" x14ac:dyDescent="0.25">
      <c r="A164" s="640">
        <v>514</v>
      </c>
      <c r="B164" s="571">
        <v>514</v>
      </c>
      <c r="C164" s="536" t="s">
        <v>346</v>
      </c>
      <c r="D164" s="537" t="s">
        <v>562</v>
      </c>
      <c r="E164" s="543">
        <v>0</v>
      </c>
      <c r="F164" s="544">
        <v>0</v>
      </c>
      <c r="G164" s="544">
        <v>0</v>
      </c>
      <c r="H164" s="544">
        <v>0</v>
      </c>
      <c r="I164" s="544">
        <v>0</v>
      </c>
      <c r="J164" s="544">
        <v>0</v>
      </c>
      <c r="K164" s="545">
        <v>0</v>
      </c>
      <c r="L164" s="542">
        <v>0</v>
      </c>
      <c r="M164" s="542">
        <v>0</v>
      </c>
      <c r="N164" s="541">
        <v>0</v>
      </c>
      <c r="O164" s="541">
        <v>0</v>
      </c>
      <c r="P164" s="541">
        <v>0</v>
      </c>
      <c r="Q164" s="541">
        <v>0</v>
      </c>
      <c r="R164" s="541">
        <v>516309</v>
      </c>
      <c r="S164" s="541">
        <v>0</v>
      </c>
      <c r="T164" s="541">
        <v>0</v>
      </c>
      <c r="U164" s="541">
        <v>0</v>
      </c>
      <c r="V164" s="541">
        <v>0</v>
      </c>
      <c r="W164" s="541">
        <v>704552</v>
      </c>
      <c r="X164" s="541">
        <v>0</v>
      </c>
      <c r="Y164" s="541">
        <v>0</v>
      </c>
      <c r="Z164" s="541">
        <v>0</v>
      </c>
      <c r="AA164" s="541">
        <v>0</v>
      </c>
      <c r="AB164" s="542">
        <v>0</v>
      </c>
      <c r="AC164" s="542">
        <v>0</v>
      </c>
      <c r="AD164" s="542">
        <v>0</v>
      </c>
      <c r="AE164" s="542">
        <v>0</v>
      </c>
      <c r="AF164" s="542">
        <v>0</v>
      </c>
      <c r="AG164" s="542">
        <v>0</v>
      </c>
      <c r="AH164" s="542">
        <v>0</v>
      </c>
      <c r="AI164" s="542">
        <v>0</v>
      </c>
      <c r="AJ164" s="542">
        <v>2765412</v>
      </c>
      <c r="AK164" s="542">
        <v>0</v>
      </c>
      <c r="AL164" s="542">
        <v>0</v>
      </c>
      <c r="AM164" s="542">
        <v>0</v>
      </c>
      <c r="AN164" s="542">
        <v>0</v>
      </c>
      <c r="AO164" s="542">
        <v>0</v>
      </c>
      <c r="AP164" s="542">
        <v>0</v>
      </c>
      <c r="AQ164" s="542">
        <v>0</v>
      </c>
      <c r="AR164" s="542">
        <v>0</v>
      </c>
      <c r="AS164" s="542">
        <v>0</v>
      </c>
      <c r="AT164" s="542">
        <v>0</v>
      </c>
      <c r="AU164" s="542">
        <v>0</v>
      </c>
      <c r="AV164" s="542">
        <v>55000</v>
      </c>
      <c r="AW164" s="542">
        <v>0</v>
      </c>
      <c r="AX164" s="542">
        <v>0</v>
      </c>
      <c r="AY164" s="542">
        <v>0</v>
      </c>
      <c r="AZ164" s="542">
        <v>0</v>
      </c>
      <c r="BA164" s="542">
        <v>0</v>
      </c>
      <c r="BB164" s="542">
        <v>0</v>
      </c>
      <c r="BC164" s="542">
        <v>0</v>
      </c>
      <c r="BD164" s="542">
        <v>0</v>
      </c>
      <c r="BE164" s="542">
        <v>0</v>
      </c>
      <c r="BF164" s="542">
        <v>0</v>
      </c>
      <c r="BG164" s="542">
        <v>0</v>
      </c>
      <c r="BH164" s="542">
        <v>0</v>
      </c>
      <c r="BI164" s="542">
        <v>0</v>
      </c>
      <c r="BJ164" s="542">
        <v>0</v>
      </c>
      <c r="BK164" s="542">
        <v>0</v>
      </c>
      <c r="BL164" s="542">
        <v>0</v>
      </c>
      <c r="BM164" s="542">
        <v>0</v>
      </c>
      <c r="BN164" s="542">
        <v>0</v>
      </c>
      <c r="BO164" s="542">
        <v>0</v>
      </c>
      <c r="BP164" s="542">
        <v>0</v>
      </c>
      <c r="BQ164" s="542">
        <v>0</v>
      </c>
      <c r="BR164" s="542">
        <v>0</v>
      </c>
      <c r="BS164" s="542">
        <v>297000</v>
      </c>
      <c r="BT164" s="542">
        <v>21641</v>
      </c>
      <c r="BU164" s="542">
        <v>0</v>
      </c>
      <c r="BV164" s="542">
        <v>0</v>
      </c>
      <c r="BW164" s="542">
        <v>0</v>
      </c>
      <c r="BX164" s="542">
        <v>0</v>
      </c>
      <c r="BY164" s="542">
        <v>0</v>
      </c>
      <c r="BZ164" s="542">
        <v>0</v>
      </c>
      <c r="CA164" s="542">
        <v>0</v>
      </c>
      <c r="CB164" s="542">
        <v>0</v>
      </c>
      <c r="CC164" s="542">
        <v>0</v>
      </c>
      <c r="CD164" s="542">
        <v>0</v>
      </c>
      <c r="CE164" s="542">
        <v>0</v>
      </c>
    </row>
    <row r="165" spans="1:83" x14ac:dyDescent="0.25">
      <c r="A165" s="640">
        <v>515</v>
      </c>
      <c r="B165" s="571">
        <v>515</v>
      </c>
      <c r="C165" s="536" t="s">
        <v>359</v>
      </c>
      <c r="D165" s="537" t="s">
        <v>563</v>
      </c>
      <c r="E165" s="543">
        <v>0</v>
      </c>
      <c r="F165" s="544">
        <v>0</v>
      </c>
      <c r="G165" s="544">
        <v>0</v>
      </c>
      <c r="H165" s="544">
        <v>0</v>
      </c>
      <c r="I165" s="544">
        <v>0</v>
      </c>
      <c r="J165" s="544">
        <v>0</v>
      </c>
      <c r="K165" s="545">
        <v>0</v>
      </c>
      <c r="L165" s="542">
        <v>0</v>
      </c>
      <c r="M165" s="542">
        <v>0</v>
      </c>
      <c r="N165" s="541">
        <v>0</v>
      </c>
      <c r="O165" s="541">
        <v>0</v>
      </c>
      <c r="P165" s="541">
        <v>0</v>
      </c>
      <c r="Q165" s="541">
        <v>0</v>
      </c>
      <c r="R165" s="541">
        <v>33331138</v>
      </c>
      <c r="S165" s="541">
        <v>142110</v>
      </c>
      <c r="T165" s="541">
        <v>0</v>
      </c>
      <c r="U165" s="541">
        <v>113496039</v>
      </c>
      <c r="V165" s="541">
        <v>6414871</v>
      </c>
      <c r="W165" s="541">
        <v>14034904</v>
      </c>
      <c r="X165" s="541">
        <v>0</v>
      </c>
      <c r="Y165" s="541">
        <v>0</v>
      </c>
      <c r="Z165" s="541">
        <v>0</v>
      </c>
      <c r="AA165" s="541">
        <v>0</v>
      </c>
      <c r="AB165" s="542">
        <v>15644163</v>
      </c>
      <c r="AC165" s="542">
        <v>5119437</v>
      </c>
      <c r="AD165" s="542">
        <v>613604</v>
      </c>
      <c r="AE165" s="542">
        <v>0</v>
      </c>
      <c r="AF165" s="542">
        <v>0</v>
      </c>
      <c r="AG165" s="542">
        <v>3283693</v>
      </c>
      <c r="AH165" s="542">
        <v>0</v>
      </c>
      <c r="AI165" s="542">
        <v>0</v>
      </c>
      <c r="AJ165" s="542">
        <v>73663362</v>
      </c>
      <c r="AK165" s="542">
        <v>0</v>
      </c>
      <c r="AL165" s="542">
        <v>0</v>
      </c>
      <c r="AM165" s="542">
        <v>0</v>
      </c>
      <c r="AN165" s="542">
        <v>23072507</v>
      </c>
      <c r="AO165" s="542">
        <v>0</v>
      </c>
      <c r="AP165" s="542">
        <v>0</v>
      </c>
      <c r="AQ165" s="542">
        <v>0</v>
      </c>
      <c r="AR165" s="542">
        <v>0</v>
      </c>
      <c r="AS165" s="542">
        <v>0</v>
      </c>
      <c r="AT165" s="542">
        <v>0</v>
      </c>
      <c r="AU165" s="542">
        <v>0</v>
      </c>
      <c r="AV165" s="542">
        <v>0</v>
      </c>
      <c r="AW165" s="542">
        <v>13400610</v>
      </c>
      <c r="AX165" s="542">
        <v>0</v>
      </c>
      <c r="AY165" s="542">
        <v>0</v>
      </c>
      <c r="AZ165" s="542">
        <v>163789</v>
      </c>
      <c r="BA165" s="542">
        <v>321190</v>
      </c>
      <c r="BB165" s="542">
        <v>0</v>
      </c>
      <c r="BC165" s="542">
        <v>0</v>
      </c>
      <c r="BD165" s="542">
        <v>22408</v>
      </c>
      <c r="BE165" s="542">
        <v>0</v>
      </c>
      <c r="BF165" s="542">
        <v>0</v>
      </c>
      <c r="BG165" s="542">
        <v>0</v>
      </c>
      <c r="BH165" s="542">
        <v>0</v>
      </c>
      <c r="BI165" s="542">
        <v>0</v>
      </c>
      <c r="BJ165" s="542">
        <v>0</v>
      </c>
      <c r="BK165" s="542">
        <v>0</v>
      </c>
      <c r="BL165" s="542">
        <v>0</v>
      </c>
      <c r="BM165" s="542">
        <v>0</v>
      </c>
      <c r="BN165" s="542">
        <v>0</v>
      </c>
      <c r="BO165" s="542">
        <v>0</v>
      </c>
      <c r="BP165" s="542">
        <v>0</v>
      </c>
      <c r="BQ165" s="542">
        <v>92954</v>
      </c>
      <c r="BR165" s="542">
        <v>0</v>
      </c>
      <c r="BS165" s="542">
        <v>0</v>
      </c>
      <c r="BT165" s="542">
        <v>0</v>
      </c>
      <c r="BU165" s="542">
        <v>21428</v>
      </c>
      <c r="BV165" s="542">
        <v>163682</v>
      </c>
      <c r="BW165" s="542">
        <v>0</v>
      </c>
      <c r="BX165" s="542">
        <v>0</v>
      </c>
      <c r="BY165" s="542">
        <v>121104</v>
      </c>
      <c r="BZ165" s="542">
        <v>0</v>
      </c>
      <c r="CA165" s="542">
        <v>0</v>
      </c>
      <c r="CB165" s="542">
        <v>0</v>
      </c>
      <c r="CC165" s="542">
        <v>0</v>
      </c>
      <c r="CD165" s="542">
        <v>0</v>
      </c>
      <c r="CE165" s="542">
        <v>0</v>
      </c>
    </row>
    <row r="166" spans="1:83" ht="30" x14ac:dyDescent="0.25">
      <c r="A166" s="640">
        <v>516</v>
      </c>
      <c r="B166" s="571">
        <v>516</v>
      </c>
      <c r="C166" s="536" t="s">
        <v>360</v>
      </c>
      <c r="D166" s="537" t="s">
        <v>564</v>
      </c>
      <c r="E166" s="543">
        <v>1871375</v>
      </c>
      <c r="F166" s="544">
        <v>0</v>
      </c>
      <c r="G166" s="544">
        <v>7021698</v>
      </c>
      <c r="H166" s="544">
        <v>0</v>
      </c>
      <c r="I166" s="544">
        <v>0</v>
      </c>
      <c r="J166" s="544">
        <v>0</v>
      </c>
      <c r="K166" s="545">
        <v>3251767</v>
      </c>
      <c r="L166" s="542">
        <v>0</v>
      </c>
      <c r="M166" s="542">
        <v>0</v>
      </c>
      <c r="N166" s="541">
        <v>0</v>
      </c>
      <c r="O166" s="541">
        <v>0</v>
      </c>
      <c r="P166" s="541">
        <v>26047379</v>
      </c>
      <c r="Q166" s="541">
        <v>0</v>
      </c>
      <c r="R166" s="541">
        <v>0</v>
      </c>
      <c r="S166" s="541">
        <v>2001392</v>
      </c>
      <c r="T166" s="541">
        <v>0</v>
      </c>
      <c r="U166" s="541">
        <v>76895164</v>
      </c>
      <c r="V166" s="541">
        <v>62401990</v>
      </c>
      <c r="W166" s="541">
        <v>45115309</v>
      </c>
      <c r="X166" s="541">
        <v>0</v>
      </c>
      <c r="Y166" s="541">
        <v>0</v>
      </c>
      <c r="Z166" s="541">
        <v>77325827</v>
      </c>
      <c r="AA166" s="541">
        <v>16578553</v>
      </c>
      <c r="AB166" s="542">
        <v>26662564</v>
      </c>
      <c r="AC166" s="542">
        <v>24726441</v>
      </c>
      <c r="AD166" s="542">
        <v>4616836</v>
      </c>
      <c r="AE166" s="542">
        <v>8913991</v>
      </c>
      <c r="AF166" s="542">
        <v>19465852</v>
      </c>
      <c r="AG166" s="542">
        <v>0</v>
      </c>
      <c r="AH166" s="542">
        <v>7670030</v>
      </c>
      <c r="AI166" s="542">
        <v>5853459</v>
      </c>
      <c r="AJ166" s="542">
        <v>61329380</v>
      </c>
      <c r="AK166" s="542">
        <v>2625720</v>
      </c>
      <c r="AL166" s="542">
        <v>8163928</v>
      </c>
      <c r="AM166" s="542">
        <v>0</v>
      </c>
      <c r="AN166" s="542">
        <v>42345873</v>
      </c>
      <c r="AO166" s="542">
        <v>3328533</v>
      </c>
      <c r="AP166" s="542">
        <v>0</v>
      </c>
      <c r="AQ166" s="542">
        <v>0</v>
      </c>
      <c r="AR166" s="542">
        <v>0</v>
      </c>
      <c r="AS166" s="542">
        <v>32162398</v>
      </c>
      <c r="AT166" s="542">
        <v>0</v>
      </c>
      <c r="AU166" s="542">
        <v>16804826</v>
      </c>
      <c r="AV166" s="542">
        <v>0</v>
      </c>
      <c r="AW166" s="542">
        <v>91912182</v>
      </c>
      <c r="AX166" s="542">
        <v>0</v>
      </c>
      <c r="AY166" s="542">
        <v>10210372</v>
      </c>
      <c r="AZ166" s="542">
        <v>4885807</v>
      </c>
      <c r="BA166" s="542">
        <v>9738227</v>
      </c>
      <c r="BB166" s="542">
        <v>0</v>
      </c>
      <c r="BC166" s="542">
        <v>0</v>
      </c>
      <c r="BD166" s="542">
        <v>1121052</v>
      </c>
      <c r="BE166" s="542">
        <v>37961480</v>
      </c>
      <c r="BF166" s="542">
        <v>0</v>
      </c>
      <c r="BG166" s="542">
        <v>4342378</v>
      </c>
      <c r="BH166" s="542">
        <v>3584941</v>
      </c>
      <c r="BI166" s="542">
        <v>0</v>
      </c>
      <c r="BJ166" s="542">
        <v>4508097</v>
      </c>
      <c r="BK166" s="542">
        <v>0</v>
      </c>
      <c r="BL166" s="542">
        <v>19046063</v>
      </c>
      <c r="BM166" s="542">
        <v>7328795</v>
      </c>
      <c r="BN166" s="542">
        <v>14513445</v>
      </c>
      <c r="BO166" s="542">
        <v>4673752</v>
      </c>
      <c r="BP166" s="542">
        <v>4636862</v>
      </c>
      <c r="BQ166" s="542">
        <v>1199352</v>
      </c>
      <c r="BR166" s="542">
        <v>0</v>
      </c>
      <c r="BS166" s="542">
        <v>9844443</v>
      </c>
      <c r="BT166" s="542">
        <v>0</v>
      </c>
      <c r="BU166" s="542">
        <v>10116721</v>
      </c>
      <c r="BV166" s="542">
        <v>20132172</v>
      </c>
      <c r="BW166" s="542">
        <v>0</v>
      </c>
      <c r="BX166" s="542">
        <v>12959687</v>
      </c>
      <c r="BY166" s="542">
        <v>3114299</v>
      </c>
      <c r="BZ166" s="542">
        <v>833000</v>
      </c>
      <c r="CA166" s="542">
        <v>0</v>
      </c>
      <c r="CB166" s="542">
        <v>6282078</v>
      </c>
      <c r="CC166" s="542">
        <v>6876057</v>
      </c>
      <c r="CD166" s="542">
        <v>0</v>
      </c>
      <c r="CE166" s="542">
        <v>1200807</v>
      </c>
    </row>
    <row r="167" spans="1:83" x14ac:dyDescent="0.25">
      <c r="A167" s="640">
        <v>517</v>
      </c>
      <c r="B167" s="571">
        <v>517</v>
      </c>
      <c r="C167" s="536" t="s">
        <v>361</v>
      </c>
      <c r="D167" s="537" t="s">
        <v>565</v>
      </c>
      <c r="E167" s="543">
        <v>0</v>
      </c>
      <c r="F167" s="544">
        <v>0</v>
      </c>
      <c r="G167" s="544">
        <v>0</v>
      </c>
      <c r="H167" s="544">
        <v>0</v>
      </c>
      <c r="I167" s="544">
        <v>0</v>
      </c>
      <c r="J167" s="544">
        <v>0</v>
      </c>
      <c r="K167" s="545">
        <v>0</v>
      </c>
      <c r="L167" s="542">
        <v>0</v>
      </c>
      <c r="M167" s="542">
        <v>0</v>
      </c>
      <c r="N167" s="541">
        <v>0</v>
      </c>
      <c r="O167" s="541">
        <v>0</v>
      </c>
      <c r="P167" s="541">
        <v>0</v>
      </c>
      <c r="Q167" s="541">
        <v>0</v>
      </c>
      <c r="R167" s="541">
        <v>72394171</v>
      </c>
      <c r="S167" s="541">
        <v>723869</v>
      </c>
      <c r="T167" s="541">
        <v>0</v>
      </c>
      <c r="U167" s="541">
        <v>0</v>
      </c>
      <c r="V167" s="541">
        <v>0</v>
      </c>
      <c r="W167" s="541">
        <v>0</v>
      </c>
      <c r="X167" s="541">
        <v>0</v>
      </c>
      <c r="Y167" s="541">
        <v>0</v>
      </c>
      <c r="Z167" s="541">
        <v>0</v>
      </c>
      <c r="AA167" s="541">
        <v>0</v>
      </c>
      <c r="AB167" s="542">
        <v>0</v>
      </c>
      <c r="AC167" s="542">
        <v>0</v>
      </c>
      <c r="AD167" s="542">
        <v>0</v>
      </c>
      <c r="AE167" s="542">
        <v>0</v>
      </c>
      <c r="AF167" s="542">
        <v>0</v>
      </c>
      <c r="AG167" s="542">
        <v>2423075</v>
      </c>
      <c r="AH167" s="542">
        <v>1255680</v>
      </c>
      <c r="AI167" s="542">
        <v>0</v>
      </c>
      <c r="AJ167" s="542">
        <v>0</v>
      </c>
      <c r="AK167" s="542">
        <v>0</v>
      </c>
      <c r="AL167" s="542">
        <v>0</v>
      </c>
      <c r="AM167" s="542">
        <v>0</v>
      </c>
      <c r="AN167" s="542">
        <v>0</v>
      </c>
      <c r="AO167" s="542">
        <v>0</v>
      </c>
      <c r="AP167" s="542">
        <v>0</v>
      </c>
      <c r="AQ167" s="542">
        <v>0</v>
      </c>
      <c r="AR167" s="542">
        <v>0</v>
      </c>
      <c r="AS167" s="542">
        <v>0</v>
      </c>
      <c r="AT167" s="542">
        <v>0</v>
      </c>
      <c r="AU167" s="542">
        <v>0</v>
      </c>
      <c r="AV167" s="542">
        <v>0</v>
      </c>
      <c r="AW167" s="542">
        <v>0</v>
      </c>
      <c r="AX167" s="542">
        <v>0</v>
      </c>
      <c r="AY167" s="542">
        <v>0</v>
      </c>
      <c r="AZ167" s="542">
        <v>0</v>
      </c>
      <c r="BA167" s="542">
        <v>0</v>
      </c>
      <c r="BB167" s="542">
        <v>0</v>
      </c>
      <c r="BC167" s="542">
        <v>0</v>
      </c>
      <c r="BD167" s="542">
        <v>0</v>
      </c>
      <c r="BE167" s="542">
        <v>621223</v>
      </c>
      <c r="BF167" s="542">
        <v>0</v>
      </c>
      <c r="BG167" s="542">
        <v>0</v>
      </c>
      <c r="BH167" s="542">
        <v>0</v>
      </c>
      <c r="BI167" s="542">
        <v>0</v>
      </c>
      <c r="BJ167" s="542">
        <v>0</v>
      </c>
      <c r="BK167" s="542">
        <v>0</v>
      </c>
      <c r="BL167" s="542">
        <v>0</v>
      </c>
      <c r="BM167" s="542">
        <v>0</v>
      </c>
      <c r="BN167" s="542">
        <v>0</v>
      </c>
      <c r="BO167" s="542">
        <v>0</v>
      </c>
      <c r="BP167" s="542">
        <v>0</v>
      </c>
      <c r="BQ167" s="542">
        <v>0</v>
      </c>
      <c r="BR167" s="542">
        <v>0</v>
      </c>
      <c r="BS167" s="542">
        <v>0</v>
      </c>
      <c r="BT167" s="542">
        <v>0</v>
      </c>
      <c r="BU167" s="542">
        <v>0</v>
      </c>
      <c r="BV167" s="542">
        <v>0</v>
      </c>
      <c r="BW167" s="542">
        <v>0</v>
      </c>
      <c r="BX167" s="542">
        <v>0</v>
      </c>
      <c r="BY167" s="542">
        <v>0</v>
      </c>
      <c r="BZ167" s="542">
        <v>0</v>
      </c>
      <c r="CA167" s="542">
        <v>0</v>
      </c>
      <c r="CB167" s="542">
        <v>0</v>
      </c>
      <c r="CC167" s="542">
        <v>0</v>
      </c>
      <c r="CD167" s="542">
        <v>0</v>
      </c>
      <c r="CE167" s="542">
        <v>0</v>
      </c>
    </row>
    <row r="168" spans="1:83" ht="30" x14ac:dyDescent="0.25">
      <c r="A168" s="640">
        <v>518</v>
      </c>
      <c r="B168" s="571">
        <v>518</v>
      </c>
      <c r="C168" s="536" t="s">
        <v>362</v>
      </c>
      <c r="D168" s="537" t="s">
        <v>566</v>
      </c>
      <c r="E168" s="543">
        <v>149513</v>
      </c>
      <c r="F168" s="544">
        <v>0</v>
      </c>
      <c r="G168" s="544">
        <v>151669</v>
      </c>
      <c r="H168" s="544">
        <v>0</v>
      </c>
      <c r="I168" s="544">
        <v>0</v>
      </c>
      <c r="J168" s="544">
        <v>0</v>
      </c>
      <c r="K168" s="545">
        <v>10116</v>
      </c>
      <c r="L168" s="542">
        <v>0</v>
      </c>
      <c r="M168" s="542">
        <v>0</v>
      </c>
      <c r="N168" s="541">
        <v>0</v>
      </c>
      <c r="O168" s="541">
        <v>0</v>
      </c>
      <c r="P168" s="541">
        <v>1911542</v>
      </c>
      <c r="Q168" s="541">
        <v>0</v>
      </c>
      <c r="R168" s="541">
        <v>11136554</v>
      </c>
      <c r="S168" s="541">
        <v>26514</v>
      </c>
      <c r="T168" s="541">
        <v>0</v>
      </c>
      <c r="U168" s="541">
        <v>9279981</v>
      </c>
      <c r="V168" s="541">
        <v>2342377</v>
      </c>
      <c r="W168" s="541">
        <v>22412840</v>
      </c>
      <c r="X168" s="541">
        <v>0</v>
      </c>
      <c r="Y168" s="541">
        <v>0</v>
      </c>
      <c r="Z168" s="541">
        <v>2904537</v>
      </c>
      <c r="AA168" s="541">
        <v>0</v>
      </c>
      <c r="AB168" s="542">
        <v>3740089</v>
      </c>
      <c r="AC168" s="542">
        <v>1224006</v>
      </c>
      <c r="AD168" s="542">
        <v>196076</v>
      </c>
      <c r="AE168" s="542">
        <v>744686</v>
      </c>
      <c r="AF168" s="542">
        <v>628484</v>
      </c>
      <c r="AG168" s="542">
        <v>6262151</v>
      </c>
      <c r="AH168" s="542">
        <v>2156634</v>
      </c>
      <c r="AI168" s="542">
        <v>1525</v>
      </c>
      <c r="AJ168" s="542">
        <v>8891136</v>
      </c>
      <c r="AK168" s="542">
        <v>0</v>
      </c>
      <c r="AL168" s="542">
        <v>270763</v>
      </c>
      <c r="AM168" s="542">
        <v>0</v>
      </c>
      <c r="AN168" s="542">
        <v>2689442</v>
      </c>
      <c r="AO168" s="542">
        <v>96145</v>
      </c>
      <c r="AP168" s="542">
        <v>0</v>
      </c>
      <c r="AQ168" s="542">
        <v>0</v>
      </c>
      <c r="AR168" s="542">
        <v>0</v>
      </c>
      <c r="AS168" s="542">
        <v>1547994</v>
      </c>
      <c r="AT168" s="542">
        <v>0</v>
      </c>
      <c r="AU168" s="542">
        <v>744172</v>
      </c>
      <c r="AV168" s="542">
        <v>0</v>
      </c>
      <c r="AW168" s="542">
        <v>21403890</v>
      </c>
      <c r="AX168" s="542">
        <v>0</v>
      </c>
      <c r="AY168" s="542">
        <v>1185591</v>
      </c>
      <c r="AZ168" s="542">
        <v>1101216</v>
      </c>
      <c r="BA168" s="542">
        <v>479960</v>
      </c>
      <c r="BB168" s="542">
        <v>0</v>
      </c>
      <c r="BC168" s="542">
        <v>0</v>
      </c>
      <c r="BD168" s="542">
        <v>0</v>
      </c>
      <c r="BE168" s="542">
        <v>3029684</v>
      </c>
      <c r="BF168" s="542">
        <v>0</v>
      </c>
      <c r="BG168" s="542">
        <v>107941</v>
      </c>
      <c r="BH168" s="542">
        <v>22452</v>
      </c>
      <c r="BI168" s="542">
        <v>0</v>
      </c>
      <c r="BJ168" s="542">
        <v>12847</v>
      </c>
      <c r="BK168" s="542">
        <v>0</v>
      </c>
      <c r="BL168" s="542">
        <v>2559857</v>
      </c>
      <c r="BM168" s="542">
        <v>19452</v>
      </c>
      <c r="BN168" s="542">
        <v>351859</v>
      </c>
      <c r="BO168" s="542">
        <v>219418</v>
      </c>
      <c r="BP168" s="542">
        <v>180948</v>
      </c>
      <c r="BQ168" s="542">
        <v>355800</v>
      </c>
      <c r="BR168" s="542">
        <v>0</v>
      </c>
      <c r="BS168" s="542">
        <v>146728</v>
      </c>
      <c r="BT168" s="542">
        <v>0</v>
      </c>
      <c r="BU168" s="542">
        <v>511504</v>
      </c>
      <c r="BV168" s="542">
        <v>2230056</v>
      </c>
      <c r="BW168" s="542">
        <v>0</v>
      </c>
      <c r="BX168" s="542">
        <v>1395615</v>
      </c>
      <c r="BY168" s="542">
        <v>43908</v>
      </c>
      <c r="BZ168" s="542">
        <v>0</v>
      </c>
      <c r="CA168" s="542">
        <v>0</v>
      </c>
      <c r="CB168" s="542">
        <v>8823</v>
      </c>
      <c r="CC168" s="542">
        <v>258043</v>
      </c>
      <c r="CD168" s="542">
        <v>0</v>
      </c>
      <c r="CE168" s="542">
        <v>0</v>
      </c>
    </row>
    <row r="169" spans="1:83" x14ac:dyDescent="0.25">
      <c r="A169" s="640">
        <v>519</v>
      </c>
      <c r="B169" s="571">
        <v>519</v>
      </c>
      <c r="C169" s="536" t="s">
        <v>363</v>
      </c>
      <c r="D169" s="537" t="s">
        <v>567</v>
      </c>
      <c r="E169" s="543">
        <v>0</v>
      </c>
      <c r="F169" s="544">
        <v>0</v>
      </c>
      <c r="G169" s="544">
        <v>0</v>
      </c>
      <c r="H169" s="544">
        <v>0</v>
      </c>
      <c r="I169" s="544">
        <v>0</v>
      </c>
      <c r="J169" s="544">
        <v>0</v>
      </c>
      <c r="K169" s="545">
        <v>0</v>
      </c>
      <c r="L169" s="542">
        <v>0</v>
      </c>
      <c r="M169" s="542">
        <v>0</v>
      </c>
      <c r="N169" s="541">
        <v>0</v>
      </c>
      <c r="O169" s="541">
        <v>0</v>
      </c>
      <c r="P169" s="541">
        <v>0</v>
      </c>
      <c r="Q169" s="541">
        <v>0</v>
      </c>
      <c r="R169" s="541">
        <v>704888</v>
      </c>
      <c r="S169" s="541">
        <v>3553</v>
      </c>
      <c r="T169" s="541">
        <v>0</v>
      </c>
      <c r="U169" s="541">
        <v>2372375</v>
      </c>
      <c r="V169" s="541">
        <v>159118</v>
      </c>
      <c r="W169" s="541">
        <v>253631</v>
      </c>
      <c r="X169" s="541">
        <v>0</v>
      </c>
      <c r="Y169" s="541">
        <v>0</v>
      </c>
      <c r="Z169" s="541">
        <v>0</v>
      </c>
      <c r="AA169" s="541">
        <v>0</v>
      </c>
      <c r="AB169" s="542">
        <v>327899</v>
      </c>
      <c r="AC169" s="542">
        <v>127986</v>
      </c>
      <c r="AD169" s="542">
        <v>13543</v>
      </c>
      <c r="AE169" s="542">
        <v>0</v>
      </c>
      <c r="AF169" s="542">
        <v>0</v>
      </c>
      <c r="AG169" s="542">
        <v>2282508</v>
      </c>
      <c r="AH169" s="542">
        <v>0</v>
      </c>
      <c r="AI169" s="542">
        <v>0</v>
      </c>
      <c r="AJ169" s="542">
        <v>1832561</v>
      </c>
      <c r="AK169" s="542">
        <v>0</v>
      </c>
      <c r="AL169" s="542">
        <v>0</v>
      </c>
      <c r="AM169" s="542">
        <v>0</v>
      </c>
      <c r="AN169" s="542">
        <v>572248</v>
      </c>
      <c r="AO169" s="542">
        <v>0</v>
      </c>
      <c r="AP169" s="542">
        <v>0</v>
      </c>
      <c r="AQ169" s="542">
        <v>0</v>
      </c>
      <c r="AR169" s="542">
        <v>0</v>
      </c>
      <c r="AS169" s="542">
        <v>0</v>
      </c>
      <c r="AT169" s="542">
        <v>0</v>
      </c>
      <c r="AU169" s="542">
        <v>0</v>
      </c>
      <c r="AV169" s="542">
        <v>0</v>
      </c>
      <c r="AW169" s="542">
        <v>347099</v>
      </c>
      <c r="AX169" s="542">
        <v>0</v>
      </c>
      <c r="AY169" s="542">
        <v>0</v>
      </c>
      <c r="AZ169" s="542">
        <v>1933</v>
      </c>
      <c r="BA169" s="542">
        <v>498</v>
      </c>
      <c r="BB169" s="542">
        <v>0</v>
      </c>
      <c r="BC169" s="542">
        <v>0</v>
      </c>
      <c r="BD169" s="542">
        <v>0</v>
      </c>
      <c r="BE169" s="542">
        <v>0</v>
      </c>
      <c r="BF169" s="542">
        <v>0</v>
      </c>
      <c r="BG169" s="542">
        <v>0</v>
      </c>
      <c r="BH169" s="542">
        <v>0</v>
      </c>
      <c r="BI169" s="542">
        <v>0</v>
      </c>
      <c r="BJ169" s="542">
        <v>0</v>
      </c>
      <c r="BK169" s="542">
        <v>0</v>
      </c>
      <c r="BL169" s="542">
        <v>0</v>
      </c>
      <c r="BM169" s="542">
        <v>0</v>
      </c>
      <c r="BN169" s="542">
        <v>0</v>
      </c>
      <c r="BO169" s="542">
        <v>0</v>
      </c>
      <c r="BP169" s="542">
        <v>0</v>
      </c>
      <c r="BQ169" s="542">
        <v>2323</v>
      </c>
      <c r="BR169" s="542">
        <v>0</v>
      </c>
      <c r="BS169" s="542">
        <v>0</v>
      </c>
      <c r="BT169" s="542">
        <v>0</v>
      </c>
      <c r="BU169" s="542">
        <v>597</v>
      </c>
      <c r="BV169" s="542">
        <v>4359</v>
      </c>
      <c r="BW169" s="542">
        <v>0</v>
      </c>
      <c r="BX169" s="542">
        <v>0</v>
      </c>
      <c r="BY169" s="542">
        <v>4037</v>
      </c>
      <c r="BZ169" s="542">
        <v>0</v>
      </c>
      <c r="CA169" s="542">
        <v>0</v>
      </c>
      <c r="CB169" s="542">
        <v>0</v>
      </c>
      <c r="CC169" s="542">
        <v>0</v>
      </c>
      <c r="CD169" s="542">
        <v>0</v>
      </c>
      <c r="CE169" s="542">
        <v>0</v>
      </c>
    </row>
    <row r="170" spans="1:83" ht="30" x14ac:dyDescent="0.25">
      <c r="A170" s="640">
        <v>520</v>
      </c>
      <c r="B170" s="571">
        <v>520</v>
      </c>
      <c r="C170" s="536" t="s">
        <v>364</v>
      </c>
      <c r="D170" s="537" t="s">
        <v>568</v>
      </c>
      <c r="E170" s="543">
        <v>34469</v>
      </c>
      <c r="F170" s="544">
        <v>0</v>
      </c>
      <c r="G170" s="544">
        <v>166866</v>
      </c>
      <c r="H170" s="544">
        <v>0</v>
      </c>
      <c r="I170" s="544">
        <v>0</v>
      </c>
      <c r="J170" s="544">
        <v>0</v>
      </c>
      <c r="K170" s="545">
        <v>64391</v>
      </c>
      <c r="L170" s="542">
        <v>0</v>
      </c>
      <c r="M170" s="542">
        <v>0</v>
      </c>
      <c r="N170" s="541">
        <v>0</v>
      </c>
      <c r="O170" s="541">
        <v>0</v>
      </c>
      <c r="P170" s="541">
        <v>651260</v>
      </c>
      <c r="Q170" s="541">
        <v>0</v>
      </c>
      <c r="R170" s="541">
        <v>0</v>
      </c>
      <c r="S170" s="541">
        <v>39053</v>
      </c>
      <c r="T170" s="541">
        <v>0</v>
      </c>
      <c r="U170" s="541">
        <v>1747159</v>
      </c>
      <c r="V170" s="541">
        <v>1412478</v>
      </c>
      <c r="W170" s="541">
        <v>1123360</v>
      </c>
      <c r="X170" s="541">
        <v>0</v>
      </c>
      <c r="Y170" s="541">
        <v>0</v>
      </c>
      <c r="Z170" s="541">
        <v>1687992</v>
      </c>
      <c r="AA170" s="541">
        <v>430580</v>
      </c>
      <c r="AB170" s="542">
        <v>612219</v>
      </c>
      <c r="AC170" s="542">
        <v>409024</v>
      </c>
      <c r="AD170" s="542">
        <v>92337</v>
      </c>
      <c r="AE170" s="542">
        <v>165759</v>
      </c>
      <c r="AF170" s="542">
        <v>681383</v>
      </c>
      <c r="AG170" s="542">
        <v>0</v>
      </c>
      <c r="AH170" s="542">
        <v>175479</v>
      </c>
      <c r="AI170" s="542">
        <v>146337</v>
      </c>
      <c r="AJ170" s="542">
        <v>1284389</v>
      </c>
      <c r="AK170" s="542">
        <v>66361</v>
      </c>
      <c r="AL170" s="542">
        <v>215191</v>
      </c>
      <c r="AM170" s="542">
        <v>0</v>
      </c>
      <c r="AN170" s="542">
        <v>1218206</v>
      </c>
      <c r="AO170" s="542">
        <v>67930</v>
      </c>
      <c r="AP170" s="542">
        <v>0</v>
      </c>
      <c r="AQ170" s="542">
        <v>0</v>
      </c>
      <c r="AR170" s="542">
        <v>0</v>
      </c>
      <c r="AS170" s="542">
        <v>713608</v>
      </c>
      <c r="AT170" s="542">
        <v>0</v>
      </c>
      <c r="AU170" s="542">
        <v>328343</v>
      </c>
      <c r="AV170" s="542">
        <v>0</v>
      </c>
      <c r="AW170" s="542">
        <v>2243511</v>
      </c>
      <c r="AX170" s="542">
        <v>0</v>
      </c>
      <c r="AY170" s="542">
        <v>176721</v>
      </c>
      <c r="AZ170" s="542">
        <v>72348</v>
      </c>
      <c r="BA170" s="542">
        <v>195148</v>
      </c>
      <c r="BB170" s="542">
        <v>0</v>
      </c>
      <c r="BC170" s="542">
        <v>0</v>
      </c>
      <c r="BD170" s="542">
        <v>27233</v>
      </c>
      <c r="BE170" s="542">
        <v>905912</v>
      </c>
      <c r="BF170" s="542">
        <v>0</v>
      </c>
      <c r="BG170" s="542">
        <v>59920</v>
      </c>
      <c r="BH170" s="542">
        <v>71250</v>
      </c>
      <c r="BI170" s="542">
        <v>0</v>
      </c>
      <c r="BJ170" s="542">
        <v>91869</v>
      </c>
      <c r="BK170" s="542">
        <v>0</v>
      </c>
      <c r="BL170" s="542">
        <v>390860</v>
      </c>
      <c r="BM170" s="542">
        <v>189419</v>
      </c>
      <c r="BN170" s="542">
        <v>328799</v>
      </c>
      <c r="BO170" s="542">
        <v>149526</v>
      </c>
      <c r="BP170" s="542">
        <v>108760</v>
      </c>
      <c r="BQ170" s="542">
        <v>23987</v>
      </c>
      <c r="BR170" s="542">
        <v>0</v>
      </c>
      <c r="BS170" s="542">
        <v>203484</v>
      </c>
      <c r="BT170" s="542">
        <v>0</v>
      </c>
      <c r="BU170" s="542">
        <v>240874</v>
      </c>
      <c r="BV170" s="542">
        <v>559672</v>
      </c>
      <c r="BW170" s="542">
        <v>0</v>
      </c>
      <c r="BX170" s="542">
        <v>345913</v>
      </c>
      <c r="BY170" s="542">
        <v>62055</v>
      </c>
      <c r="BZ170" s="542">
        <v>18215</v>
      </c>
      <c r="CA170" s="542">
        <v>0</v>
      </c>
      <c r="CB170" s="542">
        <v>155479</v>
      </c>
      <c r="CC170" s="542">
        <v>155213</v>
      </c>
      <c r="CD170" s="542">
        <v>0</v>
      </c>
      <c r="CE170" s="542">
        <v>30020</v>
      </c>
    </row>
    <row r="171" spans="1:83" ht="30" x14ac:dyDescent="0.25">
      <c r="A171" s="640">
        <v>521</v>
      </c>
      <c r="B171" s="571">
        <v>521</v>
      </c>
      <c r="C171" s="536" t="s">
        <v>365</v>
      </c>
      <c r="D171" s="537" t="s">
        <v>569</v>
      </c>
      <c r="E171" s="543">
        <v>0</v>
      </c>
      <c r="F171" s="544">
        <v>0</v>
      </c>
      <c r="G171" s="544">
        <v>0</v>
      </c>
      <c r="H171" s="544">
        <v>0</v>
      </c>
      <c r="I171" s="544">
        <v>0</v>
      </c>
      <c r="J171" s="544">
        <v>0</v>
      </c>
      <c r="K171" s="545">
        <v>0</v>
      </c>
      <c r="L171" s="542">
        <v>0</v>
      </c>
      <c r="M171" s="542">
        <v>0</v>
      </c>
      <c r="N171" s="541">
        <v>0</v>
      </c>
      <c r="O171" s="541">
        <v>0</v>
      </c>
      <c r="P171" s="541">
        <v>0</v>
      </c>
      <c r="Q171" s="541">
        <v>0</v>
      </c>
      <c r="R171" s="541">
        <v>1249948</v>
      </c>
      <c r="S171" s="541">
        <v>34858</v>
      </c>
      <c r="T171" s="541">
        <v>0</v>
      </c>
      <c r="U171" s="541">
        <v>0</v>
      </c>
      <c r="V171" s="541">
        <v>0</v>
      </c>
      <c r="W171" s="541">
        <v>0</v>
      </c>
      <c r="X171" s="541">
        <v>0</v>
      </c>
      <c r="Y171" s="541">
        <v>0</v>
      </c>
      <c r="Z171" s="541">
        <v>0</v>
      </c>
      <c r="AA171" s="541">
        <v>0</v>
      </c>
      <c r="AB171" s="542">
        <v>0</v>
      </c>
      <c r="AC171" s="542">
        <v>0</v>
      </c>
      <c r="AD171" s="542">
        <v>0</v>
      </c>
      <c r="AE171" s="542">
        <v>0</v>
      </c>
      <c r="AF171" s="542">
        <v>0</v>
      </c>
      <c r="AG171" s="542">
        <v>780638</v>
      </c>
      <c r="AH171" s="542">
        <v>31392</v>
      </c>
      <c r="AI171" s="542">
        <v>0</v>
      </c>
      <c r="AJ171" s="542">
        <v>0</v>
      </c>
      <c r="AK171" s="542">
        <v>0</v>
      </c>
      <c r="AL171" s="542">
        <v>0</v>
      </c>
      <c r="AM171" s="542">
        <v>0</v>
      </c>
      <c r="AN171" s="542">
        <v>0</v>
      </c>
      <c r="AO171" s="542">
        <v>0</v>
      </c>
      <c r="AP171" s="542">
        <v>0</v>
      </c>
      <c r="AQ171" s="542">
        <v>0</v>
      </c>
      <c r="AR171" s="542">
        <v>0</v>
      </c>
      <c r="AS171" s="542">
        <v>0</v>
      </c>
      <c r="AT171" s="542">
        <v>0</v>
      </c>
      <c r="AU171" s="542">
        <v>0</v>
      </c>
      <c r="AV171" s="542">
        <v>0</v>
      </c>
      <c r="AW171" s="542">
        <v>0</v>
      </c>
      <c r="AX171" s="542">
        <v>0</v>
      </c>
      <c r="AY171" s="542">
        <v>0</v>
      </c>
      <c r="AZ171" s="542">
        <v>0</v>
      </c>
      <c r="BA171" s="542">
        <v>0</v>
      </c>
      <c r="BB171" s="542">
        <v>0</v>
      </c>
      <c r="BC171" s="542">
        <v>0</v>
      </c>
      <c r="BD171" s="542">
        <v>0</v>
      </c>
      <c r="BE171" s="542">
        <v>0</v>
      </c>
      <c r="BF171" s="542">
        <v>0</v>
      </c>
      <c r="BG171" s="542">
        <v>0</v>
      </c>
      <c r="BH171" s="542">
        <v>0</v>
      </c>
      <c r="BI171" s="542">
        <v>0</v>
      </c>
      <c r="BJ171" s="542">
        <v>0</v>
      </c>
      <c r="BK171" s="542">
        <v>0</v>
      </c>
      <c r="BL171" s="542">
        <v>0</v>
      </c>
      <c r="BM171" s="542">
        <v>0</v>
      </c>
      <c r="BN171" s="542">
        <v>0</v>
      </c>
      <c r="BO171" s="542">
        <v>0</v>
      </c>
      <c r="BP171" s="542">
        <v>0</v>
      </c>
      <c r="BQ171" s="542">
        <v>0</v>
      </c>
      <c r="BR171" s="542">
        <v>0</v>
      </c>
      <c r="BS171" s="542">
        <v>0</v>
      </c>
      <c r="BT171" s="542">
        <v>0</v>
      </c>
      <c r="BU171" s="542">
        <v>0</v>
      </c>
      <c r="BV171" s="542">
        <v>0</v>
      </c>
      <c r="BW171" s="542">
        <v>0</v>
      </c>
      <c r="BX171" s="542">
        <v>0</v>
      </c>
      <c r="BY171" s="542">
        <v>0</v>
      </c>
      <c r="BZ171" s="542">
        <v>0</v>
      </c>
      <c r="CA171" s="542">
        <v>0</v>
      </c>
      <c r="CB171" s="542">
        <v>0</v>
      </c>
      <c r="CC171" s="542">
        <v>0</v>
      </c>
      <c r="CD171" s="542">
        <v>0</v>
      </c>
      <c r="CE171" s="542">
        <v>0</v>
      </c>
    </row>
    <row r="172" spans="1:83" ht="30" x14ac:dyDescent="0.25">
      <c r="A172" s="640">
        <v>522</v>
      </c>
      <c r="B172" s="571">
        <v>522</v>
      </c>
      <c r="C172" s="536" t="s">
        <v>366</v>
      </c>
      <c r="D172" s="537" t="s">
        <v>570</v>
      </c>
      <c r="E172" s="543">
        <v>3875</v>
      </c>
      <c r="F172" s="544">
        <v>0</v>
      </c>
      <c r="G172" s="544">
        <v>3901</v>
      </c>
      <c r="H172" s="544">
        <v>0</v>
      </c>
      <c r="I172" s="544">
        <v>0</v>
      </c>
      <c r="J172" s="544">
        <v>0</v>
      </c>
      <c r="K172" s="545">
        <v>674</v>
      </c>
      <c r="L172" s="542">
        <v>0</v>
      </c>
      <c r="M172" s="542">
        <v>0</v>
      </c>
      <c r="N172" s="541">
        <v>0</v>
      </c>
      <c r="O172" s="541">
        <v>0</v>
      </c>
      <c r="P172" s="541">
        <v>65603</v>
      </c>
      <c r="Q172" s="541">
        <v>0</v>
      </c>
      <c r="R172" s="541">
        <v>823589</v>
      </c>
      <c r="S172" s="541">
        <v>0</v>
      </c>
      <c r="T172" s="541">
        <v>0</v>
      </c>
      <c r="U172" s="541">
        <v>538762</v>
      </c>
      <c r="V172" s="541">
        <v>127023</v>
      </c>
      <c r="W172" s="541">
        <v>1088084</v>
      </c>
      <c r="X172" s="541">
        <v>0</v>
      </c>
      <c r="Y172" s="541">
        <v>0</v>
      </c>
      <c r="Z172" s="541">
        <v>160955</v>
      </c>
      <c r="AA172" s="541">
        <v>0</v>
      </c>
      <c r="AB172" s="542">
        <v>219461</v>
      </c>
      <c r="AC172" s="542">
        <v>46370</v>
      </c>
      <c r="AD172" s="542">
        <v>19958</v>
      </c>
      <c r="AE172" s="542">
        <v>51085</v>
      </c>
      <c r="AF172" s="542">
        <v>28519</v>
      </c>
      <c r="AG172" s="542">
        <v>701024</v>
      </c>
      <c r="AH172" s="542">
        <v>108935</v>
      </c>
      <c r="AI172" s="542">
        <v>0</v>
      </c>
      <c r="AJ172" s="542">
        <v>503153</v>
      </c>
      <c r="AK172" s="542">
        <v>0</v>
      </c>
      <c r="AL172" s="542">
        <v>11996</v>
      </c>
      <c r="AM172" s="542">
        <v>0</v>
      </c>
      <c r="AN172" s="542">
        <v>201213</v>
      </c>
      <c r="AO172" s="542">
        <v>7665</v>
      </c>
      <c r="AP172" s="542">
        <v>0</v>
      </c>
      <c r="AQ172" s="542">
        <v>0</v>
      </c>
      <c r="AR172" s="542">
        <v>0</v>
      </c>
      <c r="AS172" s="542">
        <v>110309</v>
      </c>
      <c r="AT172" s="542">
        <v>0</v>
      </c>
      <c r="AU172" s="542">
        <v>30169</v>
      </c>
      <c r="AV172" s="542">
        <v>0</v>
      </c>
      <c r="AW172" s="542">
        <v>1209316</v>
      </c>
      <c r="AX172" s="542">
        <v>0</v>
      </c>
      <c r="AY172" s="542">
        <v>56957</v>
      </c>
      <c r="AZ172" s="542">
        <v>51496</v>
      </c>
      <c r="BA172" s="542">
        <v>10087</v>
      </c>
      <c r="BB172" s="542">
        <v>0</v>
      </c>
      <c r="BC172" s="542">
        <v>0</v>
      </c>
      <c r="BD172" s="542">
        <v>0</v>
      </c>
      <c r="BE172" s="542">
        <v>176004</v>
      </c>
      <c r="BF172" s="542">
        <v>0</v>
      </c>
      <c r="BG172" s="542">
        <v>6464</v>
      </c>
      <c r="BH172" s="542">
        <v>2257</v>
      </c>
      <c r="BI172" s="542">
        <v>0</v>
      </c>
      <c r="BJ172" s="542">
        <v>624</v>
      </c>
      <c r="BK172" s="542">
        <v>0</v>
      </c>
      <c r="BL172" s="542">
        <v>87972</v>
      </c>
      <c r="BM172" s="542">
        <v>430</v>
      </c>
      <c r="BN172" s="542">
        <v>47917</v>
      </c>
      <c r="BO172" s="542">
        <v>14302</v>
      </c>
      <c r="BP172" s="542">
        <v>1594</v>
      </c>
      <c r="BQ172" s="542">
        <v>16808</v>
      </c>
      <c r="BR172" s="542">
        <v>0</v>
      </c>
      <c r="BS172" s="542">
        <v>858</v>
      </c>
      <c r="BT172" s="542">
        <v>0</v>
      </c>
      <c r="BU172" s="542">
        <v>26898</v>
      </c>
      <c r="BV172" s="542">
        <v>46223</v>
      </c>
      <c r="BW172" s="542">
        <v>0</v>
      </c>
      <c r="BX172" s="542">
        <v>56619</v>
      </c>
      <c r="BY172" s="542">
        <v>1252</v>
      </c>
      <c r="BZ172" s="542">
        <v>0</v>
      </c>
      <c r="CA172" s="542">
        <v>0</v>
      </c>
      <c r="CB172" s="542">
        <v>582</v>
      </c>
      <c r="CC172" s="542">
        <v>10985</v>
      </c>
      <c r="CD172" s="542">
        <v>0</v>
      </c>
      <c r="CE172" s="542">
        <v>0</v>
      </c>
    </row>
    <row r="173" spans="1:83" x14ac:dyDescent="0.25">
      <c r="A173" s="640">
        <v>523</v>
      </c>
      <c r="B173" s="571">
        <v>523</v>
      </c>
      <c r="C173" s="536" t="s">
        <v>367</v>
      </c>
      <c r="D173" s="537" t="s">
        <v>571</v>
      </c>
      <c r="E173" s="543">
        <v>0</v>
      </c>
      <c r="F173" s="544">
        <v>0</v>
      </c>
      <c r="G173" s="544">
        <v>0</v>
      </c>
      <c r="H173" s="544">
        <v>0</v>
      </c>
      <c r="I173" s="544">
        <v>0</v>
      </c>
      <c r="J173" s="544">
        <v>0</v>
      </c>
      <c r="K173" s="545">
        <v>0</v>
      </c>
      <c r="L173" s="542">
        <v>0</v>
      </c>
      <c r="M173" s="542">
        <v>0</v>
      </c>
      <c r="N173" s="541">
        <v>0</v>
      </c>
      <c r="O173" s="541">
        <v>0</v>
      </c>
      <c r="P173" s="541">
        <v>0</v>
      </c>
      <c r="Q173" s="541">
        <v>0</v>
      </c>
      <c r="R173" s="541">
        <v>14744395</v>
      </c>
      <c r="S173" s="541">
        <v>67484</v>
      </c>
      <c r="T173" s="541">
        <v>0</v>
      </c>
      <c r="U173" s="541">
        <v>30348399</v>
      </c>
      <c r="V173" s="541">
        <v>808930</v>
      </c>
      <c r="W173" s="541">
        <v>10251539</v>
      </c>
      <c r="X173" s="541">
        <v>0</v>
      </c>
      <c r="Y173" s="541">
        <v>0</v>
      </c>
      <c r="Z173" s="541">
        <v>0</v>
      </c>
      <c r="AA173" s="541">
        <v>0</v>
      </c>
      <c r="AB173" s="542">
        <v>11108384</v>
      </c>
      <c r="AC173" s="542">
        <v>4529630</v>
      </c>
      <c r="AD173" s="542">
        <v>96550</v>
      </c>
      <c r="AE173" s="542">
        <v>0</v>
      </c>
      <c r="AF173" s="542">
        <v>0</v>
      </c>
      <c r="AG173" s="542">
        <v>2282508</v>
      </c>
      <c r="AH173" s="542">
        <v>0</v>
      </c>
      <c r="AI173" s="542">
        <v>0</v>
      </c>
      <c r="AJ173" s="542">
        <v>25124338</v>
      </c>
      <c r="AK173" s="542">
        <v>0</v>
      </c>
      <c r="AL173" s="542">
        <v>0</v>
      </c>
      <c r="AM173" s="542">
        <v>0</v>
      </c>
      <c r="AN173" s="542">
        <v>18317083</v>
      </c>
      <c r="AO173" s="542">
        <v>0</v>
      </c>
      <c r="AP173" s="542">
        <v>0</v>
      </c>
      <c r="AQ173" s="542">
        <v>0</v>
      </c>
      <c r="AR173" s="542">
        <v>0</v>
      </c>
      <c r="AS173" s="542">
        <v>0</v>
      </c>
      <c r="AT173" s="542">
        <v>0</v>
      </c>
      <c r="AU173" s="542">
        <v>0</v>
      </c>
      <c r="AV173" s="542">
        <v>0</v>
      </c>
      <c r="AW173" s="542">
        <v>2505813</v>
      </c>
      <c r="AX173" s="542">
        <v>0</v>
      </c>
      <c r="AY173" s="542">
        <v>0</v>
      </c>
      <c r="AZ173" s="542">
        <v>1933</v>
      </c>
      <c r="BA173" s="542">
        <v>321190</v>
      </c>
      <c r="BB173" s="542">
        <v>0</v>
      </c>
      <c r="BC173" s="542">
        <v>0</v>
      </c>
      <c r="BD173" s="542">
        <v>22408</v>
      </c>
      <c r="BE173" s="542">
        <v>0</v>
      </c>
      <c r="BF173" s="542">
        <v>0</v>
      </c>
      <c r="BG173" s="542">
        <v>0</v>
      </c>
      <c r="BH173" s="542">
        <v>0</v>
      </c>
      <c r="BI173" s="542">
        <v>0</v>
      </c>
      <c r="BJ173" s="542">
        <v>0</v>
      </c>
      <c r="BK173" s="542">
        <v>0</v>
      </c>
      <c r="BL173" s="542">
        <v>0</v>
      </c>
      <c r="BM173" s="542">
        <v>0</v>
      </c>
      <c r="BN173" s="542">
        <v>0</v>
      </c>
      <c r="BO173" s="542">
        <v>0</v>
      </c>
      <c r="BP173" s="542">
        <v>0</v>
      </c>
      <c r="BQ173" s="542">
        <v>72977</v>
      </c>
      <c r="BR173" s="542">
        <v>0</v>
      </c>
      <c r="BS173" s="542">
        <v>0</v>
      </c>
      <c r="BT173" s="542">
        <v>0</v>
      </c>
      <c r="BU173" s="542">
        <v>6139</v>
      </c>
      <c r="BV173" s="542">
        <v>127801</v>
      </c>
      <c r="BW173" s="542">
        <v>0</v>
      </c>
      <c r="BX173" s="542">
        <v>0</v>
      </c>
      <c r="BY173" s="542">
        <v>62739</v>
      </c>
      <c r="BZ173" s="542">
        <v>0</v>
      </c>
      <c r="CA173" s="542">
        <v>0</v>
      </c>
      <c r="CB173" s="542">
        <v>0</v>
      </c>
      <c r="CC173" s="542">
        <v>0</v>
      </c>
      <c r="CD173" s="542">
        <v>0</v>
      </c>
      <c r="CE173" s="542">
        <v>0</v>
      </c>
    </row>
    <row r="174" spans="1:83" ht="30" x14ac:dyDescent="0.25">
      <c r="A174" s="640">
        <v>524</v>
      </c>
      <c r="B174" s="571">
        <v>524</v>
      </c>
      <c r="C174" s="536" t="s">
        <v>368</v>
      </c>
      <c r="D174" s="537" t="s">
        <v>572</v>
      </c>
      <c r="E174" s="543">
        <v>1090492</v>
      </c>
      <c r="F174" s="544">
        <v>0</v>
      </c>
      <c r="G174" s="544">
        <v>3349837</v>
      </c>
      <c r="H174" s="544">
        <v>0</v>
      </c>
      <c r="I174" s="544">
        <v>0</v>
      </c>
      <c r="J174" s="544">
        <v>0</v>
      </c>
      <c r="K174" s="545">
        <v>794301</v>
      </c>
      <c r="L174" s="542">
        <v>0</v>
      </c>
      <c r="M174" s="542">
        <v>0</v>
      </c>
      <c r="N174" s="541">
        <v>0</v>
      </c>
      <c r="O174" s="541">
        <v>0</v>
      </c>
      <c r="P174" s="541">
        <v>12286157</v>
      </c>
      <c r="Q174" s="541">
        <v>0</v>
      </c>
      <c r="R174" s="541">
        <v>0</v>
      </c>
      <c r="S174" s="541">
        <v>1350254</v>
      </c>
      <c r="T174" s="541">
        <v>0</v>
      </c>
      <c r="U174" s="541">
        <v>45672718</v>
      </c>
      <c r="V174" s="541">
        <v>21236770</v>
      </c>
      <c r="W174" s="541">
        <v>24302369</v>
      </c>
      <c r="X174" s="541">
        <v>0</v>
      </c>
      <c r="Y174" s="541">
        <v>0</v>
      </c>
      <c r="Z174" s="541">
        <v>38208889</v>
      </c>
      <c r="AA174" s="541">
        <v>6780149</v>
      </c>
      <c r="AB174" s="542">
        <v>12373353</v>
      </c>
      <c r="AC174" s="542">
        <v>4223240</v>
      </c>
      <c r="AD174" s="542">
        <v>1724787</v>
      </c>
      <c r="AE174" s="542">
        <v>3414858</v>
      </c>
      <c r="AF174" s="542">
        <v>8797483</v>
      </c>
      <c r="AG174" s="542">
        <v>0</v>
      </c>
      <c r="AH174" s="542">
        <v>4339718</v>
      </c>
      <c r="AI174" s="542">
        <v>1691171</v>
      </c>
      <c r="AJ174" s="542">
        <v>20479377</v>
      </c>
      <c r="AK174" s="542">
        <v>1002585</v>
      </c>
      <c r="AL174" s="542">
        <v>3653510</v>
      </c>
      <c r="AM174" s="542">
        <v>0</v>
      </c>
      <c r="AN174" s="542">
        <v>19303753</v>
      </c>
      <c r="AO174" s="542">
        <v>2325235</v>
      </c>
      <c r="AP174" s="542">
        <v>0</v>
      </c>
      <c r="AQ174" s="542">
        <v>0</v>
      </c>
      <c r="AR174" s="542">
        <v>0</v>
      </c>
      <c r="AS174" s="542">
        <v>15542630</v>
      </c>
      <c r="AT174" s="542">
        <v>0</v>
      </c>
      <c r="AU174" s="542">
        <v>6412145</v>
      </c>
      <c r="AV174" s="542">
        <v>0</v>
      </c>
      <c r="AW174" s="542">
        <v>14397435</v>
      </c>
      <c r="AX174" s="542">
        <v>0</v>
      </c>
      <c r="AY174" s="542">
        <v>5427285</v>
      </c>
      <c r="AZ174" s="542">
        <v>1755232</v>
      </c>
      <c r="BA174" s="542">
        <v>3860132</v>
      </c>
      <c r="BB174" s="542">
        <v>0</v>
      </c>
      <c r="BC174" s="542">
        <v>0</v>
      </c>
      <c r="BD174" s="542">
        <v>427235</v>
      </c>
      <c r="BE174" s="542">
        <v>13809234</v>
      </c>
      <c r="BF174" s="542">
        <v>0</v>
      </c>
      <c r="BG174" s="542">
        <v>1494168</v>
      </c>
      <c r="BH174" s="542">
        <v>1185481</v>
      </c>
      <c r="BI174" s="542">
        <v>0</v>
      </c>
      <c r="BJ174" s="542">
        <v>1448987</v>
      </c>
      <c r="BK174" s="542">
        <v>0</v>
      </c>
      <c r="BL174" s="542">
        <v>6586123</v>
      </c>
      <c r="BM174" s="542">
        <v>2710694</v>
      </c>
      <c r="BN174" s="542">
        <v>8808019</v>
      </c>
      <c r="BO174" s="542">
        <v>1323123</v>
      </c>
      <c r="BP174" s="542">
        <v>2441402</v>
      </c>
      <c r="BQ174" s="542">
        <v>689387</v>
      </c>
      <c r="BR174" s="542">
        <v>0</v>
      </c>
      <c r="BS174" s="542">
        <v>5269538</v>
      </c>
      <c r="BT174" s="542">
        <v>0</v>
      </c>
      <c r="BU174" s="542">
        <v>3840750</v>
      </c>
      <c r="BV174" s="542">
        <v>8838453</v>
      </c>
      <c r="BW174" s="542">
        <v>0</v>
      </c>
      <c r="BX174" s="542">
        <v>5454268</v>
      </c>
      <c r="BY174" s="542">
        <v>1088941</v>
      </c>
      <c r="BZ174" s="542">
        <v>165267</v>
      </c>
      <c r="CA174" s="542">
        <v>0</v>
      </c>
      <c r="CB174" s="542">
        <v>1336833</v>
      </c>
      <c r="CC174" s="542">
        <v>3026799</v>
      </c>
      <c r="CD174" s="542">
        <v>0</v>
      </c>
      <c r="CE174" s="542">
        <v>348422</v>
      </c>
    </row>
    <row r="175" spans="1:83" x14ac:dyDescent="0.25">
      <c r="A175" s="640">
        <v>525</v>
      </c>
      <c r="B175" s="571">
        <v>525</v>
      </c>
      <c r="C175" s="536" t="s">
        <v>369</v>
      </c>
      <c r="D175" s="537" t="s">
        <v>573</v>
      </c>
      <c r="E175" s="543">
        <v>0</v>
      </c>
      <c r="F175" s="544">
        <v>0</v>
      </c>
      <c r="G175" s="544">
        <v>0</v>
      </c>
      <c r="H175" s="544">
        <v>0</v>
      </c>
      <c r="I175" s="544">
        <v>0</v>
      </c>
      <c r="J175" s="544">
        <v>0</v>
      </c>
      <c r="K175" s="545">
        <v>0</v>
      </c>
      <c r="L175" s="542">
        <v>0</v>
      </c>
      <c r="M175" s="542">
        <v>0</v>
      </c>
      <c r="N175" s="541">
        <v>0</v>
      </c>
      <c r="O175" s="541">
        <v>0</v>
      </c>
      <c r="P175" s="541">
        <v>0</v>
      </c>
      <c r="Q175" s="541">
        <v>0</v>
      </c>
      <c r="R175" s="541">
        <v>20515392</v>
      </c>
      <c r="S175" s="541">
        <v>226150</v>
      </c>
      <c r="T175" s="541">
        <v>0</v>
      </c>
      <c r="U175" s="541">
        <v>0</v>
      </c>
      <c r="V175" s="541">
        <v>0</v>
      </c>
      <c r="W175" s="541">
        <v>0</v>
      </c>
      <c r="X175" s="541">
        <v>0</v>
      </c>
      <c r="Y175" s="541">
        <v>0</v>
      </c>
      <c r="Z175" s="541">
        <v>0</v>
      </c>
      <c r="AA175" s="541">
        <v>0</v>
      </c>
      <c r="AB175" s="542">
        <v>0</v>
      </c>
      <c r="AC175" s="542">
        <v>0</v>
      </c>
      <c r="AD175" s="542">
        <v>0</v>
      </c>
      <c r="AE175" s="542">
        <v>0</v>
      </c>
      <c r="AF175" s="542">
        <v>0</v>
      </c>
      <c r="AG175" s="542">
        <v>780638</v>
      </c>
      <c r="AH175" s="542">
        <v>489192</v>
      </c>
      <c r="AI175" s="542">
        <v>0</v>
      </c>
      <c r="AJ175" s="542">
        <v>0</v>
      </c>
      <c r="AK175" s="542">
        <v>0</v>
      </c>
      <c r="AL175" s="542">
        <v>0</v>
      </c>
      <c r="AM175" s="542">
        <v>0</v>
      </c>
      <c r="AN175" s="542">
        <v>0</v>
      </c>
      <c r="AO175" s="542">
        <v>0</v>
      </c>
      <c r="AP175" s="542">
        <v>0</v>
      </c>
      <c r="AQ175" s="542">
        <v>0</v>
      </c>
      <c r="AR175" s="542">
        <v>0</v>
      </c>
      <c r="AS175" s="542">
        <v>0</v>
      </c>
      <c r="AT175" s="542">
        <v>0</v>
      </c>
      <c r="AU175" s="542">
        <v>0</v>
      </c>
      <c r="AV175" s="542">
        <v>0</v>
      </c>
      <c r="AW175" s="542">
        <v>0</v>
      </c>
      <c r="AX175" s="542">
        <v>0</v>
      </c>
      <c r="AY175" s="542">
        <v>0</v>
      </c>
      <c r="AZ175" s="542">
        <v>0</v>
      </c>
      <c r="BA175" s="542">
        <v>0</v>
      </c>
      <c r="BB175" s="542">
        <v>0</v>
      </c>
      <c r="BC175" s="542">
        <v>0</v>
      </c>
      <c r="BD175" s="542">
        <v>0</v>
      </c>
      <c r="BE175" s="542">
        <v>0</v>
      </c>
      <c r="BF175" s="542">
        <v>0</v>
      </c>
      <c r="BG175" s="542">
        <v>0</v>
      </c>
      <c r="BH175" s="542">
        <v>0</v>
      </c>
      <c r="BI175" s="542">
        <v>0</v>
      </c>
      <c r="BJ175" s="542">
        <v>0</v>
      </c>
      <c r="BK175" s="542">
        <v>0</v>
      </c>
      <c r="BL175" s="542">
        <v>0</v>
      </c>
      <c r="BM175" s="542">
        <v>0</v>
      </c>
      <c r="BN175" s="542">
        <v>0</v>
      </c>
      <c r="BO175" s="542">
        <v>0</v>
      </c>
      <c r="BP175" s="542">
        <v>0</v>
      </c>
      <c r="BQ175" s="542">
        <v>0</v>
      </c>
      <c r="BR175" s="542">
        <v>0</v>
      </c>
      <c r="BS175" s="542">
        <v>0</v>
      </c>
      <c r="BT175" s="542">
        <v>0</v>
      </c>
      <c r="BU175" s="542">
        <v>0</v>
      </c>
      <c r="BV175" s="542">
        <v>0</v>
      </c>
      <c r="BW175" s="542">
        <v>0</v>
      </c>
      <c r="BX175" s="542">
        <v>0</v>
      </c>
      <c r="BY175" s="542">
        <v>0</v>
      </c>
      <c r="BZ175" s="542">
        <v>0</v>
      </c>
      <c r="CA175" s="542">
        <v>0</v>
      </c>
      <c r="CB175" s="542">
        <v>0</v>
      </c>
      <c r="CC175" s="542">
        <v>0</v>
      </c>
      <c r="CD175" s="542">
        <v>0</v>
      </c>
      <c r="CE175" s="542">
        <v>0</v>
      </c>
    </row>
    <row r="176" spans="1:83" ht="30" x14ac:dyDescent="0.25">
      <c r="A176" s="640">
        <v>526</v>
      </c>
      <c r="B176" s="571">
        <v>526</v>
      </c>
      <c r="C176" s="536" t="s">
        <v>370</v>
      </c>
      <c r="D176" s="537" t="s">
        <v>574</v>
      </c>
      <c r="E176" s="543">
        <v>107924</v>
      </c>
      <c r="F176" s="544">
        <v>0</v>
      </c>
      <c r="G176" s="544">
        <v>140659</v>
      </c>
      <c r="H176" s="544">
        <v>0</v>
      </c>
      <c r="I176" s="544">
        <v>0</v>
      </c>
      <c r="J176" s="544">
        <v>0</v>
      </c>
      <c r="K176" s="545">
        <v>4514</v>
      </c>
      <c r="L176" s="542">
        <v>0</v>
      </c>
      <c r="M176" s="542">
        <v>0</v>
      </c>
      <c r="N176" s="541">
        <v>0</v>
      </c>
      <c r="O176" s="541">
        <v>0</v>
      </c>
      <c r="P176" s="541">
        <v>1573887</v>
      </c>
      <c r="Q176" s="541">
        <v>0</v>
      </c>
      <c r="R176" s="541">
        <v>6987742</v>
      </c>
      <c r="S176" s="541">
        <v>26514</v>
      </c>
      <c r="T176" s="541">
        <v>0</v>
      </c>
      <c r="U176" s="541">
        <v>6244916</v>
      </c>
      <c r="V176" s="541">
        <v>1758136</v>
      </c>
      <c r="W176" s="541">
        <v>8540015</v>
      </c>
      <c r="X176" s="541">
        <v>0</v>
      </c>
      <c r="Y176" s="541">
        <v>0</v>
      </c>
      <c r="Z176" s="541">
        <v>2192988</v>
      </c>
      <c r="AA176" s="541">
        <v>0</v>
      </c>
      <c r="AB176" s="542">
        <v>2674734</v>
      </c>
      <c r="AC176" s="542">
        <v>1039405</v>
      </c>
      <c r="AD176" s="542">
        <v>78201</v>
      </c>
      <c r="AE176" s="542">
        <v>494256</v>
      </c>
      <c r="AF176" s="542">
        <v>448435</v>
      </c>
      <c r="AG176" s="542">
        <v>4421588</v>
      </c>
      <c r="AH176" s="542">
        <v>1089073</v>
      </c>
      <c r="AI176" s="542">
        <v>1525</v>
      </c>
      <c r="AJ176" s="542">
        <v>6336794</v>
      </c>
      <c r="AK176" s="542">
        <v>0</v>
      </c>
      <c r="AL176" s="542">
        <v>256652</v>
      </c>
      <c r="AM176" s="542">
        <v>0</v>
      </c>
      <c r="AN176" s="542">
        <v>1773441</v>
      </c>
      <c r="AO176" s="542">
        <v>43994</v>
      </c>
      <c r="AP176" s="542">
        <v>0</v>
      </c>
      <c r="AQ176" s="542">
        <v>0</v>
      </c>
      <c r="AR176" s="542">
        <v>0</v>
      </c>
      <c r="AS176" s="542">
        <v>1223733</v>
      </c>
      <c r="AT176" s="542">
        <v>0</v>
      </c>
      <c r="AU176" s="542">
        <v>460639</v>
      </c>
      <c r="AV176" s="542">
        <v>0</v>
      </c>
      <c r="AW176" s="542">
        <v>8930211</v>
      </c>
      <c r="AX176" s="542">
        <v>0</v>
      </c>
      <c r="AY176" s="542">
        <v>635502</v>
      </c>
      <c r="AZ176" s="542">
        <v>993883</v>
      </c>
      <c r="BA176" s="542">
        <v>334959</v>
      </c>
      <c r="BB176" s="542">
        <v>0</v>
      </c>
      <c r="BC176" s="542">
        <v>0</v>
      </c>
      <c r="BD176" s="542">
        <v>0</v>
      </c>
      <c r="BE176" s="542">
        <v>2347286</v>
      </c>
      <c r="BF176" s="542">
        <v>0</v>
      </c>
      <c r="BG176" s="542">
        <v>95010</v>
      </c>
      <c r="BH176" s="542">
        <v>7725</v>
      </c>
      <c r="BI176" s="542">
        <v>0</v>
      </c>
      <c r="BJ176" s="542">
        <v>10748</v>
      </c>
      <c r="BK176" s="542">
        <v>0</v>
      </c>
      <c r="BL176" s="542">
        <v>1490033</v>
      </c>
      <c r="BM176" s="542">
        <v>15584</v>
      </c>
      <c r="BN176" s="542">
        <v>205497</v>
      </c>
      <c r="BO176" s="542">
        <v>160613</v>
      </c>
      <c r="BP176" s="542">
        <v>177632</v>
      </c>
      <c r="BQ176" s="542">
        <v>271770</v>
      </c>
      <c r="BR176" s="542">
        <v>0</v>
      </c>
      <c r="BS176" s="542">
        <v>120409</v>
      </c>
      <c r="BT176" s="542">
        <v>0</v>
      </c>
      <c r="BU176" s="542">
        <v>233359</v>
      </c>
      <c r="BV176" s="542">
        <v>2037988</v>
      </c>
      <c r="BW176" s="542">
        <v>0</v>
      </c>
      <c r="BX176" s="542">
        <v>1207793</v>
      </c>
      <c r="BY176" s="542">
        <v>41225</v>
      </c>
      <c r="BZ176" s="542">
        <v>0</v>
      </c>
      <c r="CA176" s="542">
        <v>0</v>
      </c>
      <c r="CB176" s="542">
        <v>5330</v>
      </c>
      <c r="CC176" s="542">
        <v>217620</v>
      </c>
      <c r="CD176" s="542">
        <v>0</v>
      </c>
      <c r="CE176" s="542">
        <v>0</v>
      </c>
    </row>
    <row r="177" spans="1:83" ht="45" x14ac:dyDescent="0.25">
      <c r="A177" s="640">
        <v>527</v>
      </c>
      <c r="B177" s="571">
        <v>527</v>
      </c>
      <c r="C177" s="536" t="s">
        <v>371</v>
      </c>
      <c r="D177" s="537" t="s">
        <v>575</v>
      </c>
      <c r="E177" s="543">
        <v>0</v>
      </c>
      <c r="F177" s="544">
        <v>0</v>
      </c>
      <c r="G177" s="544">
        <v>0</v>
      </c>
      <c r="H177" s="544">
        <v>0</v>
      </c>
      <c r="I177" s="544">
        <v>0</v>
      </c>
      <c r="J177" s="544">
        <v>0</v>
      </c>
      <c r="K177" s="545">
        <v>0</v>
      </c>
      <c r="L177" s="542">
        <v>0</v>
      </c>
      <c r="M177" s="542">
        <v>0</v>
      </c>
      <c r="N177" s="541">
        <v>0</v>
      </c>
      <c r="O177" s="541">
        <v>0</v>
      </c>
      <c r="P177" s="541">
        <v>0</v>
      </c>
      <c r="Q177" s="541">
        <v>0</v>
      </c>
      <c r="R177" s="541">
        <v>10201713</v>
      </c>
      <c r="S177" s="541">
        <v>0</v>
      </c>
      <c r="T177" s="541">
        <v>0</v>
      </c>
      <c r="U177" s="541">
        <v>0</v>
      </c>
      <c r="V177" s="541">
        <v>0</v>
      </c>
      <c r="W177" s="541">
        <v>55950</v>
      </c>
      <c r="X177" s="541">
        <v>0</v>
      </c>
      <c r="Y177" s="541">
        <v>0</v>
      </c>
      <c r="Z177" s="541">
        <v>0</v>
      </c>
      <c r="AA177" s="541">
        <v>0</v>
      </c>
      <c r="AB177" s="542">
        <v>0</v>
      </c>
      <c r="AC177" s="542">
        <v>0</v>
      </c>
      <c r="AD177" s="542">
        <v>0</v>
      </c>
      <c r="AE177" s="542">
        <v>0</v>
      </c>
      <c r="AF177" s="542">
        <v>0</v>
      </c>
      <c r="AG177" s="542">
        <v>0</v>
      </c>
      <c r="AH177" s="542">
        <v>0</v>
      </c>
      <c r="AI177" s="542">
        <v>0</v>
      </c>
      <c r="AJ177" s="542">
        <v>7704896</v>
      </c>
      <c r="AK177" s="542">
        <v>0</v>
      </c>
      <c r="AL177" s="542">
        <v>0</v>
      </c>
      <c r="AM177" s="542">
        <v>0</v>
      </c>
      <c r="AN177" s="542">
        <v>50005</v>
      </c>
      <c r="AO177" s="542">
        <v>0</v>
      </c>
      <c r="AP177" s="542">
        <v>0</v>
      </c>
      <c r="AQ177" s="542">
        <v>0</v>
      </c>
      <c r="AR177" s="542">
        <v>0</v>
      </c>
      <c r="AS177" s="542">
        <v>0</v>
      </c>
      <c r="AT177" s="542">
        <v>0</v>
      </c>
      <c r="AU177" s="542">
        <v>0</v>
      </c>
      <c r="AV177" s="542">
        <v>7405</v>
      </c>
      <c r="AW177" s="542">
        <v>0</v>
      </c>
      <c r="AX177" s="542">
        <v>0</v>
      </c>
      <c r="AY177" s="542">
        <v>0</v>
      </c>
      <c r="AZ177" s="542">
        <v>0</v>
      </c>
      <c r="BA177" s="542">
        <v>0</v>
      </c>
      <c r="BB177" s="542">
        <v>0</v>
      </c>
      <c r="BC177" s="542">
        <v>0</v>
      </c>
      <c r="BD177" s="542">
        <v>0</v>
      </c>
      <c r="BE177" s="542">
        <v>0</v>
      </c>
      <c r="BF177" s="542">
        <v>0</v>
      </c>
      <c r="BG177" s="542">
        <v>0</v>
      </c>
      <c r="BH177" s="542">
        <v>0</v>
      </c>
      <c r="BI177" s="542">
        <v>0</v>
      </c>
      <c r="BJ177" s="542">
        <v>0</v>
      </c>
      <c r="BK177" s="542">
        <v>0</v>
      </c>
      <c r="BL177" s="542">
        <v>0</v>
      </c>
      <c r="BM177" s="542">
        <v>0</v>
      </c>
      <c r="BN177" s="542">
        <v>0</v>
      </c>
      <c r="BO177" s="542">
        <v>0</v>
      </c>
      <c r="BP177" s="542">
        <v>0</v>
      </c>
      <c r="BQ177" s="542">
        <v>0</v>
      </c>
      <c r="BR177" s="542">
        <v>0</v>
      </c>
      <c r="BS177" s="542">
        <v>11600</v>
      </c>
      <c r="BT177" s="542">
        <v>4562517</v>
      </c>
      <c r="BU177" s="542">
        <v>0</v>
      </c>
      <c r="BV177" s="542">
        <v>0</v>
      </c>
      <c r="BW177" s="542">
        <v>0</v>
      </c>
      <c r="BX177" s="542">
        <v>0</v>
      </c>
      <c r="BY177" s="542">
        <v>0</v>
      </c>
      <c r="BZ177" s="542">
        <v>0</v>
      </c>
      <c r="CA177" s="542">
        <v>0</v>
      </c>
      <c r="CB177" s="542">
        <v>0</v>
      </c>
      <c r="CC177" s="542">
        <v>0</v>
      </c>
      <c r="CD177" s="542">
        <v>0</v>
      </c>
      <c r="CE177" s="542">
        <v>0</v>
      </c>
    </row>
    <row r="178" spans="1:83" ht="30" x14ac:dyDescent="0.25">
      <c r="A178" s="640">
        <v>528</v>
      </c>
      <c r="B178" s="571">
        <v>528</v>
      </c>
      <c r="C178" s="536" t="s">
        <v>353</v>
      </c>
      <c r="D178" s="537" t="s">
        <v>576</v>
      </c>
      <c r="E178" s="543">
        <v>101438</v>
      </c>
      <c r="F178" s="544">
        <v>24773</v>
      </c>
      <c r="G178" s="544">
        <v>281267</v>
      </c>
      <c r="H178" s="544">
        <v>734458</v>
      </c>
      <c r="I178" s="544">
        <v>164392</v>
      </c>
      <c r="J178" s="544">
        <v>1760965</v>
      </c>
      <c r="K178" s="545">
        <v>37872</v>
      </c>
      <c r="L178" s="542">
        <v>65379</v>
      </c>
      <c r="M178" s="542">
        <v>131232</v>
      </c>
      <c r="N178" s="541">
        <v>6281995</v>
      </c>
      <c r="O178" s="541">
        <v>25596</v>
      </c>
      <c r="P178" s="541">
        <v>2545517</v>
      </c>
      <c r="Q178" s="541">
        <v>13393</v>
      </c>
      <c r="R178" s="541">
        <v>19261906</v>
      </c>
      <c r="S178" s="541">
        <v>1016915</v>
      </c>
      <c r="T178" s="541">
        <v>0</v>
      </c>
      <c r="U178" s="541">
        <v>33757471</v>
      </c>
      <c r="V178" s="541">
        <v>6762936</v>
      </c>
      <c r="W178" s="541">
        <v>8430210</v>
      </c>
      <c r="X178" s="541">
        <v>16764789</v>
      </c>
      <c r="Y178" s="541">
        <v>0</v>
      </c>
      <c r="Z178" s="541">
        <v>5039807</v>
      </c>
      <c r="AA178" s="541">
        <v>504947</v>
      </c>
      <c r="AB178" s="542">
        <v>6477930</v>
      </c>
      <c r="AC178" s="542">
        <v>1461320</v>
      </c>
      <c r="AD178" s="542">
        <v>673091</v>
      </c>
      <c r="AE178" s="542">
        <v>791857</v>
      </c>
      <c r="AF178" s="542">
        <v>894696</v>
      </c>
      <c r="AG178" s="542">
        <v>7013398</v>
      </c>
      <c r="AH178" s="542">
        <v>2025946</v>
      </c>
      <c r="AI178" s="542">
        <v>200123</v>
      </c>
      <c r="AJ178" s="542">
        <v>13113149</v>
      </c>
      <c r="AK178" s="542">
        <v>176388</v>
      </c>
      <c r="AL178" s="542">
        <v>326052</v>
      </c>
      <c r="AM178" s="542">
        <v>0</v>
      </c>
      <c r="AN178" s="542">
        <v>5026643</v>
      </c>
      <c r="AO178" s="542">
        <v>212993</v>
      </c>
      <c r="AP178" s="542">
        <v>0</v>
      </c>
      <c r="AQ178" s="542">
        <v>0</v>
      </c>
      <c r="AR178" s="542">
        <v>3205376</v>
      </c>
      <c r="AS178" s="542">
        <v>2006546</v>
      </c>
      <c r="AT178" s="542">
        <v>0</v>
      </c>
      <c r="AU178" s="542">
        <v>1056181</v>
      </c>
      <c r="AV178" s="542">
        <v>64476</v>
      </c>
      <c r="AW178" s="542">
        <v>7770321</v>
      </c>
      <c r="AX178" s="542">
        <v>722960</v>
      </c>
      <c r="AY178" s="542">
        <v>545126</v>
      </c>
      <c r="AZ178" s="542">
        <v>3139816</v>
      </c>
      <c r="BA178" s="542">
        <v>347087</v>
      </c>
      <c r="BB178" s="542">
        <v>0</v>
      </c>
      <c r="BC178" s="542">
        <v>0</v>
      </c>
      <c r="BD178" s="542">
        <v>46206</v>
      </c>
      <c r="BE178" s="542">
        <v>3218720</v>
      </c>
      <c r="BF178" s="542">
        <v>31047</v>
      </c>
      <c r="BG178" s="542">
        <v>134262</v>
      </c>
      <c r="BH178" s="542">
        <v>50946</v>
      </c>
      <c r="BI178" s="542">
        <v>29936</v>
      </c>
      <c r="BJ178" s="542">
        <v>47000</v>
      </c>
      <c r="BK178" s="542">
        <v>41857</v>
      </c>
      <c r="BL178" s="542">
        <v>1131217</v>
      </c>
      <c r="BM178" s="542">
        <v>288814</v>
      </c>
      <c r="BN178" s="542">
        <v>746672</v>
      </c>
      <c r="BO178" s="542">
        <v>1763637</v>
      </c>
      <c r="BP178" s="542">
        <v>445615</v>
      </c>
      <c r="BQ178" s="542">
        <v>372032</v>
      </c>
      <c r="BR178" s="542">
        <v>9510918</v>
      </c>
      <c r="BS178" s="542">
        <v>154798</v>
      </c>
      <c r="BT178" s="542">
        <v>6342576</v>
      </c>
      <c r="BU178" s="542">
        <v>185667</v>
      </c>
      <c r="BV178" s="542">
        <v>2114490</v>
      </c>
      <c r="BW178" s="542">
        <v>175147</v>
      </c>
      <c r="BX178" s="542">
        <v>972932</v>
      </c>
      <c r="BY178" s="542">
        <v>103160</v>
      </c>
      <c r="BZ178" s="542">
        <v>12052</v>
      </c>
      <c r="CA178" s="542">
        <v>0</v>
      </c>
      <c r="CB178" s="542">
        <v>21767</v>
      </c>
      <c r="CC178" s="542">
        <v>381633</v>
      </c>
      <c r="CD178" s="542">
        <v>0</v>
      </c>
      <c r="CE178" s="542">
        <v>8393</v>
      </c>
    </row>
    <row r="179" spans="1:83" ht="30" x14ac:dyDescent="0.25">
      <c r="A179" s="640">
        <v>529</v>
      </c>
      <c r="B179" s="571">
        <v>529</v>
      </c>
      <c r="C179" s="536" t="s">
        <v>354</v>
      </c>
      <c r="D179" s="537" t="s">
        <v>577</v>
      </c>
      <c r="E179" s="543">
        <v>15010</v>
      </c>
      <c r="F179" s="544">
        <v>2943</v>
      </c>
      <c r="G179" s="544">
        <v>35197</v>
      </c>
      <c r="H179" s="544">
        <v>87243</v>
      </c>
      <c r="I179" s="544">
        <v>22193</v>
      </c>
      <c r="J179" s="544">
        <v>144524</v>
      </c>
      <c r="K179" s="545">
        <v>3571</v>
      </c>
      <c r="L179" s="542">
        <v>7429</v>
      </c>
      <c r="M179" s="542">
        <v>8123</v>
      </c>
      <c r="N179" s="541">
        <v>681920</v>
      </c>
      <c r="O179" s="541">
        <v>4440</v>
      </c>
      <c r="P179" s="541">
        <v>116520</v>
      </c>
      <c r="Q179" s="541">
        <v>2945</v>
      </c>
      <c r="R179" s="541">
        <v>1676817</v>
      </c>
      <c r="S179" s="541">
        <v>19605</v>
      </c>
      <c r="T179" s="541">
        <v>0</v>
      </c>
      <c r="U179" s="541">
        <v>2654490</v>
      </c>
      <c r="V179" s="541">
        <v>314325</v>
      </c>
      <c r="W179" s="541">
        <v>613615</v>
      </c>
      <c r="X179" s="541">
        <v>1086223</v>
      </c>
      <c r="Y179" s="541">
        <v>0</v>
      </c>
      <c r="Z179" s="541">
        <v>406326</v>
      </c>
      <c r="AA179" s="541">
        <v>45182</v>
      </c>
      <c r="AB179" s="542">
        <v>685157</v>
      </c>
      <c r="AC179" s="542">
        <v>152196</v>
      </c>
      <c r="AD179" s="542">
        <v>68539</v>
      </c>
      <c r="AE179" s="542">
        <v>124204</v>
      </c>
      <c r="AF179" s="542">
        <v>45649</v>
      </c>
      <c r="AG179" s="542">
        <v>126918</v>
      </c>
      <c r="AH179" s="542">
        <v>279544</v>
      </c>
      <c r="AI179" s="542">
        <v>18733</v>
      </c>
      <c r="AJ179" s="542">
        <v>1162089</v>
      </c>
      <c r="AK179" s="542">
        <v>11829</v>
      </c>
      <c r="AL179" s="542">
        <v>30191</v>
      </c>
      <c r="AM179" s="542">
        <v>0</v>
      </c>
      <c r="AN179" s="542">
        <v>459496</v>
      </c>
      <c r="AO179" s="542">
        <v>20519</v>
      </c>
      <c r="AP179" s="542">
        <v>0</v>
      </c>
      <c r="AQ179" s="542">
        <v>0</v>
      </c>
      <c r="AR179" s="542">
        <v>52110</v>
      </c>
      <c r="AS179" s="542">
        <v>176522</v>
      </c>
      <c r="AT179" s="542">
        <v>0</v>
      </c>
      <c r="AU179" s="542">
        <v>72881</v>
      </c>
      <c r="AV179" s="542">
        <v>11158</v>
      </c>
      <c r="AW179" s="542">
        <v>259197</v>
      </c>
      <c r="AX179" s="542">
        <v>75299</v>
      </c>
      <c r="AY179" s="542">
        <v>102559</v>
      </c>
      <c r="AZ179" s="542">
        <v>38874</v>
      </c>
      <c r="BA179" s="542">
        <v>16838</v>
      </c>
      <c r="BB179" s="542">
        <v>0</v>
      </c>
      <c r="BC179" s="542">
        <v>0</v>
      </c>
      <c r="BD179" s="542">
        <v>4351</v>
      </c>
      <c r="BE179" s="542">
        <v>340553</v>
      </c>
      <c r="BF179" s="542">
        <v>2042</v>
      </c>
      <c r="BG179" s="542">
        <v>18268</v>
      </c>
      <c r="BH179" s="542">
        <v>5870</v>
      </c>
      <c r="BI179" s="542">
        <v>1231</v>
      </c>
      <c r="BJ179" s="542">
        <v>8480</v>
      </c>
      <c r="BK179" s="542">
        <v>2898</v>
      </c>
      <c r="BL179" s="542">
        <v>72986</v>
      </c>
      <c r="BM179" s="542">
        <v>24692</v>
      </c>
      <c r="BN179" s="542">
        <v>68508</v>
      </c>
      <c r="BO179" s="542">
        <v>38899</v>
      </c>
      <c r="BP179" s="542">
        <v>64393</v>
      </c>
      <c r="BQ179" s="542">
        <v>58706</v>
      </c>
      <c r="BR179" s="542">
        <v>625822</v>
      </c>
      <c r="BS179" s="542">
        <v>29470</v>
      </c>
      <c r="BT179" s="542">
        <v>319863</v>
      </c>
      <c r="BU179" s="542">
        <v>16286</v>
      </c>
      <c r="BV179" s="542">
        <v>210276</v>
      </c>
      <c r="BW179" s="542">
        <v>17696</v>
      </c>
      <c r="BX179" s="542">
        <v>81131</v>
      </c>
      <c r="BY179" s="542">
        <v>15859</v>
      </c>
      <c r="BZ179" s="542">
        <v>1545</v>
      </c>
      <c r="CA179" s="542">
        <v>0</v>
      </c>
      <c r="CB179" s="542">
        <v>3973</v>
      </c>
      <c r="CC179" s="542">
        <v>43694</v>
      </c>
      <c r="CD179" s="542">
        <v>0</v>
      </c>
      <c r="CE179" s="542">
        <v>1806</v>
      </c>
    </row>
    <row r="180" spans="1:83" ht="45" x14ac:dyDescent="0.25">
      <c r="A180" s="640">
        <v>530</v>
      </c>
      <c r="B180" s="571">
        <v>530</v>
      </c>
      <c r="C180" s="536" t="s">
        <v>355</v>
      </c>
      <c r="D180" s="537" t="s">
        <v>578</v>
      </c>
      <c r="E180" s="543">
        <v>0</v>
      </c>
      <c r="F180" s="544">
        <v>232</v>
      </c>
      <c r="G180" s="544">
        <v>13620</v>
      </c>
      <c r="H180" s="544">
        <v>16311</v>
      </c>
      <c r="I180" s="544">
        <v>4440</v>
      </c>
      <c r="J180" s="544">
        <v>15462</v>
      </c>
      <c r="K180" s="545">
        <v>1086</v>
      </c>
      <c r="L180" s="542">
        <v>479</v>
      </c>
      <c r="M180" s="542">
        <v>2610</v>
      </c>
      <c r="N180" s="541">
        <v>31657</v>
      </c>
      <c r="O180" s="541">
        <v>764</v>
      </c>
      <c r="P180" s="541">
        <v>29173</v>
      </c>
      <c r="Q180" s="541">
        <v>68</v>
      </c>
      <c r="R180" s="541">
        <v>188241</v>
      </c>
      <c r="S180" s="541">
        <v>0</v>
      </c>
      <c r="T180" s="541">
        <v>0</v>
      </c>
      <c r="U180" s="541">
        <v>276471</v>
      </c>
      <c r="V180" s="541">
        <v>54839</v>
      </c>
      <c r="W180" s="541">
        <v>117011</v>
      </c>
      <c r="X180" s="541">
        <v>10662</v>
      </c>
      <c r="Y180" s="541">
        <v>0</v>
      </c>
      <c r="Z180" s="541">
        <v>61802</v>
      </c>
      <c r="AA180" s="541">
        <v>26625</v>
      </c>
      <c r="AB180" s="542">
        <v>57736</v>
      </c>
      <c r="AC180" s="542">
        <v>44924</v>
      </c>
      <c r="AD180" s="542">
        <v>15621</v>
      </c>
      <c r="AE180" s="542">
        <v>19874</v>
      </c>
      <c r="AF180" s="542">
        <v>46866</v>
      </c>
      <c r="AG180" s="542">
        <v>437</v>
      </c>
      <c r="AH180" s="542">
        <v>43831</v>
      </c>
      <c r="AI180" s="542">
        <v>14585</v>
      </c>
      <c r="AJ180" s="542">
        <v>87522</v>
      </c>
      <c r="AK180" s="542">
        <v>749</v>
      </c>
      <c r="AL180" s="542">
        <v>17821</v>
      </c>
      <c r="AM180" s="542">
        <v>0</v>
      </c>
      <c r="AN180" s="542">
        <v>114805</v>
      </c>
      <c r="AO180" s="542">
        <v>4120</v>
      </c>
      <c r="AP180" s="542">
        <v>0</v>
      </c>
      <c r="AQ180" s="542">
        <v>0</v>
      </c>
      <c r="AR180" s="542">
        <v>29512</v>
      </c>
      <c r="AS180" s="542">
        <v>73479</v>
      </c>
      <c r="AT180" s="542">
        <v>0</v>
      </c>
      <c r="AU180" s="542">
        <v>23917</v>
      </c>
      <c r="AV180" s="542">
        <v>7491</v>
      </c>
      <c r="AW180" s="542">
        <v>63161</v>
      </c>
      <c r="AX180" s="542">
        <v>3134</v>
      </c>
      <c r="AY180" s="542">
        <v>10364</v>
      </c>
      <c r="AZ180" s="542">
        <v>104404</v>
      </c>
      <c r="BA180" s="542">
        <v>3320</v>
      </c>
      <c r="BB180" s="542">
        <v>0</v>
      </c>
      <c r="BC180" s="542">
        <v>0</v>
      </c>
      <c r="BD180" s="542">
        <v>248</v>
      </c>
      <c r="BE180" s="542">
        <v>45119</v>
      </c>
      <c r="BF180" s="542">
        <v>714</v>
      </c>
      <c r="BG180" s="542">
        <v>8072</v>
      </c>
      <c r="BH180" s="542">
        <v>12807</v>
      </c>
      <c r="BI180" s="542">
        <v>787</v>
      </c>
      <c r="BJ180" s="542">
        <v>3261</v>
      </c>
      <c r="BK180" s="542">
        <v>2201</v>
      </c>
      <c r="BL180" s="542">
        <v>83011</v>
      </c>
      <c r="BM180" s="542">
        <v>6981</v>
      </c>
      <c r="BN180" s="542">
        <v>6230</v>
      </c>
      <c r="BO180" s="542">
        <v>1964</v>
      </c>
      <c r="BP180" s="542">
        <v>0</v>
      </c>
      <c r="BQ180" s="542">
        <v>2649</v>
      </c>
      <c r="BR180" s="542">
        <v>6754</v>
      </c>
      <c r="BS180" s="542">
        <v>8225</v>
      </c>
      <c r="BT180" s="542">
        <v>20822</v>
      </c>
      <c r="BU180" s="542">
        <v>5921</v>
      </c>
      <c r="BV180" s="542">
        <v>9112</v>
      </c>
      <c r="BW180" s="542">
        <v>2553</v>
      </c>
      <c r="BX180" s="542">
        <v>95622</v>
      </c>
      <c r="BY180" s="542">
        <v>11332</v>
      </c>
      <c r="BZ180" s="542">
        <v>95</v>
      </c>
      <c r="CA180" s="542">
        <v>0</v>
      </c>
      <c r="CB180" s="542">
        <v>745</v>
      </c>
      <c r="CC180" s="542">
        <v>209</v>
      </c>
      <c r="CD180" s="542">
        <v>0</v>
      </c>
      <c r="CE180" s="542">
        <v>896</v>
      </c>
    </row>
    <row r="181" spans="1:83" ht="30" x14ac:dyDescent="0.25">
      <c r="A181" s="640">
        <v>531</v>
      </c>
      <c r="B181" s="571">
        <v>531</v>
      </c>
      <c r="C181" s="536" t="s">
        <v>356</v>
      </c>
      <c r="D181" s="537" t="s">
        <v>579</v>
      </c>
      <c r="E181" s="543">
        <v>0</v>
      </c>
      <c r="F181" s="544">
        <v>0</v>
      </c>
      <c r="G181" s="544">
        <v>0</v>
      </c>
      <c r="H181" s="544">
        <v>61</v>
      </c>
      <c r="I181" s="544">
        <v>0</v>
      </c>
      <c r="J181" s="544">
        <v>0</v>
      </c>
      <c r="K181" s="545">
        <v>0</v>
      </c>
      <c r="L181" s="542">
        <v>0</v>
      </c>
      <c r="M181" s="542">
        <v>0</v>
      </c>
      <c r="N181" s="541">
        <v>0</v>
      </c>
      <c r="O181" s="541">
        <v>0</v>
      </c>
      <c r="P181" s="541">
        <v>0</v>
      </c>
      <c r="Q181" s="541">
        <v>0</v>
      </c>
      <c r="R181" s="541">
        <v>0</v>
      </c>
      <c r="S181" s="541">
        <v>0</v>
      </c>
      <c r="T181" s="541">
        <v>0</v>
      </c>
      <c r="U181" s="541">
        <v>23169</v>
      </c>
      <c r="V181" s="541">
        <v>0</v>
      </c>
      <c r="W181" s="541">
        <v>0</v>
      </c>
      <c r="X181" s="541">
        <v>120</v>
      </c>
      <c r="Y181" s="541">
        <v>0</v>
      </c>
      <c r="Z181" s="541">
        <v>9</v>
      </c>
      <c r="AA181" s="541">
        <v>0</v>
      </c>
      <c r="AB181" s="542">
        <v>0</v>
      </c>
      <c r="AC181" s="542">
        <v>0</v>
      </c>
      <c r="AD181" s="542">
        <v>0</v>
      </c>
      <c r="AE181" s="542">
        <v>0</v>
      </c>
      <c r="AF181" s="542">
        <v>749</v>
      </c>
      <c r="AG181" s="542">
        <v>0</v>
      </c>
      <c r="AH181" s="542">
        <v>0</v>
      </c>
      <c r="AI181" s="542">
        <v>0</v>
      </c>
      <c r="AJ181" s="542">
        <v>0</v>
      </c>
      <c r="AK181" s="542">
        <v>0</v>
      </c>
      <c r="AL181" s="542">
        <v>0</v>
      </c>
      <c r="AM181" s="542">
        <v>0</v>
      </c>
      <c r="AN181" s="542">
        <v>35</v>
      </c>
      <c r="AO181" s="542">
        <v>0</v>
      </c>
      <c r="AP181" s="542">
        <v>0</v>
      </c>
      <c r="AQ181" s="542">
        <v>0</v>
      </c>
      <c r="AR181" s="542">
        <v>0</v>
      </c>
      <c r="AS181" s="542">
        <v>0</v>
      </c>
      <c r="AT181" s="542">
        <v>0</v>
      </c>
      <c r="AU181" s="542">
        <v>0</v>
      </c>
      <c r="AV181" s="542">
        <v>0</v>
      </c>
      <c r="AW181" s="542">
        <v>0</v>
      </c>
      <c r="AX181" s="542">
        <v>0</v>
      </c>
      <c r="AY181" s="542">
        <v>0</v>
      </c>
      <c r="AZ181" s="542">
        <v>0</v>
      </c>
      <c r="BA181" s="542">
        <v>0</v>
      </c>
      <c r="BB181" s="542">
        <v>0</v>
      </c>
      <c r="BC181" s="542">
        <v>0</v>
      </c>
      <c r="BD181" s="542">
        <v>0</v>
      </c>
      <c r="BE181" s="542">
        <v>316</v>
      </c>
      <c r="BF181" s="542">
        <v>0</v>
      </c>
      <c r="BG181" s="542">
        <v>0</v>
      </c>
      <c r="BH181" s="542">
        <v>0</v>
      </c>
      <c r="BI181" s="542">
        <v>0</v>
      </c>
      <c r="BJ181" s="542">
        <v>0</v>
      </c>
      <c r="BK181" s="542">
        <v>0</v>
      </c>
      <c r="BL181" s="542">
        <v>1228</v>
      </c>
      <c r="BM181" s="542">
        <v>0</v>
      </c>
      <c r="BN181" s="542">
        <v>3034</v>
      </c>
      <c r="BO181" s="542">
        <v>174</v>
      </c>
      <c r="BP181" s="542">
        <v>0</v>
      </c>
      <c r="BQ181" s="542">
        <v>0</v>
      </c>
      <c r="BR181" s="542">
        <v>0</v>
      </c>
      <c r="BS181" s="542">
        <v>0</v>
      </c>
      <c r="BT181" s="542">
        <v>0</v>
      </c>
      <c r="BU181" s="542">
        <v>0</v>
      </c>
      <c r="BV181" s="542">
        <v>0</v>
      </c>
      <c r="BW181" s="542">
        <v>0</v>
      </c>
      <c r="BX181" s="542">
        <v>0</v>
      </c>
      <c r="BY181" s="542">
        <v>0</v>
      </c>
      <c r="BZ181" s="542">
        <v>0</v>
      </c>
      <c r="CA181" s="542">
        <v>0</v>
      </c>
      <c r="CB181" s="542">
        <v>0</v>
      </c>
      <c r="CC181" s="542">
        <v>0</v>
      </c>
      <c r="CD181" s="542">
        <v>0</v>
      </c>
      <c r="CE181" s="542">
        <v>0</v>
      </c>
    </row>
    <row r="182" spans="1:83" ht="30" x14ac:dyDescent="0.25">
      <c r="A182" s="640">
        <v>532</v>
      </c>
      <c r="B182" s="571">
        <v>532</v>
      </c>
      <c r="C182" s="536" t="s">
        <v>892</v>
      </c>
      <c r="D182" s="537" t="s">
        <v>580</v>
      </c>
      <c r="E182" s="543">
        <v>258584</v>
      </c>
      <c r="F182" s="544">
        <v>32882</v>
      </c>
      <c r="G182" s="544">
        <v>729374</v>
      </c>
      <c r="H182" s="544">
        <v>1474342</v>
      </c>
      <c r="I182" s="544">
        <v>935200</v>
      </c>
      <c r="J182" s="544">
        <v>2729424</v>
      </c>
      <c r="K182" s="545">
        <v>55167</v>
      </c>
      <c r="L182" s="542">
        <v>246950</v>
      </c>
      <c r="M182" s="542">
        <v>230347</v>
      </c>
      <c r="N182" s="541">
        <v>13130890</v>
      </c>
      <c r="O182" s="541">
        <v>588545</v>
      </c>
      <c r="P182" s="541">
        <v>5882359</v>
      </c>
      <c r="Q182" s="541">
        <v>58735</v>
      </c>
      <c r="R182" s="541">
        <v>34324485</v>
      </c>
      <c r="S182" s="541">
        <v>1301830</v>
      </c>
      <c r="T182" s="541">
        <v>37900</v>
      </c>
      <c r="U182" s="541">
        <v>63556634</v>
      </c>
      <c r="V182" s="541">
        <v>9009232</v>
      </c>
      <c r="W182" s="541">
        <v>20469391</v>
      </c>
      <c r="X182" s="541">
        <v>26854577</v>
      </c>
      <c r="Y182" s="541">
        <v>0</v>
      </c>
      <c r="Z182" s="541">
        <v>12711374</v>
      </c>
      <c r="AA182" s="541">
        <v>950973</v>
      </c>
      <c r="AB182" s="542">
        <v>11456258</v>
      </c>
      <c r="AC182" s="542">
        <v>4034302</v>
      </c>
      <c r="AD182" s="542">
        <v>2676246</v>
      </c>
      <c r="AE182" s="542">
        <v>2201366</v>
      </c>
      <c r="AF182" s="542">
        <v>2242974</v>
      </c>
      <c r="AG182" s="542">
        <v>14273625</v>
      </c>
      <c r="AH182" s="542">
        <v>5179462</v>
      </c>
      <c r="AI182" s="542">
        <v>869229</v>
      </c>
      <c r="AJ182" s="542">
        <v>34865091</v>
      </c>
      <c r="AK182" s="542">
        <v>243483</v>
      </c>
      <c r="AL182" s="542">
        <v>761005</v>
      </c>
      <c r="AM182" s="542">
        <v>0</v>
      </c>
      <c r="AN182" s="542">
        <v>12863096</v>
      </c>
      <c r="AO182" s="542">
        <v>599248</v>
      </c>
      <c r="AP182" s="542">
        <v>0</v>
      </c>
      <c r="AQ182" s="542">
        <v>37943</v>
      </c>
      <c r="AR182" s="542">
        <v>4014022</v>
      </c>
      <c r="AS182" s="542">
        <v>7160835</v>
      </c>
      <c r="AT182" s="542">
        <v>0</v>
      </c>
      <c r="AU182" s="542">
        <v>2964692</v>
      </c>
      <c r="AV182" s="542">
        <v>192845</v>
      </c>
      <c r="AW182" s="542">
        <v>11112886</v>
      </c>
      <c r="AX182" s="542">
        <v>1116697</v>
      </c>
      <c r="AY182" s="542">
        <v>1533598</v>
      </c>
      <c r="AZ182" s="542">
        <v>8582467</v>
      </c>
      <c r="BA182" s="542">
        <v>895109</v>
      </c>
      <c r="BB182" s="542">
        <v>0</v>
      </c>
      <c r="BC182" s="542">
        <v>15900</v>
      </c>
      <c r="BD182" s="542">
        <v>176620</v>
      </c>
      <c r="BE182" s="542">
        <v>8388500</v>
      </c>
      <c r="BF182" s="542">
        <v>140197</v>
      </c>
      <c r="BG182" s="542">
        <v>288692</v>
      </c>
      <c r="BH182" s="542">
        <v>122696</v>
      </c>
      <c r="BI182" s="542">
        <v>56760</v>
      </c>
      <c r="BJ182" s="542">
        <v>206808</v>
      </c>
      <c r="BK182" s="542">
        <v>151770</v>
      </c>
      <c r="BL182" s="542">
        <v>3210195</v>
      </c>
      <c r="BM182" s="542">
        <v>878073</v>
      </c>
      <c r="BN182" s="542">
        <v>1638972</v>
      </c>
      <c r="BO182" s="542">
        <v>3425864</v>
      </c>
      <c r="BP182" s="542">
        <v>1021967</v>
      </c>
      <c r="BQ182" s="542">
        <v>1266133</v>
      </c>
      <c r="BR182" s="542">
        <v>17862689</v>
      </c>
      <c r="BS182" s="542">
        <v>1450822</v>
      </c>
      <c r="BT182" s="542">
        <v>10758616</v>
      </c>
      <c r="BU182" s="542">
        <v>613102</v>
      </c>
      <c r="BV182" s="542">
        <v>4252235</v>
      </c>
      <c r="BW182" s="542">
        <v>601287</v>
      </c>
      <c r="BX182" s="542">
        <v>1871435</v>
      </c>
      <c r="BY182" s="542">
        <v>745349</v>
      </c>
      <c r="BZ182" s="542">
        <v>84639</v>
      </c>
      <c r="CA182" s="542">
        <v>0</v>
      </c>
      <c r="CB182" s="542">
        <v>99019</v>
      </c>
      <c r="CC182" s="542">
        <v>988995</v>
      </c>
      <c r="CD182" s="542">
        <v>0</v>
      </c>
      <c r="CE182" s="542">
        <v>51409</v>
      </c>
    </row>
    <row r="183" spans="1:83" ht="30" x14ac:dyDescent="0.25">
      <c r="A183" s="640">
        <v>533</v>
      </c>
      <c r="B183" s="571">
        <v>533</v>
      </c>
      <c r="C183" s="536" t="s">
        <v>893</v>
      </c>
      <c r="D183" s="537" t="s">
        <v>581</v>
      </c>
      <c r="E183" s="543">
        <v>0</v>
      </c>
      <c r="F183" s="544">
        <v>0</v>
      </c>
      <c r="G183" s="544">
        <v>22000</v>
      </c>
      <c r="H183" s="544">
        <v>0</v>
      </c>
      <c r="I183" s="544">
        <v>0</v>
      </c>
      <c r="J183" s="544">
        <v>0</v>
      </c>
      <c r="K183" s="545">
        <v>0</v>
      </c>
      <c r="L183" s="542">
        <v>0</v>
      </c>
      <c r="M183" s="542">
        <v>0</v>
      </c>
      <c r="N183" s="541">
        <v>300102</v>
      </c>
      <c r="O183" s="541">
        <v>0</v>
      </c>
      <c r="P183" s="541">
        <v>585000</v>
      </c>
      <c r="Q183" s="541">
        <v>0</v>
      </c>
      <c r="R183" s="541">
        <v>1614000</v>
      </c>
      <c r="S183" s="541">
        <v>0</v>
      </c>
      <c r="T183" s="541">
        <v>0</v>
      </c>
      <c r="U183" s="541">
        <v>0</v>
      </c>
      <c r="V183" s="541">
        <v>0</v>
      </c>
      <c r="W183" s="541">
        <v>0</v>
      </c>
      <c r="X183" s="541">
        <v>0</v>
      </c>
      <c r="Y183" s="541">
        <v>0</v>
      </c>
      <c r="Z183" s="541">
        <v>0</v>
      </c>
      <c r="AA183" s="541">
        <v>0</v>
      </c>
      <c r="AB183" s="542">
        <v>0</v>
      </c>
      <c r="AC183" s="542">
        <v>20261</v>
      </c>
      <c r="AD183" s="542">
        <v>0</v>
      </c>
      <c r="AE183" s="542">
        <v>0</v>
      </c>
      <c r="AF183" s="542">
        <v>0</v>
      </c>
      <c r="AG183" s="542">
        <v>1090403</v>
      </c>
      <c r="AH183" s="542">
        <v>0</v>
      </c>
      <c r="AI183" s="542">
        <v>0</v>
      </c>
      <c r="AJ183" s="542">
        <v>0</v>
      </c>
      <c r="AK183" s="542">
        <v>0</v>
      </c>
      <c r="AL183" s="542">
        <v>0</v>
      </c>
      <c r="AM183" s="542">
        <v>0</v>
      </c>
      <c r="AN183" s="542">
        <v>361950</v>
      </c>
      <c r="AO183" s="542">
        <v>0</v>
      </c>
      <c r="AP183" s="542">
        <v>0</v>
      </c>
      <c r="AQ183" s="542">
        <v>0</v>
      </c>
      <c r="AR183" s="542">
        <v>218000</v>
      </c>
      <c r="AS183" s="542">
        <v>0</v>
      </c>
      <c r="AT183" s="542">
        <v>0</v>
      </c>
      <c r="AU183" s="542">
        <v>0</v>
      </c>
      <c r="AV183" s="542">
        <v>0</v>
      </c>
      <c r="AW183" s="542">
        <v>0</v>
      </c>
      <c r="AX183" s="542">
        <v>0</v>
      </c>
      <c r="AY183" s="542">
        <v>0</v>
      </c>
      <c r="AZ183" s="542">
        <v>2148450</v>
      </c>
      <c r="BA183" s="542">
        <v>0</v>
      </c>
      <c r="BB183" s="542">
        <v>0</v>
      </c>
      <c r="BC183" s="542">
        <v>0</v>
      </c>
      <c r="BD183" s="542">
        <v>0</v>
      </c>
      <c r="BE183" s="542">
        <v>0</v>
      </c>
      <c r="BF183" s="542">
        <v>0</v>
      </c>
      <c r="BG183" s="542">
        <v>0</v>
      </c>
      <c r="BH183" s="542">
        <v>0</v>
      </c>
      <c r="BI183" s="542">
        <v>0</v>
      </c>
      <c r="BJ183" s="542">
        <v>0</v>
      </c>
      <c r="BK183" s="542">
        <v>0</v>
      </c>
      <c r="BL183" s="542">
        <v>0</v>
      </c>
      <c r="BM183" s="542">
        <v>0</v>
      </c>
      <c r="BN183" s="542">
        <v>24491</v>
      </c>
      <c r="BO183" s="542">
        <v>0</v>
      </c>
      <c r="BP183" s="542">
        <v>0</v>
      </c>
      <c r="BQ183" s="542">
        <v>588650</v>
      </c>
      <c r="BR183" s="542">
        <v>0</v>
      </c>
      <c r="BS183" s="542">
        <v>0</v>
      </c>
      <c r="BT183" s="542">
        <v>0</v>
      </c>
      <c r="BU183" s="542">
        <v>0</v>
      </c>
      <c r="BV183" s="542">
        <v>0</v>
      </c>
      <c r="BW183" s="542">
        <v>0</v>
      </c>
      <c r="BX183" s="542">
        <v>0</v>
      </c>
      <c r="BY183" s="542">
        <v>5564</v>
      </c>
      <c r="BZ183" s="542">
        <v>0</v>
      </c>
      <c r="CA183" s="542">
        <v>0</v>
      </c>
      <c r="CB183" s="542">
        <v>0</v>
      </c>
      <c r="CC183" s="542">
        <v>30500</v>
      </c>
      <c r="CD183" s="542">
        <v>0</v>
      </c>
      <c r="CE183" s="542">
        <v>0</v>
      </c>
    </row>
    <row r="184" spans="1:83" ht="45" x14ac:dyDescent="0.25">
      <c r="A184" s="640"/>
      <c r="B184" s="571">
        <v>534</v>
      </c>
      <c r="C184" s="536" t="s">
        <v>357</v>
      </c>
      <c r="D184" s="537" t="s">
        <v>582</v>
      </c>
      <c r="E184" s="543"/>
      <c r="F184" s="544"/>
      <c r="G184" s="544"/>
      <c r="H184" s="544"/>
      <c r="I184" s="544"/>
      <c r="J184" s="544"/>
      <c r="K184" s="545"/>
      <c r="L184" s="542"/>
      <c r="M184" s="542"/>
      <c r="N184" s="541"/>
      <c r="O184" s="541"/>
      <c r="P184" s="541"/>
      <c r="Q184" s="541"/>
      <c r="R184" s="541"/>
      <c r="S184" s="541"/>
      <c r="T184" s="541"/>
      <c r="U184" s="541"/>
      <c r="V184" s="541"/>
      <c r="W184" s="541"/>
      <c r="X184" s="541"/>
      <c r="Y184" s="541"/>
      <c r="Z184" s="541"/>
      <c r="AA184" s="541"/>
      <c r="AB184" s="542"/>
      <c r="AC184" s="542"/>
      <c r="AD184" s="542"/>
      <c r="AE184" s="542"/>
      <c r="AF184" s="542"/>
      <c r="AG184" s="542"/>
      <c r="AH184" s="542"/>
      <c r="AI184" s="542"/>
      <c r="AJ184" s="542"/>
      <c r="AK184" s="542"/>
      <c r="AL184" s="542"/>
      <c r="AM184" s="542"/>
      <c r="AN184" s="542"/>
      <c r="AO184" s="542"/>
      <c r="AP184" s="542"/>
      <c r="AQ184" s="542"/>
      <c r="AR184" s="542"/>
      <c r="AS184" s="542"/>
      <c r="AT184" s="542"/>
      <c r="AU184" s="542"/>
      <c r="AV184" s="542"/>
      <c r="AW184" s="542"/>
      <c r="AX184" s="542"/>
      <c r="AY184" s="542"/>
      <c r="AZ184" s="542"/>
      <c r="BA184" s="542"/>
      <c r="BB184" s="542"/>
      <c r="BC184" s="542"/>
      <c r="BD184" s="542"/>
      <c r="BE184" s="542"/>
      <c r="BF184" s="542"/>
      <c r="BG184" s="542"/>
      <c r="BH184" s="542"/>
      <c r="BI184" s="542"/>
      <c r="BJ184" s="542"/>
      <c r="BK184" s="542"/>
      <c r="BL184" s="542"/>
      <c r="BM184" s="542"/>
      <c r="BN184" s="542"/>
      <c r="BO184" s="542"/>
      <c r="BP184" s="542"/>
      <c r="BQ184" s="542"/>
      <c r="BR184" s="542"/>
      <c r="BS184" s="542"/>
      <c r="BT184" s="542"/>
      <c r="BU184" s="542"/>
      <c r="BV184" s="542"/>
      <c r="BW184" s="542"/>
      <c r="BX184" s="542"/>
      <c r="BY184" s="542"/>
      <c r="BZ184" s="542"/>
      <c r="CA184" s="542"/>
      <c r="CB184" s="542"/>
      <c r="CC184" s="542"/>
      <c r="CD184" s="542"/>
      <c r="CE184" s="542"/>
    </row>
    <row r="185" spans="1:83" ht="30" x14ac:dyDescent="0.25">
      <c r="A185" s="640">
        <v>535</v>
      </c>
      <c r="B185" s="571">
        <v>535</v>
      </c>
      <c r="C185" s="536" t="s">
        <v>339</v>
      </c>
      <c r="D185" s="537" t="s">
        <v>583</v>
      </c>
      <c r="E185" s="543">
        <v>0</v>
      </c>
      <c r="F185" s="544">
        <v>0</v>
      </c>
      <c r="G185" s="544">
        <v>0</v>
      </c>
      <c r="H185" s="544">
        <v>0</v>
      </c>
      <c r="I185" s="544">
        <v>0</v>
      </c>
      <c r="J185" s="544">
        <v>0</v>
      </c>
      <c r="K185" s="545">
        <v>0</v>
      </c>
      <c r="L185" s="542">
        <v>0</v>
      </c>
      <c r="M185" s="542">
        <v>0</v>
      </c>
      <c r="N185" s="541">
        <v>352739</v>
      </c>
      <c r="O185" s="541">
        <v>0</v>
      </c>
      <c r="P185" s="541">
        <v>0</v>
      </c>
      <c r="Q185" s="541">
        <v>0</v>
      </c>
      <c r="R185" s="541">
        <v>17752568</v>
      </c>
      <c r="S185" s="541">
        <v>0</v>
      </c>
      <c r="T185" s="541">
        <v>0</v>
      </c>
      <c r="U185" s="541">
        <v>8562602</v>
      </c>
      <c r="V185" s="541">
        <v>0</v>
      </c>
      <c r="W185" s="541">
        <v>0</v>
      </c>
      <c r="X185" s="541">
        <v>4933104</v>
      </c>
      <c r="Y185" s="541">
        <v>0</v>
      </c>
      <c r="Z185" s="541">
        <v>0</v>
      </c>
      <c r="AA185" s="541">
        <v>0</v>
      </c>
      <c r="AB185" s="542">
        <v>885521</v>
      </c>
      <c r="AC185" s="542">
        <v>0</v>
      </c>
      <c r="AD185" s="542">
        <v>0</v>
      </c>
      <c r="AE185" s="542">
        <v>0</v>
      </c>
      <c r="AF185" s="542">
        <v>0</v>
      </c>
      <c r="AG185" s="542">
        <v>229213</v>
      </c>
      <c r="AH185" s="542">
        <v>0</v>
      </c>
      <c r="AI185" s="542">
        <v>0</v>
      </c>
      <c r="AJ185" s="542">
        <v>5714501</v>
      </c>
      <c r="AK185" s="542">
        <v>0</v>
      </c>
      <c r="AL185" s="542">
        <v>0</v>
      </c>
      <c r="AM185" s="542">
        <v>0</v>
      </c>
      <c r="AN185" s="542">
        <v>3746920</v>
      </c>
      <c r="AO185" s="542">
        <v>0</v>
      </c>
      <c r="AP185" s="542">
        <v>0</v>
      </c>
      <c r="AQ185" s="542">
        <v>0</v>
      </c>
      <c r="AR185" s="542">
        <v>0</v>
      </c>
      <c r="AS185" s="542">
        <v>0</v>
      </c>
      <c r="AT185" s="542">
        <v>0</v>
      </c>
      <c r="AU185" s="542">
        <v>0</v>
      </c>
      <c r="AV185" s="542">
        <v>0</v>
      </c>
      <c r="AW185" s="542">
        <v>5533284</v>
      </c>
      <c r="AX185" s="542">
        <v>0</v>
      </c>
      <c r="AY185" s="542">
        <v>0</v>
      </c>
      <c r="AZ185" s="542">
        <v>0</v>
      </c>
      <c r="BA185" s="542">
        <v>0</v>
      </c>
      <c r="BB185" s="542">
        <v>0</v>
      </c>
      <c r="BC185" s="542">
        <v>0</v>
      </c>
      <c r="BD185" s="542">
        <v>0</v>
      </c>
      <c r="BE185" s="542">
        <v>0</v>
      </c>
      <c r="BF185" s="542">
        <v>0</v>
      </c>
      <c r="BG185" s="542">
        <v>0</v>
      </c>
      <c r="BH185" s="542">
        <v>0</v>
      </c>
      <c r="BI185" s="542">
        <v>0</v>
      </c>
      <c r="BJ185" s="542">
        <v>0</v>
      </c>
      <c r="BK185" s="542">
        <v>0</v>
      </c>
      <c r="BL185" s="542">
        <v>1</v>
      </c>
      <c r="BM185" s="542">
        <v>0</v>
      </c>
      <c r="BN185" s="542">
        <v>0</v>
      </c>
      <c r="BO185" s="542">
        <v>0</v>
      </c>
      <c r="BP185" s="542">
        <v>0</v>
      </c>
      <c r="BQ185" s="542">
        <v>0</v>
      </c>
      <c r="BR185" s="542">
        <v>0</v>
      </c>
      <c r="BS185" s="542">
        <v>111800</v>
      </c>
      <c r="BT185" s="542">
        <v>0</v>
      </c>
      <c r="BU185" s="542">
        <v>0</v>
      </c>
      <c r="BV185" s="542">
        <v>0</v>
      </c>
      <c r="BW185" s="542">
        <v>0</v>
      </c>
      <c r="BX185" s="542">
        <v>0</v>
      </c>
      <c r="BY185" s="542">
        <v>0</v>
      </c>
      <c r="BZ185" s="542">
        <v>0</v>
      </c>
      <c r="CA185" s="542">
        <v>0</v>
      </c>
      <c r="CB185" s="542">
        <v>0</v>
      </c>
      <c r="CC185" s="542">
        <v>0</v>
      </c>
      <c r="CD185" s="542">
        <v>0</v>
      </c>
      <c r="CE185" s="542">
        <v>1</v>
      </c>
    </row>
    <row r="186" spans="1:83" ht="30" x14ac:dyDescent="0.25">
      <c r="A186" s="640">
        <v>536</v>
      </c>
      <c r="B186" s="571">
        <v>536</v>
      </c>
      <c r="C186" s="536" t="s">
        <v>285</v>
      </c>
      <c r="D186" s="537" t="s">
        <v>584</v>
      </c>
      <c r="E186" s="543">
        <v>48258</v>
      </c>
      <c r="F186" s="544">
        <v>33882</v>
      </c>
      <c r="G186" s="544">
        <v>87625</v>
      </c>
      <c r="H186" s="544">
        <v>239355</v>
      </c>
      <c r="I186" s="544">
        <v>0</v>
      </c>
      <c r="J186" s="544">
        <v>0</v>
      </c>
      <c r="K186" s="545">
        <v>0</v>
      </c>
      <c r="L186" s="542">
        <v>21234</v>
      </c>
      <c r="M186" s="542">
        <v>0</v>
      </c>
      <c r="N186" s="541">
        <v>478006</v>
      </c>
      <c r="O186" s="541">
        <v>70937</v>
      </c>
      <c r="P186" s="541">
        <v>800000</v>
      </c>
      <c r="Q186" s="541">
        <v>0</v>
      </c>
      <c r="R186" s="541">
        <v>1842469</v>
      </c>
      <c r="S186" s="541">
        <v>272809</v>
      </c>
      <c r="T186" s="541">
        <v>0</v>
      </c>
      <c r="U186" s="541">
        <v>3656383</v>
      </c>
      <c r="V186" s="541">
        <v>906330</v>
      </c>
      <c r="W186" s="541">
        <v>1888472</v>
      </c>
      <c r="X186" s="541">
        <v>2197117</v>
      </c>
      <c r="Y186" s="541">
        <v>0</v>
      </c>
      <c r="Z186" s="541">
        <v>1203984</v>
      </c>
      <c r="AA186" s="541">
        <v>127335</v>
      </c>
      <c r="AB186" s="542">
        <v>1736064</v>
      </c>
      <c r="AC186" s="542">
        <v>257555</v>
      </c>
      <c r="AD186" s="542">
        <v>74563</v>
      </c>
      <c r="AE186" s="542">
        <v>0</v>
      </c>
      <c r="AF186" s="542">
        <v>243364</v>
      </c>
      <c r="AG186" s="542">
        <v>6964688</v>
      </c>
      <c r="AH186" s="542">
        <v>210718</v>
      </c>
      <c r="AI186" s="542">
        <v>50710</v>
      </c>
      <c r="AJ186" s="542">
        <v>372641</v>
      </c>
      <c r="AK186" s="542">
        <v>151418</v>
      </c>
      <c r="AL186" s="542">
        <v>24969</v>
      </c>
      <c r="AM186" s="542">
        <v>0</v>
      </c>
      <c r="AN186" s="542">
        <v>1831387</v>
      </c>
      <c r="AO186" s="542">
        <v>173145</v>
      </c>
      <c r="AP186" s="542">
        <v>0</v>
      </c>
      <c r="AQ186" s="542">
        <v>0</v>
      </c>
      <c r="AR186" s="542">
        <v>0</v>
      </c>
      <c r="AS186" s="542">
        <v>117978</v>
      </c>
      <c r="AT186" s="542">
        <v>0</v>
      </c>
      <c r="AU186" s="542">
        <v>535921</v>
      </c>
      <c r="AV186" s="542">
        <v>41033</v>
      </c>
      <c r="AW186" s="542">
        <v>2893026</v>
      </c>
      <c r="AX186" s="542">
        <v>15162</v>
      </c>
      <c r="AY186" s="542">
        <v>144943</v>
      </c>
      <c r="AZ186" s="542">
        <v>14701</v>
      </c>
      <c r="BA186" s="542">
        <v>4186</v>
      </c>
      <c r="BB186" s="542">
        <v>0</v>
      </c>
      <c r="BC186" s="542">
        <v>0</v>
      </c>
      <c r="BD186" s="542">
        <v>1825</v>
      </c>
      <c r="BE186" s="542">
        <v>655310</v>
      </c>
      <c r="BF186" s="542">
        <v>41195</v>
      </c>
      <c r="BG186" s="542">
        <v>63485</v>
      </c>
      <c r="BH186" s="542">
        <v>25685</v>
      </c>
      <c r="BI186" s="542">
        <v>0</v>
      </c>
      <c r="BJ186" s="542">
        <v>66253</v>
      </c>
      <c r="BK186" s="542">
        <v>44653</v>
      </c>
      <c r="BL186" s="542">
        <v>1676</v>
      </c>
      <c r="BM186" s="542">
        <v>218107</v>
      </c>
      <c r="BN186" s="542">
        <v>139035</v>
      </c>
      <c r="BO186" s="542">
        <v>155546</v>
      </c>
      <c r="BP186" s="542">
        <v>211467</v>
      </c>
      <c r="BQ186" s="542">
        <v>82371</v>
      </c>
      <c r="BR186" s="542">
        <v>0</v>
      </c>
      <c r="BS186" s="542">
        <v>203597</v>
      </c>
      <c r="BT186" s="542">
        <v>367237</v>
      </c>
      <c r="BU186" s="542">
        <v>107401</v>
      </c>
      <c r="BV186" s="542">
        <v>133602</v>
      </c>
      <c r="BW186" s="542">
        <v>0</v>
      </c>
      <c r="BX186" s="542">
        <v>191105</v>
      </c>
      <c r="BY186" s="542">
        <v>352813</v>
      </c>
      <c r="BZ186" s="542">
        <v>158253</v>
      </c>
      <c r="CA186" s="542">
        <v>0</v>
      </c>
      <c r="CB186" s="542">
        <v>7179</v>
      </c>
      <c r="CC186" s="542">
        <v>26673</v>
      </c>
      <c r="CD186" s="542">
        <v>0</v>
      </c>
      <c r="CE186" s="542">
        <v>22460</v>
      </c>
    </row>
    <row r="187" spans="1:83" ht="45" x14ac:dyDescent="0.25">
      <c r="A187" s="640">
        <v>537</v>
      </c>
      <c r="B187" s="607">
        <v>537</v>
      </c>
      <c r="C187" s="605" t="s">
        <v>867</v>
      </c>
      <c r="D187" s="604" t="s">
        <v>585</v>
      </c>
      <c r="E187" s="621">
        <v>1</v>
      </c>
      <c r="F187" s="610">
        <v>2</v>
      </c>
      <c r="G187" s="610">
        <v>2</v>
      </c>
      <c r="H187" s="610">
        <v>0</v>
      </c>
      <c r="I187" s="610">
        <v>0</v>
      </c>
      <c r="J187" s="610">
        <v>0</v>
      </c>
      <c r="K187" s="609">
        <v>1</v>
      </c>
      <c r="L187" s="608">
        <v>0</v>
      </c>
      <c r="M187" s="608">
        <v>2</v>
      </c>
      <c r="N187" s="588">
        <v>2</v>
      </c>
      <c r="O187" s="588">
        <v>0</v>
      </c>
      <c r="P187" s="588">
        <v>2</v>
      </c>
      <c r="Q187" s="588">
        <v>0</v>
      </c>
      <c r="R187" s="588">
        <v>1</v>
      </c>
      <c r="S187" s="588">
        <v>2</v>
      </c>
      <c r="T187" s="588">
        <v>0</v>
      </c>
      <c r="U187" s="588">
        <v>2</v>
      </c>
      <c r="V187" s="588">
        <v>1</v>
      </c>
      <c r="W187" s="588">
        <v>2</v>
      </c>
      <c r="X187" s="588">
        <v>2</v>
      </c>
      <c r="Y187" s="588">
        <v>0</v>
      </c>
      <c r="Z187" s="588">
        <v>2</v>
      </c>
      <c r="AA187" s="588">
        <v>1</v>
      </c>
      <c r="AB187" s="608">
        <v>2</v>
      </c>
      <c r="AC187" s="608">
        <v>2</v>
      </c>
      <c r="AD187" s="608">
        <v>1</v>
      </c>
      <c r="AE187" s="608">
        <v>2</v>
      </c>
      <c r="AF187" s="608">
        <v>2</v>
      </c>
      <c r="AG187" s="608">
        <v>2</v>
      </c>
      <c r="AH187" s="608">
        <v>2</v>
      </c>
      <c r="AI187" s="608">
        <v>2</v>
      </c>
      <c r="AJ187" s="608">
        <v>2</v>
      </c>
      <c r="AK187" s="608">
        <v>2</v>
      </c>
      <c r="AL187" s="608">
        <v>2</v>
      </c>
      <c r="AM187" s="608">
        <v>0</v>
      </c>
      <c r="AN187" s="608">
        <v>1</v>
      </c>
      <c r="AO187" s="608">
        <v>1</v>
      </c>
      <c r="AP187" s="608">
        <v>0</v>
      </c>
      <c r="AQ187" s="608">
        <v>0</v>
      </c>
      <c r="AR187" s="608">
        <v>0</v>
      </c>
      <c r="AS187" s="608">
        <v>2</v>
      </c>
      <c r="AT187" s="608">
        <v>0</v>
      </c>
      <c r="AU187" s="608">
        <v>2</v>
      </c>
      <c r="AV187" s="608">
        <v>0</v>
      </c>
      <c r="AW187" s="608">
        <v>2</v>
      </c>
      <c r="AX187" s="608">
        <v>2</v>
      </c>
      <c r="AY187" s="608">
        <v>2</v>
      </c>
      <c r="AZ187" s="608">
        <v>2</v>
      </c>
      <c r="BA187" s="608">
        <v>2</v>
      </c>
      <c r="BB187" s="608">
        <v>0</v>
      </c>
      <c r="BC187" s="608">
        <v>2</v>
      </c>
      <c r="BD187" s="608">
        <v>1</v>
      </c>
      <c r="BE187" s="608">
        <v>1</v>
      </c>
      <c r="BF187" s="608">
        <v>0</v>
      </c>
      <c r="BG187" s="608">
        <v>2</v>
      </c>
      <c r="BH187" s="608">
        <v>2</v>
      </c>
      <c r="BI187" s="608">
        <v>0</v>
      </c>
      <c r="BJ187" s="608">
        <v>1</v>
      </c>
      <c r="BK187" s="608">
        <v>0</v>
      </c>
      <c r="BL187" s="608">
        <v>2</v>
      </c>
      <c r="BM187" s="608">
        <v>2</v>
      </c>
      <c r="BN187" s="608">
        <v>2</v>
      </c>
      <c r="BO187" s="608">
        <v>2</v>
      </c>
      <c r="BP187" s="608">
        <v>2</v>
      </c>
      <c r="BQ187" s="608">
        <v>2</v>
      </c>
      <c r="BR187" s="608">
        <v>0</v>
      </c>
      <c r="BS187" s="608">
        <v>2</v>
      </c>
      <c r="BT187" s="608">
        <v>2</v>
      </c>
      <c r="BU187" s="608">
        <v>1</v>
      </c>
      <c r="BV187" s="608">
        <v>2</v>
      </c>
      <c r="BW187" s="608">
        <v>2</v>
      </c>
      <c r="BX187" s="608">
        <v>2</v>
      </c>
      <c r="BY187" s="608">
        <v>1</v>
      </c>
      <c r="BZ187" s="608">
        <v>2</v>
      </c>
      <c r="CA187" s="608">
        <v>0</v>
      </c>
      <c r="CB187" s="608">
        <v>2</v>
      </c>
      <c r="CC187" s="608">
        <v>2</v>
      </c>
      <c r="CD187" s="608">
        <v>0</v>
      </c>
      <c r="CE187" s="608">
        <v>2</v>
      </c>
    </row>
    <row r="188" spans="1:83" ht="60" x14ac:dyDescent="0.25">
      <c r="A188" s="640">
        <v>538</v>
      </c>
      <c r="B188" s="607">
        <v>538</v>
      </c>
      <c r="C188" s="605" t="s">
        <v>868</v>
      </c>
      <c r="D188" s="604" t="s">
        <v>586</v>
      </c>
      <c r="E188" s="621">
        <v>1</v>
      </c>
      <c r="F188" s="610">
        <v>2</v>
      </c>
      <c r="G188" s="610">
        <v>2</v>
      </c>
      <c r="H188" s="610">
        <v>0</v>
      </c>
      <c r="I188" s="610">
        <v>0</v>
      </c>
      <c r="J188" s="610">
        <v>0</v>
      </c>
      <c r="K188" s="609">
        <v>2</v>
      </c>
      <c r="L188" s="608">
        <v>0</v>
      </c>
      <c r="M188" s="608">
        <v>2</v>
      </c>
      <c r="N188" s="588">
        <v>2</v>
      </c>
      <c r="O188" s="588">
        <v>0</v>
      </c>
      <c r="P188" s="588">
        <v>0</v>
      </c>
      <c r="Q188" s="588">
        <v>0</v>
      </c>
      <c r="R188" s="588">
        <v>1</v>
      </c>
      <c r="S188" s="588">
        <v>2</v>
      </c>
      <c r="T188" s="588">
        <v>0</v>
      </c>
      <c r="U188" s="588">
        <v>2</v>
      </c>
      <c r="V188" s="588">
        <v>2</v>
      </c>
      <c r="W188" s="588">
        <v>1</v>
      </c>
      <c r="X188" s="588">
        <v>2</v>
      </c>
      <c r="Y188" s="588">
        <v>0</v>
      </c>
      <c r="Z188" s="588">
        <v>0</v>
      </c>
      <c r="AA188" s="588">
        <v>2</v>
      </c>
      <c r="AB188" s="608">
        <v>2</v>
      </c>
      <c r="AC188" s="608">
        <v>2</v>
      </c>
      <c r="AD188" s="608">
        <v>1</v>
      </c>
      <c r="AE188" s="608">
        <v>2</v>
      </c>
      <c r="AF188" s="608">
        <v>1</v>
      </c>
      <c r="AG188" s="608">
        <v>1</v>
      </c>
      <c r="AH188" s="608">
        <v>2</v>
      </c>
      <c r="AI188" s="608">
        <v>2</v>
      </c>
      <c r="AJ188" s="608">
        <v>2</v>
      </c>
      <c r="AK188" s="608">
        <v>2</v>
      </c>
      <c r="AL188" s="608">
        <v>2</v>
      </c>
      <c r="AM188" s="608">
        <v>0</v>
      </c>
      <c r="AN188" s="608">
        <v>1</v>
      </c>
      <c r="AO188" s="608">
        <v>2</v>
      </c>
      <c r="AP188" s="608">
        <v>0</v>
      </c>
      <c r="AQ188" s="608">
        <v>0</v>
      </c>
      <c r="AR188" s="608">
        <v>0</v>
      </c>
      <c r="AS188" s="608">
        <v>2</v>
      </c>
      <c r="AT188" s="608">
        <v>0</v>
      </c>
      <c r="AU188" s="608">
        <v>1</v>
      </c>
      <c r="AV188" s="608">
        <v>0</v>
      </c>
      <c r="AW188" s="608">
        <v>2</v>
      </c>
      <c r="AX188" s="608">
        <v>2</v>
      </c>
      <c r="AY188" s="608">
        <v>2</v>
      </c>
      <c r="AZ188" s="608">
        <v>2</v>
      </c>
      <c r="BA188" s="608">
        <v>2</v>
      </c>
      <c r="BB188" s="608">
        <v>0</v>
      </c>
      <c r="BC188" s="608">
        <v>2</v>
      </c>
      <c r="BD188" s="608">
        <v>1</v>
      </c>
      <c r="BE188" s="608">
        <v>1</v>
      </c>
      <c r="BF188" s="608">
        <v>0</v>
      </c>
      <c r="BG188" s="608">
        <v>2</v>
      </c>
      <c r="BH188" s="608">
        <v>2</v>
      </c>
      <c r="BI188" s="608">
        <v>0</v>
      </c>
      <c r="BJ188" s="608">
        <v>1</v>
      </c>
      <c r="BK188" s="608">
        <v>2</v>
      </c>
      <c r="BL188" s="608">
        <v>2</v>
      </c>
      <c r="BM188" s="608">
        <v>2</v>
      </c>
      <c r="BN188" s="608">
        <v>1</v>
      </c>
      <c r="BO188" s="608">
        <v>2</v>
      </c>
      <c r="BP188" s="608">
        <v>2</v>
      </c>
      <c r="BQ188" s="608">
        <v>2</v>
      </c>
      <c r="BR188" s="608">
        <v>0</v>
      </c>
      <c r="BS188" s="608">
        <v>2</v>
      </c>
      <c r="BT188" s="608">
        <v>2</v>
      </c>
      <c r="BU188" s="608">
        <v>1</v>
      </c>
      <c r="BV188" s="608">
        <v>2</v>
      </c>
      <c r="BW188" s="608">
        <v>2</v>
      </c>
      <c r="BX188" s="608">
        <v>2</v>
      </c>
      <c r="BY188" s="608">
        <v>1</v>
      </c>
      <c r="BZ188" s="608">
        <v>2</v>
      </c>
      <c r="CA188" s="608">
        <v>0</v>
      </c>
      <c r="CB188" s="608">
        <v>2</v>
      </c>
      <c r="CC188" s="608">
        <v>2</v>
      </c>
      <c r="CD188" s="608">
        <v>0</v>
      </c>
      <c r="CE188" s="608">
        <v>2</v>
      </c>
    </row>
    <row r="189" spans="1:83" ht="60" x14ac:dyDescent="0.25">
      <c r="A189" s="640"/>
      <c r="B189" s="607">
        <v>539</v>
      </c>
      <c r="C189" s="603" t="s">
        <v>869</v>
      </c>
      <c r="D189" s="604" t="s">
        <v>587</v>
      </c>
      <c r="E189" s="621">
        <v>0</v>
      </c>
      <c r="F189" s="610">
        <v>0</v>
      </c>
      <c r="G189" s="610">
        <v>0</v>
      </c>
      <c r="H189" s="610">
        <v>0</v>
      </c>
      <c r="I189" s="610">
        <v>0</v>
      </c>
      <c r="J189" s="610">
        <v>0</v>
      </c>
      <c r="K189" s="609">
        <v>0</v>
      </c>
      <c r="L189" s="608">
        <v>0</v>
      </c>
      <c r="M189" s="608">
        <v>0</v>
      </c>
      <c r="N189" s="588">
        <v>0</v>
      </c>
      <c r="O189" s="588">
        <v>0</v>
      </c>
      <c r="P189" s="588">
        <v>0</v>
      </c>
      <c r="Q189" s="588">
        <v>0</v>
      </c>
      <c r="R189" s="588">
        <v>0</v>
      </c>
      <c r="S189" s="588">
        <v>0</v>
      </c>
      <c r="T189" s="588">
        <v>0</v>
      </c>
      <c r="U189" s="588">
        <v>0</v>
      </c>
      <c r="V189" s="588">
        <v>0</v>
      </c>
      <c r="W189" s="588">
        <v>0</v>
      </c>
      <c r="X189" s="588">
        <v>0</v>
      </c>
      <c r="Y189" s="588">
        <v>0</v>
      </c>
      <c r="Z189" s="588">
        <v>0</v>
      </c>
      <c r="AA189" s="588">
        <v>0</v>
      </c>
      <c r="AB189" s="608">
        <v>0</v>
      </c>
      <c r="AC189" s="608">
        <v>0</v>
      </c>
      <c r="AD189" s="608">
        <v>0</v>
      </c>
      <c r="AE189" s="608">
        <v>0</v>
      </c>
      <c r="AF189" s="608">
        <v>0</v>
      </c>
      <c r="AG189" s="608">
        <v>0</v>
      </c>
      <c r="AH189" s="608">
        <v>0</v>
      </c>
      <c r="AI189" s="608">
        <v>0</v>
      </c>
      <c r="AJ189" s="608">
        <v>0</v>
      </c>
      <c r="AK189" s="608">
        <v>0</v>
      </c>
      <c r="AL189" s="608">
        <v>0</v>
      </c>
      <c r="AM189" s="608">
        <v>0</v>
      </c>
      <c r="AN189" s="608">
        <v>0</v>
      </c>
      <c r="AO189" s="608">
        <v>0</v>
      </c>
      <c r="AP189" s="608">
        <v>0</v>
      </c>
      <c r="AQ189" s="608">
        <v>0</v>
      </c>
      <c r="AR189" s="608">
        <v>0</v>
      </c>
      <c r="AS189" s="608">
        <v>0</v>
      </c>
      <c r="AT189" s="608">
        <v>0</v>
      </c>
      <c r="AU189" s="608">
        <v>0</v>
      </c>
      <c r="AV189" s="608">
        <v>0</v>
      </c>
      <c r="AW189" s="608">
        <v>0</v>
      </c>
      <c r="AX189" s="608">
        <v>0</v>
      </c>
      <c r="AY189" s="608">
        <v>0</v>
      </c>
      <c r="AZ189" s="608">
        <v>0</v>
      </c>
      <c r="BA189" s="608">
        <v>0</v>
      </c>
      <c r="BB189" s="608">
        <v>0</v>
      </c>
      <c r="BC189" s="608">
        <v>0</v>
      </c>
      <c r="BD189" s="608">
        <v>0</v>
      </c>
      <c r="BE189" s="608">
        <v>0</v>
      </c>
      <c r="BF189" s="608">
        <v>0</v>
      </c>
      <c r="BG189" s="608">
        <v>0</v>
      </c>
      <c r="BH189" s="608">
        <v>0</v>
      </c>
      <c r="BI189" s="608">
        <v>0</v>
      </c>
      <c r="BJ189" s="608">
        <v>0</v>
      </c>
      <c r="BK189" s="608">
        <v>0</v>
      </c>
      <c r="BL189" s="608">
        <v>0</v>
      </c>
      <c r="BM189" s="608">
        <v>0</v>
      </c>
      <c r="BN189" s="608">
        <v>0</v>
      </c>
      <c r="BO189" s="608">
        <v>0</v>
      </c>
      <c r="BP189" s="608">
        <v>0</v>
      </c>
      <c r="BQ189" s="608">
        <v>0</v>
      </c>
      <c r="BR189" s="608">
        <v>0</v>
      </c>
      <c r="BS189" s="608">
        <v>0</v>
      </c>
      <c r="BT189" s="608">
        <v>0</v>
      </c>
      <c r="BU189" s="608">
        <v>0</v>
      </c>
      <c r="BV189" s="608">
        <v>0</v>
      </c>
      <c r="BW189" s="608">
        <v>0</v>
      </c>
      <c r="BX189" s="608">
        <v>0</v>
      </c>
      <c r="BY189" s="608">
        <v>0</v>
      </c>
      <c r="BZ189" s="608">
        <v>0</v>
      </c>
      <c r="CA189" s="608">
        <v>0</v>
      </c>
      <c r="CB189" s="608">
        <v>0</v>
      </c>
      <c r="CC189" s="608">
        <v>0</v>
      </c>
      <c r="CD189" s="608">
        <v>0</v>
      </c>
      <c r="CE189" s="608">
        <v>0</v>
      </c>
    </row>
    <row r="190" spans="1:83" ht="45" x14ac:dyDescent="0.25">
      <c r="A190" s="640">
        <v>540</v>
      </c>
      <c r="B190" s="559">
        <v>540</v>
      </c>
      <c r="C190" s="558" t="s">
        <v>870</v>
      </c>
      <c r="D190" s="572" t="s">
        <v>588</v>
      </c>
      <c r="E190" s="543">
        <v>0</v>
      </c>
      <c r="F190" s="544">
        <v>0</v>
      </c>
      <c r="G190" s="544">
        <v>72585</v>
      </c>
      <c r="H190" s="544">
        <v>0</v>
      </c>
      <c r="I190" s="544">
        <v>873200</v>
      </c>
      <c r="J190" s="544">
        <v>0</v>
      </c>
      <c r="K190" s="545">
        <v>0</v>
      </c>
      <c r="L190" s="542">
        <v>0</v>
      </c>
      <c r="M190" s="542">
        <v>0</v>
      </c>
      <c r="N190" s="541">
        <v>974267</v>
      </c>
      <c r="O190" s="541">
        <v>24450</v>
      </c>
      <c r="P190" s="541">
        <v>0</v>
      </c>
      <c r="Q190" s="541">
        <v>0</v>
      </c>
      <c r="R190" s="541">
        <v>2562646</v>
      </c>
      <c r="S190" s="541">
        <v>0</v>
      </c>
      <c r="T190" s="541">
        <v>1200</v>
      </c>
      <c r="U190" s="541">
        <v>0</v>
      </c>
      <c r="V190" s="541">
        <v>1660014</v>
      </c>
      <c r="W190" s="541">
        <v>96109</v>
      </c>
      <c r="X190" s="541">
        <v>5395000</v>
      </c>
      <c r="Y190" s="541">
        <v>0</v>
      </c>
      <c r="Z190" s="541">
        <v>1315539</v>
      </c>
      <c r="AA190" s="541">
        <v>276651</v>
      </c>
      <c r="AB190" s="542">
        <v>516802</v>
      </c>
      <c r="AC190" s="542">
        <v>0</v>
      </c>
      <c r="AD190" s="542">
        <v>28000</v>
      </c>
      <c r="AE190" s="542">
        <v>0</v>
      </c>
      <c r="AF190" s="542">
        <v>173805</v>
      </c>
      <c r="AG190" s="542">
        <v>450000</v>
      </c>
      <c r="AH190" s="542">
        <v>127000</v>
      </c>
      <c r="AI190" s="542">
        <v>249946</v>
      </c>
      <c r="AJ190" s="542">
        <v>0</v>
      </c>
      <c r="AK190" s="542">
        <v>390000</v>
      </c>
      <c r="AL190" s="542">
        <v>0</v>
      </c>
      <c r="AM190" s="542">
        <v>0</v>
      </c>
      <c r="AN190" s="542">
        <v>537500</v>
      </c>
      <c r="AO190" s="542">
        <v>179425</v>
      </c>
      <c r="AP190" s="542">
        <v>0</v>
      </c>
      <c r="AQ190" s="542">
        <v>23094</v>
      </c>
      <c r="AR190" s="542">
        <v>0</v>
      </c>
      <c r="AS190" s="542">
        <v>591394</v>
      </c>
      <c r="AT190" s="542">
        <v>0</v>
      </c>
      <c r="AU190" s="542">
        <v>243303</v>
      </c>
      <c r="AV190" s="542">
        <v>0</v>
      </c>
      <c r="AW190" s="542">
        <v>290825</v>
      </c>
      <c r="AX190" s="542">
        <v>90988</v>
      </c>
      <c r="AY190" s="542">
        <v>0</v>
      </c>
      <c r="AZ190" s="542">
        <v>0</v>
      </c>
      <c r="BA190" s="542">
        <v>0</v>
      </c>
      <c r="BB190" s="542">
        <v>0</v>
      </c>
      <c r="BC190" s="542">
        <v>0</v>
      </c>
      <c r="BD190" s="542">
        <v>0</v>
      </c>
      <c r="BE190" s="542">
        <v>0</v>
      </c>
      <c r="BF190" s="542">
        <v>0</v>
      </c>
      <c r="BG190" s="542">
        <v>0</v>
      </c>
      <c r="BH190" s="542">
        <v>0</v>
      </c>
      <c r="BI190" s="542">
        <v>0</v>
      </c>
      <c r="BJ190" s="542">
        <v>130575</v>
      </c>
      <c r="BK190" s="542">
        <v>30000</v>
      </c>
      <c r="BL190" s="542">
        <v>0</v>
      </c>
      <c r="BM190" s="542">
        <v>0</v>
      </c>
      <c r="BN190" s="542">
        <v>0</v>
      </c>
      <c r="BO190" s="542">
        <v>103000</v>
      </c>
      <c r="BP190" s="542">
        <v>48000</v>
      </c>
      <c r="BQ190" s="542">
        <v>0</v>
      </c>
      <c r="BR190" s="542">
        <v>4249380</v>
      </c>
      <c r="BS190" s="542">
        <v>0</v>
      </c>
      <c r="BT190" s="542">
        <v>571000</v>
      </c>
      <c r="BU190" s="542">
        <v>45538</v>
      </c>
      <c r="BV190" s="542">
        <v>14372</v>
      </c>
      <c r="BW190" s="542">
        <v>0</v>
      </c>
      <c r="BX190" s="542">
        <v>0</v>
      </c>
      <c r="BY190" s="542">
        <v>0</v>
      </c>
      <c r="BZ190" s="542">
        <v>0</v>
      </c>
      <c r="CA190" s="542">
        <v>0</v>
      </c>
      <c r="CB190" s="542">
        <v>0</v>
      </c>
      <c r="CC190" s="542">
        <v>10000</v>
      </c>
      <c r="CD190" s="542">
        <v>0</v>
      </c>
      <c r="CE190" s="542">
        <v>0</v>
      </c>
    </row>
    <row r="191" spans="1:83" ht="60" x14ac:dyDescent="0.25">
      <c r="A191" s="640">
        <v>541</v>
      </c>
      <c r="B191" s="559">
        <v>541</v>
      </c>
      <c r="C191" s="558" t="s">
        <v>871</v>
      </c>
      <c r="D191" s="572" t="s">
        <v>589</v>
      </c>
      <c r="E191" s="543">
        <v>41529</v>
      </c>
      <c r="F191" s="544">
        <v>0</v>
      </c>
      <c r="G191" s="544">
        <v>22168</v>
      </c>
      <c r="H191" s="544">
        <v>0</v>
      </c>
      <c r="I191" s="544">
        <v>0</v>
      </c>
      <c r="J191" s="544">
        <v>0</v>
      </c>
      <c r="K191" s="545">
        <v>-11405</v>
      </c>
      <c r="L191" s="542">
        <v>0</v>
      </c>
      <c r="M191" s="542">
        <v>0</v>
      </c>
      <c r="N191" s="541">
        <v>0</v>
      </c>
      <c r="O191" s="541">
        <v>0</v>
      </c>
      <c r="P191" s="541">
        <v>222182</v>
      </c>
      <c r="Q191" s="541">
        <v>0</v>
      </c>
      <c r="R191" s="541">
        <v>4116446</v>
      </c>
      <c r="S191" s="541">
        <v>60269</v>
      </c>
      <c r="T191" s="541">
        <v>0</v>
      </c>
      <c r="U191" s="541">
        <v>9169381</v>
      </c>
      <c r="V191" s="541">
        <v>1423676</v>
      </c>
      <c r="W191" s="541">
        <v>1057464</v>
      </c>
      <c r="X191" s="541">
        <v>0</v>
      </c>
      <c r="Y191" s="541">
        <v>0</v>
      </c>
      <c r="Z191" s="541">
        <v>297137</v>
      </c>
      <c r="AA191" s="541">
        <v>273681</v>
      </c>
      <c r="AB191" s="542">
        <v>107095</v>
      </c>
      <c r="AC191" s="542">
        <v>-158370</v>
      </c>
      <c r="AD191" s="542">
        <v>-200647</v>
      </c>
      <c r="AE191" s="542">
        <v>22955</v>
      </c>
      <c r="AF191" s="542">
        <v>108943</v>
      </c>
      <c r="AG191" s="542">
        <v>-283913</v>
      </c>
      <c r="AH191" s="542">
        <v>941856</v>
      </c>
      <c r="AI191" s="542">
        <v>-129274</v>
      </c>
      <c r="AJ191" s="542">
        <v>1763115</v>
      </c>
      <c r="AK191" s="542">
        <v>36157</v>
      </c>
      <c r="AL191" s="542">
        <v>134288</v>
      </c>
      <c r="AM191" s="542">
        <v>0</v>
      </c>
      <c r="AN191" s="542">
        <v>150014</v>
      </c>
      <c r="AO191" s="542">
        <v>-46620</v>
      </c>
      <c r="AP191" s="542">
        <v>0</v>
      </c>
      <c r="AQ191" s="542">
        <v>0</v>
      </c>
      <c r="AR191" s="542">
        <v>0</v>
      </c>
      <c r="AS191" s="542">
        <v>76625</v>
      </c>
      <c r="AT191" s="542">
        <v>0</v>
      </c>
      <c r="AU191" s="542">
        <v>-629404</v>
      </c>
      <c r="AV191" s="542">
        <v>0</v>
      </c>
      <c r="AW191" s="542">
        <v>395629</v>
      </c>
      <c r="AX191" s="542">
        <v>0</v>
      </c>
      <c r="AY191" s="542">
        <v>125932</v>
      </c>
      <c r="AZ191" s="542">
        <v>399913</v>
      </c>
      <c r="BA191" s="542">
        <v>47572</v>
      </c>
      <c r="BB191" s="542">
        <v>0</v>
      </c>
      <c r="BC191" s="542">
        <v>0</v>
      </c>
      <c r="BD191" s="542">
        <v>25295</v>
      </c>
      <c r="BE191" s="542">
        <v>2042377</v>
      </c>
      <c r="BF191" s="542">
        <v>0</v>
      </c>
      <c r="BG191" s="542">
        <v>39902</v>
      </c>
      <c r="BH191" s="542">
        <v>35756</v>
      </c>
      <c r="BI191" s="542">
        <v>0</v>
      </c>
      <c r="BJ191" s="542">
        <v>65042</v>
      </c>
      <c r="BK191" s="542">
        <v>0</v>
      </c>
      <c r="BL191" s="542">
        <v>434433</v>
      </c>
      <c r="BM191" s="542">
        <v>126715</v>
      </c>
      <c r="BN191" s="542">
        <v>-40177</v>
      </c>
      <c r="BO191" s="542">
        <v>128037</v>
      </c>
      <c r="BP191" s="542">
        <v>79029</v>
      </c>
      <c r="BQ191" s="542">
        <v>90673</v>
      </c>
      <c r="BR191" s="542">
        <v>0</v>
      </c>
      <c r="BS191" s="542">
        <v>305078</v>
      </c>
      <c r="BT191" s="542">
        <v>0</v>
      </c>
      <c r="BU191" s="542">
        <v>60580</v>
      </c>
      <c r="BV191" s="542">
        <v>576736</v>
      </c>
      <c r="BW191" s="542">
        <v>0</v>
      </c>
      <c r="BX191" s="542">
        <v>131264</v>
      </c>
      <c r="BY191" s="542">
        <v>-16694</v>
      </c>
      <c r="BZ191" s="542">
        <v>-3632</v>
      </c>
      <c r="CA191" s="542">
        <v>0</v>
      </c>
      <c r="CB191" s="542">
        <v>8748</v>
      </c>
      <c r="CC191" s="542">
        <v>30536</v>
      </c>
      <c r="CD191" s="542">
        <v>0</v>
      </c>
      <c r="CE191" s="542">
        <v>2867</v>
      </c>
    </row>
    <row r="192" spans="1:83" ht="45" x14ac:dyDescent="0.25">
      <c r="A192" s="640">
        <v>542</v>
      </c>
      <c r="B192" s="559">
        <v>542</v>
      </c>
      <c r="C192" s="558" t="s">
        <v>872</v>
      </c>
      <c r="D192" s="572" t="s">
        <v>590</v>
      </c>
      <c r="E192" s="543">
        <v>0</v>
      </c>
      <c r="F192" s="544">
        <v>0</v>
      </c>
      <c r="G192" s="544">
        <v>0</v>
      </c>
      <c r="H192" s="544">
        <v>0</v>
      </c>
      <c r="I192" s="544">
        <v>0</v>
      </c>
      <c r="J192" s="544">
        <v>0</v>
      </c>
      <c r="K192" s="545">
        <v>0</v>
      </c>
      <c r="L192" s="542">
        <v>0</v>
      </c>
      <c r="M192" s="542">
        <v>0</v>
      </c>
      <c r="N192" s="541">
        <v>0</v>
      </c>
      <c r="O192" s="541">
        <v>0</v>
      </c>
      <c r="P192" s="541">
        <v>0</v>
      </c>
      <c r="Q192" s="541">
        <v>0</v>
      </c>
      <c r="R192" s="541">
        <v>5684793</v>
      </c>
      <c r="S192" s="541">
        <v>0</v>
      </c>
      <c r="T192" s="541">
        <v>0</v>
      </c>
      <c r="U192" s="541">
        <v>0</v>
      </c>
      <c r="V192" s="541">
        <v>0</v>
      </c>
      <c r="W192" s="541">
        <v>0</v>
      </c>
      <c r="X192" s="541">
        <v>0</v>
      </c>
      <c r="Y192" s="541">
        <v>0</v>
      </c>
      <c r="Z192" s="541">
        <v>321319</v>
      </c>
      <c r="AA192" s="541">
        <v>94283</v>
      </c>
      <c r="AB192" s="542">
        <v>0</v>
      </c>
      <c r="AC192" s="542">
        <v>0</v>
      </c>
      <c r="AD192" s="542">
        <v>0</v>
      </c>
      <c r="AE192" s="542">
        <v>0</v>
      </c>
      <c r="AF192" s="542">
        <v>0</v>
      </c>
      <c r="AG192" s="542">
        <v>586376</v>
      </c>
      <c r="AH192" s="542">
        <v>0</v>
      </c>
      <c r="AI192" s="542">
        <v>59500</v>
      </c>
      <c r="AJ192" s="542">
        <v>0</v>
      </c>
      <c r="AK192" s="542">
        <v>0</v>
      </c>
      <c r="AL192" s="542">
        <v>0</v>
      </c>
      <c r="AM192" s="542">
        <v>0</v>
      </c>
      <c r="AN192" s="542">
        <v>0</v>
      </c>
      <c r="AO192" s="542">
        <v>0</v>
      </c>
      <c r="AP192" s="542">
        <v>0</v>
      </c>
      <c r="AQ192" s="542">
        <v>0</v>
      </c>
      <c r="AR192" s="542">
        <v>0</v>
      </c>
      <c r="AS192" s="542">
        <v>0</v>
      </c>
      <c r="AT192" s="542">
        <v>0</v>
      </c>
      <c r="AU192" s="542">
        <v>0</v>
      </c>
      <c r="AV192" s="542">
        <v>0</v>
      </c>
      <c r="AW192" s="542">
        <v>3562482</v>
      </c>
      <c r="AX192" s="542">
        <v>0</v>
      </c>
      <c r="AY192" s="542">
        <v>0</v>
      </c>
      <c r="AZ192" s="542">
        <v>0</v>
      </c>
      <c r="BA192" s="542">
        <v>0</v>
      </c>
      <c r="BB192" s="542">
        <v>0</v>
      </c>
      <c r="BC192" s="542">
        <v>0</v>
      </c>
      <c r="BD192" s="542">
        <v>0</v>
      </c>
      <c r="BE192" s="542">
        <v>0</v>
      </c>
      <c r="BF192" s="542">
        <v>0</v>
      </c>
      <c r="BG192" s="542">
        <v>0</v>
      </c>
      <c r="BH192" s="542">
        <v>0</v>
      </c>
      <c r="BI192" s="542">
        <v>0</v>
      </c>
      <c r="BJ192" s="542">
        <v>29972</v>
      </c>
      <c r="BK192" s="542">
        <v>0</v>
      </c>
      <c r="BL192" s="542">
        <v>0</v>
      </c>
      <c r="BM192" s="542">
        <v>0</v>
      </c>
      <c r="BN192" s="542">
        <v>0</v>
      </c>
      <c r="BO192" s="542">
        <v>0</v>
      </c>
      <c r="BP192" s="542">
        <v>0</v>
      </c>
      <c r="BQ192" s="542">
        <v>0</v>
      </c>
      <c r="BR192" s="542">
        <v>0</v>
      </c>
      <c r="BS192" s="542">
        <v>0</v>
      </c>
      <c r="BT192" s="542">
        <v>0</v>
      </c>
      <c r="BU192" s="542">
        <v>0</v>
      </c>
      <c r="BV192" s="542">
        <v>0</v>
      </c>
      <c r="BW192" s="542">
        <v>0</v>
      </c>
      <c r="BX192" s="542">
        <v>0</v>
      </c>
      <c r="BY192" s="542">
        <v>0</v>
      </c>
      <c r="BZ192" s="542">
        <v>0</v>
      </c>
      <c r="CA192" s="542">
        <v>0</v>
      </c>
      <c r="CB192" s="542">
        <v>0</v>
      </c>
      <c r="CC192" s="542">
        <v>0</v>
      </c>
      <c r="CD192" s="542">
        <v>0</v>
      </c>
      <c r="CE192" s="542">
        <v>0</v>
      </c>
    </row>
    <row r="193" spans="1:83" ht="90" x14ac:dyDescent="0.25">
      <c r="A193" s="640"/>
      <c r="B193" s="559">
        <v>543</v>
      </c>
      <c r="C193" s="557" t="s">
        <v>873</v>
      </c>
      <c r="D193" s="572" t="s">
        <v>591</v>
      </c>
      <c r="E193" s="543">
        <v>0</v>
      </c>
      <c r="F193" s="544">
        <v>0</v>
      </c>
      <c r="G193" s="544">
        <v>0</v>
      </c>
      <c r="H193" s="544">
        <v>0</v>
      </c>
      <c r="I193" s="544">
        <v>0</v>
      </c>
      <c r="J193" s="544">
        <v>0</v>
      </c>
      <c r="K193" s="545">
        <v>0</v>
      </c>
      <c r="L193" s="542">
        <v>0</v>
      </c>
      <c r="M193" s="542">
        <v>0</v>
      </c>
      <c r="N193" s="541">
        <v>0</v>
      </c>
      <c r="O193" s="541">
        <v>0</v>
      </c>
      <c r="P193" s="541">
        <v>0</v>
      </c>
      <c r="Q193" s="541">
        <v>0</v>
      </c>
      <c r="R193" s="541">
        <v>0</v>
      </c>
      <c r="S193" s="541">
        <v>0</v>
      </c>
      <c r="T193" s="541">
        <v>0</v>
      </c>
      <c r="U193" s="541">
        <v>0</v>
      </c>
      <c r="V193" s="541">
        <v>0</v>
      </c>
      <c r="W193" s="541">
        <v>0</v>
      </c>
      <c r="X193" s="541">
        <v>0</v>
      </c>
      <c r="Y193" s="541">
        <v>0</v>
      </c>
      <c r="Z193" s="541">
        <v>0</v>
      </c>
      <c r="AA193" s="541">
        <v>0</v>
      </c>
      <c r="AB193" s="542">
        <v>0</v>
      </c>
      <c r="AC193" s="542">
        <v>0</v>
      </c>
      <c r="AD193" s="542">
        <v>0</v>
      </c>
      <c r="AE193" s="542">
        <v>0</v>
      </c>
      <c r="AF193" s="542">
        <v>0</v>
      </c>
      <c r="AG193" s="542">
        <v>0</v>
      </c>
      <c r="AH193" s="542">
        <v>0</v>
      </c>
      <c r="AI193" s="542">
        <v>0</v>
      </c>
      <c r="AJ193" s="542">
        <v>0</v>
      </c>
      <c r="AK193" s="542">
        <v>0</v>
      </c>
      <c r="AL193" s="542">
        <v>0</v>
      </c>
      <c r="AM193" s="542">
        <v>0</v>
      </c>
      <c r="AN193" s="542">
        <v>0</v>
      </c>
      <c r="AO193" s="542">
        <v>0</v>
      </c>
      <c r="AP193" s="542">
        <v>0</v>
      </c>
      <c r="AQ193" s="542">
        <v>0</v>
      </c>
      <c r="AR193" s="542">
        <v>0</v>
      </c>
      <c r="AS193" s="542">
        <v>0</v>
      </c>
      <c r="AT193" s="542">
        <v>0</v>
      </c>
      <c r="AU193" s="542">
        <v>0</v>
      </c>
      <c r="AV193" s="542">
        <v>0</v>
      </c>
      <c r="AW193" s="542">
        <v>0</v>
      </c>
      <c r="AX193" s="542">
        <v>0</v>
      </c>
      <c r="AY193" s="542">
        <v>0</v>
      </c>
      <c r="AZ193" s="542">
        <v>0</v>
      </c>
      <c r="BA193" s="542">
        <v>0</v>
      </c>
      <c r="BB193" s="542">
        <v>0</v>
      </c>
      <c r="BC193" s="542">
        <v>0</v>
      </c>
      <c r="BD193" s="542">
        <v>0</v>
      </c>
      <c r="BE193" s="542">
        <v>0</v>
      </c>
      <c r="BF193" s="542">
        <v>0</v>
      </c>
      <c r="BG193" s="542">
        <v>0</v>
      </c>
      <c r="BH193" s="542">
        <v>0</v>
      </c>
      <c r="BI193" s="542">
        <v>0</v>
      </c>
      <c r="BJ193" s="542">
        <v>0</v>
      </c>
      <c r="BK193" s="542">
        <v>0</v>
      </c>
      <c r="BL193" s="542">
        <v>0</v>
      </c>
      <c r="BM193" s="542">
        <v>0</v>
      </c>
      <c r="BN193" s="542">
        <v>0</v>
      </c>
      <c r="BO193" s="542">
        <v>0</v>
      </c>
      <c r="BP193" s="542">
        <v>0</v>
      </c>
      <c r="BQ193" s="542">
        <v>0</v>
      </c>
      <c r="BR193" s="542">
        <v>0</v>
      </c>
      <c r="BS193" s="542">
        <v>0</v>
      </c>
      <c r="BT193" s="542">
        <v>0</v>
      </c>
      <c r="BU193" s="542">
        <v>0</v>
      </c>
      <c r="BV193" s="542">
        <v>0</v>
      </c>
      <c r="BW193" s="542">
        <v>0</v>
      </c>
      <c r="BX193" s="542">
        <v>0</v>
      </c>
      <c r="BY193" s="542">
        <v>0</v>
      </c>
      <c r="BZ193" s="542">
        <v>0</v>
      </c>
      <c r="CA193" s="542">
        <v>0</v>
      </c>
      <c r="CB193" s="542">
        <v>0</v>
      </c>
      <c r="CC193" s="542">
        <v>0</v>
      </c>
      <c r="CD193" s="542">
        <v>0</v>
      </c>
      <c r="CE193" s="542">
        <v>0</v>
      </c>
    </row>
    <row r="194" spans="1:83" ht="30" x14ac:dyDescent="0.25">
      <c r="A194" s="640">
        <v>544</v>
      </c>
      <c r="B194" s="562">
        <v>544</v>
      </c>
      <c r="C194" s="557" t="s">
        <v>72</v>
      </c>
      <c r="D194" s="572" t="s">
        <v>592</v>
      </c>
      <c r="E194" s="564">
        <v>0</v>
      </c>
      <c r="F194" s="565">
        <v>0</v>
      </c>
      <c r="G194" s="565">
        <v>0</v>
      </c>
      <c r="H194" s="565">
        <v>0</v>
      </c>
      <c r="I194" s="565">
        <v>0</v>
      </c>
      <c r="J194" s="565">
        <v>0</v>
      </c>
      <c r="K194" s="566">
        <v>0</v>
      </c>
      <c r="L194" s="567">
        <v>0</v>
      </c>
      <c r="M194" s="567">
        <v>0</v>
      </c>
      <c r="N194" s="568">
        <v>0</v>
      </c>
      <c r="O194" s="568">
        <v>0</v>
      </c>
      <c r="P194" s="568">
        <v>0</v>
      </c>
      <c r="Q194" s="568">
        <v>0</v>
      </c>
      <c r="R194" s="568">
        <v>0</v>
      </c>
      <c r="S194" s="568">
        <v>0</v>
      </c>
      <c r="T194" s="568">
        <v>0</v>
      </c>
      <c r="U194" s="568">
        <v>0</v>
      </c>
      <c r="V194" s="568">
        <v>0</v>
      </c>
      <c r="W194" s="568">
        <v>0</v>
      </c>
      <c r="X194" s="568">
        <v>0</v>
      </c>
      <c r="Y194" s="568">
        <v>0</v>
      </c>
      <c r="Z194" s="568">
        <v>0</v>
      </c>
      <c r="AA194" s="568">
        <v>0</v>
      </c>
      <c r="AB194" s="567">
        <v>0</v>
      </c>
      <c r="AC194" s="567">
        <v>0</v>
      </c>
      <c r="AD194" s="567">
        <v>0</v>
      </c>
      <c r="AE194" s="567">
        <v>0</v>
      </c>
      <c r="AF194" s="567">
        <v>0</v>
      </c>
      <c r="AG194" s="567">
        <v>0</v>
      </c>
      <c r="AH194" s="567">
        <v>0</v>
      </c>
      <c r="AI194" s="567">
        <v>0</v>
      </c>
      <c r="AJ194" s="567">
        <v>0</v>
      </c>
      <c r="AK194" s="567">
        <v>0</v>
      </c>
      <c r="AL194" s="567">
        <v>0</v>
      </c>
      <c r="AM194" s="567">
        <v>0</v>
      </c>
      <c r="AN194" s="567">
        <v>0</v>
      </c>
      <c r="AO194" s="567">
        <v>0</v>
      </c>
      <c r="AP194" s="567">
        <v>0</v>
      </c>
      <c r="AQ194" s="567">
        <v>0</v>
      </c>
      <c r="AR194" s="567">
        <v>0</v>
      </c>
      <c r="AS194" s="567">
        <v>0</v>
      </c>
      <c r="AT194" s="567">
        <v>0</v>
      </c>
      <c r="AU194" s="567">
        <v>0</v>
      </c>
      <c r="AV194" s="567">
        <v>0</v>
      </c>
      <c r="AW194" s="567">
        <v>0</v>
      </c>
      <c r="AX194" s="567">
        <v>0</v>
      </c>
      <c r="AY194" s="567">
        <v>0</v>
      </c>
      <c r="AZ194" s="567">
        <v>0</v>
      </c>
      <c r="BA194" s="567">
        <v>0</v>
      </c>
      <c r="BB194" s="567">
        <v>0</v>
      </c>
      <c r="BC194" s="567">
        <v>0</v>
      </c>
      <c r="BD194" s="567">
        <v>2.25</v>
      </c>
      <c r="BE194" s="567">
        <v>0</v>
      </c>
      <c r="BF194" s="567">
        <v>0</v>
      </c>
      <c r="BG194" s="567">
        <v>0</v>
      </c>
      <c r="BH194" s="567">
        <v>0</v>
      </c>
      <c r="BI194" s="567">
        <v>0.15</v>
      </c>
      <c r="BJ194" s="567">
        <v>0</v>
      </c>
      <c r="BK194" s="567">
        <v>0</v>
      </c>
      <c r="BL194" s="567">
        <v>0</v>
      </c>
      <c r="BM194" s="567">
        <v>0</v>
      </c>
      <c r="BN194" s="567">
        <v>0</v>
      </c>
      <c r="BO194" s="567">
        <v>0</v>
      </c>
      <c r="BP194" s="567">
        <v>0</v>
      </c>
      <c r="BQ194" s="567">
        <v>0</v>
      </c>
      <c r="BR194" s="567">
        <v>0</v>
      </c>
      <c r="BS194" s="567">
        <v>0</v>
      </c>
      <c r="BT194" s="567">
        <v>0.03</v>
      </c>
      <c r="BU194" s="567">
        <v>0</v>
      </c>
      <c r="BV194" s="567">
        <v>0</v>
      </c>
      <c r="BW194" s="567">
        <v>0</v>
      </c>
      <c r="BX194" s="567">
        <v>0</v>
      </c>
      <c r="BY194" s="567">
        <v>0.02</v>
      </c>
      <c r="BZ194" s="567">
        <v>0</v>
      </c>
      <c r="CA194" s="567">
        <v>0</v>
      </c>
      <c r="CB194" s="567">
        <v>0</v>
      </c>
      <c r="CC194" s="567">
        <v>0</v>
      </c>
      <c r="CD194" s="567">
        <v>0</v>
      </c>
      <c r="CE194" s="567">
        <v>0</v>
      </c>
    </row>
    <row r="195" spans="1:83" ht="45" x14ac:dyDescent="0.25">
      <c r="A195" s="639">
        <v>545</v>
      </c>
      <c r="B195" s="562">
        <v>545</v>
      </c>
      <c r="C195" s="557" t="s">
        <v>73</v>
      </c>
      <c r="D195" s="572" t="s">
        <v>593</v>
      </c>
      <c r="E195" s="564">
        <v>0</v>
      </c>
      <c r="F195" s="565">
        <v>0</v>
      </c>
      <c r="G195" s="565">
        <v>0</v>
      </c>
      <c r="H195" s="565">
        <v>0</v>
      </c>
      <c r="I195" s="565">
        <v>0</v>
      </c>
      <c r="J195" s="565">
        <v>0</v>
      </c>
      <c r="K195" s="566">
        <v>0</v>
      </c>
      <c r="L195" s="567">
        <v>0</v>
      </c>
      <c r="M195" s="567">
        <v>0</v>
      </c>
      <c r="N195" s="568">
        <v>0</v>
      </c>
      <c r="O195" s="568">
        <v>0</v>
      </c>
      <c r="P195" s="568">
        <v>0</v>
      </c>
      <c r="Q195" s="568">
        <v>0</v>
      </c>
      <c r="R195" s="568">
        <v>0.03</v>
      </c>
      <c r="S195" s="568">
        <v>0</v>
      </c>
      <c r="T195" s="568">
        <v>0</v>
      </c>
      <c r="U195" s="568">
        <v>0</v>
      </c>
      <c r="V195" s="568">
        <v>0</v>
      </c>
      <c r="W195" s="568">
        <v>0</v>
      </c>
      <c r="X195" s="568">
        <v>0</v>
      </c>
      <c r="Y195" s="568">
        <v>0</v>
      </c>
      <c r="Z195" s="568">
        <v>0.12</v>
      </c>
      <c r="AA195" s="568">
        <v>0</v>
      </c>
      <c r="AB195" s="567">
        <v>0</v>
      </c>
      <c r="AC195" s="567">
        <v>0</v>
      </c>
      <c r="AD195" s="567">
        <v>0</v>
      </c>
      <c r="AE195" s="567">
        <v>0</v>
      </c>
      <c r="AF195" s="567">
        <v>0</v>
      </c>
      <c r="AG195" s="567">
        <v>0.01</v>
      </c>
      <c r="AH195" s="567">
        <v>0.02</v>
      </c>
      <c r="AI195" s="567">
        <v>0</v>
      </c>
      <c r="AJ195" s="567">
        <v>0</v>
      </c>
      <c r="AK195" s="567">
        <v>0</v>
      </c>
      <c r="AL195" s="567">
        <v>0</v>
      </c>
      <c r="AM195" s="567">
        <v>0</v>
      </c>
      <c r="AN195" s="567">
        <v>0</v>
      </c>
      <c r="AO195" s="567">
        <v>0</v>
      </c>
      <c r="AP195" s="567">
        <v>0</v>
      </c>
      <c r="AQ195" s="567">
        <v>0</v>
      </c>
      <c r="AR195" s="567">
        <v>0</v>
      </c>
      <c r="AS195" s="567">
        <v>0</v>
      </c>
      <c r="AT195" s="567">
        <v>0</v>
      </c>
      <c r="AU195" s="567">
        <v>0</v>
      </c>
      <c r="AV195" s="567">
        <v>0</v>
      </c>
      <c r="AW195" s="567">
        <v>0</v>
      </c>
      <c r="AX195" s="567">
        <v>0</v>
      </c>
      <c r="AY195" s="567">
        <v>0</v>
      </c>
      <c r="AZ195" s="567">
        <v>0</v>
      </c>
      <c r="BA195" s="567">
        <v>0</v>
      </c>
      <c r="BB195" s="567">
        <v>0</v>
      </c>
      <c r="BC195" s="567">
        <v>0</v>
      </c>
      <c r="BD195" s="567">
        <v>0</v>
      </c>
      <c r="BE195" s="567">
        <v>0</v>
      </c>
      <c r="BF195" s="567">
        <v>0</v>
      </c>
      <c r="BG195" s="567">
        <v>0</v>
      </c>
      <c r="BH195" s="567">
        <v>0</v>
      </c>
      <c r="BI195" s="567">
        <v>0</v>
      </c>
      <c r="BJ195" s="567">
        <v>0</v>
      </c>
      <c r="BK195" s="567">
        <v>0</v>
      </c>
      <c r="BL195" s="567">
        <v>0</v>
      </c>
      <c r="BM195" s="567">
        <v>0</v>
      </c>
      <c r="BN195" s="567">
        <v>0</v>
      </c>
      <c r="BO195" s="567">
        <v>0</v>
      </c>
      <c r="BP195" s="567">
        <v>0</v>
      </c>
      <c r="BQ195" s="567">
        <v>0</v>
      </c>
      <c r="BR195" s="567">
        <v>0</v>
      </c>
      <c r="BS195" s="567">
        <v>0</v>
      </c>
      <c r="BT195" s="567">
        <v>0</v>
      </c>
      <c r="BU195" s="567">
        <v>0</v>
      </c>
      <c r="BV195" s="567">
        <v>0</v>
      </c>
      <c r="BW195" s="567">
        <v>0</v>
      </c>
      <c r="BX195" s="567">
        <v>0</v>
      </c>
      <c r="BY195" s="567">
        <v>0</v>
      </c>
      <c r="BZ195" s="567">
        <v>0</v>
      </c>
      <c r="CA195" s="567">
        <v>0</v>
      </c>
      <c r="CB195" s="567">
        <v>0</v>
      </c>
      <c r="CC195" s="567">
        <v>0</v>
      </c>
      <c r="CD195" s="567">
        <v>0</v>
      </c>
      <c r="CE195" s="567">
        <v>0</v>
      </c>
    </row>
    <row r="196" spans="1:83" x14ac:dyDescent="0.25">
      <c r="A196" s="639"/>
      <c r="B196" s="562">
        <v>546</v>
      </c>
      <c r="C196" s="557" t="s">
        <v>874</v>
      </c>
      <c r="D196" s="572" t="s">
        <v>594</v>
      </c>
      <c r="E196" s="543"/>
      <c r="F196" s="544"/>
      <c r="G196" s="544"/>
      <c r="H196" s="544"/>
      <c r="I196" s="544"/>
      <c r="J196" s="544"/>
      <c r="K196" s="545"/>
      <c r="L196" s="542"/>
      <c r="M196" s="542"/>
      <c r="N196" s="541"/>
      <c r="O196" s="541"/>
      <c r="P196" s="541"/>
      <c r="Q196" s="541"/>
      <c r="R196" s="541"/>
      <c r="S196" s="541"/>
      <c r="T196" s="541"/>
      <c r="U196" s="541"/>
      <c r="V196" s="541"/>
      <c r="W196" s="541"/>
      <c r="X196" s="541"/>
      <c r="Y196" s="541"/>
      <c r="Z196" s="541"/>
      <c r="AA196" s="541"/>
      <c r="AB196" s="542"/>
      <c r="AC196" s="542"/>
      <c r="AD196" s="542"/>
      <c r="AE196" s="542"/>
      <c r="AF196" s="542"/>
      <c r="AG196" s="542"/>
      <c r="AH196" s="542"/>
      <c r="AI196" s="542"/>
      <c r="AJ196" s="542"/>
      <c r="AK196" s="542"/>
      <c r="AL196" s="542"/>
      <c r="AM196" s="542"/>
      <c r="AN196" s="542"/>
      <c r="AO196" s="542"/>
      <c r="AP196" s="542"/>
      <c r="AQ196" s="542"/>
      <c r="AR196" s="542"/>
      <c r="AS196" s="542"/>
      <c r="AT196" s="542"/>
      <c r="AU196" s="542"/>
      <c r="AV196" s="542"/>
      <c r="AW196" s="542"/>
      <c r="AX196" s="542"/>
      <c r="AY196" s="542"/>
      <c r="AZ196" s="542"/>
      <c r="BA196" s="542"/>
      <c r="BB196" s="542"/>
      <c r="BC196" s="542"/>
      <c r="BD196" s="542"/>
      <c r="BE196" s="542"/>
      <c r="BF196" s="542"/>
      <c r="BG196" s="542"/>
      <c r="BH196" s="542"/>
      <c r="BI196" s="542"/>
      <c r="BJ196" s="542"/>
      <c r="BK196" s="542"/>
      <c r="BL196" s="542"/>
      <c r="BM196" s="542"/>
      <c r="BN196" s="542"/>
      <c r="BO196" s="542"/>
      <c r="BP196" s="542"/>
      <c r="BQ196" s="542"/>
      <c r="BR196" s="542"/>
      <c r="BS196" s="542"/>
      <c r="BT196" s="542"/>
      <c r="BU196" s="542"/>
      <c r="BV196" s="542"/>
      <c r="BW196" s="542"/>
      <c r="BX196" s="542"/>
      <c r="BY196" s="542"/>
      <c r="BZ196" s="542"/>
      <c r="CA196" s="542"/>
      <c r="CB196" s="542"/>
      <c r="CC196" s="542"/>
      <c r="CD196" s="542"/>
      <c r="CE196" s="542"/>
    </row>
    <row r="197" spans="1:83" ht="150" x14ac:dyDescent="0.25">
      <c r="A197" s="639">
        <v>547</v>
      </c>
      <c r="B197" s="562">
        <v>547</v>
      </c>
      <c r="C197" s="573" t="s">
        <v>894</v>
      </c>
      <c r="D197" s="572" t="s">
        <v>595</v>
      </c>
      <c r="E197" s="543">
        <v>2</v>
      </c>
      <c r="F197" s="544">
        <v>2</v>
      </c>
      <c r="G197" s="544">
        <v>4</v>
      </c>
      <c r="H197" s="544">
        <v>2</v>
      </c>
      <c r="I197" s="544">
        <v>2</v>
      </c>
      <c r="J197" s="544">
        <v>2</v>
      </c>
      <c r="K197" s="545">
        <v>2</v>
      </c>
      <c r="L197" s="542">
        <v>2</v>
      </c>
      <c r="M197" s="542">
        <v>2</v>
      </c>
      <c r="N197" s="541">
        <v>3</v>
      </c>
      <c r="O197" s="541">
        <v>2</v>
      </c>
      <c r="P197" s="541">
        <v>3</v>
      </c>
      <c r="Q197" s="541">
        <v>2</v>
      </c>
      <c r="R197" s="541">
        <v>3</v>
      </c>
      <c r="S197" s="541">
        <v>2</v>
      </c>
      <c r="T197" s="541">
        <v>2</v>
      </c>
      <c r="U197" s="541">
        <v>3</v>
      </c>
      <c r="V197" s="541">
        <v>3</v>
      </c>
      <c r="W197" s="541">
        <v>3</v>
      </c>
      <c r="X197" s="541">
        <v>3</v>
      </c>
      <c r="Y197" s="541">
        <v>0</v>
      </c>
      <c r="Z197" s="541">
        <v>2</v>
      </c>
      <c r="AA197" s="541">
        <v>2</v>
      </c>
      <c r="AB197" s="542">
        <v>3</v>
      </c>
      <c r="AC197" s="542">
        <v>2</v>
      </c>
      <c r="AD197" s="542">
        <v>2</v>
      </c>
      <c r="AE197" s="542">
        <v>2</v>
      </c>
      <c r="AF197" s="542">
        <v>2</v>
      </c>
      <c r="AG197" s="542">
        <v>3</v>
      </c>
      <c r="AH197" s="542">
        <v>3</v>
      </c>
      <c r="AI197" s="542">
        <v>2</v>
      </c>
      <c r="AJ197" s="542">
        <v>3</v>
      </c>
      <c r="AK197" s="542">
        <v>2</v>
      </c>
      <c r="AL197" s="542">
        <v>2</v>
      </c>
      <c r="AM197" s="542">
        <v>0</v>
      </c>
      <c r="AN197" s="542">
        <v>3</v>
      </c>
      <c r="AO197" s="542">
        <v>2</v>
      </c>
      <c r="AP197" s="542">
        <v>0</v>
      </c>
      <c r="AQ197" s="542">
        <v>2</v>
      </c>
      <c r="AR197" s="542">
        <v>2</v>
      </c>
      <c r="AS197" s="542">
        <v>3</v>
      </c>
      <c r="AT197" s="542">
        <v>0</v>
      </c>
      <c r="AU197" s="542">
        <v>3</v>
      </c>
      <c r="AV197" s="542">
        <v>2</v>
      </c>
      <c r="AW197" s="542">
        <v>3</v>
      </c>
      <c r="AX197" s="542">
        <v>2</v>
      </c>
      <c r="AY197" s="542">
        <v>2</v>
      </c>
      <c r="AZ197" s="542">
        <v>2</v>
      </c>
      <c r="BA197" s="542">
        <v>2</v>
      </c>
      <c r="BB197" s="542">
        <v>0</v>
      </c>
      <c r="BC197" s="542">
        <v>2</v>
      </c>
      <c r="BD197" s="542">
        <v>2</v>
      </c>
      <c r="BE197" s="542">
        <v>3</v>
      </c>
      <c r="BF197" s="542">
        <v>2</v>
      </c>
      <c r="BG197" s="542">
        <v>2</v>
      </c>
      <c r="BH197" s="542">
        <v>2</v>
      </c>
      <c r="BI197" s="542">
        <v>2</v>
      </c>
      <c r="BJ197" s="542">
        <v>2</v>
      </c>
      <c r="BK197" s="542">
        <v>2</v>
      </c>
      <c r="BL197" s="542">
        <v>3</v>
      </c>
      <c r="BM197" s="542">
        <v>2</v>
      </c>
      <c r="BN197" s="542">
        <v>1</v>
      </c>
      <c r="BO197" s="542">
        <v>2</v>
      </c>
      <c r="BP197" s="542">
        <v>2</v>
      </c>
      <c r="BQ197" s="542">
        <v>2</v>
      </c>
      <c r="BR197" s="542">
        <v>2</v>
      </c>
      <c r="BS197" s="542">
        <v>1</v>
      </c>
      <c r="BT197" s="542">
        <v>3</v>
      </c>
      <c r="BU197" s="542">
        <v>3</v>
      </c>
      <c r="BV197" s="542">
        <v>3</v>
      </c>
      <c r="BW197" s="542">
        <v>2</v>
      </c>
      <c r="BX197" s="542">
        <v>2</v>
      </c>
      <c r="BY197" s="542">
        <v>3</v>
      </c>
      <c r="BZ197" s="542">
        <v>2</v>
      </c>
      <c r="CA197" s="542">
        <v>0</v>
      </c>
      <c r="CB197" s="542">
        <v>2</v>
      </c>
      <c r="CC197" s="542">
        <v>2</v>
      </c>
      <c r="CD197" s="542">
        <v>0</v>
      </c>
      <c r="CE197" s="542">
        <v>2</v>
      </c>
    </row>
    <row r="198" spans="1:83" ht="28.5" x14ac:dyDescent="0.25">
      <c r="A198" s="639"/>
      <c r="B198" s="562">
        <v>548</v>
      </c>
      <c r="C198" s="574" t="s">
        <v>648</v>
      </c>
      <c r="D198" s="575" t="s">
        <v>691</v>
      </c>
      <c r="E198" s="543">
        <v>0</v>
      </c>
      <c r="F198" s="544">
        <v>0</v>
      </c>
      <c r="G198" s="544">
        <v>0</v>
      </c>
      <c r="H198" s="544">
        <v>0</v>
      </c>
      <c r="I198" s="544">
        <v>0</v>
      </c>
      <c r="J198" s="544">
        <v>0</v>
      </c>
      <c r="K198" s="545">
        <v>0</v>
      </c>
      <c r="L198" s="542">
        <v>0</v>
      </c>
      <c r="M198" s="542">
        <v>0</v>
      </c>
      <c r="N198" s="541">
        <v>0</v>
      </c>
      <c r="O198" s="541">
        <v>0</v>
      </c>
      <c r="P198" s="541">
        <v>0</v>
      </c>
      <c r="Q198" s="541">
        <v>0</v>
      </c>
      <c r="R198" s="541">
        <v>0</v>
      </c>
      <c r="S198" s="541">
        <v>0</v>
      </c>
      <c r="T198" s="541">
        <v>0</v>
      </c>
      <c r="U198" s="541">
        <v>0</v>
      </c>
      <c r="V198" s="541">
        <v>0</v>
      </c>
      <c r="W198" s="541">
        <v>0</v>
      </c>
      <c r="X198" s="541">
        <v>0</v>
      </c>
      <c r="Y198" s="541">
        <v>0</v>
      </c>
      <c r="Z198" s="541">
        <v>0</v>
      </c>
      <c r="AA198" s="541">
        <v>0</v>
      </c>
      <c r="AB198" s="542">
        <v>0</v>
      </c>
      <c r="AC198" s="542">
        <v>0</v>
      </c>
      <c r="AD198" s="542">
        <v>0</v>
      </c>
      <c r="AE198" s="542">
        <v>0</v>
      </c>
      <c r="AF198" s="542">
        <v>0</v>
      </c>
      <c r="AG198" s="542">
        <v>0</v>
      </c>
      <c r="AH198" s="542">
        <v>0</v>
      </c>
      <c r="AI198" s="542">
        <v>0</v>
      </c>
      <c r="AJ198" s="542">
        <v>0</v>
      </c>
      <c r="AK198" s="542">
        <v>0</v>
      </c>
      <c r="AL198" s="542">
        <v>0</v>
      </c>
      <c r="AM198" s="542">
        <v>0</v>
      </c>
      <c r="AN198" s="542">
        <v>0</v>
      </c>
      <c r="AO198" s="542">
        <v>0</v>
      </c>
      <c r="AP198" s="542">
        <v>0</v>
      </c>
      <c r="AQ198" s="542">
        <v>0</v>
      </c>
      <c r="AR198" s="542">
        <v>0</v>
      </c>
      <c r="AS198" s="542">
        <v>0</v>
      </c>
      <c r="AT198" s="542">
        <v>0</v>
      </c>
      <c r="AU198" s="542">
        <v>0</v>
      </c>
      <c r="AV198" s="542">
        <v>0</v>
      </c>
      <c r="AW198" s="542">
        <v>0</v>
      </c>
      <c r="AX198" s="542">
        <v>0</v>
      </c>
      <c r="AY198" s="542">
        <v>0</v>
      </c>
      <c r="AZ198" s="542">
        <v>0</v>
      </c>
      <c r="BA198" s="542">
        <v>0</v>
      </c>
      <c r="BB198" s="542">
        <v>0</v>
      </c>
      <c r="BC198" s="542">
        <v>0</v>
      </c>
      <c r="BD198" s="542">
        <v>0</v>
      </c>
      <c r="BE198" s="542">
        <v>0</v>
      </c>
      <c r="BF198" s="542">
        <v>0</v>
      </c>
      <c r="BG198" s="542">
        <v>0</v>
      </c>
      <c r="BH198" s="542">
        <v>0</v>
      </c>
      <c r="BI198" s="542">
        <v>0</v>
      </c>
      <c r="BJ198" s="542">
        <v>0</v>
      </c>
      <c r="BK198" s="542">
        <v>0</v>
      </c>
      <c r="BL198" s="542">
        <v>0</v>
      </c>
      <c r="BM198" s="542">
        <v>0</v>
      </c>
      <c r="BN198" s="542">
        <v>0</v>
      </c>
      <c r="BO198" s="542">
        <v>0</v>
      </c>
      <c r="BP198" s="542">
        <v>0</v>
      </c>
      <c r="BQ198" s="542">
        <v>0</v>
      </c>
      <c r="BR198" s="542">
        <v>0</v>
      </c>
      <c r="BS198" s="542">
        <v>0</v>
      </c>
      <c r="BT198" s="542">
        <v>0</v>
      </c>
      <c r="BU198" s="542">
        <v>0</v>
      </c>
      <c r="BV198" s="542">
        <v>0</v>
      </c>
      <c r="BW198" s="542">
        <v>0</v>
      </c>
      <c r="BX198" s="542">
        <v>0</v>
      </c>
      <c r="BY198" s="542">
        <v>0</v>
      </c>
      <c r="BZ198" s="542">
        <v>0</v>
      </c>
      <c r="CA198" s="542">
        <v>0</v>
      </c>
      <c r="CB198" s="542">
        <v>0</v>
      </c>
      <c r="CC198" s="542">
        <v>0</v>
      </c>
      <c r="CD198" s="542">
        <v>0</v>
      </c>
      <c r="CE198" s="542">
        <v>0</v>
      </c>
    </row>
    <row r="199" spans="1:83" ht="42.75" x14ac:dyDescent="0.25">
      <c r="A199" s="639"/>
      <c r="B199" s="562">
        <v>549</v>
      </c>
      <c r="C199" s="576" t="s">
        <v>875</v>
      </c>
      <c r="D199" s="575" t="s">
        <v>692</v>
      </c>
      <c r="E199" s="543">
        <v>0</v>
      </c>
      <c r="F199" s="544">
        <v>0</v>
      </c>
      <c r="G199" s="544">
        <v>0</v>
      </c>
      <c r="H199" s="544">
        <v>0</v>
      </c>
      <c r="I199" s="544">
        <v>0</v>
      </c>
      <c r="J199" s="544">
        <v>0</v>
      </c>
      <c r="K199" s="545">
        <v>0</v>
      </c>
      <c r="L199" s="542">
        <v>0</v>
      </c>
      <c r="M199" s="542">
        <v>0</v>
      </c>
      <c r="N199" s="541">
        <v>0</v>
      </c>
      <c r="O199" s="541">
        <v>0</v>
      </c>
      <c r="P199" s="541">
        <v>0</v>
      </c>
      <c r="Q199" s="541">
        <v>0</v>
      </c>
      <c r="R199" s="541">
        <v>0</v>
      </c>
      <c r="S199" s="541">
        <v>0</v>
      </c>
      <c r="T199" s="541">
        <v>0</v>
      </c>
      <c r="U199" s="541">
        <v>0</v>
      </c>
      <c r="V199" s="541">
        <v>0</v>
      </c>
      <c r="W199" s="541">
        <v>0</v>
      </c>
      <c r="X199" s="541">
        <v>0</v>
      </c>
      <c r="Y199" s="541">
        <v>0</v>
      </c>
      <c r="Z199" s="541">
        <v>0</v>
      </c>
      <c r="AA199" s="541">
        <v>0</v>
      </c>
      <c r="AB199" s="542">
        <v>0</v>
      </c>
      <c r="AC199" s="542">
        <v>0</v>
      </c>
      <c r="AD199" s="542">
        <v>0</v>
      </c>
      <c r="AE199" s="542">
        <v>0</v>
      </c>
      <c r="AF199" s="542">
        <v>0</v>
      </c>
      <c r="AG199" s="542">
        <v>0</v>
      </c>
      <c r="AH199" s="542">
        <v>0</v>
      </c>
      <c r="AI199" s="542">
        <v>0</v>
      </c>
      <c r="AJ199" s="542">
        <v>0</v>
      </c>
      <c r="AK199" s="542">
        <v>0</v>
      </c>
      <c r="AL199" s="542">
        <v>0</v>
      </c>
      <c r="AM199" s="542">
        <v>0</v>
      </c>
      <c r="AN199" s="542">
        <v>0</v>
      </c>
      <c r="AO199" s="542">
        <v>0</v>
      </c>
      <c r="AP199" s="542">
        <v>0</v>
      </c>
      <c r="AQ199" s="542">
        <v>0</v>
      </c>
      <c r="AR199" s="542">
        <v>0</v>
      </c>
      <c r="AS199" s="542">
        <v>0</v>
      </c>
      <c r="AT199" s="542">
        <v>0</v>
      </c>
      <c r="AU199" s="542">
        <v>0</v>
      </c>
      <c r="AV199" s="542">
        <v>0</v>
      </c>
      <c r="AW199" s="542">
        <v>0</v>
      </c>
      <c r="AX199" s="542">
        <v>0</v>
      </c>
      <c r="AY199" s="542">
        <v>0</v>
      </c>
      <c r="AZ199" s="542">
        <v>0</v>
      </c>
      <c r="BA199" s="542">
        <v>0</v>
      </c>
      <c r="BB199" s="542">
        <v>0</v>
      </c>
      <c r="BC199" s="542">
        <v>0</v>
      </c>
      <c r="BD199" s="542">
        <v>0</v>
      </c>
      <c r="BE199" s="542">
        <v>0</v>
      </c>
      <c r="BF199" s="542">
        <v>0</v>
      </c>
      <c r="BG199" s="542">
        <v>0</v>
      </c>
      <c r="BH199" s="542">
        <v>0</v>
      </c>
      <c r="BI199" s="542">
        <v>0</v>
      </c>
      <c r="BJ199" s="542">
        <v>0</v>
      </c>
      <c r="BK199" s="542">
        <v>0</v>
      </c>
      <c r="BL199" s="542">
        <v>0</v>
      </c>
      <c r="BM199" s="542">
        <v>0</v>
      </c>
      <c r="BN199" s="542">
        <v>0</v>
      </c>
      <c r="BO199" s="542">
        <v>0</v>
      </c>
      <c r="BP199" s="542">
        <v>0</v>
      </c>
      <c r="BQ199" s="542">
        <v>0</v>
      </c>
      <c r="BR199" s="542">
        <v>0</v>
      </c>
      <c r="BS199" s="542">
        <v>0</v>
      </c>
      <c r="BT199" s="542">
        <v>0</v>
      </c>
      <c r="BU199" s="542">
        <v>0</v>
      </c>
      <c r="BV199" s="542">
        <v>0</v>
      </c>
      <c r="BW199" s="542">
        <v>0</v>
      </c>
      <c r="BX199" s="542">
        <v>0</v>
      </c>
      <c r="BY199" s="542">
        <v>0</v>
      </c>
      <c r="BZ199" s="542">
        <v>0</v>
      </c>
      <c r="CA199" s="542">
        <v>0</v>
      </c>
      <c r="CB199" s="542">
        <v>0</v>
      </c>
      <c r="CC199" s="542">
        <v>0</v>
      </c>
      <c r="CD199" s="542">
        <v>0</v>
      </c>
      <c r="CE199" s="542">
        <v>0</v>
      </c>
    </row>
    <row r="200" spans="1:83" ht="42.75" x14ac:dyDescent="0.25">
      <c r="A200" s="639"/>
      <c r="B200" s="562">
        <v>550</v>
      </c>
      <c r="C200" s="577" t="s">
        <v>693</v>
      </c>
      <c r="D200" s="575" t="s">
        <v>694</v>
      </c>
      <c r="E200" s="543">
        <v>0</v>
      </c>
      <c r="F200" s="544">
        <v>0</v>
      </c>
      <c r="G200" s="544">
        <v>0</v>
      </c>
      <c r="H200" s="544">
        <v>0</v>
      </c>
      <c r="I200" s="544">
        <v>0</v>
      </c>
      <c r="J200" s="544">
        <v>0</v>
      </c>
      <c r="K200" s="545">
        <v>0</v>
      </c>
      <c r="L200" s="542">
        <v>0</v>
      </c>
      <c r="M200" s="542">
        <v>0</v>
      </c>
      <c r="N200" s="541">
        <v>0</v>
      </c>
      <c r="O200" s="541">
        <v>0</v>
      </c>
      <c r="P200" s="541">
        <v>0</v>
      </c>
      <c r="Q200" s="541">
        <v>0</v>
      </c>
      <c r="R200" s="541">
        <v>0</v>
      </c>
      <c r="S200" s="541">
        <v>0</v>
      </c>
      <c r="T200" s="541">
        <v>0</v>
      </c>
      <c r="U200" s="541">
        <v>0</v>
      </c>
      <c r="V200" s="541">
        <v>0</v>
      </c>
      <c r="W200" s="541">
        <v>0</v>
      </c>
      <c r="X200" s="541">
        <v>0</v>
      </c>
      <c r="Y200" s="541">
        <v>0</v>
      </c>
      <c r="Z200" s="541">
        <v>0</v>
      </c>
      <c r="AA200" s="541">
        <v>0</v>
      </c>
      <c r="AB200" s="542">
        <v>0</v>
      </c>
      <c r="AC200" s="542">
        <v>0</v>
      </c>
      <c r="AD200" s="542">
        <v>0</v>
      </c>
      <c r="AE200" s="542">
        <v>0</v>
      </c>
      <c r="AF200" s="542">
        <v>0</v>
      </c>
      <c r="AG200" s="542">
        <v>0</v>
      </c>
      <c r="AH200" s="542">
        <v>0</v>
      </c>
      <c r="AI200" s="542">
        <v>0</v>
      </c>
      <c r="AJ200" s="542">
        <v>0</v>
      </c>
      <c r="AK200" s="542">
        <v>0</v>
      </c>
      <c r="AL200" s="542">
        <v>0</v>
      </c>
      <c r="AM200" s="542">
        <v>0</v>
      </c>
      <c r="AN200" s="542">
        <v>0</v>
      </c>
      <c r="AO200" s="542">
        <v>0</v>
      </c>
      <c r="AP200" s="542">
        <v>0</v>
      </c>
      <c r="AQ200" s="542">
        <v>0</v>
      </c>
      <c r="AR200" s="542">
        <v>0</v>
      </c>
      <c r="AS200" s="542">
        <v>0</v>
      </c>
      <c r="AT200" s="542">
        <v>0</v>
      </c>
      <c r="AU200" s="542">
        <v>0</v>
      </c>
      <c r="AV200" s="542">
        <v>0</v>
      </c>
      <c r="AW200" s="542">
        <v>0</v>
      </c>
      <c r="AX200" s="542">
        <v>0</v>
      </c>
      <c r="AY200" s="542">
        <v>0</v>
      </c>
      <c r="AZ200" s="542">
        <v>0</v>
      </c>
      <c r="BA200" s="542">
        <v>0</v>
      </c>
      <c r="BB200" s="542">
        <v>0</v>
      </c>
      <c r="BC200" s="542">
        <v>0</v>
      </c>
      <c r="BD200" s="542">
        <v>0</v>
      </c>
      <c r="BE200" s="542">
        <v>0</v>
      </c>
      <c r="BF200" s="542">
        <v>0</v>
      </c>
      <c r="BG200" s="542">
        <v>0</v>
      </c>
      <c r="BH200" s="542">
        <v>0</v>
      </c>
      <c r="BI200" s="542">
        <v>0</v>
      </c>
      <c r="BJ200" s="542">
        <v>0</v>
      </c>
      <c r="BK200" s="542">
        <v>0</v>
      </c>
      <c r="BL200" s="542">
        <v>0</v>
      </c>
      <c r="BM200" s="542">
        <v>0</v>
      </c>
      <c r="BN200" s="542">
        <v>0</v>
      </c>
      <c r="BO200" s="542">
        <v>0</v>
      </c>
      <c r="BP200" s="542">
        <v>0</v>
      </c>
      <c r="BQ200" s="542">
        <v>0</v>
      </c>
      <c r="BR200" s="542">
        <v>0</v>
      </c>
      <c r="BS200" s="542">
        <v>0</v>
      </c>
      <c r="BT200" s="542">
        <v>0</v>
      </c>
      <c r="BU200" s="542">
        <v>0</v>
      </c>
      <c r="BV200" s="542">
        <v>0</v>
      </c>
      <c r="BW200" s="542">
        <v>0</v>
      </c>
      <c r="BX200" s="542">
        <v>0</v>
      </c>
      <c r="BY200" s="542">
        <v>0</v>
      </c>
      <c r="BZ200" s="542">
        <v>0</v>
      </c>
      <c r="CA200" s="542">
        <v>0</v>
      </c>
      <c r="CB200" s="542">
        <v>0</v>
      </c>
      <c r="CC200" s="542">
        <v>0</v>
      </c>
      <c r="CD200" s="542">
        <v>0</v>
      </c>
      <c r="CE200" s="542">
        <v>0</v>
      </c>
    </row>
    <row r="201" spans="1:83" ht="71.25" x14ac:dyDescent="0.25">
      <c r="A201" s="639"/>
      <c r="B201" s="607">
        <v>551</v>
      </c>
      <c r="C201" s="606" t="s">
        <v>876</v>
      </c>
      <c r="D201" s="615" t="s">
        <v>695</v>
      </c>
      <c r="E201" s="621">
        <v>0</v>
      </c>
      <c r="F201" s="610">
        <v>0</v>
      </c>
      <c r="G201" s="610">
        <v>0</v>
      </c>
      <c r="H201" s="610">
        <v>0</v>
      </c>
      <c r="I201" s="610">
        <v>0</v>
      </c>
      <c r="J201" s="610">
        <v>0</v>
      </c>
      <c r="K201" s="609">
        <v>0</v>
      </c>
      <c r="L201" s="608">
        <v>0</v>
      </c>
      <c r="M201" s="608">
        <v>0</v>
      </c>
      <c r="N201" s="588">
        <v>0</v>
      </c>
      <c r="O201" s="588">
        <v>0</v>
      </c>
      <c r="P201" s="588">
        <v>0</v>
      </c>
      <c r="Q201" s="588">
        <v>0</v>
      </c>
      <c r="R201" s="588">
        <v>0</v>
      </c>
      <c r="S201" s="588">
        <v>0</v>
      </c>
      <c r="T201" s="588">
        <v>0</v>
      </c>
      <c r="U201" s="588">
        <v>0</v>
      </c>
      <c r="V201" s="588">
        <v>0</v>
      </c>
      <c r="W201" s="588">
        <v>0</v>
      </c>
      <c r="X201" s="588">
        <v>0</v>
      </c>
      <c r="Y201" s="588">
        <v>0</v>
      </c>
      <c r="Z201" s="588">
        <v>0</v>
      </c>
      <c r="AA201" s="588">
        <v>0</v>
      </c>
      <c r="AB201" s="608">
        <v>0</v>
      </c>
      <c r="AC201" s="608">
        <v>0</v>
      </c>
      <c r="AD201" s="608">
        <v>0</v>
      </c>
      <c r="AE201" s="608">
        <v>0</v>
      </c>
      <c r="AF201" s="608">
        <v>0</v>
      </c>
      <c r="AG201" s="608">
        <v>0</v>
      </c>
      <c r="AH201" s="608">
        <v>0</v>
      </c>
      <c r="AI201" s="608">
        <v>0</v>
      </c>
      <c r="AJ201" s="608">
        <v>0</v>
      </c>
      <c r="AK201" s="608">
        <v>0</v>
      </c>
      <c r="AL201" s="608">
        <v>0</v>
      </c>
      <c r="AM201" s="608">
        <v>0</v>
      </c>
      <c r="AN201" s="608">
        <v>0</v>
      </c>
      <c r="AO201" s="608">
        <v>0</v>
      </c>
      <c r="AP201" s="608">
        <v>0</v>
      </c>
      <c r="AQ201" s="608">
        <v>0</v>
      </c>
      <c r="AR201" s="608">
        <v>0</v>
      </c>
      <c r="AS201" s="608">
        <v>0</v>
      </c>
      <c r="AT201" s="608">
        <v>0</v>
      </c>
      <c r="AU201" s="608">
        <v>0</v>
      </c>
      <c r="AV201" s="608">
        <v>0</v>
      </c>
      <c r="AW201" s="608">
        <v>0</v>
      </c>
      <c r="AX201" s="608">
        <v>0</v>
      </c>
      <c r="AY201" s="608">
        <v>0</v>
      </c>
      <c r="AZ201" s="608">
        <v>0</v>
      </c>
      <c r="BA201" s="608">
        <v>0</v>
      </c>
      <c r="BB201" s="608">
        <v>0</v>
      </c>
      <c r="BC201" s="608">
        <v>0</v>
      </c>
      <c r="BD201" s="608">
        <v>0</v>
      </c>
      <c r="BE201" s="608">
        <v>0</v>
      </c>
      <c r="BF201" s="608">
        <v>0</v>
      </c>
      <c r="BG201" s="608">
        <v>0</v>
      </c>
      <c r="BH201" s="608">
        <v>0</v>
      </c>
      <c r="BI201" s="608">
        <v>0</v>
      </c>
      <c r="BJ201" s="608">
        <v>0</v>
      </c>
      <c r="BK201" s="608">
        <v>0</v>
      </c>
      <c r="BL201" s="608">
        <v>0</v>
      </c>
      <c r="BM201" s="608">
        <v>0</v>
      </c>
      <c r="BN201" s="608">
        <v>0</v>
      </c>
      <c r="BO201" s="608">
        <v>0</v>
      </c>
      <c r="BP201" s="608">
        <v>0</v>
      </c>
      <c r="BQ201" s="608">
        <v>0</v>
      </c>
      <c r="BR201" s="608">
        <v>0</v>
      </c>
      <c r="BS201" s="608">
        <v>0</v>
      </c>
      <c r="BT201" s="608">
        <v>0</v>
      </c>
      <c r="BU201" s="608">
        <v>0</v>
      </c>
      <c r="BV201" s="608">
        <v>0</v>
      </c>
      <c r="BW201" s="608">
        <v>0</v>
      </c>
      <c r="BX201" s="608">
        <v>0</v>
      </c>
      <c r="BY201" s="608">
        <v>0</v>
      </c>
      <c r="BZ201" s="608">
        <v>0</v>
      </c>
      <c r="CA201" s="608">
        <v>0</v>
      </c>
      <c r="CB201" s="608">
        <v>0</v>
      </c>
      <c r="CC201" s="608">
        <v>0</v>
      </c>
      <c r="CD201" s="608">
        <v>0</v>
      </c>
      <c r="CE201" s="608">
        <v>0</v>
      </c>
    </row>
    <row r="202" spans="1:83" ht="28.5" x14ac:dyDescent="0.25">
      <c r="A202" s="639"/>
      <c r="B202" s="562">
        <v>552</v>
      </c>
      <c r="C202" s="578" t="s">
        <v>651</v>
      </c>
      <c r="D202" s="575" t="s">
        <v>696</v>
      </c>
      <c r="E202" s="543">
        <v>0</v>
      </c>
      <c r="F202" s="544">
        <v>0</v>
      </c>
      <c r="G202" s="544">
        <v>0</v>
      </c>
      <c r="H202" s="544">
        <v>0</v>
      </c>
      <c r="I202" s="544">
        <v>0</v>
      </c>
      <c r="J202" s="544">
        <v>0</v>
      </c>
      <c r="K202" s="545">
        <v>0</v>
      </c>
      <c r="L202" s="542">
        <v>0</v>
      </c>
      <c r="M202" s="542">
        <v>0</v>
      </c>
      <c r="N202" s="541">
        <v>0</v>
      </c>
      <c r="O202" s="541">
        <v>0</v>
      </c>
      <c r="P202" s="541">
        <v>0</v>
      </c>
      <c r="Q202" s="541">
        <v>0</v>
      </c>
      <c r="R202" s="541">
        <v>0</v>
      </c>
      <c r="S202" s="541">
        <v>0</v>
      </c>
      <c r="T202" s="541">
        <v>0</v>
      </c>
      <c r="U202" s="541">
        <v>0</v>
      </c>
      <c r="V202" s="541">
        <v>0</v>
      </c>
      <c r="W202" s="541">
        <v>0</v>
      </c>
      <c r="X202" s="541">
        <v>0</v>
      </c>
      <c r="Y202" s="541">
        <v>0</v>
      </c>
      <c r="Z202" s="541">
        <v>0</v>
      </c>
      <c r="AA202" s="541">
        <v>0</v>
      </c>
      <c r="AB202" s="542">
        <v>0</v>
      </c>
      <c r="AC202" s="542">
        <v>0</v>
      </c>
      <c r="AD202" s="542">
        <v>0</v>
      </c>
      <c r="AE202" s="542">
        <v>0</v>
      </c>
      <c r="AF202" s="542">
        <v>0</v>
      </c>
      <c r="AG202" s="542">
        <v>0</v>
      </c>
      <c r="AH202" s="542">
        <v>0</v>
      </c>
      <c r="AI202" s="542">
        <v>0</v>
      </c>
      <c r="AJ202" s="542">
        <v>0</v>
      </c>
      <c r="AK202" s="542">
        <v>0</v>
      </c>
      <c r="AL202" s="542">
        <v>0</v>
      </c>
      <c r="AM202" s="542">
        <v>0</v>
      </c>
      <c r="AN202" s="542">
        <v>0</v>
      </c>
      <c r="AO202" s="542">
        <v>0</v>
      </c>
      <c r="AP202" s="542">
        <v>0</v>
      </c>
      <c r="AQ202" s="542">
        <v>0</v>
      </c>
      <c r="AR202" s="542">
        <v>0</v>
      </c>
      <c r="AS202" s="542">
        <v>0</v>
      </c>
      <c r="AT202" s="542">
        <v>0</v>
      </c>
      <c r="AU202" s="542">
        <v>0</v>
      </c>
      <c r="AV202" s="542">
        <v>0</v>
      </c>
      <c r="AW202" s="542">
        <v>0</v>
      </c>
      <c r="AX202" s="542">
        <v>0</v>
      </c>
      <c r="AY202" s="542">
        <v>0</v>
      </c>
      <c r="AZ202" s="542">
        <v>0</v>
      </c>
      <c r="BA202" s="542">
        <v>0</v>
      </c>
      <c r="BB202" s="542">
        <v>0</v>
      </c>
      <c r="BC202" s="542">
        <v>0</v>
      </c>
      <c r="BD202" s="542">
        <v>0</v>
      </c>
      <c r="BE202" s="542">
        <v>0</v>
      </c>
      <c r="BF202" s="542">
        <v>0</v>
      </c>
      <c r="BG202" s="542">
        <v>0</v>
      </c>
      <c r="BH202" s="542">
        <v>0</v>
      </c>
      <c r="BI202" s="542">
        <v>0</v>
      </c>
      <c r="BJ202" s="542">
        <v>0</v>
      </c>
      <c r="BK202" s="542">
        <v>0</v>
      </c>
      <c r="BL202" s="542">
        <v>0</v>
      </c>
      <c r="BM202" s="542">
        <v>0</v>
      </c>
      <c r="BN202" s="542">
        <v>0</v>
      </c>
      <c r="BO202" s="542">
        <v>0</v>
      </c>
      <c r="BP202" s="542">
        <v>0</v>
      </c>
      <c r="BQ202" s="542">
        <v>0</v>
      </c>
      <c r="BR202" s="542">
        <v>0</v>
      </c>
      <c r="BS202" s="542">
        <v>0</v>
      </c>
      <c r="BT202" s="542">
        <v>0</v>
      </c>
      <c r="BU202" s="542">
        <v>0</v>
      </c>
      <c r="BV202" s="542">
        <v>0</v>
      </c>
      <c r="BW202" s="542">
        <v>0</v>
      </c>
      <c r="BX202" s="542">
        <v>0</v>
      </c>
      <c r="BY202" s="542">
        <v>0</v>
      </c>
      <c r="BZ202" s="542">
        <v>0</v>
      </c>
      <c r="CA202" s="542">
        <v>0</v>
      </c>
      <c r="CB202" s="542">
        <v>0</v>
      </c>
      <c r="CC202" s="542">
        <v>0</v>
      </c>
      <c r="CD202" s="542">
        <v>0</v>
      </c>
      <c r="CE202" s="542">
        <v>0</v>
      </c>
    </row>
    <row r="203" spans="1:83" x14ac:dyDescent="0.25">
      <c r="A203" s="639"/>
      <c r="B203" s="562">
        <v>553</v>
      </c>
      <c r="C203" s="560" t="s">
        <v>903</v>
      </c>
      <c r="D203" s="575" t="s">
        <v>697</v>
      </c>
      <c r="E203" s="543"/>
      <c r="F203" s="544"/>
      <c r="G203" s="544"/>
      <c r="H203" s="544"/>
      <c r="I203" s="544"/>
      <c r="J203" s="544"/>
      <c r="K203" s="545"/>
      <c r="L203" s="542"/>
      <c r="M203" s="542"/>
      <c r="N203" s="541"/>
      <c r="O203" s="541"/>
      <c r="P203" s="541"/>
      <c r="Q203" s="541"/>
      <c r="R203" s="541"/>
      <c r="S203" s="541"/>
      <c r="T203" s="541"/>
      <c r="U203" s="541"/>
      <c r="V203" s="541"/>
      <c r="W203" s="541"/>
      <c r="X203" s="541"/>
      <c r="Y203" s="541"/>
      <c r="Z203" s="541"/>
      <c r="AA203" s="541"/>
      <c r="AB203" s="542"/>
      <c r="AC203" s="542"/>
      <c r="AD203" s="542"/>
      <c r="AE203" s="542"/>
      <c r="AF203" s="542"/>
      <c r="AG203" s="542"/>
      <c r="AH203" s="542"/>
      <c r="AI203" s="542"/>
      <c r="AJ203" s="542"/>
      <c r="AK203" s="542"/>
      <c r="AL203" s="542"/>
      <c r="AM203" s="542"/>
      <c r="AN203" s="542"/>
      <c r="AO203" s="542"/>
      <c r="AP203" s="542"/>
      <c r="AQ203" s="542"/>
      <c r="AR203" s="542"/>
      <c r="AS203" s="542"/>
      <c r="AT203" s="542"/>
      <c r="AU203" s="542"/>
      <c r="AV203" s="542"/>
      <c r="AW203" s="542"/>
      <c r="AX203" s="542"/>
      <c r="AY203" s="542"/>
      <c r="AZ203" s="542"/>
      <c r="BA203" s="542"/>
      <c r="BB203" s="542"/>
      <c r="BC203" s="542"/>
      <c r="BD203" s="542"/>
      <c r="BE203" s="542"/>
      <c r="BF203" s="542"/>
      <c r="BG203" s="542"/>
      <c r="BH203" s="542"/>
      <c r="BI203" s="542"/>
      <c r="BJ203" s="542"/>
      <c r="BK203" s="542"/>
      <c r="BL203" s="542"/>
      <c r="BM203" s="542"/>
      <c r="BN203" s="542"/>
      <c r="BO203" s="542"/>
      <c r="BP203" s="542"/>
      <c r="BQ203" s="542"/>
      <c r="BR203" s="542"/>
      <c r="BS203" s="542"/>
      <c r="BT203" s="542"/>
      <c r="BU203" s="542"/>
      <c r="BV203" s="542"/>
      <c r="BW203" s="542"/>
      <c r="BX203" s="542"/>
      <c r="BY203" s="542"/>
      <c r="BZ203" s="542"/>
      <c r="CA203" s="542"/>
      <c r="CB203" s="542"/>
      <c r="CC203" s="542"/>
      <c r="CD203" s="542"/>
      <c r="CE203" s="542"/>
    </row>
    <row r="204" spans="1:83" ht="57.75" x14ac:dyDescent="0.25">
      <c r="A204" s="640">
        <v>554</v>
      </c>
      <c r="B204" s="607">
        <v>554</v>
      </c>
      <c r="C204" s="606" t="s">
        <v>895</v>
      </c>
      <c r="D204" s="615" t="s">
        <v>698</v>
      </c>
      <c r="E204" s="621">
        <v>0</v>
      </c>
      <c r="F204" s="610">
        <v>0</v>
      </c>
      <c r="G204" s="610">
        <v>0</v>
      </c>
      <c r="H204" s="610">
        <v>0</v>
      </c>
      <c r="I204" s="610">
        <v>0</v>
      </c>
      <c r="J204" s="610">
        <v>0</v>
      </c>
      <c r="K204" s="609">
        <v>0</v>
      </c>
      <c r="L204" s="608">
        <v>0</v>
      </c>
      <c r="M204" s="608">
        <v>0</v>
      </c>
      <c r="N204" s="588">
        <v>0</v>
      </c>
      <c r="O204" s="588">
        <v>0</v>
      </c>
      <c r="P204" s="588">
        <v>0</v>
      </c>
      <c r="Q204" s="588">
        <v>0</v>
      </c>
      <c r="R204" s="588">
        <v>1394809</v>
      </c>
      <c r="S204" s="588">
        <v>0</v>
      </c>
      <c r="T204" s="588">
        <v>0</v>
      </c>
      <c r="U204" s="588">
        <v>1160337</v>
      </c>
      <c r="V204" s="588">
        <v>1579572</v>
      </c>
      <c r="W204" s="588">
        <v>124736</v>
      </c>
      <c r="X204" s="588">
        <v>2852001</v>
      </c>
      <c r="Y204" s="588">
        <v>0</v>
      </c>
      <c r="Z204" s="588">
        <v>345978</v>
      </c>
      <c r="AA204" s="588">
        <v>0</v>
      </c>
      <c r="AB204" s="608">
        <v>0</v>
      </c>
      <c r="AC204" s="608">
        <v>3899259</v>
      </c>
      <c r="AD204" s="608">
        <v>0</v>
      </c>
      <c r="AE204" s="608">
        <v>0</v>
      </c>
      <c r="AF204" s="608">
        <v>0</v>
      </c>
      <c r="AG204" s="608">
        <v>0</v>
      </c>
      <c r="AH204" s="608">
        <v>0</v>
      </c>
      <c r="AI204" s="608">
        <v>0</v>
      </c>
      <c r="AJ204" s="608">
        <v>415797</v>
      </c>
      <c r="AK204" s="608">
        <v>0</v>
      </c>
      <c r="AL204" s="608">
        <v>0</v>
      </c>
      <c r="AM204" s="608">
        <v>0</v>
      </c>
      <c r="AN204" s="608">
        <v>176548</v>
      </c>
      <c r="AO204" s="608">
        <v>0</v>
      </c>
      <c r="AP204" s="608">
        <v>0</v>
      </c>
      <c r="AQ204" s="608">
        <v>0</v>
      </c>
      <c r="AR204" s="608">
        <v>0</v>
      </c>
      <c r="AS204" s="608">
        <v>0</v>
      </c>
      <c r="AT204" s="608">
        <v>0</v>
      </c>
      <c r="AU204" s="608">
        <v>0</v>
      </c>
      <c r="AV204" s="608">
        <v>0</v>
      </c>
      <c r="AW204" s="608">
        <v>0</v>
      </c>
      <c r="AX204" s="608">
        <v>0</v>
      </c>
      <c r="AY204" s="608">
        <v>0</v>
      </c>
      <c r="AZ204" s="608">
        <v>83010</v>
      </c>
      <c r="BA204" s="608">
        <v>0</v>
      </c>
      <c r="BB204" s="608">
        <v>0</v>
      </c>
      <c r="BC204" s="608">
        <v>0</v>
      </c>
      <c r="BD204" s="608">
        <v>0</v>
      </c>
      <c r="BE204" s="608">
        <v>0</v>
      </c>
      <c r="BF204" s="608">
        <v>0</v>
      </c>
      <c r="BG204" s="608">
        <v>0</v>
      </c>
      <c r="BH204" s="608">
        <v>0</v>
      </c>
      <c r="BI204" s="608">
        <v>0</v>
      </c>
      <c r="BJ204" s="608">
        <v>0</v>
      </c>
      <c r="BK204" s="608">
        <v>0</v>
      </c>
      <c r="BL204" s="608">
        <v>0</v>
      </c>
      <c r="BM204" s="608">
        <v>0</v>
      </c>
      <c r="BN204" s="608">
        <v>0</v>
      </c>
      <c r="BO204" s="608">
        <v>0</v>
      </c>
      <c r="BP204" s="608">
        <v>0</v>
      </c>
      <c r="BQ204" s="608">
        <v>0</v>
      </c>
      <c r="BR204" s="608">
        <v>0</v>
      </c>
      <c r="BS204" s="608">
        <v>0</v>
      </c>
      <c r="BT204" s="608">
        <v>0</v>
      </c>
      <c r="BU204" s="608">
        <v>0</v>
      </c>
      <c r="BV204" s="608">
        <v>0</v>
      </c>
      <c r="BW204" s="608">
        <v>0</v>
      </c>
      <c r="BX204" s="608">
        <v>2221270</v>
      </c>
      <c r="BY204" s="608">
        <v>0</v>
      </c>
      <c r="BZ204" s="608">
        <v>0</v>
      </c>
      <c r="CA204" s="608">
        <v>0</v>
      </c>
      <c r="CB204" s="608">
        <v>0</v>
      </c>
      <c r="CC204" s="608">
        <v>0</v>
      </c>
      <c r="CD204" s="608">
        <v>0</v>
      </c>
      <c r="CE204" s="608">
        <v>0</v>
      </c>
    </row>
    <row r="205" spans="1:83" ht="72" x14ac:dyDescent="0.25">
      <c r="A205" s="640">
        <v>555</v>
      </c>
      <c r="B205" s="607">
        <v>555</v>
      </c>
      <c r="C205" s="606" t="s">
        <v>896</v>
      </c>
      <c r="D205" s="615" t="s">
        <v>699</v>
      </c>
      <c r="E205" s="621">
        <v>0</v>
      </c>
      <c r="F205" s="610">
        <v>0</v>
      </c>
      <c r="G205" s="610">
        <v>0</v>
      </c>
      <c r="H205" s="610">
        <v>0</v>
      </c>
      <c r="I205" s="610">
        <v>0</v>
      </c>
      <c r="J205" s="610">
        <v>0</v>
      </c>
      <c r="K205" s="609">
        <v>0</v>
      </c>
      <c r="L205" s="608">
        <v>0</v>
      </c>
      <c r="M205" s="608">
        <v>0</v>
      </c>
      <c r="N205" s="588">
        <v>0</v>
      </c>
      <c r="O205" s="588">
        <v>0</v>
      </c>
      <c r="P205" s="588">
        <v>0</v>
      </c>
      <c r="Q205" s="588">
        <v>0</v>
      </c>
      <c r="R205" s="588">
        <v>874786</v>
      </c>
      <c r="S205" s="588">
        <v>0</v>
      </c>
      <c r="T205" s="588">
        <v>0</v>
      </c>
      <c r="U205" s="588">
        <v>646862</v>
      </c>
      <c r="V205" s="588">
        <v>1140749</v>
      </c>
      <c r="W205" s="588">
        <v>0</v>
      </c>
      <c r="X205" s="588">
        <v>2835702</v>
      </c>
      <c r="Y205" s="588">
        <v>0</v>
      </c>
      <c r="Z205" s="588">
        <v>0</v>
      </c>
      <c r="AA205" s="588">
        <v>0</v>
      </c>
      <c r="AB205" s="608">
        <v>0</v>
      </c>
      <c r="AC205" s="608">
        <v>3899259</v>
      </c>
      <c r="AD205" s="608">
        <v>0</v>
      </c>
      <c r="AE205" s="608">
        <v>0</v>
      </c>
      <c r="AF205" s="608">
        <v>0</v>
      </c>
      <c r="AG205" s="608">
        <v>0</v>
      </c>
      <c r="AH205" s="608">
        <v>0</v>
      </c>
      <c r="AI205" s="608">
        <v>0</v>
      </c>
      <c r="AJ205" s="608">
        <v>0</v>
      </c>
      <c r="AK205" s="608">
        <v>0</v>
      </c>
      <c r="AL205" s="608">
        <v>0</v>
      </c>
      <c r="AM205" s="608">
        <v>0</v>
      </c>
      <c r="AN205" s="608">
        <v>0</v>
      </c>
      <c r="AO205" s="608">
        <v>0</v>
      </c>
      <c r="AP205" s="608">
        <v>0</v>
      </c>
      <c r="AQ205" s="608">
        <v>0</v>
      </c>
      <c r="AR205" s="608">
        <v>0</v>
      </c>
      <c r="AS205" s="608">
        <v>0</v>
      </c>
      <c r="AT205" s="608">
        <v>0</v>
      </c>
      <c r="AU205" s="608">
        <v>0</v>
      </c>
      <c r="AV205" s="608">
        <v>0</v>
      </c>
      <c r="AW205" s="608">
        <v>0</v>
      </c>
      <c r="AX205" s="608">
        <v>0</v>
      </c>
      <c r="AY205" s="608">
        <v>0</v>
      </c>
      <c r="AZ205" s="608">
        <v>0</v>
      </c>
      <c r="BA205" s="608">
        <v>0</v>
      </c>
      <c r="BB205" s="608">
        <v>0</v>
      </c>
      <c r="BC205" s="608">
        <v>0</v>
      </c>
      <c r="BD205" s="608">
        <v>0</v>
      </c>
      <c r="BE205" s="608">
        <v>0</v>
      </c>
      <c r="BF205" s="608">
        <v>0</v>
      </c>
      <c r="BG205" s="608">
        <v>0</v>
      </c>
      <c r="BH205" s="608">
        <v>0</v>
      </c>
      <c r="BI205" s="608">
        <v>0</v>
      </c>
      <c r="BJ205" s="608">
        <v>0</v>
      </c>
      <c r="BK205" s="608">
        <v>0</v>
      </c>
      <c r="BL205" s="608">
        <v>0</v>
      </c>
      <c r="BM205" s="608">
        <v>0</v>
      </c>
      <c r="BN205" s="608">
        <v>0</v>
      </c>
      <c r="BO205" s="608">
        <v>0</v>
      </c>
      <c r="BP205" s="608">
        <v>0</v>
      </c>
      <c r="BQ205" s="608">
        <v>0</v>
      </c>
      <c r="BR205" s="608">
        <v>0</v>
      </c>
      <c r="BS205" s="608">
        <v>0</v>
      </c>
      <c r="BT205" s="608">
        <v>0</v>
      </c>
      <c r="BU205" s="608">
        <v>0</v>
      </c>
      <c r="BV205" s="608">
        <v>0</v>
      </c>
      <c r="BW205" s="608">
        <v>0</v>
      </c>
      <c r="BX205" s="608">
        <v>2080997</v>
      </c>
      <c r="BY205" s="608">
        <v>0</v>
      </c>
      <c r="BZ205" s="608">
        <v>0</v>
      </c>
      <c r="CA205" s="608">
        <v>0</v>
      </c>
      <c r="CB205" s="608">
        <v>0</v>
      </c>
      <c r="CC205" s="608">
        <v>0</v>
      </c>
      <c r="CD205" s="608">
        <v>0</v>
      </c>
      <c r="CE205" s="608">
        <v>0</v>
      </c>
    </row>
    <row r="206" spans="1:83" ht="57.75" x14ac:dyDescent="0.25">
      <c r="A206" s="640">
        <v>556</v>
      </c>
      <c r="B206" s="607">
        <v>556</v>
      </c>
      <c r="C206" s="606" t="s">
        <v>897</v>
      </c>
      <c r="D206" s="615" t="s">
        <v>700</v>
      </c>
      <c r="E206" s="621">
        <v>0</v>
      </c>
      <c r="F206" s="610">
        <v>0</v>
      </c>
      <c r="G206" s="610">
        <v>0</v>
      </c>
      <c r="H206" s="610">
        <v>0</v>
      </c>
      <c r="I206" s="610">
        <v>0</v>
      </c>
      <c r="J206" s="610">
        <v>0</v>
      </c>
      <c r="K206" s="609">
        <v>0</v>
      </c>
      <c r="L206" s="608">
        <v>0</v>
      </c>
      <c r="M206" s="608">
        <v>0</v>
      </c>
      <c r="N206" s="588">
        <v>702732</v>
      </c>
      <c r="O206" s="588">
        <v>0</v>
      </c>
      <c r="P206" s="588">
        <v>0</v>
      </c>
      <c r="Q206" s="588">
        <v>0</v>
      </c>
      <c r="R206" s="588">
        <v>944878</v>
      </c>
      <c r="S206" s="588">
        <v>0</v>
      </c>
      <c r="T206" s="588">
        <v>0</v>
      </c>
      <c r="U206" s="588">
        <v>1084093</v>
      </c>
      <c r="V206" s="588">
        <v>513500</v>
      </c>
      <c r="W206" s="588">
        <v>560268</v>
      </c>
      <c r="X206" s="588">
        <v>584029</v>
      </c>
      <c r="Y206" s="588">
        <v>0</v>
      </c>
      <c r="Z206" s="588">
        <v>845682</v>
      </c>
      <c r="AA206" s="588">
        <v>0</v>
      </c>
      <c r="AB206" s="608">
        <v>0</v>
      </c>
      <c r="AC206" s="608">
        <v>393094</v>
      </c>
      <c r="AD206" s="608">
        <v>0</v>
      </c>
      <c r="AE206" s="608">
        <v>0</v>
      </c>
      <c r="AF206" s="608">
        <v>0</v>
      </c>
      <c r="AG206" s="608">
        <v>0</v>
      </c>
      <c r="AH206" s="608">
        <v>0</v>
      </c>
      <c r="AI206" s="608">
        <v>0</v>
      </c>
      <c r="AJ206" s="608">
        <v>918120</v>
      </c>
      <c r="AK206" s="608">
        <v>0</v>
      </c>
      <c r="AL206" s="608">
        <v>0</v>
      </c>
      <c r="AM206" s="608">
        <v>0</v>
      </c>
      <c r="AN206" s="608">
        <v>709482</v>
      </c>
      <c r="AO206" s="608">
        <v>0</v>
      </c>
      <c r="AP206" s="608">
        <v>0</v>
      </c>
      <c r="AQ206" s="608">
        <v>0</v>
      </c>
      <c r="AR206" s="608">
        <v>0</v>
      </c>
      <c r="AS206" s="608">
        <v>0</v>
      </c>
      <c r="AT206" s="608">
        <v>0</v>
      </c>
      <c r="AU206" s="608">
        <v>0</v>
      </c>
      <c r="AV206" s="608">
        <v>0</v>
      </c>
      <c r="AW206" s="608">
        <v>0</v>
      </c>
      <c r="AX206" s="608">
        <v>0</v>
      </c>
      <c r="AY206" s="608">
        <v>0</v>
      </c>
      <c r="AZ206" s="608">
        <v>1631997</v>
      </c>
      <c r="BA206" s="608">
        <v>0</v>
      </c>
      <c r="BB206" s="608">
        <v>0</v>
      </c>
      <c r="BC206" s="608">
        <v>0</v>
      </c>
      <c r="BD206" s="608">
        <v>0</v>
      </c>
      <c r="BE206" s="608">
        <v>0</v>
      </c>
      <c r="BF206" s="608">
        <v>0</v>
      </c>
      <c r="BG206" s="608">
        <v>0</v>
      </c>
      <c r="BH206" s="608">
        <v>0</v>
      </c>
      <c r="BI206" s="608">
        <v>0</v>
      </c>
      <c r="BJ206" s="608">
        <v>0</v>
      </c>
      <c r="BK206" s="608">
        <v>0</v>
      </c>
      <c r="BL206" s="608">
        <v>0</v>
      </c>
      <c r="BM206" s="608">
        <v>0</v>
      </c>
      <c r="BN206" s="608">
        <v>0</v>
      </c>
      <c r="BO206" s="608">
        <v>0</v>
      </c>
      <c r="BP206" s="608">
        <v>0</v>
      </c>
      <c r="BQ206" s="608">
        <v>0</v>
      </c>
      <c r="BR206" s="608">
        <v>0</v>
      </c>
      <c r="BS206" s="608">
        <v>0</v>
      </c>
      <c r="BT206" s="608">
        <v>0</v>
      </c>
      <c r="BU206" s="608">
        <v>0</v>
      </c>
      <c r="BV206" s="608">
        <v>0</v>
      </c>
      <c r="BW206" s="608">
        <v>0</v>
      </c>
      <c r="BX206" s="608">
        <v>218717</v>
      </c>
      <c r="BY206" s="608">
        <v>0</v>
      </c>
      <c r="BZ206" s="608">
        <v>0</v>
      </c>
      <c r="CA206" s="608">
        <v>0</v>
      </c>
      <c r="CB206" s="608">
        <v>0</v>
      </c>
      <c r="CC206" s="608">
        <v>0</v>
      </c>
      <c r="CD206" s="608">
        <v>0</v>
      </c>
      <c r="CE206" s="608">
        <v>0</v>
      </c>
    </row>
    <row r="207" spans="1:83" ht="72" x14ac:dyDescent="0.25">
      <c r="A207" s="640">
        <v>557</v>
      </c>
      <c r="B207" s="607">
        <v>557</v>
      </c>
      <c r="C207" s="606" t="s">
        <v>898</v>
      </c>
      <c r="D207" s="615" t="s">
        <v>701</v>
      </c>
      <c r="E207" s="621">
        <v>0</v>
      </c>
      <c r="F207" s="610">
        <v>0</v>
      </c>
      <c r="G207" s="610">
        <v>0</v>
      </c>
      <c r="H207" s="610">
        <v>0</v>
      </c>
      <c r="I207" s="610">
        <v>0</v>
      </c>
      <c r="J207" s="610">
        <v>0</v>
      </c>
      <c r="K207" s="609">
        <v>0</v>
      </c>
      <c r="L207" s="608">
        <v>0</v>
      </c>
      <c r="M207" s="608">
        <v>0</v>
      </c>
      <c r="N207" s="588">
        <v>702732</v>
      </c>
      <c r="O207" s="588">
        <v>0</v>
      </c>
      <c r="P207" s="588">
        <v>0</v>
      </c>
      <c r="Q207" s="588">
        <v>0</v>
      </c>
      <c r="R207" s="588">
        <v>820674</v>
      </c>
      <c r="S207" s="588">
        <v>0</v>
      </c>
      <c r="T207" s="588">
        <v>0</v>
      </c>
      <c r="U207" s="588">
        <v>861994</v>
      </c>
      <c r="V207" s="588">
        <v>285187</v>
      </c>
      <c r="W207" s="588">
        <v>292016</v>
      </c>
      <c r="X207" s="588">
        <v>569720</v>
      </c>
      <c r="Y207" s="588">
        <v>0</v>
      </c>
      <c r="Z207" s="588">
        <v>404972</v>
      </c>
      <c r="AA207" s="588">
        <v>0</v>
      </c>
      <c r="AB207" s="608">
        <v>0</v>
      </c>
      <c r="AC207" s="608">
        <v>0</v>
      </c>
      <c r="AD207" s="608">
        <v>0</v>
      </c>
      <c r="AE207" s="608">
        <v>0</v>
      </c>
      <c r="AF207" s="608">
        <v>0</v>
      </c>
      <c r="AG207" s="608">
        <v>0</v>
      </c>
      <c r="AH207" s="608">
        <v>0</v>
      </c>
      <c r="AI207" s="608">
        <v>0</v>
      </c>
      <c r="AJ207" s="608">
        <v>874381</v>
      </c>
      <c r="AK207" s="608">
        <v>0</v>
      </c>
      <c r="AL207" s="608">
        <v>0</v>
      </c>
      <c r="AM207" s="608">
        <v>0</v>
      </c>
      <c r="AN207" s="608">
        <v>412358</v>
      </c>
      <c r="AO207" s="608">
        <v>0</v>
      </c>
      <c r="AP207" s="608">
        <v>0</v>
      </c>
      <c r="AQ207" s="608">
        <v>0</v>
      </c>
      <c r="AR207" s="608">
        <v>0</v>
      </c>
      <c r="AS207" s="608">
        <v>0</v>
      </c>
      <c r="AT207" s="608">
        <v>0</v>
      </c>
      <c r="AU207" s="608">
        <v>0</v>
      </c>
      <c r="AV207" s="608">
        <v>0</v>
      </c>
      <c r="AW207" s="608">
        <v>0</v>
      </c>
      <c r="AX207" s="608">
        <v>0</v>
      </c>
      <c r="AY207" s="608">
        <v>0</v>
      </c>
      <c r="AZ207" s="608">
        <v>1470000</v>
      </c>
      <c r="BA207" s="608">
        <v>0</v>
      </c>
      <c r="BB207" s="608">
        <v>0</v>
      </c>
      <c r="BC207" s="608">
        <v>0</v>
      </c>
      <c r="BD207" s="608">
        <v>0</v>
      </c>
      <c r="BE207" s="608">
        <v>0</v>
      </c>
      <c r="BF207" s="608">
        <v>0</v>
      </c>
      <c r="BG207" s="608">
        <v>0</v>
      </c>
      <c r="BH207" s="608">
        <v>0</v>
      </c>
      <c r="BI207" s="608">
        <v>0</v>
      </c>
      <c r="BJ207" s="608">
        <v>0</v>
      </c>
      <c r="BK207" s="608">
        <v>0</v>
      </c>
      <c r="BL207" s="608">
        <v>0</v>
      </c>
      <c r="BM207" s="608">
        <v>0</v>
      </c>
      <c r="BN207" s="608">
        <v>0</v>
      </c>
      <c r="BO207" s="608">
        <v>0</v>
      </c>
      <c r="BP207" s="608">
        <v>0</v>
      </c>
      <c r="BQ207" s="608">
        <v>0</v>
      </c>
      <c r="BR207" s="608">
        <v>0</v>
      </c>
      <c r="BS207" s="608">
        <v>0</v>
      </c>
      <c r="BT207" s="608">
        <v>0</v>
      </c>
      <c r="BU207" s="608">
        <v>0</v>
      </c>
      <c r="BV207" s="608">
        <v>0</v>
      </c>
      <c r="BW207" s="608">
        <v>0</v>
      </c>
      <c r="BX207" s="608">
        <v>0</v>
      </c>
      <c r="BY207" s="608">
        <v>0</v>
      </c>
      <c r="BZ207" s="608">
        <v>0</v>
      </c>
      <c r="CA207" s="608">
        <v>0</v>
      </c>
      <c r="CB207" s="608">
        <v>0</v>
      </c>
      <c r="CC207" s="608">
        <v>0</v>
      </c>
      <c r="CD207" s="608">
        <v>0</v>
      </c>
      <c r="CE207" s="608">
        <v>0</v>
      </c>
    </row>
    <row r="208" spans="1:83" x14ac:dyDescent="0.25">
      <c r="A208" s="640"/>
      <c r="B208" s="579">
        <v>558</v>
      </c>
      <c r="C208" s="580"/>
      <c r="D208" s="575" t="s">
        <v>702</v>
      </c>
      <c r="E208" s="543"/>
      <c r="F208" s="544"/>
      <c r="G208" s="544"/>
      <c r="H208" s="544"/>
      <c r="I208" s="544"/>
      <c r="J208" s="544"/>
      <c r="K208" s="545"/>
      <c r="L208" s="542"/>
      <c r="M208" s="542"/>
      <c r="N208" s="541"/>
      <c r="O208" s="541"/>
      <c r="P208" s="541"/>
      <c r="Q208" s="541"/>
      <c r="R208" s="541"/>
      <c r="S208" s="541"/>
      <c r="T208" s="541"/>
      <c r="U208" s="541"/>
      <c r="V208" s="541"/>
      <c r="W208" s="541"/>
      <c r="X208" s="541"/>
      <c r="Y208" s="541"/>
      <c r="Z208" s="541"/>
      <c r="AA208" s="541"/>
      <c r="AB208" s="542"/>
      <c r="AC208" s="542"/>
      <c r="AD208" s="542"/>
      <c r="AE208" s="542"/>
      <c r="AF208" s="542"/>
      <c r="AG208" s="542"/>
      <c r="AH208" s="542"/>
      <c r="AI208" s="542"/>
      <c r="AJ208" s="542"/>
      <c r="AK208" s="542"/>
      <c r="AL208" s="542"/>
      <c r="AM208" s="542"/>
      <c r="AN208" s="542"/>
      <c r="AO208" s="542"/>
      <c r="AP208" s="542"/>
      <c r="AQ208" s="542"/>
      <c r="AR208" s="542"/>
      <c r="AS208" s="542"/>
      <c r="AT208" s="542"/>
      <c r="AU208" s="542"/>
      <c r="AV208" s="542"/>
      <c r="AW208" s="542"/>
      <c r="AX208" s="542"/>
      <c r="AY208" s="542"/>
      <c r="AZ208" s="542"/>
      <c r="BA208" s="542"/>
      <c r="BB208" s="542"/>
      <c r="BC208" s="542"/>
      <c r="BD208" s="542"/>
      <c r="BE208" s="542"/>
      <c r="BF208" s="542"/>
      <c r="BG208" s="542"/>
      <c r="BH208" s="542"/>
      <c r="BI208" s="542"/>
      <c r="BJ208" s="542"/>
      <c r="BK208" s="542"/>
      <c r="BL208" s="542"/>
      <c r="BM208" s="542"/>
      <c r="BN208" s="542"/>
      <c r="BO208" s="542"/>
      <c r="BP208" s="542"/>
      <c r="BQ208" s="542"/>
      <c r="BR208" s="542"/>
      <c r="BS208" s="542"/>
      <c r="BT208" s="542"/>
      <c r="BU208" s="542"/>
      <c r="BV208" s="542"/>
      <c r="BW208" s="542"/>
      <c r="BX208" s="542"/>
      <c r="BY208" s="542"/>
      <c r="BZ208" s="542"/>
      <c r="CA208" s="542"/>
      <c r="CB208" s="542"/>
      <c r="CC208" s="542"/>
      <c r="CD208" s="542"/>
      <c r="CE208" s="542"/>
    </row>
    <row r="209" spans="1:83" x14ac:dyDescent="0.25">
      <c r="A209" s="640"/>
      <c r="B209" s="579">
        <v>559</v>
      </c>
      <c r="C209" s="580"/>
      <c r="D209" s="575" t="s">
        <v>703</v>
      </c>
      <c r="E209" s="543"/>
      <c r="F209" s="544"/>
      <c r="G209" s="544"/>
      <c r="H209" s="544"/>
      <c r="I209" s="544"/>
      <c r="J209" s="544"/>
      <c r="K209" s="545"/>
      <c r="L209" s="542"/>
      <c r="M209" s="542"/>
      <c r="N209" s="541"/>
      <c r="O209" s="541"/>
      <c r="P209" s="541"/>
      <c r="Q209" s="541"/>
      <c r="R209" s="541"/>
      <c r="S209" s="541"/>
      <c r="T209" s="541"/>
      <c r="U209" s="541"/>
      <c r="V209" s="541"/>
      <c r="W209" s="541"/>
      <c r="X209" s="541"/>
      <c r="Y209" s="541"/>
      <c r="Z209" s="541"/>
      <c r="AA209" s="541"/>
      <c r="AB209" s="542"/>
      <c r="AC209" s="542"/>
      <c r="AD209" s="542"/>
      <c r="AE209" s="542"/>
      <c r="AF209" s="542"/>
      <c r="AG209" s="542"/>
      <c r="AH209" s="542"/>
      <c r="AI209" s="542"/>
      <c r="AJ209" s="542"/>
      <c r="AK209" s="542"/>
      <c r="AL209" s="542"/>
      <c r="AM209" s="542"/>
      <c r="AN209" s="542"/>
      <c r="AO209" s="542"/>
      <c r="AP209" s="542"/>
      <c r="AQ209" s="542"/>
      <c r="AR209" s="542"/>
      <c r="AS209" s="542"/>
      <c r="AT209" s="542"/>
      <c r="AU209" s="542"/>
      <c r="AV209" s="542"/>
      <c r="AW209" s="542"/>
      <c r="AX209" s="542"/>
      <c r="AY209" s="542"/>
      <c r="AZ209" s="542"/>
      <c r="BA209" s="542"/>
      <c r="BB209" s="542"/>
      <c r="BC209" s="542"/>
      <c r="BD209" s="542"/>
      <c r="BE209" s="542"/>
      <c r="BF209" s="542"/>
      <c r="BG209" s="542"/>
      <c r="BH209" s="542"/>
      <c r="BI209" s="542"/>
      <c r="BJ209" s="542"/>
      <c r="BK209" s="542"/>
      <c r="BL209" s="542"/>
      <c r="BM209" s="542"/>
      <c r="BN209" s="542"/>
      <c r="BO209" s="542"/>
      <c r="BP209" s="542"/>
      <c r="BQ209" s="542"/>
      <c r="BR209" s="542"/>
      <c r="BS209" s="542"/>
      <c r="BT209" s="542"/>
      <c r="BU209" s="542"/>
      <c r="BV209" s="542"/>
      <c r="BW209" s="542"/>
      <c r="BX209" s="542"/>
      <c r="BY209" s="542"/>
      <c r="BZ209" s="542"/>
      <c r="CA209" s="542"/>
      <c r="CB209" s="542"/>
      <c r="CC209" s="542"/>
      <c r="CD209" s="542"/>
      <c r="CE209" s="542"/>
    </row>
    <row r="210" spans="1:83" x14ac:dyDescent="0.25">
      <c r="A210" s="640"/>
      <c r="B210" s="579">
        <v>560</v>
      </c>
      <c r="C210" s="580"/>
      <c r="D210" s="575" t="s">
        <v>704</v>
      </c>
      <c r="E210" s="543"/>
      <c r="F210" s="544"/>
      <c r="G210" s="544"/>
      <c r="H210" s="544"/>
      <c r="I210" s="544"/>
      <c r="J210" s="544"/>
      <c r="K210" s="545"/>
      <c r="L210" s="542"/>
      <c r="M210" s="542"/>
      <c r="N210" s="541"/>
      <c r="O210" s="541"/>
      <c r="P210" s="541"/>
      <c r="Q210" s="541"/>
      <c r="R210" s="541"/>
      <c r="S210" s="541"/>
      <c r="T210" s="541"/>
      <c r="U210" s="541"/>
      <c r="V210" s="541"/>
      <c r="W210" s="541"/>
      <c r="X210" s="541"/>
      <c r="Y210" s="541"/>
      <c r="Z210" s="541"/>
      <c r="AA210" s="541"/>
      <c r="AB210" s="542"/>
      <c r="AC210" s="542"/>
      <c r="AD210" s="542"/>
      <c r="AE210" s="542"/>
      <c r="AF210" s="542"/>
      <c r="AG210" s="542"/>
      <c r="AH210" s="542"/>
      <c r="AI210" s="542"/>
      <c r="AJ210" s="542"/>
      <c r="AK210" s="542"/>
      <c r="AL210" s="542"/>
      <c r="AM210" s="542"/>
      <c r="AN210" s="542"/>
      <c r="AO210" s="542"/>
      <c r="AP210" s="542"/>
      <c r="AQ210" s="542"/>
      <c r="AR210" s="542"/>
      <c r="AS210" s="542"/>
      <c r="AT210" s="542"/>
      <c r="AU210" s="542"/>
      <c r="AV210" s="542"/>
      <c r="AW210" s="542"/>
      <c r="AX210" s="542"/>
      <c r="AY210" s="542"/>
      <c r="AZ210" s="542"/>
      <c r="BA210" s="542"/>
      <c r="BB210" s="542"/>
      <c r="BC210" s="542"/>
      <c r="BD210" s="542"/>
      <c r="BE210" s="542"/>
      <c r="BF210" s="542"/>
      <c r="BG210" s="542"/>
      <c r="BH210" s="542"/>
      <c r="BI210" s="542"/>
      <c r="BJ210" s="542"/>
      <c r="BK210" s="542"/>
      <c r="BL210" s="542"/>
      <c r="BM210" s="542"/>
      <c r="BN210" s="542"/>
      <c r="BO210" s="542"/>
      <c r="BP210" s="542"/>
      <c r="BQ210" s="542"/>
      <c r="BR210" s="542"/>
      <c r="BS210" s="542"/>
      <c r="BT210" s="542"/>
      <c r="BU210" s="542"/>
      <c r="BV210" s="542"/>
      <c r="BW210" s="542"/>
      <c r="BX210" s="542"/>
      <c r="BY210" s="542"/>
      <c r="BZ210" s="542"/>
      <c r="CA210" s="542"/>
      <c r="CB210" s="542"/>
      <c r="CC210" s="542"/>
      <c r="CD210" s="542"/>
      <c r="CE210" s="542"/>
    </row>
    <row r="211" spans="1:83" x14ac:dyDescent="0.25">
      <c r="A211" s="640"/>
      <c r="B211" s="579">
        <v>561</v>
      </c>
      <c r="C211" s="580"/>
      <c r="D211" s="575" t="s">
        <v>705</v>
      </c>
      <c r="E211" s="543"/>
      <c r="F211" s="544"/>
      <c r="G211" s="544"/>
      <c r="H211" s="544"/>
      <c r="I211" s="544"/>
      <c r="J211" s="544"/>
      <c r="K211" s="545"/>
      <c r="L211" s="542"/>
      <c r="M211" s="542"/>
      <c r="N211" s="541"/>
      <c r="O211" s="541"/>
      <c r="P211" s="541"/>
      <c r="Q211" s="541"/>
      <c r="R211" s="541"/>
      <c r="S211" s="541"/>
      <c r="T211" s="541"/>
      <c r="U211" s="541"/>
      <c r="V211" s="541"/>
      <c r="W211" s="541"/>
      <c r="X211" s="541"/>
      <c r="Y211" s="541"/>
      <c r="Z211" s="541"/>
      <c r="AA211" s="541"/>
      <c r="AB211" s="542"/>
      <c r="AC211" s="542"/>
      <c r="AD211" s="542"/>
      <c r="AE211" s="542"/>
      <c r="AF211" s="542"/>
      <c r="AG211" s="542"/>
      <c r="AH211" s="542"/>
      <c r="AI211" s="542"/>
      <c r="AJ211" s="542"/>
      <c r="AK211" s="542"/>
      <c r="AL211" s="542"/>
      <c r="AM211" s="542"/>
      <c r="AN211" s="542"/>
      <c r="AO211" s="542"/>
      <c r="AP211" s="542"/>
      <c r="AQ211" s="542"/>
      <c r="AR211" s="542"/>
      <c r="AS211" s="542"/>
      <c r="AT211" s="542"/>
      <c r="AU211" s="542"/>
      <c r="AV211" s="542"/>
      <c r="AW211" s="542"/>
      <c r="AX211" s="542"/>
      <c r="AY211" s="542"/>
      <c r="AZ211" s="542"/>
      <c r="BA211" s="542"/>
      <c r="BB211" s="542"/>
      <c r="BC211" s="542"/>
      <c r="BD211" s="542"/>
      <c r="BE211" s="542"/>
      <c r="BF211" s="542"/>
      <c r="BG211" s="542"/>
      <c r="BH211" s="542"/>
      <c r="BI211" s="542"/>
      <c r="BJ211" s="542"/>
      <c r="BK211" s="542"/>
      <c r="BL211" s="542"/>
      <c r="BM211" s="542"/>
      <c r="BN211" s="542"/>
      <c r="BO211" s="542"/>
      <c r="BP211" s="542"/>
      <c r="BQ211" s="542"/>
      <c r="BR211" s="542"/>
      <c r="BS211" s="542"/>
      <c r="BT211" s="542"/>
      <c r="BU211" s="542"/>
      <c r="BV211" s="542"/>
      <c r="BW211" s="542"/>
      <c r="BX211" s="542"/>
      <c r="BY211" s="542"/>
      <c r="BZ211" s="542"/>
      <c r="CA211" s="542"/>
      <c r="CB211" s="542"/>
      <c r="CC211" s="542"/>
      <c r="CD211" s="542"/>
      <c r="CE211" s="542"/>
    </row>
    <row r="212" spans="1:83" x14ac:dyDescent="0.25">
      <c r="A212" s="640"/>
      <c r="B212" s="579">
        <v>562</v>
      </c>
      <c r="C212" s="580"/>
      <c r="D212" s="575" t="s">
        <v>706</v>
      </c>
      <c r="E212" s="543"/>
      <c r="F212" s="544"/>
      <c r="G212" s="544"/>
      <c r="H212" s="544"/>
      <c r="I212" s="544"/>
      <c r="J212" s="544"/>
      <c r="K212" s="545"/>
      <c r="L212" s="542"/>
      <c r="M212" s="542"/>
      <c r="N212" s="541"/>
      <c r="O212" s="541"/>
      <c r="P212" s="541"/>
      <c r="Q212" s="541"/>
      <c r="R212" s="541"/>
      <c r="S212" s="541"/>
      <c r="T212" s="541"/>
      <c r="U212" s="541"/>
      <c r="V212" s="541"/>
      <c r="W212" s="541"/>
      <c r="X212" s="541"/>
      <c r="Y212" s="541"/>
      <c r="Z212" s="541"/>
      <c r="AA212" s="541"/>
      <c r="AB212" s="542"/>
      <c r="AC212" s="542"/>
      <c r="AD212" s="542"/>
      <c r="AE212" s="542"/>
      <c r="AF212" s="542"/>
      <c r="AG212" s="542"/>
      <c r="AH212" s="542"/>
      <c r="AI212" s="542"/>
      <c r="AJ212" s="542"/>
      <c r="AK212" s="542"/>
      <c r="AL212" s="542"/>
      <c r="AM212" s="542"/>
      <c r="AN212" s="542"/>
      <c r="AO212" s="542"/>
      <c r="AP212" s="542"/>
      <c r="AQ212" s="542"/>
      <c r="AR212" s="542"/>
      <c r="AS212" s="542"/>
      <c r="AT212" s="542"/>
      <c r="AU212" s="542"/>
      <c r="AV212" s="542"/>
      <c r="AW212" s="542"/>
      <c r="AX212" s="542"/>
      <c r="AY212" s="542"/>
      <c r="AZ212" s="542"/>
      <c r="BA212" s="542"/>
      <c r="BB212" s="542"/>
      <c r="BC212" s="542"/>
      <c r="BD212" s="542"/>
      <c r="BE212" s="542"/>
      <c r="BF212" s="542"/>
      <c r="BG212" s="542"/>
      <c r="BH212" s="542"/>
      <c r="BI212" s="542"/>
      <c r="BJ212" s="542"/>
      <c r="BK212" s="542"/>
      <c r="BL212" s="542"/>
      <c r="BM212" s="542"/>
      <c r="BN212" s="542"/>
      <c r="BO212" s="542"/>
      <c r="BP212" s="542"/>
      <c r="BQ212" s="542"/>
      <c r="BR212" s="542"/>
      <c r="BS212" s="542"/>
      <c r="BT212" s="542"/>
      <c r="BU212" s="542"/>
      <c r="BV212" s="542"/>
      <c r="BW212" s="542"/>
      <c r="BX212" s="542"/>
      <c r="BY212" s="542"/>
      <c r="BZ212" s="542"/>
      <c r="CA212" s="542"/>
      <c r="CB212" s="542"/>
      <c r="CC212" s="542"/>
      <c r="CD212" s="542"/>
      <c r="CE212" s="542"/>
    </row>
    <row r="213" spans="1:83" x14ac:dyDescent="0.25">
      <c r="A213" s="640"/>
      <c r="B213" s="579">
        <v>563</v>
      </c>
      <c r="C213" s="580"/>
      <c r="D213" s="575" t="s">
        <v>707</v>
      </c>
      <c r="E213" s="543"/>
      <c r="F213" s="544"/>
      <c r="G213" s="544"/>
      <c r="H213" s="544"/>
      <c r="I213" s="544"/>
      <c r="J213" s="544"/>
      <c r="K213" s="545"/>
      <c r="L213" s="542"/>
      <c r="M213" s="542"/>
      <c r="N213" s="541"/>
      <c r="O213" s="541"/>
      <c r="P213" s="541"/>
      <c r="Q213" s="541"/>
      <c r="R213" s="541"/>
      <c r="S213" s="541"/>
      <c r="T213" s="541"/>
      <c r="U213" s="541"/>
      <c r="V213" s="541"/>
      <c r="W213" s="541"/>
      <c r="X213" s="541"/>
      <c r="Y213" s="541"/>
      <c r="Z213" s="541"/>
      <c r="AA213" s="541"/>
      <c r="AB213" s="542"/>
      <c r="AC213" s="542"/>
      <c r="AD213" s="542"/>
      <c r="AE213" s="542"/>
      <c r="AF213" s="542"/>
      <c r="AG213" s="542"/>
      <c r="AH213" s="542"/>
      <c r="AI213" s="542"/>
      <c r="AJ213" s="542"/>
      <c r="AK213" s="542"/>
      <c r="AL213" s="542"/>
      <c r="AM213" s="542"/>
      <c r="AN213" s="542"/>
      <c r="AO213" s="542"/>
      <c r="AP213" s="542"/>
      <c r="AQ213" s="542"/>
      <c r="AR213" s="542"/>
      <c r="AS213" s="542"/>
      <c r="AT213" s="542"/>
      <c r="AU213" s="542"/>
      <c r="AV213" s="542"/>
      <c r="AW213" s="542"/>
      <c r="AX213" s="542"/>
      <c r="AY213" s="542"/>
      <c r="AZ213" s="542"/>
      <c r="BA213" s="542"/>
      <c r="BB213" s="542"/>
      <c r="BC213" s="542"/>
      <c r="BD213" s="542"/>
      <c r="BE213" s="542"/>
      <c r="BF213" s="542"/>
      <c r="BG213" s="542"/>
      <c r="BH213" s="542"/>
      <c r="BI213" s="542"/>
      <c r="BJ213" s="542"/>
      <c r="BK213" s="542"/>
      <c r="BL213" s="542"/>
      <c r="BM213" s="542"/>
      <c r="BN213" s="542"/>
      <c r="BO213" s="542"/>
      <c r="BP213" s="542"/>
      <c r="BQ213" s="542"/>
      <c r="BR213" s="542"/>
      <c r="BS213" s="542"/>
      <c r="BT213" s="542"/>
      <c r="BU213" s="542"/>
      <c r="BV213" s="542"/>
      <c r="BW213" s="542"/>
      <c r="BX213" s="542"/>
      <c r="BY213" s="542"/>
      <c r="BZ213" s="542"/>
      <c r="CA213" s="542"/>
      <c r="CB213" s="542"/>
      <c r="CC213" s="542"/>
      <c r="CD213" s="542"/>
      <c r="CE213" s="542"/>
    </row>
    <row r="214" spans="1:83" x14ac:dyDescent="0.25">
      <c r="A214" s="640"/>
      <c r="B214" s="579">
        <v>564</v>
      </c>
      <c r="C214" s="580"/>
      <c r="D214" s="575" t="s">
        <v>708</v>
      </c>
      <c r="E214" s="543"/>
      <c r="F214" s="544"/>
      <c r="G214" s="544"/>
      <c r="H214" s="544"/>
      <c r="I214" s="544"/>
      <c r="J214" s="544"/>
      <c r="K214" s="545"/>
      <c r="L214" s="542"/>
      <c r="M214" s="542"/>
      <c r="N214" s="541"/>
      <c r="O214" s="541"/>
      <c r="P214" s="541"/>
      <c r="Q214" s="541"/>
      <c r="R214" s="541"/>
      <c r="S214" s="541"/>
      <c r="T214" s="541"/>
      <c r="U214" s="541"/>
      <c r="V214" s="541"/>
      <c r="W214" s="541"/>
      <c r="X214" s="541"/>
      <c r="Y214" s="541"/>
      <c r="Z214" s="541"/>
      <c r="AA214" s="541"/>
      <c r="AB214" s="542"/>
      <c r="AC214" s="542"/>
      <c r="AD214" s="542"/>
      <c r="AE214" s="542"/>
      <c r="AF214" s="542"/>
      <c r="AG214" s="542"/>
      <c r="AH214" s="542"/>
      <c r="AI214" s="542"/>
      <c r="AJ214" s="542"/>
      <c r="AK214" s="542"/>
      <c r="AL214" s="542"/>
      <c r="AM214" s="542"/>
      <c r="AN214" s="542"/>
      <c r="AO214" s="542"/>
      <c r="AP214" s="542"/>
      <c r="AQ214" s="542"/>
      <c r="AR214" s="542"/>
      <c r="AS214" s="542"/>
      <c r="AT214" s="542"/>
      <c r="AU214" s="542"/>
      <c r="AV214" s="542"/>
      <c r="AW214" s="542"/>
      <c r="AX214" s="542"/>
      <c r="AY214" s="542"/>
      <c r="AZ214" s="542"/>
      <c r="BA214" s="542"/>
      <c r="BB214" s="542"/>
      <c r="BC214" s="542"/>
      <c r="BD214" s="542"/>
      <c r="BE214" s="542"/>
      <c r="BF214" s="542"/>
      <c r="BG214" s="542"/>
      <c r="BH214" s="542"/>
      <c r="BI214" s="542"/>
      <c r="BJ214" s="542"/>
      <c r="BK214" s="542"/>
      <c r="BL214" s="542"/>
      <c r="BM214" s="542"/>
      <c r="BN214" s="542"/>
      <c r="BO214" s="542"/>
      <c r="BP214" s="542"/>
      <c r="BQ214" s="542"/>
      <c r="BR214" s="542"/>
      <c r="BS214" s="542"/>
      <c r="BT214" s="542"/>
      <c r="BU214" s="542"/>
      <c r="BV214" s="542"/>
      <c r="BW214" s="542"/>
      <c r="BX214" s="542"/>
      <c r="BY214" s="542"/>
      <c r="BZ214" s="542"/>
      <c r="CA214" s="542"/>
      <c r="CB214" s="542"/>
      <c r="CC214" s="542"/>
      <c r="CD214" s="542"/>
      <c r="CE214" s="542"/>
    </row>
    <row r="215" spans="1:83" x14ac:dyDescent="0.25">
      <c r="A215" s="640"/>
      <c r="B215" s="579">
        <v>565</v>
      </c>
      <c r="C215" s="580"/>
      <c r="D215" s="575" t="s">
        <v>709</v>
      </c>
      <c r="E215" s="543"/>
      <c r="F215" s="544"/>
      <c r="G215" s="544"/>
      <c r="H215" s="544"/>
      <c r="I215" s="544"/>
      <c r="J215" s="544"/>
      <c r="K215" s="545"/>
      <c r="L215" s="542"/>
      <c r="M215" s="542"/>
      <c r="N215" s="541"/>
      <c r="O215" s="541"/>
      <c r="P215" s="541"/>
      <c r="Q215" s="541"/>
      <c r="R215" s="541"/>
      <c r="S215" s="541"/>
      <c r="T215" s="541"/>
      <c r="U215" s="541"/>
      <c r="V215" s="541"/>
      <c r="W215" s="541"/>
      <c r="X215" s="541"/>
      <c r="Y215" s="541"/>
      <c r="Z215" s="541"/>
      <c r="AA215" s="541"/>
      <c r="AB215" s="542"/>
      <c r="AC215" s="542"/>
      <c r="AD215" s="542"/>
      <c r="AE215" s="542"/>
      <c r="AF215" s="542"/>
      <c r="AG215" s="542"/>
      <c r="AH215" s="542"/>
      <c r="AI215" s="542"/>
      <c r="AJ215" s="542"/>
      <c r="AK215" s="542"/>
      <c r="AL215" s="542"/>
      <c r="AM215" s="542"/>
      <c r="AN215" s="542"/>
      <c r="AO215" s="542"/>
      <c r="AP215" s="542"/>
      <c r="AQ215" s="542"/>
      <c r="AR215" s="542"/>
      <c r="AS215" s="542"/>
      <c r="AT215" s="542"/>
      <c r="AU215" s="542"/>
      <c r="AV215" s="542"/>
      <c r="AW215" s="542"/>
      <c r="AX215" s="542"/>
      <c r="AY215" s="542"/>
      <c r="AZ215" s="542"/>
      <c r="BA215" s="542"/>
      <c r="BB215" s="542"/>
      <c r="BC215" s="542"/>
      <c r="BD215" s="542"/>
      <c r="BE215" s="542"/>
      <c r="BF215" s="542"/>
      <c r="BG215" s="542"/>
      <c r="BH215" s="542"/>
      <c r="BI215" s="542"/>
      <c r="BJ215" s="542"/>
      <c r="BK215" s="542"/>
      <c r="BL215" s="542"/>
      <c r="BM215" s="542"/>
      <c r="BN215" s="542"/>
      <c r="BO215" s="542"/>
      <c r="BP215" s="542"/>
      <c r="BQ215" s="542"/>
      <c r="BR215" s="542"/>
      <c r="BS215" s="542"/>
      <c r="BT215" s="542"/>
      <c r="BU215" s="542"/>
      <c r="BV215" s="542"/>
      <c r="BW215" s="542"/>
      <c r="BX215" s="542"/>
      <c r="BY215" s="542"/>
      <c r="BZ215" s="542"/>
      <c r="CA215" s="542"/>
      <c r="CB215" s="542"/>
      <c r="CC215" s="542"/>
      <c r="CD215" s="542"/>
      <c r="CE215" s="542"/>
    </row>
    <row r="216" spans="1:83" x14ac:dyDescent="0.25">
      <c r="A216" s="640"/>
      <c r="B216" s="579">
        <v>566</v>
      </c>
      <c r="C216" s="580"/>
      <c r="D216" s="575" t="s">
        <v>710</v>
      </c>
      <c r="E216" s="543"/>
      <c r="F216" s="544"/>
      <c r="G216" s="544"/>
      <c r="H216" s="544"/>
      <c r="I216" s="544"/>
      <c r="J216" s="544"/>
      <c r="K216" s="545"/>
      <c r="L216" s="542"/>
      <c r="M216" s="542"/>
      <c r="N216" s="541"/>
      <c r="O216" s="541"/>
      <c r="P216" s="541"/>
      <c r="Q216" s="541"/>
      <c r="R216" s="541"/>
      <c r="S216" s="541"/>
      <c r="T216" s="541"/>
      <c r="U216" s="541"/>
      <c r="V216" s="541"/>
      <c r="W216" s="541"/>
      <c r="X216" s="541"/>
      <c r="Y216" s="541"/>
      <c r="Z216" s="541"/>
      <c r="AA216" s="541"/>
      <c r="AB216" s="542"/>
      <c r="AC216" s="542"/>
      <c r="AD216" s="542"/>
      <c r="AE216" s="542"/>
      <c r="AF216" s="542"/>
      <c r="AG216" s="542"/>
      <c r="AH216" s="542"/>
      <c r="AI216" s="542"/>
      <c r="AJ216" s="542"/>
      <c r="AK216" s="542"/>
      <c r="AL216" s="542"/>
      <c r="AM216" s="542"/>
      <c r="AN216" s="542"/>
      <c r="AO216" s="542"/>
      <c r="AP216" s="542"/>
      <c r="AQ216" s="542"/>
      <c r="AR216" s="542"/>
      <c r="AS216" s="542"/>
      <c r="AT216" s="542"/>
      <c r="AU216" s="542"/>
      <c r="AV216" s="542"/>
      <c r="AW216" s="542"/>
      <c r="AX216" s="542"/>
      <c r="AY216" s="542"/>
      <c r="AZ216" s="542"/>
      <c r="BA216" s="542"/>
      <c r="BB216" s="542"/>
      <c r="BC216" s="542"/>
      <c r="BD216" s="542"/>
      <c r="BE216" s="542"/>
      <c r="BF216" s="542"/>
      <c r="BG216" s="542"/>
      <c r="BH216" s="542"/>
      <c r="BI216" s="542"/>
      <c r="BJ216" s="542"/>
      <c r="BK216" s="542"/>
      <c r="BL216" s="542"/>
      <c r="BM216" s="542"/>
      <c r="BN216" s="542"/>
      <c r="BO216" s="542"/>
      <c r="BP216" s="542"/>
      <c r="BQ216" s="542"/>
      <c r="BR216" s="542"/>
      <c r="BS216" s="542"/>
      <c r="BT216" s="542"/>
      <c r="BU216" s="542"/>
      <c r="BV216" s="542"/>
      <c r="BW216" s="542"/>
      <c r="BX216" s="542"/>
      <c r="BY216" s="542"/>
      <c r="BZ216" s="542"/>
      <c r="CA216" s="542"/>
      <c r="CB216" s="542"/>
      <c r="CC216" s="542"/>
      <c r="CD216" s="542"/>
      <c r="CE216" s="542"/>
    </row>
    <row r="217" spans="1:83" x14ac:dyDescent="0.25">
      <c r="A217" s="640"/>
      <c r="B217" s="579">
        <v>567</v>
      </c>
      <c r="C217" s="580"/>
      <c r="D217" s="575" t="s">
        <v>711</v>
      </c>
      <c r="E217" s="543"/>
      <c r="F217" s="544"/>
      <c r="G217" s="544"/>
      <c r="H217" s="544"/>
      <c r="I217" s="544"/>
      <c r="J217" s="544"/>
      <c r="K217" s="545"/>
      <c r="L217" s="542"/>
      <c r="M217" s="542"/>
      <c r="N217" s="541"/>
      <c r="O217" s="541"/>
      <c r="P217" s="541"/>
      <c r="Q217" s="541"/>
      <c r="R217" s="541"/>
      <c r="S217" s="541"/>
      <c r="T217" s="541"/>
      <c r="U217" s="541"/>
      <c r="V217" s="541"/>
      <c r="W217" s="541"/>
      <c r="X217" s="541"/>
      <c r="Y217" s="541"/>
      <c r="Z217" s="541"/>
      <c r="AA217" s="541"/>
      <c r="AB217" s="542"/>
      <c r="AC217" s="542"/>
      <c r="AD217" s="542"/>
      <c r="AE217" s="542"/>
      <c r="AF217" s="542"/>
      <c r="AG217" s="542"/>
      <c r="AH217" s="542"/>
      <c r="AI217" s="542"/>
      <c r="AJ217" s="542"/>
      <c r="AK217" s="542"/>
      <c r="AL217" s="542"/>
      <c r="AM217" s="542"/>
      <c r="AN217" s="542"/>
      <c r="AO217" s="542"/>
      <c r="AP217" s="542"/>
      <c r="AQ217" s="542"/>
      <c r="AR217" s="542"/>
      <c r="AS217" s="542"/>
      <c r="AT217" s="542"/>
      <c r="AU217" s="542"/>
      <c r="AV217" s="542"/>
      <c r="AW217" s="542"/>
      <c r="AX217" s="542"/>
      <c r="AY217" s="542"/>
      <c r="AZ217" s="542"/>
      <c r="BA217" s="542"/>
      <c r="BB217" s="542"/>
      <c r="BC217" s="542"/>
      <c r="BD217" s="542"/>
      <c r="BE217" s="542"/>
      <c r="BF217" s="542"/>
      <c r="BG217" s="542"/>
      <c r="BH217" s="542"/>
      <c r="BI217" s="542"/>
      <c r="BJ217" s="542"/>
      <c r="BK217" s="542"/>
      <c r="BL217" s="542"/>
      <c r="BM217" s="542"/>
      <c r="BN217" s="542"/>
      <c r="BO217" s="542"/>
      <c r="BP217" s="542"/>
      <c r="BQ217" s="542"/>
      <c r="BR217" s="542"/>
      <c r="BS217" s="542"/>
      <c r="BT217" s="542"/>
      <c r="BU217" s="542"/>
      <c r="BV217" s="542"/>
      <c r="BW217" s="542"/>
      <c r="BX217" s="542"/>
      <c r="BY217" s="542"/>
      <c r="BZ217" s="542"/>
      <c r="CA217" s="542"/>
      <c r="CB217" s="542"/>
      <c r="CC217" s="542"/>
      <c r="CD217" s="542"/>
      <c r="CE217" s="542"/>
    </row>
    <row r="218" spans="1:83" x14ac:dyDescent="0.25">
      <c r="A218" s="640"/>
      <c r="B218" s="579">
        <v>568</v>
      </c>
      <c r="C218" s="580"/>
      <c r="D218" s="575" t="s">
        <v>712</v>
      </c>
      <c r="E218" s="543"/>
      <c r="F218" s="544"/>
      <c r="G218" s="544"/>
      <c r="H218" s="544"/>
      <c r="I218" s="544"/>
      <c r="J218" s="544"/>
      <c r="K218" s="545"/>
      <c r="L218" s="542"/>
      <c r="M218" s="542"/>
      <c r="N218" s="541"/>
      <c r="O218" s="541"/>
      <c r="P218" s="541"/>
      <c r="Q218" s="541"/>
      <c r="R218" s="541"/>
      <c r="S218" s="541"/>
      <c r="T218" s="541"/>
      <c r="U218" s="541"/>
      <c r="V218" s="541"/>
      <c r="W218" s="541"/>
      <c r="X218" s="541"/>
      <c r="Y218" s="541"/>
      <c r="Z218" s="541"/>
      <c r="AA218" s="541"/>
      <c r="AB218" s="542"/>
      <c r="AC218" s="542"/>
      <c r="AD218" s="542"/>
      <c r="AE218" s="542"/>
      <c r="AF218" s="542"/>
      <c r="AG218" s="542"/>
      <c r="AH218" s="542"/>
      <c r="AI218" s="542"/>
      <c r="AJ218" s="542"/>
      <c r="AK218" s="542"/>
      <c r="AL218" s="542"/>
      <c r="AM218" s="542"/>
      <c r="AN218" s="542"/>
      <c r="AO218" s="542"/>
      <c r="AP218" s="542"/>
      <c r="AQ218" s="542"/>
      <c r="AR218" s="542"/>
      <c r="AS218" s="542"/>
      <c r="AT218" s="542"/>
      <c r="AU218" s="542"/>
      <c r="AV218" s="542"/>
      <c r="AW218" s="542"/>
      <c r="AX218" s="542"/>
      <c r="AY218" s="542"/>
      <c r="AZ218" s="542"/>
      <c r="BA218" s="542"/>
      <c r="BB218" s="542"/>
      <c r="BC218" s="542"/>
      <c r="BD218" s="542"/>
      <c r="BE218" s="542"/>
      <c r="BF218" s="542"/>
      <c r="BG218" s="542"/>
      <c r="BH218" s="542"/>
      <c r="BI218" s="542"/>
      <c r="BJ218" s="542"/>
      <c r="BK218" s="542"/>
      <c r="BL218" s="542"/>
      <c r="BM218" s="542"/>
      <c r="BN218" s="542"/>
      <c r="BO218" s="542"/>
      <c r="BP218" s="542"/>
      <c r="BQ218" s="542"/>
      <c r="BR218" s="542"/>
      <c r="BS218" s="542"/>
      <c r="BT218" s="542"/>
      <c r="BU218" s="542"/>
      <c r="BV218" s="542"/>
      <c r="BW218" s="542"/>
      <c r="BX218" s="542"/>
      <c r="BY218" s="542"/>
      <c r="BZ218" s="542"/>
      <c r="CA218" s="542"/>
      <c r="CB218" s="542"/>
      <c r="CC218" s="542"/>
      <c r="CD218" s="542"/>
      <c r="CE218" s="542"/>
    </row>
    <row r="219" spans="1:83" x14ac:dyDescent="0.25">
      <c r="A219" s="640"/>
      <c r="B219" s="579">
        <v>569</v>
      </c>
      <c r="C219" s="580"/>
      <c r="D219" s="575" t="s">
        <v>713</v>
      </c>
      <c r="E219" s="543"/>
      <c r="F219" s="544"/>
      <c r="G219" s="544"/>
      <c r="H219" s="544"/>
      <c r="I219" s="544"/>
      <c r="J219" s="544"/>
      <c r="K219" s="545"/>
      <c r="L219" s="542"/>
      <c r="M219" s="542"/>
      <c r="N219" s="541"/>
      <c r="O219" s="541"/>
      <c r="P219" s="541"/>
      <c r="Q219" s="541"/>
      <c r="R219" s="541"/>
      <c r="S219" s="541"/>
      <c r="T219" s="541"/>
      <c r="U219" s="541"/>
      <c r="V219" s="541"/>
      <c r="W219" s="541"/>
      <c r="X219" s="541"/>
      <c r="Y219" s="541"/>
      <c r="Z219" s="541"/>
      <c r="AA219" s="541"/>
      <c r="AB219" s="542"/>
      <c r="AC219" s="542"/>
      <c r="AD219" s="542"/>
      <c r="AE219" s="542"/>
      <c r="AF219" s="542"/>
      <c r="AG219" s="542"/>
      <c r="AH219" s="542"/>
      <c r="AI219" s="542"/>
      <c r="AJ219" s="542"/>
      <c r="AK219" s="542"/>
      <c r="AL219" s="542"/>
      <c r="AM219" s="542"/>
      <c r="AN219" s="542"/>
      <c r="AO219" s="542"/>
      <c r="AP219" s="542"/>
      <c r="AQ219" s="542"/>
      <c r="AR219" s="542"/>
      <c r="AS219" s="542"/>
      <c r="AT219" s="542"/>
      <c r="AU219" s="542"/>
      <c r="AV219" s="542"/>
      <c r="AW219" s="542"/>
      <c r="AX219" s="542"/>
      <c r="AY219" s="542"/>
      <c r="AZ219" s="542"/>
      <c r="BA219" s="542"/>
      <c r="BB219" s="542"/>
      <c r="BC219" s="542"/>
      <c r="BD219" s="542"/>
      <c r="BE219" s="542"/>
      <c r="BF219" s="542"/>
      <c r="BG219" s="542"/>
      <c r="BH219" s="542"/>
      <c r="BI219" s="542"/>
      <c r="BJ219" s="542"/>
      <c r="BK219" s="542"/>
      <c r="BL219" s="542"/>
      <c r="BM219" s="542"/>
      <c r="BN219" s="542"/>
      <c r="BO219" s="542"/>
      <c r="BP219" s="542"/>
      <c r="BQ219" s="542"/>
      <c r="BR219" s="542"/>
      <c r="BS219" s="542"/>
      <c r="BT219" s="542"/>
      <c r="BU219" s="542"/>
      <c r="BV219" s="542"/>
      <c r="BW219" s="542"/>
      <c r="BX219" s="542"/>
      <c r="BY219" s="542"/>
      <c r="BZ219" s="542"/>
      <c r="CA219" s="542"/>
      <c r="CB219" s="542"/>
      <c r="CC219" s="542"/>
      <c r="CD219" s="542"/>
      <c r="CE219" s="542"/>
    </row>
    <row r="220" spans="1:83" x14ac:dyDescent="0.25">
      <c r="A220" s="640"/>
      <c r="B220" s="579">
        <v>570</v>
      </c>
      <c r="C220" s="580"/>
      <c r="D220" s="575" t="s">
        <v>714</v>
      </c>
      <c r="E220" s="543"/>
      <c r="F220" s="544"/>
      <c r="G220" s="544"/>
      <c r="H220" s="544"/>
      <c r="I220" s="544"/>
      <c r="J220" s="544"/>
      <c r="K220" s="545"/>
      <c r="L220" s="542"/>
      <c r="M220" s="542"/>
      <c r="N220" s="541"/>
      <c r="O220" s="541"/>
      <c r="P220" s="541"/>
      <c r="Q220" s="541"/>
      <c r="R220" s="541"/>
      <c r="S220" s="541"/>
      <c r="T220" s="541"/>
      <c r="U220" s="541"/>
      <c r="V220" s="541"/>
      <c r="W220" s="541"/>
      <c r="X220" s="541"/>
      <c r="Y220" s="541"/>
      <c r="Z220" s="541"/>
      <c r="AA220" s="541"/>
      <c r="AB220" s="542"/>
      <c r="AC220" s="542"/>
      <c r="AD220" s="542"/>
      <c r="AE220" s="542"/>
      <c r="AF220" s="542"/>
      <c r="AG220" s="542"/>
      <c r="AH220" s="542"/>
      <c r="AI220" s="542"/>
      <c r="AJ220" s="542"/>
      <c r="AK220" s="542"/>
      <c r="AL220" s="542"/>
      <c r="AM220" s="542"/>
      <c r="AN220" s="542"/>
      <c r="AO220" s="542"/>
      <c r="AP220" s="542"/>
      <c r="AQ220" s="542"/>
      <c r="AR220" s="542"/>
      <c r="AS220" s="542"/>
      <c r="AT220" s="542"/>
      <c r="AU220" s="542"/>
      <c r="AV220" s="542"/>
      <c r="AW220" s="542"/>
      <c r="AX220" s="542"/>
      <c r="AY220" s="542"/>
      <c r="AZ220" s="542"/>
      <c r="BA220" s="542"/>
      <c r="BB220" s="542"/>
      <c r="BC220" s="542"/>
      <c r="BD220" s="542"/>
      <c r="BE220" s="542"/>
      <c r="BF220" s="542"/>
      <c r="BG220" s="542"/>
      <c r="BH220" s="542"/>
      <c r="BI220" s="542"/>
      <c r="BJ220" s="542"/>
      <c r="BK220" s="542"/>
      <c r="BL220" s="542"/>
      <c r="BM220" s="542"/>
      <c r="BN220" s="542"/>
      <c r="BO220" s="542"/>
      <c r="BP220" s="542"/>
      <c r="BQ220" s="542"/>
      <c r="BR220" s="542"/>
      <c r="BS220" s="542"/>
      <c r="BT220" s="542"/>
      <c r="BU220" s="542"/>
      <c r="BV220" s="542"/>
      <c r="BW220" s="542"/>
      <c r="BX220" s="542"/>
      <c r="BY220" s="542"/>
      <c r="BZ220" s="542"/>
      <c r="CA220" s="542"/>
      <c r="CB220" s="542"/>
      <c r="CC220" s="542"/>
      <c r="CD220" s="542"/>
      <c r="CE220" s="542"/>
    </row>
    <row r="221" spans="1:83" x14ac:dyDescent="0.25">
      <c r="A221" s="640"/>
      <c r="B221" s="579">
        <v>571</v>
      </c>
      <c r="C221" s="580"/>
      <c r="D221" s="575" t="s">
        <v>715</v>
      </c>
      <c r="E221" s="543"/>
      <c r="F221" s="544"/>
      <c r="G221" s="544"/>
      <c r="H221" s="544"/>
      <c r="I221" s="544"/>
      <c r="J221" s="544"/>
      <c r="K221" s="545"/>
      <c r="L221" s="542"/>
      <c r="M221" s="542"/>
      <c r="N221" s="541"/>
      <c r="O221" s="541"/>
      <c r="P221" s="541"/>
      <c r="Q221" s="541"/>
      <c r="R221" s="541"/>
      <c r="S221" s="541"/>
      <c r="T221" s="541"/>
      <c r="U221" s="541"/>
      <c r="V221" s="541"/>
      <c r="W221" s="541"/>
      <c r="X221" s="541"/>
      <c r="Y221" s="541"/>
      <c r="Z221" s="541"/>
      <c r="AA221" s="541"/>
      <c r="AB221" s="542"/>
      <c r="AC221" s="542"/>
      <c r="AD221" s="542"/>
      <c r="AE221" s="542"/>
      <c r="AF221" s="542"/>
      <c r="AG221" s="542"/>
      <c r="AH221" s="542"/>
      <c r="AI221" s="542"/>
      <c r="AJ221" s="542"/>
      <c r="AK221" s="542"/>
      <c r="AL221" s="542"/>
      <c r="AM221" s="542"/>
      <c r="AN221" s="542"/>
      <c r="AO221" s="542"/>
      <c r="AP221" s="542"/>
      <c r="AQ221" s="542"/>
      <c r="AR221" s="542"/>
      <c r="AS221" s="542"/>
      <c r="AT221" s="542"/>
      <c r="AU221" s="542"/>
      <c r="AV221" s="542"/>
      <c r="AW221" s="542"/>
      <c r="AX221" s="542"/>
      <c r="AY221" s="542"/>
      <c r="AZ221" s="542"/>
      <c r="BA221" s="542"/>
      <c r="BB221" s="542"/>
      <c r="BC221" s="542"/>
      <c r="BD221" s="542"/>
      <c r="BE221" s="542"/>
      <c r="BF221" s="542"/>
      <c r="BG221" s="542"/>
      <c r="BH221" s="542"/>
      <c r="BI221" s="542"/>
      <c r="BJ221" s="542"/>
      <c r="BK221" s="542"/>
      <c r="BL221" s="542"/>
      <c r="BM221" s="542"/>
      <c r="BN221" s="542"/>
      <c r="BO221" s="542"/>
      <c r="BP221" s="542"/>
      <c r="BQ221" s="542"/>
      <c r="BR221" s="542"/>
      <c r="BS221" s="542"/>
      <c r="BT221" s="542"/>
      <c r="BU221" s="542"/>
      <c r="BV221" s="542"/>
      <c r="BW221" s="542"/>
      <c r="BX221" s="542"/>
      <c r="BY221" s="542"/>
      <c r="BZ221" s="542"/>
      <c r="CA221" s="542"/>
      <c r="CB221" s="542"/>
      <c r="CC221" s="542"/>
      <c r="CD221" s="542"/>
      <c r="CE221" s="542"/>
    </row>
    <row r="222" spans="1:83" x14ac:dyDescent="0.25">
      <c r="A222" s="640"/>
      <c r="B222" s="579">
        <v>572</v>
      </c>
      <c r="C222" s="580"/>
      <c r="D222" s="575" t="s">
        <v>716</v>
      </c>
      <c r="E222" s="543"/>
      <c r="F222" s="544"/>
      <c r="G222" s="544"/>
      <c r="H222" s="544"/>
      <c r="I222" s="544"/>
      <c r="J222" s="544"/>
      <c r="K222" s="545"/>
      <c r="L222" s="542"/>
      <c r="M222" s="542"/>
      <c r="N222" s="541"/>
      <c r="O222" s="541"/>
      <c r="P222" s="541"/>
      <c r="Q222" s="541"/>
      <c r="R222" s="541"/>
      <c r="S222" s="541"/>
      <c r="T222" s="541"/>
      <c r="U222" s="541"/>
      <c r="V222" s="541"/>
      <c r="W222" s="541"/>
      <c r="X222" s="541"/>
      <c r="Y222" s="541"/>
      <c r="Z222" s="541"/>
      <c r="AA222" s="541"/>
      <c r="AB222" s="542"/>
      <c r="AC222" s="542"/>
      <c r="AD222" s="542"/>
      <c r="AE222" s="542"/>
      <c r="AF222" s="542"/>
      <c r="AG222" s="542"/>
      <c r="AH222" s="542"/>
      <c r="AI222" s="542"/>
      <c r="AJ222" s="542"/>
      <c r="AK222" s="542"/>
      <c r="AL222" s="542"/>
      <c r="AM222" s="542"/>
      <c r="AN222" s="542"/>
      <c r="AO222" s="542"/>
      <c r="AP222" s="542"/>
      <c r="AQ222" s="542"/>
      <c r="AR222" s="542"/>
      <c r="AS222" s="542"/>
      <c r="AT222" s="542"/>
      <c r="AU222" s="542"/>
      <c r="AV222" s="542"/>
      <c r="AW222" s="542"/>
      <c r="AX222" s="542"/>
      <c r="AY222" s="542"/>
      <c r="AZ222" s="542"/>
      <c r="BA222" s="542"/>
      <c r="BB222" s="542"/>
      <c r="BC222" s="542"/>
      <c r="BD222" s="542"/>
      <c r="BE222" s="542"/>
      <c r="BF222" s="542"/>
      <c r="BG222" s="542"/>
      <c r="BH222" s="542"/>
      <c r="BI222" s="542"/>
      <c r="BJ222" s="542"/>
      <c r="BK222" s="542"/>
      <c r="BL222" s="542"/>
      <c r="BM222" s="542"/>
      <c r="BN222" s="542"/>
      <c r="BO222" s="542"/>
      <c r="BP222" s="542"/>
      <c r="BQ222" s="542"/>
      <c r="BR222" s="542"/>
      <c r="BS222" s="542"/>
      <c r="BT222" s="542"/>
      <c r="BU222" s="542"/>
      <c r="BV222" s="542"/>
      <c r="BW222" s="542"/>
      <c r="BX222" s="542"/>
      <c r="BY222" s="542"/>
      <c r="BZ222" s="542"/>
      <c r="CA222" s="542"/>
      <c r="CB222" s="542"/>
      <c r="CC222" s="542"/>
      <c r="CD222" s="542"/>
      <c r="CE222" s="542"/>
    </row>
    <row r="223" spans="1:83" x14ac:dyDescent="0.25">
      <c r="A223" s="640"/>
      <c r="B223" s="579">
        <v>573</v>
      </c>
      <c r="C223" s="580"/>
      <c r="D223" s="575" t="s">
        <v>717</v>
      </c>
      <c r="E223" s="543"/>
      <c r="F223" s="544"/>
      <c r="G223" s="544"/>
      <c r="H223" s="544"/>
      <c r="I223" s="544"/>
      <c r="J223" s="544"/>
      <c r="K223" s="545"/>
      <c r="L223" s="542"/>
      <c r="M223" s="542"/>
      <c r="N223" s="541"/>
      <c r="O223" s="541"/>
      <c r="P223" s="541"/>
      <c r="Q223" s="541"/>
      <c r="R223" s="541"/>
      <c r="S223" s="541"/>
      <c r="T223" s="541"/>
      <c r="U223" s="541"/>
      <c r="V223" s="541"/>
      <c r="W223" s="541"/>
      <c r="X223" s="541"/>
      <c r="Y223" s="541"/>
      <c r="Z223" s="541"/>
      <c r="AA223" s="541"/>
      <c r="AB223" s="542"/>
      <c r="AC223" s="542"/>
      <c r="AD223" s="542"/>
      <c r="AE223" s="542"/>
      <c r="AF223" s="542"/>
      <c r="AG223" s="542"/>
      <c r="AH223" s="542"/>
      <c r="AI223" s="542"/>
      <c r="AJ223" s="542"/>
      <c r="AK223" s="542"/>
      <c r="AL223" s="542"/>
      <c r="AM223" s="542"/>
      <c r="AN223" s="542"/>
      <c r="AO223" s="542"/>
      <c r="AP223" s="542"/>
      <c r="AQ223" s="542"/>
      <c r="AR223" s="542"/>
      <c r="AS223" s="542"/>
      <c r="AT223" s="542"/>
      <c r="AU223" s="542"/>
      <c r="AV223" s="542"/>
      <c r="AW223" s="542"/>
      <c r="AX223" s="542"/>
      <c r="AY223" s="542"/>
      <c r="AZ223" s="542"/>
      <c r="BA223" s="542"/>
      <c r="BB223" s="542"/>
      <c r="BC223" s="542"/>
      <c r="BD223" s="542"/>
      <c r="BE223" s="542"/>
      <c r="BF223" s="542"/>
      <c r="BG223" s="542"/>
      <c r="BH223" s="542"/>
      <c r="BI223" s="542"/>
      <c r="BJ223" s="542"/>
      <c r="BK223" s="542"/>
      <c r="BL223" s="542"/>
      <c r="BM223" s="542"/>
      <c r="BN223" s="542"/>
      <c r="BO223" s="542"/>
      <c r="BP223" s="542"/>
      <c r="BQ223" s="542"/>
      <c r="BR223" s="542"/>
      <c r="BS223" s="542"/>
      <c r="BT223" s="542"/>
      <c r="BU223" s="542"/>
      <c r="BV223" s="542"/>
      <c r="BW223" s="542"/>
      <c r="BX223" s="542"/>
      <c r="BY223" s="542"/>
      <c r="BZ223" s="542"/>
      <c r="CA223" s="542"/>
      <c r="CB223" s="542"/>
      <c r="CC223" s="542"/>
      <c r="CD223" s="542"/>
      <c r="CE223" s="542"/>
    </row>
    <row r="224" spans="1:83" x14ac:dyDescent="0.25">
      <c r="A224" s="640"/>
      <c r="B224" s="579">
        <v>574</v>
      </c>
      <c r="C224" s="580"/>
      <c r="D224" s="575" t="s">
        <v>718</v>
      </c>
      <c r="E224" s="543"/>
      <c r="F224" s="544"/>
      <c r="G224" s="544"/>
      <c r="H224" s="544"/>
      <c r="I224" s="544"/>
      <c r="J224" s="544"/>
      <c r="K224" s="545"/>
      <c r="L224" s="542"/>
      <c r="M224" s="542"/>
      <c r="N224" s="541"/>
      <c r="O224" s="541"/>
      <c r="P224" s="541"/>
      <c r="Q224" s="541"/>
      <c r="R224" s="541"/>
      <c r="S224" s="541"/>
      <c r="T224" s="541"/>
      <c r="U224" s="541"/>
      <c r="V224" s="541"/>
      <c r="W224" s="541"/>
      <c r="X224" s="541"/>
      <c r="Y224" s="541"/>
      <c r="Z224" s="541"/>
      <c r="AA224" s="541"/>
      <c r="AB224" s="542"/>
      <c r="AC224" s="542"/>
      <c r="AD224" s="542"/>
      <c r="AE224" s="542"/>
      <c r="AF224" s="542"/>
      <c r="AG224" s="542"/>
      <c r="AH224" s="542"/>
      <c r="AI224" s="542"/>
      <c r="AJ224" s="542"/>
      <c r="AK224" s="542"/>
      <c r="AL224" s="542"/>
      <c r="AM224" s="542"/>
      <c r="AN224" s="542"/>
      <c r="AO224" s="542"/>
      <c r="AP224" s="542"/>
      <c r="AQ224" s="542"/>
      <c r="AR224" s="542"/>
      <c r="AS224" s="542"/>
      <c r="AT224" s="542"/>
      <c r="AU224" s="542"/>
      <c r="AV224" s="542"/>
      <c r="AW224" s="542"/>
      <c r="AX224" s="542"/>
      <c r="AY224" s="542"/>
      <c r="AZ224" s="542"/>
      <c r="BA224" s="542"/>
      <c r="BB224" s="542"/>
      <c r="BC224" s="542"/>
      <c r="BD224" s="542"/>
      <c r="BE224" s="542"/>
      <c r="BF224" s="542"/>
      <c r="BG224" s="542"/>
      <c r="BH224" s="542"/>
      <c r="BI224" s="542"/>
      <c r="BJ224" s="542"/>
      <c r="BK224" s="542"/>
      <c r="BL224" s="542"/>
      <c r="BM224" s="542"/>
      <c r="BN224" s="542"/>
      <c r="BO224" s="542"/>
      <c r="BP224" s="542"/>
      <c r="BQ224" s="542"/>
      <c r="BR224" s="542"/>
      <c r="BS224" s="542"/>
      <c r="BT224" s="542"/>
      <c r="BU224" s="542"/>
      <c r="BV224" s="542"/>
      <c r="BW224" s="542"/>
      <c r="BX224" s="542"/>
      <c r="BY224" s="542"/>
      <c r="BZ224" s="542"/>
      <c r="CA224" s="542"/>
      <c r="CB224" s="542"/>
      <c r="CC224" s="542"/>
      <c r="CD224" s="542"/>
      <c r="CE224" s="542"/>
    </row>
    <row r="225" spans="1:83" x14ac:dyDescent="0.25">
      <c r="A225" s="640">
        <v>575</v>
      </c>
      <c r="B225" s="563">
        <v>575</v>
      </c>
      <c r="C225" s="563" t="s">
        <v>660</v>
      </c>
      <c r="D225" s="563" t="s">
        <v>756</v>
      </c>
      <c r="E225" s="543">
        <v>3911</v>
      </c>
      <c r="F225" s="544">
        <v>0</v>
      </c>
      <c r="G225" s="544">
        <v>0</v>
      </c>
      <c r="H225" s="544">
        <v>0</v>
      </c>
      <c r="I225" s="544">
        <v>0</v>
      </c>
      <c r="J225" s="544">
        <v>0</v>
      </c>
      <c r="K225" s="545">
        <v>112809</v>
      </c>
      <c r="L225" s="542">
        <v>0</v>
      </c>
      <c r="M225" s="542">
        <v>0</v>
      </c>
      <c r="N225" s="541">
        <v>0</v>
      </c>
      <c r="O225" s="541">
        <v>0</v>
      </c>
      <c r="P225" s="541">
        <v>1109465</v>
      </c>
      <c r="Q225" s="541">
        <v>0</v>
      </c>
      <c r="R225" s="541">
        <v>0</v>
      </c>
      <c r="S225" s="541">
        <v>0</v>
      </c>
      <c r="T225" s="541">
        <v>0</v>
      </c>
      <c r="U225" s="541">
        <v>0</v>
      </c>
      <c r="V225" s="541">
        <v>0</v>
      </c>
      <c r="W225" s="541">
        <v>0</v>
      </c>
      <c r="X225" s="541">
        <v>0</v>
      </c>
      <c r="Y225" s="541">
        <v>0</v>
      </c>
      <c r="Z225" s="541">
        <v>0</v>
      </c>
      <c r="AA225" s="541">
        <v>0</v>
      </c>
      <c r="AB225" s="542">
        <v>0</v>
      </c>
      <c r="AC225" s="542">
        <v>466794</v>
      </c>
      <c r="AD225" s="542">
        <v>52</v>
      </c>
      <c r="AE225" s="542">
        <v>0</v>
      </c>
      <c r="AF225" s="542">
        <v>0</v>
      </c>
      <c r="AG225" s="542">
        <v>0</v>
      </c>
      <c r="AH225" s="542">
        <v>0</v>
      </c>
      <c r="AI225" s="542">
        <v>241347</v>
      </c>
      <c r="AJ225" s="542">
        <v>0</v>
      </c>
      <c r="AK225" s="542">
        <v>0</v>
      </c>
      <c r="AL225" s="542">
        <v>0</v>
      </c>
      <c r="AM225" s="542">
        <v>0</v>
      </c>
      <c r="AN225" s="542">
        <v>0</v>
      </c>
      <c r="AO225" s="542">
        <v>0</v>
      </c>
      <c r="AP225" s="542">
        <v>0</v>
      </c>
      <c r="AQ225" s="542">
        <v>0</v>
      </c>
      <c r="AR225" s="542">
        <v>0</v>
      </c>
      <c r="AS225" s="542">
        <v>358903</v>
      </c>
      <c r="AT225" s="542">
        <v>0</v>
      </c>
      <c r="AU225" s="542">
        <v>913</v>
      </c>
      <c r="AV225" s="542">
        <v>0</v>
      </c>
      <c r="AW225" s="542">
        <v>0</v>
      </c>
      <c r="AX225" s="542">
        <v>0</v>
      </c>
      <c r="AY225" s="542">
        <v>0</v>
      </c>
      <c r="AZ225" s="542">
        <v>67034</v>
      </c>
      <c r="BA225" s="542">
        <v>0</v>
      </c>
      <c r="BB225" s="542">
        <v>0</v>
      </c>
      <c r="BC225" s="542">
        <v>0</v>
      </c>
      <c r="BD225" s="542">
        <v>141737</v>
      </c>
      <c r="BE225" s="542">
        <v>1263371</v>
      </c>
      <c r="BF225" s="542">
        <v>0</v>
      </c>
      <c r="BG225" s="542">
        <v>77470</v>
      </c>
      <c r="BH225" s="542">
        <v>0</v>
      </c>
      <c r="BI225" s="542">
        <v>0</v>
      </c>
      <c r="BJ225" s="542">
        <v>0</v>
      </c>
      <c r="BK225" s="542">
        <v>0</v>
      </c>
      <c r="BL225" s="542">
        <v>0</v>
      </c>
      <c r="BM225" s="542">
        <v>4517</v>
      </c>
      <c r="BN225" s="542">
        <v>0</v>
      </c>
      <c r="BO225" s="542">
        <v>0</v>
      </c>
      <c r="BP225" s="542">
        <v>0</v>
      </c>
      <c r="BQ225" s="542">
        <v>0</v>
      </c>
      <c r="BR225" s="542">
        <v>0</v>
      </c>
      <c r="BS225" s="542">
        <v>0</v>
      </c>
      <c r="BT225" s="542">
        <v>0</v>
      </c>
      <c r="BU225" s="542">
        <v>10466</v>
      </c>
      <c r="BV225" s="542">
        <v>0</v>
      </c>
      <c r="BW225" s="542">
        <v>0</v>
      </c>
      <c r="BX225" s="542">
        <v>45437</v>
      </c>
      <c r="BY225" s="542">
        <v>0</v>
      </c>
      <c r="BZ225" s="542">
        <v>5372</v>
      </c>
      <c r="CA225" s="542">
        <v>0</v>
      </c>
      <c r="CB225" s="542">
        <v>22799</v>
      </c>
      <c r="CC225" s="542">
        <v>0</v>
      </c>
      <c r="CD225" s="542">
        <v>0</v>
      </c>
      <c r="CE225" s="542">
        <v>2630</v>
      </c>
    </row>
    <row r="226" spans="1:83" s="652" customFormat="1" x14ac:dyDescent="0.25">
      <c r="A226" s="653">
        <v>576</v>
      </c>
      <c r="B226" s="661">
        <v>576</v>
      </c>
      <c r="C226" s="661" t="s">
        <v>661</v>
      </c>
      <c r="D226" s="661" t="s">
        <v>757</v>
      </c>
      <c r="E226" s="656">
        <v>0</v>
      </c>
      <c r="F226" s="657">
        <v>0</v>
      </c>
      <c r="G226" s="657">
        <v>0</v>
      </c>
      <c r="H226" s="657">
        <v>0</v>
      </c>
      <c r="I226" s="657">
        <v>0</v>
      </c>
      <c r="J226" s="657">
        <v>0</v>
      </c>
      <c r="K226" s="658">
        <v>0</v>
      </c>
      <c r="L226" s="659">
        <v>0</v>
      </c>
      <c r="M226" s="659">
        <v>0</v>
      </c>
      <c r="N226" s="660">
        <v>0</v>
      </c>
      <c r="O226" s="660">
        <v>0</v>
      </c>
      <c r="P226" s="660">
        <v>0</v>
      </c>
      <c r="Q226" s="660">
        <v>0</v>
      </c>
      <c r="R226" s="660">
        <v>130352</v>
      </c>
      <c r="S226" s="660">
        <v>0</v>
      </c>
      <c r="T226" s="660">
        <v>0</v>
      </c>
      <c r="U226" s="660">
        <v>0</v>
      </c>
      <c r="V226" s="660">
        <v>0</v>
      </c>
      <c r="W226" s="660">
        <v>0</v>
      </c>
      <c r="X226" s="660">
        <v>0</v>
      </c>
      <c r="Y226" s="660">
        <v>0</v>
      </c>
      <c r="Z226" s="660">
        <v>106827</v>
      </c>
      <c r="AA226" s="660">
        <v>0</v>
      </c>
      <c r="AB226" s="659">
        <v>0</v>
      </c>
      <c r="AC226" s="659">
        <v>0</v>
      </c>
      <c r="AD226" s="659">
        <v>0</v>
      </c>
      <c r="AE226" s="659">
        <v>31766</v>
      </c>
      <c r="AF226" s="659">
        <v>10290</v>
      </c>
      <c r="AG226" s="659">
        <v>0</v>
      </c>
      <c r="AH226" s="659">
        <v>33481</v>
      </c>
      <c r="AI226" s="659">
        <v>0</v>
      </c>
      <c r="AJ226" s="659">
        <v>1076075</v>
      </c>
      <c r="AK226" s="659">
        <v>0</v>
      </c>
      <c r="AL226" s="659">
        <v>0</v>
      </c>
      <c r="AM226" s="659">
        <v>0</v>
      </c>
      <c r="AN226" s="659">
        <v>331101</v>
      </c>
      <c r="AO226" s="659">
        <v>0</v>
      </c>
      <c r="AP226" s="659">
        <v>0</v>
      </c>
      <c r="AQ226" s="659">
        <v>0</v>
      </c>
      <c r="AR226" s="659">
        <v>0</v>
      </c>
      <c r="AS226" s="659">
        <v>7570</v>
      </c>
      <c r="AT226" s="659">
        <v>0</v>
      </c>
      <c r="AU226" s="659">
        <v>0</v>
      </c>
      <c r="AV226" s="659">
        <v>8170</v>
      </c>
      <c r="AW226" s="659">
        <v>0</v>
      </c>
      <c r="AX226" s="659">
        <v>0</v>
      </c>
      <c r="AY226" s="659">
        <v>0</v>
      </c>
      <c r="AZ226" s="659">
        <v>0</v>
      </c>
      <c r="BA226" s="659">
        <v>0</v>
      </c>
      <c r="BB226" s="659">
        <v>0</v>
      </c>
      <c r="BC226" s="659">
        <v>0</v>
      </c>
      <c r="BD226" s="659">
        <v>0</v>
      </c>
      <c r="BE226" s="659">
        <v>0</v>
      </c>
      <c r="BF226" s="659">
        <v>0</v>
      </c>
      <c r="BG226" s="659">
        <v>0</v>
      </c>
      <c r="BH226" s="659">
        <v>13361</v>
      </c>
      <c r="BI226" s="659">
        <v>0</v>
      </c>
      <c r="BJ226" s="659">
        <v>0</v>
      </c>
      <c r="BK226" s="659">
        <v>0</v>
      </c>
      <c r="BL226" s="659">
        <v>0</v>
      </c>
      <c r="BM226" s="659">
        <v>0</v>
      </c>
      <c r="BN226" s="659">
        <v>3268</v>
      </c>
      <c r="BO226" s="659">
        <v>0</v>
      </c>
      <c r="BP226" s="659">
        <v>0</v>
      </c>
      <c r="BQ226" s="659">
        <v>0</v>
      </c>
      <c r="BR226" s="659">
        <v>0</v>
      </c>
      <c r="BS226" s="659">
        <v>32063</v>
      </c>
      <c r="BT226" s="659">
        <v>0</v>
      </c>
      <c r="BU226" s="659">
        <v>0</v>
      </c>
      <c r="BV226" s="659">
        <v>0</v>
      </c>
      <c r="BW226" s="659">
        <v>0</v>
      </c>
      <c r="BX226" s="659">
        <v>0</v>
      </c>
      <c r="BY226" s="659">
        <v>0</v>
      </c>
      <c r="BZ226" s="659">
        <v>0</v>
      </c>
      <c r="CA226" s="659">
        <v>0</v>
      </c>
      <c r="CB226" s="659">
        <v>0</v>
      </c>
      <c r="CC226" s="659">
        <v>0</v>
      </c>
      <c r="CD226" s="659">
        <v>0</v>
      </c>
      <c r="CE226" s="659">
        <v>0</v>
      </c>
    </row>
    <row r="227" spans="1:83" x14ac:dyDescent="0.25">
      <c r="A227" s="640">
        <v>577</v>
      </c>
      <c r="B227" s="585">
        <v>577</v>
      </c>
      <c r="C227" s="585" t="s">
        <v>758</v>
      </c>
      <c r="D227" s="585" t="s">
        <v>759</v>
      </c>
      <c r="E227" s="621">
        <v>2</v>
      </c>
      <c r="F227" s="610">
        <v>2</v>
      </c>
      <c r="G227" s="610">
        <v>2</v>
      </c>
      <c r="H227" s="610">
        <v>2</v>
      </c>
      <c r="I227" s="610">
        <v>0</v>
      </c>
      <c r="J227" s="610">
        <v>2</v>
      </c>
      <c r="K227" s="609">
        <v>2</v>
      </c>
      <c r="L227" s="608">
        <v>0</v>
      </c>
      <c r="M227" s="608">
        <v>2</v>
      </c>
      <c r="N227" s="588">
        <v>2</v>
      </c>
      <c r="O227" s="588">
        <v>2</v>
      </c>
      <c r="P227" s="588">
        <v>2</v>
      </c>
      <c r="Q227" s="588">
        <v>2</v>
      </c>
      <c r="R227" s="588">
        <v>2</v>
      </c>
      <c r="S227" s="588">
        <v>2</v>
      </c>
      <c r="T227" s="588">
        <v>2</v>
      </c>
      <c r="U227" s="588">
        <v>2</v>
      </c>
      <c r="V227" s="588">
        <v>2</v>
      </c>
      <c r="W227" s="588">
        <v>2</v>
      </c>
      <c r="X227" s="588">
        <v>2</v>
      </c>
      <c r="Y227" s="588">
        <v>0</v>
      </c>
      <c r="Z227" s="588">
        <v>1</v>
      </c>
      <c r="AA227" s="588">
        <v>2</v>
      </c>
      <c r="AB227" s="608">
        <v>2</v>
      </c>
      <c r="AC227" s="608">
        <v>2</v>
      </c>
      <c r="AD227" s="608">
        <v>2</v>
      </c>
      <c r="AE227" s="608">
        <v>2</v>
      </c>
      <c r="AF227" s="608">
        <v>2</v>
      </c>
      <c r="AG227" s="608">
        <v>2</v>
      </c>
      <c r="AH227" s="608">
        <v>2</v>
      </c>
      <c r="AI227" s="608">
        <v>2</v>
      </c>
      <c r="AJ227" s="608">
        <v>2</v>
      </c>
      <c r="AK227" s="608">
        <v>2</v>
      </c>
      <c r="AL227" s="608">
        <v>2</v>
      </c>
      <c r="AM227" s="608">
        <v>0</v>
      </c>
      <c r="AN227" s="608">
        <v>2</v>
      </c>
      <c r="AO227" s="608">
        <v>2</v>
      </c>
      <c r="AP227" s="608">
        <v>0</v>
      </c>
      <c r="AQ227" s="608">
        <v>2</v>
      </c>
      <c r="AR227" s="608">
        <v>2</v>
      </c>
      <c r="AS227" s="608">
        <v>2</v>
      </c>
      <c r="AT227" s="608">
        <v>0</v>
      </c>
      <c r="AU227" s="608">
        <v>2</v>
      </c>
      <c r="AV227" s="608">
        <v>0</v>
      </c>
      <c r="AW227" s="608">
        <v>2</v>
      </c>
      <c r="AX227" s="608">
        <v>2</v>
      </c>
      <c r="AY227" s="608">
        <v>2</v>
      </c>
      <c r="AZ227" s="608">
        <v>2</v>
      </c>
      <c r="BA227" s="608">
        <v>2</v>
      </c>
      <c r="BB227" s="608">
        <v>0</v>
      </c>
      <c r="BC227" s="608">
        <v>2</v>
      </c>
      <c r="BD227" s="608">
        <v>2</v>
      </c>
      <c r="BE227" s="608">
        <v>2</v>
      </c>
      <c r="BF227" s="608">
        <v>2</v>
      </c>
      <c r="BG227" s="608">
        <v>2</v>
      </c>
      <c r="BH227" s="608">
        <v>2</v>
      </c>
      <c r="BI227" s="608">
        <v>0</v>
      </c>
      <c r="BJ227" s="608">
        <v>2</v>
      </c>
      <c r="BK227" s="608">
        <v>2</v>
      </c>
      <c r="BL227" s="608">
        <v>2</v>
      </c>
      <c r="BM227" s="608">
        <v>0</v>
      </c>
      <c r="BN227" s="608">
        <v>2</v>
      </c>
      <c r="BO227" s="608">
        <v>2</v>
      </c>
      <c r="BP227" s="608">
        <v>2</v>
      </c>
      <c r="BQ227" s="608">
        <v>2</v>
      </c>
      <c r="BR227" s="608">
        <v>2</v>
      </c>
      <c r="BS227" s="608">
        <v>1</v>
      </c>
      <c r="BT227" s="608">
        <v>2</v>
      </c>
      <c r="BU227" s="608">
        <v>2</v>
      </c>
      <c r="BV227" s="608">
        <v>2</v>
      </c>
      <c r="BW227" s="608">
        <v>2</v>
      </c>
      <c r="BX227" s="608">
        <v>2</v>
      </c>
      <c r="BY227" s="608">
        <v>2</v>
      </c>
      <c r="BZ227" s="608">
        <v>2</v>
      </c>
      <c r="CA227" s="608">
        <v>0</v>
      </c>
      <c r="CB227" s="608">
        <v>2</v>
      </c>
      <c r="CC227" s="608">
        <v>2</v>
      </c>
      <c r="CD227" s="608">
        <v>0</v>
      </c>
      <c r="CE227" s="608">
        <v>2</v>
      </c>
    </row>
    <row r="228" spans="1:83" x14ac:dyDescent="0.25">
      <c r="A228" s="640">
        <v>578</v>
      </c>
      <c r="B228" s="563">
        <v>578</v>
      </c>
      <c r="C228" s="563" t="s">
        <v>760</v>
      </c>
      <c r="D228" s="563" t="s">
        <v>761</v>
      </c>
      <c r="E228" s="543">
        <v>0</v>
      </c>
      <c r="F228" s="544">
        <v>0</v>
      </c>
      <c r="G228" s="544">
        <v>0</v>
      </c>
      <c r="H228" s="544">
        <v>0</v>
      </c>
      <c r="I228" s="544">
        <v>0</v>
      </c>
      <c r="J228" s="544">
        <v>0</v>
      </c>
      <c r="K228" s="545">
        <v>0</v>
      </c>
      <c r="L228" s="542">
        <v>0</v>
      </c>
      <c r="M228" s="542">
        <v>0</v>
      </c>
      <c r="N228" s="541">
        <v>0</v>
      </c>
      <c r="O228" s="541">
        <v>0</v>
      </c>
      <c r="P228" s="541">
        <v>0</v>
      </c>
      <c r="Q228" s="541">
        <v>0</v>
      </c>
      <c r="R228" s="541">
        <v>0</v>
      </c>
      <c r="S228" s="541">
        <v>0</v>
      </c>
      <c r="T228" s="541">
        <v>0</v>
      </c>
      <c r="U228" s="541">
        <v>0</v>
      </c>
      <c r="V228" s="541">
        <v>0</v>
      </c>
      <c r="W228" s="541">
        <v>0</v>
      </c>
      <c r="X228" s="541">
        <v>0</v>
      </c>
      <c r="Y228" s="541">
        <v>0</v>
      </c>
      <c r="Z228" s="541">
        <v>0</v>
      </c>
      <c r="AA228" s="541">
        <v>0</v>
      </c>
      <c r="AB228" s="542">
        <v>0</v>
      </c>
      <c r="AC228" s="542">
        <v>0</v>
      </c>
      <c r="AD228" s="542">
        <v>0</v>
      </c>
      <c r="AE228" s="542">
        <v>0</v>
      </c>
      <c r="AF228" s="542">
        <v>0</v>
      </c>
      <c r="AG228" s="542">
        <v>0</v>
      </c>
      <c r="AH228" s="542">
        <v>0</v>
      </c>
      <c r="AI228" s="542">
        <v>0</v>
      </c>
      <c r="AJ228" s="542">
        <v>0</v>
      </c>
      <c r="AK228" s="542">
        <v>0</v>
      </c>
      <c r="AL228" s="542">
        <v>0</v>
      </c>
      <c r="AM228" s="542">
        <v>0</v>
      </c>
      <c r="AN228" s="542">
        <v>0</v>
      </c>
      <c r="AO228" s="542">
        <v>0</v>
      </c>
      <c r="AP228" s="542">
        <v>0</v>
      </c>
      <c r="AQ228" s="542">
        <v>0</v>
      </c>
      <c r="AR228" s="542">
        <v>0</v>
      </c>
      <c r="AS228" s="542">
        <v>0</v>
      </c>
      <c r="AT228" s="542">
        <v>0</v>
      </c>
      <c r="AU228" s="542">
        <v>0</v>
      </c>
      <c r="AV228" s="542">
        <v>0</v>
      </c>
      <c r="AW228" s="542">
        <v>0</v>
      </c>
      <c r="AX228" s="542">
        <v>0</v>
      </c>
      <c r="AY228" s="542">
        <v>0</v>
      </c>
      <c r="AZ228" s="542">
        <v>0</v>
      </c>
      <c r="BA228" s="542">
        <v>0</v>
      </c>
      <c r="BB228" s="542">
        <v>0</v>
      </c>
      <c r="BC228" s="542">
        <v>0</v>
      </c>
      <c r="BD228" s="542">
        <v>0</v>
      </c>
      <c r="BE228" s="542">
        <v>0</v>
      </c>
      <c r="BF228" s="542">
        <v>0</v>
      </c>
      <c r="BG228" s="542">
        <v>0</v>
      </c>
      <c r="BH228" s="542">
        <v>0</v>
      </c>
      <c r="BI228" s="542">
        <v>0</v>
      </c>
      <c r="BJ228" s="542">
        <v>0</v>
      </c>
      <c r="BK228" s="542">
        <v>0</v>
      </c>
      <c r="BL228" s="542">
        <v>0</v>
      </c>
      <c r="BM228" s="542">
        <v>0</v>
      </c>
      <c r="BN228" s="542">
        <v>0</v>
      </c>
      <c r="BO228" s="542">
        <v>0</v>
      </c>
      <c r="BP228" s="542">
        <v>0</v>
      </c>
      <c r="BQ228" s="542">
        <v>0</v>
      </c>
      <c r="BR228" s="542">
        <v>0</v>
      </c>
      <c r="BS228" s="542">
        <v>0</v>
      </c>
      <c r="BT228" s="542">
        <v>0</v>
      </c>
      <c r="BU228" s="542">
        <v>0</v>
      </c>
      <c r="BV228" s="542">
        <v>0</v>
      </c>
      <c r="BW228" s="542">
        <v>0</v>
      </c>
      <c r="BX228" s="542">
        <v>0</v>
      </c>
      <c r="BY228" s="542">
        <v>0</v>
      </c>
      <c r="BZ228" s="542">
        <v>0</v>
      </c>
      <c r="CA228" s="542">
        <v>0</v>
      </c>
      <c r="CB228" s="542">
        <v>22799</v>
      </c>
      <c r="CC228" s="542">
        <v>0</v>
      </c>
      <c r="CD228" s="542">
        <v>0</v>
      </c>
      <c r="CE228" s="542">
        <v>0</v>
      </c>
    </row>
    <row r="229" spans="1:83" x14ac:dyDescent="0.25">
      <c r="A229" s="640">
        <v>579</v>
      </c>
      <c r="B229" s="563">
        <v>579</v>
      </c>
      <c r="C229" s="563" t="s">
        <v>762</v>
      </c>
      <c r="D229" s="563" t="s">
        <v>763</v>
      </c>
      <c r="E229" s="543">
        <v>0</v>
      </c>
      <c r="F229" s="544">
        <v>0</v>
      </c>
      <c r="G229" s="544">
        <v>0</v>
      </c>
      <c r="H229" s="544">
        <v>0</v>
      </c>
      <c r="I229" s="544">
        <v>0</v>
      </c>
      <c r="J229" s="544">
        <v>0</v>
      </c>
      <c r="K229" s="545">
        <v>0</v>
      </c>
      <c r="L229" s="542">
        <v>0</v>
      </c>
      <c r="M229" s="542">
        <v>0</v>
      </c>
      <c r="N229" s="541">
        <v>0</v>
      </c>
      <c r="O229" s="541">
        <v>0</v>
      </c>
      <c r="P229" s="541">
        <v>0</v>
      </c>
      <c r="Q229" s="541">
        <v>0</v>
      </c>
      <c r="R229" s="541">
        <v>0</v>
      </c>
      <c r="S229" s="541">
        <v>0</v>
      </c>
      <c r="T229" s="541">
        <v>0</v>
      </c>
      <c r="U229" s="541">
        <v>0</v>
      </c>
      <c r="V229" s="541">
        <v>0</v>
      </c>
      <c r="W229" s="541">
        <v>2711441</v>
      </c>
      <c r="X229" s="541">
        <v>0</v>
      </c>
      <c r="Y229" s="541">
        <v>0</v>
      </c>
      <c r="Z229" s="541">
        <v>0</v>
      </c>
      <c r="AA229" s="541">
        <v>0</v>
      </c>
      <c r="AB229" s="542">
        <v>0</v>
      </c>
      <c r="AC229" s="542">
        <v>0</v>
      </c>
      <c r="AD229" s="542">
        <v>0</v>
      </c>
      <c r="AE229" s="542">
        <v>0</v>
      </c>
      <c r="AF229" s="542">
        <v>0</v>
      </c>
      <c r="AG229" s="542">
        <v>0</v>
      </c>
      <c r="AH229" s="542">
        <v>0</v>
      </c>
      <c r="AI229" s="542">
        <v>0</v>
      </c>
      <c r="AJ229" s="542">
        <v>0</v>
      </c>
      <c r="AK229" s="542">
        <v>0</v>
      </c>
      <c r="AL229" s="542">
        <v>0</v>
      </c>
      <c r="AM229" s="542">
        <v>0</v>
      </c>
      <c r="AN229" s="542">
        <v>0</v>
      </c>
      <c r="AO229" s="542">
        <v>0</v>
      </c>
      <c r="AP229" s="542">
        <v>0</v>
      </c>
      <c r="AQ229" s="542">
        <v>0</v>
      </c>
      <c r="AR229" s="542">
        <v>0</v>
      </c>
      <c r="AS229" s="542">
        <v>0</v>
      </c>
      <c r="AT229" s="542">
        <v>0</v>
      </c>
      <c r="AU229" s="542">
        <v>0</v>
      </c>
      <c r="AV229" s="542">
        <v>0</v>
      </c>
      <c r="AW229" s="542">
        <v>0</v>
      </c>
      <c r="AX229" s="542">
        <v>0</v>
      </c>
      <c r="AY229" s="542">
        <v>0</v>
      </c>
      <c r="AZ229" s="542">
        <v>0</v>
      </c>
      <c r="BA229" s="542">
        <v>0</v>
      </c>
      <c r="BB229" s="542">
        <v>0</v>
      </c>
      <c r="BC229" s="542">
        <v>0</v>
      </c>
      <c r="BD229" s="542">
        <v>0</v>
      </c>
      <c r="BE229" s="542">
        <v>0</v>
      </c>
      <c r="BF229" s="542">
        <v>0</v>
      </c>
      <c r="BG229" s="542">
        <v>0</v>
      </c>
      <c r="BH229" s="542">
        <v>0</v>
      </c>
      <c r="BI229" s="542">
        <v>0</v>
      </c>
      <c r="BJ229" s="542">
        <v>0</v>
      </c>
      <c r="BK229" s="542">
        <v>0</v>
      </c>
      <c r="BL229" s="542">
        <v>0</v>
      </c>
      <c r="BM229" s="542">
        <v>0</v>
      </c>
      <c r="BN229" s="542">
        <v>0</v>
      </c>
      <c r="BO229" s="542">
        <v>0</v>
      </c>
      <c r="BP229" s="542">
        <v>0</v>
      </c>
      <c r="BQ229" s="542">
        <v>0</v>
      </c>
      <c r="BR229" s="542">
        <v>0</v>
      </c>
      <c r="BS229" s="542">
        <v>0</v>
      </c>
      <c r="BT229" s="542">
        <v>0</v>
      </c>
      <c r="BU229" s="542">
        <v>0</v>
      </c>
      <c r="BV229" s="542">
        <v>0</v>
      </c>
      <c r="BW229" s="542">
        <v>0</v>
      </c>
      <c r="BX229" s="542">
        <v>0</v>
      </c>
      <c r="BY229" s="542">
        <v>0</v>
      </c>
      <c r="BZ229" s="542">
        <v>0</v>
      </c>
      <c r="CA229" s="542">
        <v>0</v>
      </c>
      <c r="CB229" s="542">
        <v>0</v>
      </c>
      <c r="CC229" s="542">
        <v>0</v>
      </c>
      <c r="CD229" s="542">
        <v>0</v>
      </c>
      <c r="CE229" s="542">
        <v>0</v>
      </c>
    </row>
    <row r="230" spans="1:83" x14ac:dyDescent="0.25">
      <c r="A230" s="640">
        <v>580</v>
      </c>
      <c r="B230" s="563">
        <v>580</v>
      </c>
      <c r="C230" s="563" t="s">
        <v>764</v>
      </c>
      <c r="D230" s="563" t="s">
        <v>765</v>
      </c>
      <c r="E230" s="543">
        <v>0</v>
      </c>
      <c r="F230" s="544">
        <v>0</v>
      </c>
      <c r="G230" s="544">
        <v>0</v>
      </c>
      <c r="H230" s="544">
        <v>0</v>
      </c>
      <c r="I230" s="544">
        <v>0</v>
      </c>
      <c r="J230" s="544">
        <v>0</v>
      </c>
      <c r="K230" s="545">
        <v>0</v>
      </c>
      <c r="L230" s="542">
        <v>0</v>
      </c>
      <c r="M230" s="542">
        <v>0</v>
      </c>
      <c r="N230" s="541">
        <v>0</v>
      </c>
      <c r="O230" s="541">
        <v>0</v>
      </c>
      <c r="P230" s="541">
        <v>0</v>
      </c>
      <c r="Q230" s="541">
        <v>0</v>
      </c>
      <c r="R230" s="541">
        <v>0</v>
      </c>
      <c r="S230" s="541">
        <v>0</v>
      </c>
      <c r="T230" s="541">
        <v>0</v>
      </c>
      <c r="U230" s="541">
        <v>0</v>
      </c>
      <c r="V230" s="541">
        <v>0</v>
      </c>
      <c r="W230" s="541">
        <v>0</v>
      </c>
      <c r="X230" s="541">
        <v>0</v>
      </c>
      <c r="Y230" s="541">
        <v>0</v>
      </c>
      <c r="Z230" s="541">
        <v>0</v>
      </c>
      <c r="AA230" s="541">
        <v>0</v>
      </c>
      <c r="AB230" s="542">
        <v>0</v>
      </c>
      <c r="AC230" s="542">
        <v>0</v>
      </c>
      <c r="AD230" s="542">
        <v>0</v>
      </c>
      <c r="AE230" s="542">
        <v>0</v>
      </c>
      <c r="AF230" s="542">
        <v>0</v>
      </c>
      <c r="AG230" s="542">
        <v>0</v>
      </c>
      <c r="AH230" s="542">
        <v>0</v>
      </c>
      <c r="AI230" s="542">
        <v>0</v>
      </c>
      <c r="AJ230" s="542">
        <v>0</v>
      </c>
      <c r="AK230" s="542">
        <v>0</v>
      </c>
      <c r="AL230" s="542">
        <v>0</v>
      </c>
      <c r="AM230" s="542">
        <v>0</v>
      </c>
      <c r="AN230" s="542">
        <v>0</v>
      </c>
      <c r="AO230" s="542">
        <v>0</v>
      </c>
      <c r="AP230" s="542">
        <v>0</v>
      </c>
      <c r="AQ230" s="542">
        <v>0</v>
      </c>
      <c r="AR230" s="542">
        <v>0</v>
      </c>
      <c r="AS230" s="542">
        <v>0</v>
      </c>
      <c r="AT230" s="542">
        <v>0</v>
      </c>
      <c r="AU230" s="542">
        <v>0</v>
      </c>
      <c r="AV230" s="542">
        <v>0</v>
      </c>
      <c r="AW230" s="542">
        <v>0</v>
      </c>
      <c r="AX230" s="542">
        <v>0</v>
      </c>
      <c r="AY230" s="542">
        <v>0</v>
      </c>
      <c r="AZ230" s="542">
        <v>0</v>
      </c>
      <c r="BA230" s="542">
        <v>0</v>
      </c>
      <c r="BB230" s="542">
        <v>0</v>
      </c>
      <c r="BC230" s="542">
        <v>0</v>
      </c>
      <c r="BD230" s="542">
        <v>0</v>
      </c>
      <c r="BE230" s="542">
        <v>0</v>
      </c>
      <c r="BF230" s="542">
        <v>0</v>
      </c>
      <c r="BG230" s="542">
        <v>0</v>
      </c>
      <c r="BH230" s="542">
        <v>0</v>
      </c>
      <c r="BI230" s="542">
        <v>0</v>
      </c>
      <c r="BJ230" s="542">
        <v>0</v>
      </c>
      <c r="BK230" s="542">
        <v>0</v>
      </c>
      <c r="BL230" s="542">
        <v>0</v>
      </c>
      <c r="BM230" s="542">
        <v>0</v>
      </c>
      <c r="BN230" s="542">
        <v>0</v>
      </c>
      <c r="BO230" s="542">
        <v>0</v>
      </c>
      <c r="BP230" s="542">
        <v>0</v>
      </c>
      <c r="BQ230" s="542">
        <v>0</v>
      </c>
      <c r="BR230" s="542">
        <v>0</v>
      </c>
      <c r="BS230" s="542">
        <v>0</v>
      </c>
      <c r="BT230" s="542">
        <v>0</v>
      </c>
      <c r="BU230" s="542">
        <v>0</v>
      </c>
      <c r="BV230" s="542">
        <v>0</v>
      </c>
      <c r="BW230" s="542">
        <v>0</v>
      </c>
      <c r="BX230" s="542">
        <v>0</v>
      </c>
      <c r="BY230" s="542">
        <v>0</v>
      </c>
      <c r="BZ230" s="542">
        <v>0</v>
      </c>
      <c r="CA230" s="542">
        <v>0</v>
      </c>
      <c r="CB230" s="542">
        <v>0</v>
      </c>
      <c r="CC230" s="542">
        <v>0</v>
      </c>
      <c r="CD230" s="542">
        <v>0</v>
      </c>
      <c r="CE230" s="542">
        <v>0</v>
      </c>
    </row>
    <row r="231" spans="1:83" x14ac:dyDescent="0.25">
      <c r="A231" s="640">
        <v>581</v>
      </c>
      <c r="B231" s="563">
        <v>581</v>
      </c>
      <c r="C231" s="563" t="s">
        <v>766</v>
      </c>
      <c r="D231" s="563" t="s">
        <v>767</v>
      </c>
      <c r="E231" s="543">
        <v>0</v>
      </c>
      <c r="F231" s="544">
        <v>0</v>
      </c>
      <c r="G231" s="544">
        <v>0</v>
      </c>
      <c r="H231" s="544">
        <v>0</v>
      </c>
      <c r="I231" s="544">
        <v>0</v>
      </c>
      <c r="J231" s="544">
        <v>0</v>
      </c>
      <c r="K231" s="545">
        <v>0</v>
      </c>
      <c r="L231" s="542">
        <v>0</v>
      </c>
      <c r="M231" s="542">
        <v>0</v>
      </c>
      <c r="N231" s="541">
        <v>0</v>
      </c>
      <c r="O231" s="541">
        <v>0</v>
      </c>
      <c r="P231" s="541">
        <v>0</v>
      </c>
      <c r="Q231" s="541">
        <v>0</v>
      </c>
      <c r="R231" s="541">
        <v>2262691</v>
      </c>
      <c r="S231" s="541">
        <v>0</v>
      </c>
      <c r="T231" s="541">
        <v>0</v>
      </c>
      <c r="U231" s="541">
        <v>0</v>
      </c>
      <c r="V231" s="541">
        <v>0</v>
      </c>
      <c r="W231" s="541">
        <v>0</v>
      </c>
      <c r="X231" s="541">
        <v>0</v>
      </c>
      <c r="Y231" s="541">
        <v>0</v>
      </c>
      <c r="Z231" s="541">
        <v>0</v>
      </c>
      <c r="AA231" s="541">
        <v>0</v>
      </c>
      <c r="AB231" s="542">
        <v>0</v>
      </c>
      <c r="AC231" s="542">
        <v>0</v>
      </c>
      <c r="AD231" s="542">
        <v>0</v>
      </c>
      <c r="AE231" s="542">
        <v>0</v>
      </c>
      <c r="AF231" s="542">
        <v>0</v>
      </c>
      <c r="AG231" s="542">
        <v>0</v>
      </c>
      <c r="AH231" s="542">
        <v>0</v>
      </c>
      <c r="AI231" s="542">
        <v>0</v>
      </c>
      <c r="AJ231" s="542">
        <v>0</v>
      </c>
      <c r="AK231" s="542">
        <v>0</v>
      </c>
      <c r="AL231" s="542">
        <v>0</v>
      </c>
      <c r="AM231" s="542">
        <v>0</v>
      </c>
      <c r="AN231" s="542">
        <v>0</v>
      </c>
      <c r="AO231" s="542">
        <v>0</v>
      </c>
      <c r="AP231" s="542">
        <v>0</v>
      </c>
      <c r="AQ231" s="542">
        <v>0</v>
      </c>
      <c r="AR231" s="542">
        <v>0</v>
      </c>
      <c r="AS231" s="542">
        <v>0</v>
      </c>
      <c r="AT231" s="542">
        <v>0</v>
      </c>
      <c r="AU231" s="542">
        <v>0</v>
      </c>
      <c r="AV231" s="542">
        <v>0</v>
      </c>
      <c r="AW231" s="542">
        <v>0</v>
      </c>
      <c r="AX231" s="542">
        <v>0</v>
      </c>
      <c r="AY231" s="542">
        <v>0</v>
      </c>
      <c r="AZ231" s="542">
        <v>0</v>
      </c>
      <c r="BA231" s="542">
        <v>0</v>
      </c>
      <c r="BB231" s="542">
        <v>0</v>
      </c>
      <c r="BC231" s="542">
        <v>0</v>
      </c>
      <c r="BD231" s="542">
        <v>0</v>
      </c>
      <c r="BE231" s="542">
        <v>0</v>
      </c>
      <c r="BF231" s="542">
        <v>0</v>
      </c>
      <c r="BG231" s="542">
        <v>0</v>
      </c>
      <c r="BH231" s="542">
        <v>0</v>
      </c>
      <c r="BI231" s="542">
        <v>0</v>
      </c>
      <c r="BJ231" s="542">
        <v>0</v>
      </c>
      <c r="BK231" s="542">
        <v>0</v>
      </c>
      <c r="BL231" s="542">
        <v>0</v>
      </c>
      <c r="BM231" s="542">
        <v>0</v>
      </c>
      <c r="BN231" s="542">
        <v>0</v>
      </c>
      <c r="BO231" s="542">
        <v>0</v>
      </c>
      <c r="BP231" s="542">
        <v>0</v>
      </c>
      <c r="BQ231" s="542">
        <v>0</v>
      </c>
      <c r="BR231" s="542">
        <v>0</v>
      </c>
      <c r="BS231" s="542">
        <v>0</v>
      </c>
      <c r="BT231" s="542">
        <v>0</v>
      </c>
      <c r="BU231" s="542">
        <v>0</v>
      </c>
      <c r="BV231" s="542">
        <v>0</v>
      </c>
      <c r="BW231" s="542">
        <v>0</v>
      </c>
      <c r="BX231" s="542">
        <v>0</v>
      </c>
      <c r="BY231" s="542">
        <v>0</v>
      </c>
      <c r="BZ231" s="542">
        <v>0</v>
      </c>
      <c r="CA231" s="542">
        <v>0</v>
      </c>
      <c r="CB231" s="542">
        <v>0</v>
      </c>
      <c r="CC231" s="542">
        <v>0</v>
      </c>
      <c r="CD231" s="542">
        <v>0</v>
      </c>
      <c r="CE231" s="542">
        <v>0</v>
      </c>
    </row>
    <row r="232" spans="1:83" x14ac:dyDescent="0.25">
      <c r="A232" s="640"/>
      <c r="B232" s="563">
        <v>582</v>
      </c>
      <c r="C232" s="563" t="s">
        <v>768</v>
      </c>
      <c r="D232" s="563" t="s">
        <v>769</v>
      </c>
      <c r="E232" s="543"/>
      <c r="F232" s="544"/>
      <c r="G232" s="544"/>
      <c r="H232" s="544"/>
      <c r="I232" s="544"/>
      <c r="J232" s="544"/>
      <c r="K232" s="545"/>
      <c r="L232" s="542"/>
      <c r="M232" s="542"/>
      <c r="N232" s="541"/>
      <c r="O232" s="541"/>
      <c r="P232" s="541"/>
      <c r="Q232" s="541"/>
      <c r="R232" s="541"/>
      <c r="S232" s="541"/>
      <c r="T232" s="541"/>
      <c r="U232" s="541"/>
      <c r="V232" s="541"/>
      <c r="W232" s="541"/>
      <c r="X232" s="541"/>
      <c r="Y232" s="541"/>
      <c r="Z232" s="541"/>
      <c r="AA232" s="541"/>
      <c r="AB232" s="542"/>
      <c r="AC232" s="542"/>
      <c r="AD232" s="542"/>
      <c r="AE232" s="542"/>
      <c r="AF232" s="542"/>
      <c r="AG232" s="542"/>
      <c r="AH232" s="542"/>
      <c r="AI232" s="542"/>
      <c r="AJ232" s="542"/>
      <c r="AK232" s="542"/>
      <c r="AL232" s="542"/>
      <c r="AM232" s="542"/>
      <c r="AN232" s="542"/>
      <c r="AO232" s="542"/>
      <c r="AP232" s="542"/>
      <c r="AQ232" s="542"/>
      <c r="AR232" s="542"/>
      <c r="AS232" s="542"/>
      <c r="AT232" s="542"/>
      <c r="AU232" s="542"/>
      <c r="AV232" s="542"/>
      <c r="AW232" s="542"/>
      <c r="AX232" s="542"/>
      <c r="AY232" s="542"/>
      <c r="AZ232" s="542"/>
      <c r="BA232" s="542"/>
      <c r="BB232" s="542"/>
      <c r="BC232" s="542"/>
      <c r="BD232" s="542"/>
      <c r="BE232" s="542"/>
      <c r="BF232" s="542"/>
      <c r="BG232" s="542"/>
      <c r="BH232" s="542"/>
      <c r="BI232" s="542"/>
      <c r="BJ232" s="542"/>
      <c r="BK232" s="542"/>
      <c r="BL232" s="542"/>
      <c r="BM232" s="542"/>
      <c r="BN232" s="542"/>
      <c r="BO232" s="542"/>
      <c r="BP232" s="542"/>
      <c r="BQ232" s="542"/>
      <c r="BR232" s="542"/>
      <c r="BS232" s="542"/>
      <c r="BT232" s="542"/>
      <c r="BU232" s="542"/>
      <c r="BV232" s="542"/>
      <c r="BW232" s="542"/>
      <c r="BX232" s="542"/>
      <c r="BY232" s="542"/>
      <c r="BZ232" s="542"/>
      <c r="CA232" s="542"/>
      <c r="CB232" s="542"/>
      <c r="CC232" s="542"/>
      <c r="CD232" s="542"/>
      <c r="CE232" s="542"/>
    </row>
    <row r="233" spans="1:83" x14ac:dyDescent="0.25">
      <c r="A233" s="640"/>
      <c r="B233" s="563">
        <v>583</v>
      </c>
      <c r="C233" s="563" t="s">
        <v>770</v>
      </c>
      <c r="D233" s="563" t="s">
        <v>771</v>
      </c>
      <c r="E233" s="543"/>
      <c r="F233" s="544"/>
      <c r="G233" s="544"/>
      <c r="H233" s="544"/>
      <c r="I233" s="544"/>
      <c r="J233" s="544"/>
      <c r="K233" s="545"/>
      <c r="L233" s="542"/>
      <c r="M233" s="542"/>
      <c r="N233" s="541"/>
      <c r="O233" s="541"/>
      <c r="P233" s="541"/>
      <c r="Q233" s="541"/>
      <c r="R233" s="541"/>
      <c r="S233" s="541"/>
      <c r="T233" s="541"/>
      <c r="U233" s="541"/>
      <c r="V233" s="541"/>
      <c r="W233" s="541"/>
      <c r="X233" s="541"/>
      <c r="Y233" s="541"/>
      <c r="Z233" s="541"/>
      <c r="AA233" s="541"/>
      <c r="AB233" s="542"/>
      <c r="AC233" s="542"/>
      <c r="AD233" s="542"/>
      <c r="AE233" s="542"/>
      <c r="AF233" s="542"/>
      <c r="AG233" s="542"/>
      <c r="AH233" s="542"/>
      <c r="AI233" s="542"/>
      <c r="AJ233" s="542"/>
      <c r="AK233" s="542"/>
      <c r="AL233" s="542"/>
      <c r="AM233" s="542"/>
      <c r="AN233" s="542"/>
      <c r="AO233" s="542"/>
      <c r="AP233" s="542"/>
      <c r="AQ233" s="542"/>
      <c r="AR233" s="542"/>
      <c r="AS233" s="542"/>
      <c r="AT233" s="542"/>
      <c r="AU233" s="542"/>
      <c r="AV233" s="542"/>
      <c r="AW233" s="542"/>
      <c r="AX233" s="542"/>
      <c r="AY233" s="542"/>
      <c r="AZ233" s="542"/>
      <c r="BA233" s="542"/>
      <c r="BB233" s="542"/>
      <c r="BC233" s="542"/>
      <c r="BD233" s="542"/>
      <c r="BE233" s="542"/>
      <c r="BF233" s="542"/>
      <c r="BG233" s="542"/>
      <c r="BH233" s="542"/>
      <c r="BI233" s="542"/>
      <c r="BJ233" s="542"/>
      <c r="BK233" s="542"/>
      <c r="BL233" s="542"/>
      <c r="BM233" s="542"/>
      <c r="BN233" s="542"/>
      <c r="BO233" s="542"/>
      <c r="BP233" s="542"/>
      <c r="BQ233" s="542"/>
      <c r="BR233" s="542"/>
      <c r="BS233" s="542"/>
      <c r="BT233" s="542"/>
      <c r="BU233" s="542"/>
      <c r="BV233" s="542"/>
      <c r="BW233" s="542"/>
      <c r="BX233" s="542"/>
      <c r="BY233" s="542"/>
      <c r="BZ233" s="542"/>
      <c r="CA233" s="542"/>
      <c r="CB233" s="542"/>
      <c r="CC233" s="542"/>
      <c r="CD233" s="542"/>
      <c r="CE233" s="542"/>
    </row>
    <row r="234" spans="1:83" x14ac:dyDescent="0.25">
      <c r="A234" s="640"/>
      <c r="B234" s="563">
        <v>584</v>
      </c>
      <c r="C234" s="563" t="s">
        <v>772</v>
      </c>
      <c r="D234" s="563" t="s">
        <v>773</v>
      </c>
      <c r="E234" s="543"/>
      <c r="F234" s="544"/>
      <c r="G234" s="544"/>
      <c r="H234" s="544"/>
      <c r="I234" s="544"/>
      <c r="J234" s="544"/>
      <c r="K234" s="545"/>
      <c r="L234" s="542"/>
      <c r="M234" s="542"/>
      <c r="N234" s="541"/>
      <c r="O234" s="541"/>
      <c r="P234" s="541"/>
      <c r="Q234" s="541"/>
      <c r="R234" s="541"/>
      <c r="S234" s="541"/>
      <c r="T234" s="541"/>
      <c r="U234" s="541"/>
      <c r="V234" s="541"/>
      <c r="W234" s="541"/>
      <c r="X234" s="541"/>
      <c r="Y234" s="541"/>
      <c r="Z234" s="541"/>
      <c r="AA234" s="541"/>
      <c r="AB234" s="542"/>
      <c r="AC234" s="542"/>
      <c r="AD234" s="542"/>
      <c r="AE234" s="542"/>
      <c r="AF234" s="542"/>
      <c r="AG234" s="542"/>
      <c r="AH234" s="542"/>
      <c r="AI234" s="542"/>
      <c r="AJ234" s="542"/>
      <c r="AK234" s="542"/>
      <c r="AL234" s="542"/>
      <c r="AM234" s="542"/>
      <c r="AN234" s="542"/>
      <c r="AO234" s="542"/>
      <c r="AP234" s="542"/>
      <c r="AQ234" s="542"/>
      <c r="AR234" s="542"/>
      <c r="AS234" s="542"/>
      <c r="AT234" s="542"/>
      <c r="AU234" s="542"/>
      <c r="AV234" s="542"/>
      <c r="AW234" s="542"/>
      <c r="AX234" s="542"/>
      <c r="AY234" s="542"/>
      <c r="AZ234" s="542"/>
      <c r="BA234" s="542"/>
      <c r="BB234" s="542"/>
      <c r="BC234" s="542"/>
      <c r="BD234" s="542"/>
      <c r="BE234" s="542"/>
      <c r="BF234" s="542"/>
      <c r="BG234" s="542"/>
      <c r="BH234" s="542"/>
      <c r="BI234" s="542"/>
      <c r="BJ234" s="542"/>
      <c r="BK234" s="542"/>
      <c r="BL234" s="542"/>
      <c r="BM234" s="542"/>
      <c r="BN234" s="542"/>
      <c r="BO234" s="542"/>
      <c r="BP234" s="542"/>
      <c r="BQ234" s="542"/>
      <c r="BR234" s="542"/>
      <c r="BS234" s="542"/>
      <c r="BT234" s="542"/>
      <c r="BU234" s="542"/>
      <c r="BV234" s="542"/>
      <c r="BW234" s="542"/>
      <c r="BX234" s="542"/>
      <c r="BY234" s="542"/>
      <c r="BZ234" s="542"/>
      <c r="CA234" s="542"/>
      <c r="CB234" s="542"/>
      <c r="CC234" s="542"/>
      <c r="CD234" s="542"/>
      <c r="CE234" s="542"/>
    </row>
    <row r="235" spans="1:83" x14ac:dyDescent="0.25">
      <c r="A235" s="640"/>
      <c r="B235" s="563">
        <v>585</v>
      </c>
      <c r="C235" s="563" t="s">
        <v>774</v>
      </c>
      <c r="D235" s="563" t="s">
        <v>775</v>
      </c>
      <c r="E235" s="543"/>
      <c r="F235" s="544"/>
      <c r="G235" s="544"/>
      <c r="H235" s="544"/>
      <c r="I235" s="544"/>
      <c r="J235" s="544"/>
      <c r="K235" s="545"/>
      <c r="L235" s="542"/>
      <c r="M235" s="542"/>
      <c r="N235" s="541"/>
      <c r="O235" s="541"/>
      <c r="P235" s="541"/>
      <c r="Q235" s="541"/>
      <c r="R235" s="541"/>
      <c r="S235" s="541"/>
      <c r="T235" s="541"/>
      <c r="U235" s="541"/>
      <c r="V235" s="541"/>
      <c r="W235" s="541"/>
      <c r="X235" s="541"/>
      <c r="Y235" s="541"/>
      <c r="Z235" s="541"/>
      <c r="AA235" s="541"/>
      <c r="AB235" s="542"/>
      <c r="AC235" s="542"/>
      <c r="AD235" s="542"/>
      <c r="AE235" s="542"/>
      <c r="AF235" s="542"/>
      <c r="AG235" s="542"/>
      <c r="AH235" s="542"/>
      <c r="AI235" s="542"/>
      <c r="AJ235" s="542"/>
      <c r="AK235" s="542"/>
      <c r="AL235" s="542"/>
      <c r="AM235" s="542"/>
      <c r="AN235" s="542"/>
      <c r="AO235" s="542"/>
      <c r="AP235" s="542"/>
      <c r="AQ235" s="542"/>
      <c r="AR235" s="542"/>
      <c r="AS235" s="542"/>
      <c r="AT235" s="542"/>
      <c r="AU235" s="542"/>
      <c r="AV235" s="542"/>
      <c r="AW235" s="542"/>
      <c r="AX235" s="542"/>
      <c r="AY235" s="542"/>
      <c r="AZ235" s="542"/>
      <c r="BA235" s="542"/>
      <c r="BB235" s="542"/>
      <c r="BC235" s="542"/>
      <c r="BD235" s="542"/>
      <c r="BE235" s="542"/>
      <c r="BF235" s="542"/>
      <c r="BG235" s="542"/>
      <c r="BH235" s="542"/>
      <c r="BI235" s="542"/>
      <c r="BJ235" s="542"/>
      <c r="BK235" s="542"/>
      <c r="BL235" s="542"/>
      <c r="BM235" s="542"/>
      <c r="BN235" s="542"/>
      <c r="BO235" s="542"/>
      <c r="BP235" s="542"/>
      <c r="BQ235" s="542"/>
      <c r="BR235" s="542"/>
      <c r="BS235" s="542"/>
      <c r="BT235" s="542"/>
      <c r="BU235" s="542"/>
      <c r="BV235" s="542"/>
      <c r="BW235" s="542"/>
      <c r="BX235" s="542"/>
      <c r="BY235" s="542"/>
      <c r="BZ235" s="542"/>
      <c r="CA235" s="542"/>
      <c r="CB235" s="542"/>
      <c r="CC235" s="542"/>
      <c r="CD235" s="542"/>
      <c r="CE235" s="542"/>
    </row>
    <row r="236" spans="1:83" x14ac:dyDescent="0.25">
      <c r="A236" s="640">
        <v>586</v>
      </c>
      <c r="B236" s="563">
        <v>586</v>
      </c>
      <c r="C236" s="563" t="s">
        <v>776</v>
      </c>
      <c r="D236" s="563" t="s">
        <v>777</v>
      </c>
      <c r="E236" s="543">
        <v>0</v>
      </c>
      <c r="F236" s="544">
        <v>0</v>
      </c>
      <c r="G236" s="544">
        <v>0</v>
      </c>
      <c r="H236" s="544">
        <v>0</v>
      </c>
      <c r="I236" s="544">
        <v>0</v>
      </c>
      <c r="J236" s="544">
        <v>0</v>
      </c>
      <c r="K236" s="545">
        <v>0</v>
      </c>
      <c r="L236" s="542">
        <v>0</v>
      </c>
      <c r="M236" s="542">
        <v>0</v>
      </c>
      <c r="N236" s="541">
        <v>0</v>
      </c>
      <c r="O236" s="541">
        <v>0</v>
      </c>
      <c r="P236" s="541">
        <v>0</v>
      </c>
      <c r="Q236" s="541">
        <v>0</v>
      </c>
      <c r="R236" s="541">
        <v>0</v>
      </c>
      <c r="S236" s="541">
        <v>0</v>
      </c>
      <c r="T236" s="541">
        <v>0</v>
      </c>
      <c r="U236" s="541">
        <v>0</v>
      </c>
      <c r="V236" s="541">
        <v>0</v>
      </c>
      <c r="W236" s="541">
        <v>0</v>
      </c>
      <c r="X236" s="541">
        <v>0</v>
      </c>
      <c r="Y236" s="541">
        <v>0</v>
      </c>
      <c r="Z236" s="541">
        <v>0</v>
      </c>
      <c r="AA236" s="541">
        <v>0</v>
      </c>
      <c r="AB236" s="542">
        <v>0</v>
      </c>
      <c r="AC236" s="542">
        <v>0</v>
      </c>
      <c r="AD236" s="542">
        <v>0</v>
      </c>
      <c r="AE236" s="542">
        <v>0</v>
      </c>
      <c r="AF236" s="542">
        <v>0</v>
      </c>
      <c r="AG236" s="542">
        <v>0</v>
      </c>
      <c r="AH236" s="542">
        <v>0</v>
      </c>
      <c r="AI236" s="542">
        <v>0</v>
      </c>
      <c r="AJ236" s="542">
        <v>0</v>
      </c>
      <c r="AK236" s="542">
        <v>0</v>
      </c>
      <c r="AL236" s="542">
        <v>0</v>
      </c>
      <c r="AM236" s="542">
        <v>0</v>
      </c>
      <c r="AN236" s="542">
        <v>0</v>
      </c>
      <c r="AO236" s="542">
        <v>0</v>
      </c>
      <c r="AP236" s="542">
        <v>0</v>
      </c>
      <c r="AQ236" s="542">
        <v>0</v>
      </c>
      <c r="AR236" s="542">
        <v>0</v>
      </c>
      <c r="AS236" s="542">
        <v>0</v>
      </c>
      <c r="AT236" s="542">
        <v>0</v>
      </c>
      <c r="AU236" s="542">
        <v>0</v>
      </c>
      <c r="AV236" s="542">
        <v>0</v>
      </c>
      <c r="AW236" s="542">
        <v>0</v>
      </c>
      <c r="AX236" s="542">
        <v>0</v>
      </c>
      <c r="AY236" s="542">
        <v>0</v>
      </c>
      <c r="AZ236" s="542">
        <v>0</v>
      </c>
      <c r="BA236" s="542">
        <v>0</v>
      </c>
      <c r="BB236" s="542">
        <v>0</v>
      </c>
      <c r="BC236" s="542">
        <v>0</v>
      </c>
      <c r="BD236" s="542">
        <v>0</v>
      </c>
      <c r="BE236" s="542">
        <v>0</v>
      </c>
      <c r="BF236" s="542">
        <v>0</v>
      </c>
      <c r="BG236" s="542">
        <v>0</v>
      </c>
      <c r="BH236" s="542">
        <v>0</v>
      </c>
      <c r="BI236" s="542">
        <v>0</v>
      </c>
      <c r="BJ236" s="542">
        <v>0</v>
      </c>
      <c r="BK236" s="542">
        <v>0</v>
      </c>
      <c r="BL236" s="542">
        <v>0</v>
      </c>
      <c r="BM236" s="542">
        <v>0</v>
      </c>
      <c r="BN236" s="542">
        <v>0</v>
      </c>
      <c r="BO236" s="542">
        <v>0</v>
      </c>
      <c r="BP236" s="542">
        <v>0</v>
      </c>
      <c r="BQ236" s="542">
        <v>0</v>
      </c>
      <c r="BR236" s="542">
        <v>0</v>
      </c>
      <c r="BS236" s="542">
        <v>0</v>
      </c>
      <c r="BT236" s="542">
        <v>0</v>
      </c>
      <c r="BU236" s="542">
        <v>0</v>
      </c>
      <c r="BV236" s="542">
        <v>0</v>
      </c>
      <c r="BW236" s="542">
        <v>0</v>
      </c>
      <c r="BX236" s="542">
        <v>0</v>
      </c>
      <c r="BY236" s="542">
        <v>0</v>
      </c>
      <c r="BZ236" s="542">
        <v>0</v>
      </c>
      <c r="CA236" s="542">
        <v>0</v>
      </c>
      <c r="CB236" s="542">
        <v>22799</v>
      </c>
      <c r="CC236" s="542">
        <v>0</v>
      </c>
      <c r="CD236" s="542">
        <v>0</v>
      </c>
      <c r="CE236" s="542">
        <v>0</v>
      </c>
    </row>
    <row r="237" spans="1:83" x14ac:dyDescent="0.25">
      <c r="A237" s="640"/>
      <c r="B237" s="563">
        <v>587</v>
      </c>
      <c r="C237" s="563" t="s">
        <v>778</v>
      </c>
      <c r="D237" s="563" t="s">
        <v>779</v>
      </c>
      <c r="E237" s="543"/>
      <c r="F237" s="544"/>
      <c r="G237" s="544"/>
      <c r="H237" s="544"/>
      <c r="I237" s="544"/>
      <c r="J237" s="544"/>
      <c r="K237" s="545"/>
      <c r="L237" s="542"/>
      <c r="M237" s="542"/>
      <c r="N237" s="541"/>
      <c r="O237" s="541"/>
      <c r="P237" s="541"/>
      <c r="Q237" s="541"/>
      <c r="R237" s="541"/>
      <c r="S237" s="541"/>
      <c r="T237" s="541"/>
      <c r="U237" s="541"/>
      <c r="V237" s="541"/>
      <c r="W237" s="541"/>
      <c r="X237" s="541"/>
      <c r="Y237" s="541"/>
      <c r="Z237" s="541"/>
      <c r="AA237" s="541"/>
      <c r="AB237" s="542"/>
      <c r="AC237" s="542"/>
      <c r="AD237" s="542"/>
      <c r="AE237" s="542"/>
      <c r="AF237" s="542"/>
      <c r="AG237" s="542"/>
      <c r="AH237" s="542"/>
      <c r="AI237" s="542"/>
      <c r="AJ237" s="542"/>
      <c r="AK237" s="542"/>
      <c r="AL237" s="542"/>
      <c r="AM237" s="542"/>
      <c r="AN237" s="542"/>
      <c r="AO237" s="542"/>
      <c r="AP237" s="542"/>
      <c r="AQ237" s="542"/>
      <c r="AR237" s="542"/>
      <c r="AS237" s="542"/>
      <c r="AT237" s="542"/>
      <c r="AU237" s="542"/>
      <c r="AV237" s="542"/>
      <c r="AW237" s="542"/>
      <c r="AX237" s="542"/>
      <c r="AY237" s="542"/>
      <c r="AZ237" s="542"/>
      <c r="BA237" s="542"/>
      <c r="BB237" s="542"/>
      <c r="BC237" s="542"/>
      <c r="BD237" s="542"/>
      <c r="BE237" s="542"/>
      <c r="BF237" s="542"/>
      <c r="BG237" s="542"/>
      <c r="BH237" s="542"/>
      <c r="BI237" s="542"/>
      <c r="BJ237" s="542"/>
      <c r="BK237" s="542"/>
      <c r="BL237" s="542"/>
      <c r="BM237" s="542"/>
      <c r="BN237" s="542"/>
      <c r="BO237" s="542"/>
      <c r="BP237" s="542"/>
      <c r="BQ237" s="542"/>
      <c r="BR237" s="542"/>
      <c r="BS237" s="542"/>
      <c r="BT237" s="542"/>
      <c r="BU237" s="542"/>
      <c r="BV237" s="542"/>
      <c r="BW237" s="542"/>
      <c r="BX237" s="542"/>
      <c r="BY237" s="542"/>
      <c r="BZ237" s="542"/>
      <c r="CA237" s="542"/>
      <c r="CB237" s="542"/>
      <c r="CC237" s="542"/>
      <c r="CD237" s="542"/>
      <c r="CE237" s="542"/>
    </row>
    <row r="238" spans="1:83" x14ac:dyDescent="0.25">
      <c r="A238" s="640"/>
      <c r="B238" s="563">
        <v>588</v>
      </c>
      <c r="C238" s="563" t="s">
        <v>780</v>
      </c>
      <c r="D238" s="563" t="s">
        <v>781</v>
      </c>
      <c r="E238" s="543"/>
      <c r="F238" s="544"/>
      <c r="G238" s="544"/>
      <c r="H238" s="544"/>
      <c r="I238" s="544"/>
      <c r="J238" s="544"/>
      <c r="K238" s="545"/>
      <c r="L238" s="542"/>
      <c r="M238" s="542"/>
      <c r="N238" s="541"/>
      <c r="O238" s="541"/>
      <c r="P238" s="541"/>
      <c r="Q238" s="541"/>
      <c r="R238" s="541"/>
      <c r="S238" s="541"/>
      <c r="T238" s="541"/>
      <c r="U238" s="541"/>
      <c r="V238" s="541"/>
      <c r="W238" s="541"/>
      <c r="X238" s="541"/>
      <c r="Y238" s="541"/>
      <c r="Z238" s="541"/>
      <c r="AA238" s="541"/>
      <c r="AB238" s="542"/>
      <c r="AC238" s="542"/>
      <c r="AD238" s="542"/>
      <c r="AE238" s="542"/>
      <c r="AF238" s="542"/>
      <c r="AG238" s="542"/>
      <c r="AH238" s="542"/>
      <c r="AI238" s="542"/>
      <c r="AJ238" s="542"/>
      <c r="AK238" s="542"/>
      <c r="AL238" s="542"/>
      <c r="AM238" s="542"/>
      <c r="AN238" s="542"/>
      <c r="AO238" s="542"/>
      <c r="AP238" s="542"/>
      <c r="AQ238" s="542"/>
      <c r="AR238" s="542"/>
      <c r="AS238" s="542"/>
      <c r="AT238" s="542"/>
      <c r="AU238" s="542"/>
      <c r="AV238" s="542"/>
      <c r="AW238" s="542"/>
      <c r="AX238" s="542"/>
      <c r="AY238" s="542"/>
      <c r="AZ238" s="542"/>
      <c r="BA238" s="542"/>
      <c r="BB238" s="542"/>
      <c r="BC238" s="542"/>
      <c r="BD238" s="542"/>
      <c r="BE238" s="542"/>
      <c r="BF238" s="542"/>
      <c r="BG238" s="542"/>
      <c r="BH238" s="542"/>
      <c r="BI238" s="542"/>
      <c r="BJ238" s="542"/>
      <c r="BK238" s="542"/>
      <c r="BL238" s="542"/>
      <c r="BM238" s="542"/>
      <c r="BN238" s="542"/>
      <c r="BO238" s="542"/>
      <c r="BP238" s="542"/>
      <c r="BQ238" s="542"/>
      <c r="BR238" s="542"/>
      <c r="BS238" s="542"/>
      <c r="BT238" s="542"/>
      <c r="BU238" s="542"/>
      <c r="BV238" s="542"/>
      <c r="BW238" s="542"/>
      <c r="BX238" s="542"/>
      <c r="BY238" s="542"/>
      <c r="BZ238" s="542"/>
      <c r="CA238" s="542"/>
      <c r="CB238" s="542"/>
      <c r="CC238" s="542"/>
      <c r="CD238" s="542"/>
      <c r="CE238" s="542"/>
    </row>
    <row r="239" spans="1:83" x14ac:dyDescent="0.25">
      <c r="A239" s="640"/>
      <c r="B239" s="563">
        <v>589</v>
      </c>
      <c r="C239" s="563" t="s">
        <v>782</v>
      </c>
      <c r="D239" s="563" t="s">
        <v>783</v>
      </c>
      <c r="E239" s="543"/>
      <c r="F239" s="544"/>
      <c r="G239" s="544"/>
      <c r="H239" s="544"/>
      <c r="I239" s="544"/>
      <c r="J239" s="544"/>
      <c r="K239" s="545"/>
      <c r="L239" s="542"/>
      <c r="M239" s="542"/>
      <c r="N239" s="541"/>
      <c r="O239" s="541"/>
      <c r="P239" s="541"/>
      <c r="Q239" s="541"/>
      <c r="R239" s="541"/>
      <c r="S239" s="541"/>
      <c r="T239" s="541"/>
      <c r="U239" s="541"/>
      <c r="V239" s="541"/>
      <c r="W239" s="541"/>
      <c r="X239" s="541"/>
      <c r="Y239" s="541"/>
      <c r="Z239" s="541"/>
      <c r="AA239" s="541"/>
      <c r="AB239" s="542"/>
      <c r="AC239" s="542"/>
      <c r="AD239" s="542"/>
      <c r="AE239" s="542"/>
      <c r="AF239" s="542"/>
      <c r="AG239" s="542"/>
      <c r="AH239" s="542"/>
      <c r="AI239" s="542"/>
      <c r="AJ239" s="542"/>
      <c r="AK239" s="542"/>
      <c r="AL239" s="542"/>
      <c r="AM239" s="542"/>
      <c r="AN239" s="542"/>
      <c r="AO239" s="542"/>
      <c r="AP239" s="542"/>
      <c r="AQ239" s="542"/>
      <c r="AR239" s="542"/>
      <c r="AS239" s="542"/>
      <c r="AT239" s="542"/>
      <c r="AU239" s="542"/>
      <c r="AV239" s="542"/>
      <c r="AW239" s="542"/>
      <c r="AX239" s="542"/>
      <c r="AY239" s="542"/>
      <c r="AZ239" s="542"/>
      <c r="BA239" s="542"/>
      <c r="BB239" s="542"/>
      <c r="BC239" s="542"/>
      <c r="BD239" s="542"/>
      <c r="BE239" s="542"/>
      <c r="BF239" s="542"/>
      <c r="BG239" s="542"/>
      <c r="BH239" s="542"/>
      <c r="BI239" s="542"/>
      <c r="BJ239" s="542"/>
      <c r="BK239" s="542"/>
      <c r="BL239" s="542"/>
      <c r="BM239" s="542"/>
      <c r="BN239" s="542"/>
      <c r="BO239" s="542"/>
      <c r="BP239" s="542"/>
      <c r="BQ239" s="542"/>
      <c r="BR239" s="542"/>
      <c r="BS239" s="542"/>
      <c r="BT239" s="542"/>
      <c r="BU239" s="542"/>
      <c r="BV239" s="542"/>
      <c r="BW239" s="542"/>
      <c r="BX239" s="542"/>
      <c r="BY239" s="542"/>
      <c r="BZ239" s="542"/>
      <c r="CA239" s="542"/>
      <c r="CB239" s="542"/>
      <c r="CC239" s="542"/>
      <c r="CD239" s="542"/>
      <c r="CE239" s="542"/>
    </row>
    <row r="240" spans="1:83" x14ac:dyDescent="0.25">
      <c r="A240" s="640"/>
      <c r="B240" s="563">
        <v>590</v>
      </c>
      <c r="C240" s="581" t="s">
        <v>784</v>
      </c>
      <c r="D240" s="563" t="s">
        <v>785</v>
      </c>
      <c r="E240" s="543"/>
      <c r="F240" s="544"/>
      <c r="G240" s="544"/>
      <c r="H240" s="544"/>
      <c r="I240" s="544"/>
      <c r="J240" s="544"/>
      <c r="K240" s="545"/>
      <c r="L240" s="542"/>
      <c r="M240" s="542"/>
      <c r="N240" s="541"/>
      <c r="O240" s="541"/>
      <c r="P240" s="541"/>
      <c r="Q240" s="541"/>
      <c r="R240" s="541"/>
      <c r="S240" s="541"/>
      <c r="T240" s="541"/>
      <c r="U240" s="541"/>
      <c r="V240" s="541"/>
      <c r="W240" s="541"/>
      <c r="X240" s="541"/>
      <c r="Y240" s="541"/>
      <c r="Z240" s="541"/>
      <c r="AA240" s="541"/>
      <c r="AB240" s="542"/>
      <c r="AC240" s="542"/>
      <c r="AD240" s="542"/>
      <c r="AE240" s="542"/>
      <c r="AF240" s="542"/>
      <c r="AG240" s="542"/>
      <c r="AH240" s="542"/>
      <c r="AI240" s="542"/>
      <c r="AJ240" s="542"/>
      <c r="AK240" s="542"/>
      <c r="AL240" s="542"/>
      <c r="AM240" s="542"/>
      <c r="AN240" s="542"/>
      <c r="AO240" s="542"/>
      <c r="AP240" s="542"/>
      <c r="AQ240" s="542"/>
      <c r="AR240" s="542"/>
      <c r="AS240" s="542"/>
      <c r="AT240" s="542"/>
      <c r="AU240" s="542"/>
      <c r="AV240" s="542"/>
      <c r="AW240" s="542"/>
      <c r="AX240" s="542"/>
      <c r="AY240" s="542"/>
      <c r="AZ240" s="542"/>
      <c r="BA240" s="542"/>
      <c r="BB240" s="542"/>
      <c r="BC240" s="542"/>
      <c r="BD240" s="542"/>
      <c r="BE240" s="542"/>
      <c r="BF240" s="542"/>
      <c r="BG240" s="542"/>
      <c r="BH240" s="542"/>
      <c r="BI240" s="542"/>
      <c r="BJ240" s="542"/>
      <c r="BK240" s="542"/>
      <c r="BL240" s="542"/>
      <c r="BM240" s="542"/>
      <c r="BN240" s="542"/>
      <c r="BO240" s="542"/>
      <c r="BP240" s="542"/>
      <c r="BQ240" s="542"/>
      <c r="BR240" s="542"/>
      <c r="BS240" s="542"/>
      <c r="BT240" s="542"/>
      <c r="BU240" s="542"/>
      <c r="BV240" s="542"/>
      <c r="BW240" s="542"/>
      <c r="BX240" s="542"/>
      <c r="BY240" s="542"/>
      <c r="BZ240" s="542"/>
      <c r="CA240" s="542"/>
      <c r="CB240" s="542"/>
      <c r="CC240" s="542"/>
      <c r="CD240" s="542"/>
      <c r="CE240" s="542"/>
    </row>
    <row r="241" spans="1:89" x14ac:dyDescent="0.25">
      <c r="A241" s="640"/>
      <c r="B241" s="579">
        <v>992</v>
      </c>
      <c r="C241" s="580"/>
      <c r="D241" s="537" t="s">
        <v>719</v>
      </c>
      <c r="E241" s="543"/>
      <c r="F241" s="544"/>
      <c r="G241" s="544"/>
      <c r="H241" s="544"/>
      <c r="I241" s="544"/>
      <c r="J241" s="544"/>
      <c r="K241" s="545"/>
      <c r="L241" s="542"/>
      <c r="M241" s="542"/>
      <c r="N241" s="541"/>
      <c r="O241" s="541"/>
      <c r="P241" s="541"/>
      <c r="Q241" s="541"/>
      <c r="R241" s="541"/>
      <c r="S241" s="541"/>
      <c r="T241" s="541"/>
      <c r="U241" s="541"/>
      <c r="V241" s="541"/>
      <c r="W241" s="541"/>
      <c r="X241" s="541"/>
      <c r="Y241" s="541"/>
      <c r="Z241" s="541"/>
      <c r="AA241" s="541"/>
      <c r="AB241" s="542"/>
      <c r="AC241" s="542"/>
      <c r="AD241" s="542"/>
      <c r="AE241" s="542"/>
      <c r="AF241" s="542"/>
      <c r="AG241" s="542"/>
      <c r="AH241" s="542"/>
      <c r="AI241" s="542"/>
      <c r="AJ241" s="542"/>
      <c r="AK241" s="542"/>
      <c r="AL241" s="542"/>
      <c r="AM241" s="542"/>
      <c r="AN241" s="542"/>
      <c r="AO241" s="542"/>
      <c r="AP241" s="542"/>
      <c r="AQ241" s="542"/>
      <c r="AR241" s="542"/>
      <c r="AS241" s="542"/>
      <c r="AT241" s="542"/>
      <c r="AU241" s="542"/>
      <c r="AV241" s="542"/>
      <c r="AW241" s="542"/>
      <c r="AX241" s="542"/>
      <c r="AY241" s="542"/>
      <c r="AZ241" s="542"/>
      <c r="BA241" s="542"/>
      <c r="BB241" s="542"/>
      <c r="BC241" s="542"/>
      <c r="BD241" s="542"/>
      <c r="BE241" s="542"/>
      <c r="BF241" s="542"/>
      <c r="BG241" s="542"/>
      <c r="BH241" s="542"/>
      <c r="BI241" s="542"/>
      <c r="BJ241" s="542"/>
      <c r="BK241" s="542"/>
      <c r="BL241" s="542"/>
      <c r="BM241" s="542"/>
      <c r="BN241" s="542"/>
      <c r="BO241" s="542"/>
      <c r="BP241" s="542"/>
      <c r="BQ241" s="542"/>
      <c r="BR241" s="542"/>
      <c r="BS241" s="542"/>
      <c r="BT241" s="542"/>
      <c r="BU241" s="542"/>
      <c r="BV241" s="542"/>
      <c r="BW241" s="542"/>
      <c r="BX241" s="542"/>
      <c r="BY241" s="542"/>
      <c r="BZ241" s="542"/>
      <c r="CA241" s="542"/>
      <c r="CB241" s="542"/>
      <c r="CC241" s="542"/>
      <c r="CD241" s="542"/>
      <c r="CE241" s="542"/>
      <c r="CF241" s="537"/>
      <c r="CG241" s="537"/>
      <c r="CH241" s="537"/>
      <c r="CI241" s="537"/>
      <c r="CJ241" s="537"/>
      <c r="CK241" s="537"/>
    </row>
    <row r="242" spans="1:89" x14ac:dyDescent="0.25">
      <c r="A242" s="537"/>
      <c r="B242" s="571">
        <v>993</v>
      </c>
      <c r="C242" s="536" t="s">
        <v>596</v>
      </c>
      <c r="D242" s="537" t="s">
        <v>597</v>
      </c>
      <c r="E242" s="543"/>
      <c r="F242" s="544"/>
      <c r="G242" s="544"/>
      <c r="H242" s="544"/>
      <c r="I242" s="544"/>
      <c r="J242" s="544"/>
      <c r="K242" s="545"/>
      <c r="L242" s="542"/>
      <c r="M242" s="542"/>
      <c r="N242" s="541"/>
      <c r="O242" s="541"/>
      <c r="P242" s="541"/>
      <c r="Q242" s="541"/>
      <c r="R242" s="541"/>
      <c r="S242" s="541"/>
      <c r="T242" s="541"/>
      <c r="U242" s="541"/>
      <c r="V242" s="541"/>
      <c r="W242" s="541"/>
      <c r="X242" s="541"/>
      <c r="Y242" s="541"/>
      <c r="Z242" s="541"/>
      <c r="AA242" s="541"/>
      <c r="AB242" s="542"/>
      <c r="AC242" s="542"/>
      <c r="AD242" s="542"/>
      <c r="AE242" s="542"/>
      <c r="AF242" s="542"/>
      <c r="AG242" s="542"/>
      <c r="AH242" s="542"/>
      <c r="AI242" s="542"/>
      <c r="AJ242" s="542"/>
      <c r="AK242" s="542"/>
      <c r="AL242" s="542"/>
      <c r="AM242" s="542"/>
      <c r="AN242" s="542"/>
      <c r="AO242" s="542"/>
      <c r="AP242" s="542"/>
      <c r="AQ242" s="542"/>
      <c r="AR242" s="542"/>
      <c r="AS242" s="542"/>
      <c r="AT242" s="542"/>
      <c r="AU242" s="542"/>
      <c r="AV242" s="542"/>
      <c r="AW242" s="542"/>
      <c r="AX242" s="542"/>
      <c r="AY242" s="542"/>
      <c r="AZ242" s="542"/>
      <c r="BA242" s="542"/>
      <c r="BB242" s="542"/>
      <c r="BC242" s="542"/>
      <c r="BD242" s="542"/>
      <c r="BE242" s="542"/>
      <c r="BF242" s="542"/>
      <c r="BG242" s="542"/>
      <c r="BH242" s="542"/>
      <c r="BI242" s="542"/>
      <c r="BJ242" s="542"/>
      <c r="BK242" s="542"/>
      <c r="BL242" s="542"/>
      <c r="BM242" s="542"/>
      <c r="BN242" s="542"/>
      <c r="BO242" s="542"/>
      <c r="BP242" s="542"/>
      <c r="BQ242" s="542"/>
      <c r="BR242" s="542"/>
      <c r="BS242" s="542"/>
      <c r="BT242" s="542"/>
      <c r="BU242" s="542"/>
      <c r="BV242" s="542"/>
      <c r="BW242" s="542"/>
      <c r="BX242" s="542"/>
      <c r="BY242" s="542"/>
      <c r="BZ242" s="542"/>
      <c r="CA242" s="542"/>
      <c r="CB242" s="542"/>
      <c r="CC242" s="542"/>
      <c r="CD242" s="542"/>
      <c r="CE242" s="542"/>
      <c r="CF242" s="582"/>
      <c r="CG242" s="582"/>
      <c r="CH242" s="582"/>
      <c r="CI242" s="582"/>
      <c r="CJ242" s="582"/>
      <c r="CK242" s="582"/>
    </row>
    <row r="243" spans="1:89" ht="30" x14ac:dyDescent="0.25">
      <c r="A243" s="535"/>
      <c r="B243" s="571">
        <v>994</v>
      </c>
      <c r="C243" s="536" t="s">
        <v>598</v>
      </c>
      <c r="D243" s="537" t="s">
        <v>599</v>
      </c>
      <c r="E243" s="543"/>
      <c r="F243" s="544"/>
      <c r="G243" s="544"/>
      <c r="H243" s="544"/>
      <c r="I243" s="544"/>
      <c r="J243" s="544"/>
      <c r="K243" s="545"/>
      <c r="L243" s="542"/>
      <c r="M243" s="542"/>
      <c r="N243" s="541"/>
      <c r="O243" s="541"/>
      <c r="P243" s="541"/>
      <c r="Q243" s="541"/>
      <c r="R243" s="541"/>
      <c r="S243" s="541"/>
      <c r="T243" s="541"/>
      <c r="U243" s="541"/>
      <c r="V243" s="541"/>
      <c r="W243" s="541"/>
      <c r="X243" s="541"/>
      <c r="Y243" s="541"/>
      <c r="Z243" s="541"/>
      <c r="AA243" s="541"/>
      <c r="AB243" s="542"/>
      <c r="AC243" s="542"/>
      <c r="AD243" s="542"/>
      <c r="AE243" s="542"/>
      <c r="AF243" s="542"/>
      <c r="AG243" s="542"/>
      <c r="AH243" s="542"/>
      <c r="AI243" s="542"/>
      <c r="AJ243" s="542"/>
      <c r="AK243" s="542"/>
      <c r="AL243" s="542"/>
      <c r="AM243" s="542"/>
      <c r="AN243" s="542"/>
      <c r="AO243" s="542"/>
      <c r="AP243" s="542"/>
      <c r="AQ243" s="542"/>
      <c r="AR243" s="542"/>
      <c r="AS243" s="542"/>
      <c r="AT243" s="542"/>
      <c r="AU243" s="542"/>
      <c r="AV243" s="542"/>
      <c r="AW243" s="542"/>
      <c r="AX243" s="542"/>
      <c r="AY243" s="542"/>
      <c r="AZ243" s="542"/>
      <c r="BA243" s="542"/>
      <c r="BB243" s="542"/>
      <c r="BC243" s="542"/>
      <c r="BD243" s="542"/>
      <c r="BE243" s="542"/>
      <c r="BF243" s="542"/>
      <c r="BG243" s="542"/>
      <c r="BH243" s="542"/>
      <c r="BI243" s="542"/>
      <c r="BJ243" s="542"/>
      <c r="BK243" s="542"/>
      <c r="BL243" s="542"/>
      <c r="BM243" s="542"/>
      <c r="BN243" s="542"/>
      <c r="BO243" s="542"/>
      <c r="BP243" s="542"/>
      <c r="BQ243" s="542"/>
      <c r="BR243" s="542"/>
      <c r="BS243" s="542"/>
      <c r="BT243" s="542"/>
      <c r="BU243" s="542"/>
      <c r="BV243" s="542"/>
      <c r="BW243" s="542"/>
      <c r="BX243" s="542"/>
      <c r="BY243" s="542"/>
      <c r="BZ243" s="542"/>
      <c r="CA243" s="542"/>
      <c r="CB243" s="542"/>
      <c r="CC243" s="542"/>
      <c r="CD243" s="542"/>
      <c r="CE243" s="542"/>
      <c r="CF243" s="582"/>
      <c r="CG243" s="582"/>
      <c r="CH243" s="582"/>
      <c r="CI243" s="582"/>
      <c r="CJ243" s="582"/>
      <c r="CK243" s="582"/>
    </row>
    <row r="244" spans="1:89" ht="30" x14ac:dyDescent="0.25">
      <c r="A244" s="537"/>
      <c r="B244" s="623">
        <v>995</v>
      </c>
      <c r="C244" s="596" t="s">
        <v>600</v>
      </c>
      <c r="D244" s="614" t="s">
        <v>601</v>
      </c>
      <c r="E244" s="619">
        <v>0</v>
      </c>
      <c r="F244" s="602">
        <v>0</v>
      </c>
      <c r="G244" s="602">
        <v>0</v>
      </c>
      <c r="H244" s="602">
        <v>0</v>
      </c>
      <c r="I244" s="602">
        <v>0</v>
      </c>
      <c r="J244" s="602">
        <v>0</v>
      </c>
      <c r="K244" s="601">
        <v>0</v>
      </c>
      <c r="L244" s="600">
        <v>0</v>
      </c>
      <c r="M244" s="600">
        <v>0</v>
      </c>
      <c r="N244" s="613">
        <v>0</v>
      </c>
      <c r="O244" s="613">
        <v>0</v>
      </c>
      <c r="P244" s="613">
        <v>0</v>
      </c>
      <c r="Q244" s="613">
        <v>0</v>
      </c>
      <c r="R244" s="613">
        <v>7.0000000000000007E-2</v>
      </c>
      <c r="S244" s="613">
        <v>0</v>
      </c>
      <c r="T244" s="613">
        <v>0</v>
      </c>
      <c r="U244" s="613">
        <v>0</v>
      </c>
      <c r="V244" s="613">
        <v>0</v>
      </c>
      <c r="W244" s="613">
        <v>7.0000000000000007E-2</v>
      </c>
      <c r="X244" s="613">
        <v>0</v>
      </c>
      <c r="Y244" s="613">
        <v>0</v>
      </c>
      <c r="Z244" s="613">
        <v>0</v>
      </c>
      <c r="AA244" s="613">
        <v>0</v>
      </c>
      <c r="AB244" s="600">
        <v>0</v>
      </c>
      <c r="AC244" s="600">
        <v>0</v>
      </c>
      <c r="AD244" s="600">
        <v>0</v>
      </c>
      <c r="AE244" s="600">
        <v>0</v>
      </c>
      <c r="AF244" s="600">
        <v>0</v>
      </c>
      <c r="AG244" s="600">
        <v>0</v>
      </c>
      <c r="AH244" s="600">
        <v>0</v>
      </c>
      <c r="AI244" s="600">
        <v>0</v>
      </c>
      <c r="AJ244" s="600">
        <v>0.08</v>
      </c>
      <c r="AK244" s="600">
        <v>0</v>
      </c>
      <c r="AL244" s="600">
        <v>0</v>
      </c>
      <c r="AM244" s="600">
        <v>0</v>
      </c>
      <c r="AN244" s="600">
        <v>7.0000000000000007E-2</v>
      </c>
      <c r="AO244" s="600">
        <v>0</v>
      </c>
      <c r="AP244" s="600">
        <v>0</v>
      </c>
      <c r="AQ244" s="600">
        <v>0</v>
      </c>
      <c r="AR244" s="600">
        <v>0</v>
      </c>
      <c r="AS244" s="600">
        <v>0</v>
      </c>
      <c r="AT244" s="600">
        <v>0</v>
      </c>
      <c r="AU244" s="600">
        <v>0</v>
      </c>
      <c r="AV244" s="600">
        <v>0.09</v>
      </c>
      <c r="AW244" s="600">
        <v>0</v>
      </c>
      <c r="AX244" s="600">
        <v>0</v>
      </c>
      <c r="AY244" s="600">
        <v>0</v>
      </c>
      <c r="AZ244" s="600">
        <v>0</v>
      </c>
      <c r="BA244" s="600">
        <v>0</v>
      </c>
      <c r="BB244" s="600">
        <v>0</v>
      </c>
      <c r="BC244" s="600">
        <v>0</v>
      </c>
      <c r="BD244" s="600">
        <v>0</v>
      </c>
      <c r="BE244" s="600">
        <v>0</v>
      </c>
      <c r="BF244" s="600">
        <v>0</v>
      </c>
      <c r="BG244" s="600">
        <v>0</v>
      </c>
      <c r="BH244" s="600">
        <v>0</v>
      </c>
      <c r="BI244" s="600">
        <v>0</v>
      </c>
      <c r="BJ244" s="600">
        <v>0</v>
      </c>
      <c r="BK244" s="600">
        <v>0</v>
      </c>
      <c r="BL244" s="600">
        <v>0</v>
      </c>
      <c r="BM244" s="600">
        <v>0.08</v>
      </c>
      <c r="BN244" s="600">
        <v>0</v>
      </c>
      <c r="BO244" s="600">
        <v>0</v>
      </c>
      <c r="BP244" s="600">
        <v>0</v>
      </c>
      <c r="BQ244" s="600">
        <v>0</v>
      </c>
      <c r="BR244" s="600">
        <v>0</v>
      </c>
      <c r="BS244" s="600">
        <v>0.09</v>
      </c>
      <c r="BT244" s="600">
        <v>7.0000000000000007E-2</v>
      </c>
      <c r="BU244" s="600">
        <v>0</v>
      </c>
      <c r="BV244" s="600">
        <v>0</v>
      </c>
      <c r="BW244" s="600">
        <v>0</v>
      </c>
      <c r="BX244" s="600">
        <v>0</v>
      </c>
      <c r="BY244" s="600">
        <v>0</v>
      </c>
      <c r="BZ244" s="600">
        <v>0</v>
      </c>
      <c r="CA244" s="600">
        <v>0</v>
      </c>
      <c r="CB244" s="600">
        <v>0</v>
      </c>
      <c r="CC244" s="600">
        <v>0</v>
      </c>
      <c r="CD244" s="600">
        <v>0</v>
      </c>
      <c r="CE244" s="600">
        <v>0</v>
      </c>
      <c r="CF244" s="600"/>
      <c r="CG244" s="600"/>
      <c r="CH244" s="600"/>
      <c r="CI244" s="600"/>
      <c r="CJ244" s="600"/>
      <c r="CK244" s="600"/>
    </row>
    <row r="245" spans="1:89" ht="30" x14ac:dyDescent="0.25">
      <c r="A245" s="537"/>
      <c r="B245" s="623">
        <v>996</v>
      </c>
      <c r="C245" s="596" t="s">
        <v>602</v>
      </c>
      <c r="D245" s="614" t="s">
        <v>603</v>
      </c>
      <c r="E245" s="619">
        <v>0.01</v>
      </c>
      <c r="F245" s="602">
        <v>0</v>
      </c>
      <c r="G245" s="602">
        <v>0.01</v>
      </c>
      <c r="H245" s="602">
        <v>0</v>
      </c>
      <c r="I245" s="602">
        <v>0</v>
      </c>
      <c r="J245" s="602">
        <v>0</v>
      </c>
      <c r="K245" s="601">
        <v>0.01</v>
      </c>
      <c r="L245" s="600">
        <v>0</v>
      </c>
      <c r="M245" s="600">
        <v>0</v>
      </c>
      <c r="N245" s="613">
        <v>0</v>
      </c>
      <c r="O245" s="613">
        <v>0</v>
      </c>
      <c r="P245" s="613">
        <v>0.01</v>
      </c>
      <c r="Q245" s="613">
        <v>0</v>
      </c>
      <c r="R245" s="613">
        <v>0.01</v>
      </c>
      <c r="S245" s="613">
        <v>0.01</v>
      </c>
      <c r="T245" s="613">
        <v>0</v>
      </c>
      <c r="U245" s="613">
        <v>0.01</v>
      </c>
      <c r="V245" s="613">
        <v>0.01</v>
      </c>
      <c r="W245" s="613">
        <v>0.01</v>
      </c>
      <c r="X245" s="613">
        <v>0</v>
      </c>
      <c r="Y245" s="613">
        <v>0.01</v>
      </c>
      <c r="Z245" s="613">
        <v>0.01</v>
      </c>
      <c r="AA245" s="613">
        <v>0.01</v>
      </c>
      <c r="AB245" s="600">
        <v>0.01</v>
      </c>
      <c r="AC245" s="600">
        <v>0.01</v>
      </c>
      <c r="AD245" s="600">
        <v>0.01</v>
      </c>
      <c r="AE245" s="600">
        <v>0.01</v>
      </c>
      <c r="AF245" s="600">
        <v>0.01</v>
      </c>
      <c r="AG245" s="600">
        <v>0.01</v>
      </c>
      <c r="AH245" s="600">
        <v>0.01</v>
      </c>
      <c r="AI245" s="600">
        <v>0.01</v>
      </c>
      <c r="AJ245" s="600">
        <v>0.01</v>
      </c>
      <c r="AK245" s="600">
        <v>0.01</v>
      </c>
      <c r="AL245" s="600">
        <v>0.01</v>
      </c>
      <c r="AM245" s="600">
        <v>0.01</v>
      </c>
      <c r="AN245" s="600">
        <v>0.01</v>
      </c>
      <c r="AO245" s="600">
        <v>0.01</v>
      </c>
      <c r="AP245" s="600">
        <v>0.01</v>
      </c>
      <c r="AQ245" s="600">
        <v>0</v>
      </c>
      <c r="AR245" s="600">
        <v>0</v>
      </c>
      <c r="AS245" s="600">
        <v>0.01</v>
      </c>
      <c r="AT245" s="600">
        <v>0.01</v>
      </c>
      <c r="AU245" s="600">
        <v>0.01</v>
      </c>
      <c r="AV245" s="600">
        <v>0</v>
      </c>
      <c r="AW245" s="600">
        <v>0.01</v>
      </c>
      <c r="AX245" s="600">
        <v>0</v>
      </c>
      <c r="AY245" s="600">
        <v>0.01</v>
      </c>
      <c r="AZ245" s="600">
        <v>0.01</v>
      </c>
      <c r="BA245" s="600">
        <v>0.01</v>
      </c>
      <c r="BB245" s="600">
        <v>0.01</v>
      </c>
      <c r="BC245" s="600">
        <v>0</v>
      </c>
      <c r="BD245" s="600">
        <v>0.01</v>
      </c>
      <c r="BE245" s="600">
        <v>0.01</v>
      </c>
      <c r="BF245" s="600">
        <v>0</v>
      </c>
      <c r="BG245" s="600">
        <v>0.01</v>
      </c>
      <c r="BH245" s="600">
        <v>0.01</v>
      </c>
      <c r="BI245" s="600">
        <v>0</v>
      </c>
      <c r="BJ245" s="600">
        <v>0.01</v>
      </c>
      <c r="BK245" s="600">
        <v>0</v>
      </c>
      <c r="BL245" s="600">
        <v>0.01</v>
      </c>
      <c r="BM245" s="600">
        <v>0.01</v>
      </c>
      <c r="BN245" s="600">
        <v>0.01</v>
      </c>
      <c r="BO245" s="600">
        <v>0.01</v>
      </c>
      <c r="BP245" s="600">
        <v>0.01</v>
      </c>
      <c r="BQ245" s="600">
        <v>0.01</v>
      </c>
      <c r="BR245" s="600">
        <v>0</v>
      </c>
      <c r="BS245" s="600">
        <v>0.01</v>
      </c>
      <c r="BT245" s="600">
        <v>0</v>
      </c>
      <c r="BU245" s="600">
        <v>0.01</v>
      </c>
      <c r="BV245" s="600">
        <v>0.01</v>
      </c>
      <c r="BW245" s="600">
        <v>0</v>
      </c>
      <c r="BX245" s="600">
        <v>0.01</v>
      </c>
      <c r="BY245" s="600">
        <v>0.01</v>
      </c>
      <c r="BZ245" s="600">
        <v>0.01</v>
      </c>
      <c r="CA245" s="600">
        <v>0.01</v>
      </c>
      <c r="CB245" s="600">
        <v>0.01</v>
      </c>
      <c r="CC245" s="600">
        <v>0.01</v>
      </c>
      <c r="CD245" s="600">
        <v>0</v>
      </c>
      <c r="CE245" s="600">
        <v>0.01</v>
      </c>
      <c r="CF245" s="600"/>
      <c r="CG245" s="600"/>
      <c r="CH245" s="600"/>
      <c r="CI245" s="600"/>
      <c r="CJ245" s="600"/>
      <c r="CK245" s="600"/>
    </row>
    <row r="246" spans="1:89" x14ac:dyDescent="0.25">
      <c r="A246" s="537"/>
      <c r="B246" s="623">
        <v>997</v>
      </c>
      <c r="C246" s="596"/>
      <c r="D246" s="614"/>
      <c r="E246" s="619"/>
      <c r="F246" s="602"/>
      <c r="G246" s="602"/>
      <c r="H246" s="602"/>
      <c r="I246" s="602"/>
      <c r="J246" s="602"/>
      <c r="K246" s="601"/>
      <c r="L246" s="600"/>
      <c r="M246" s="600"/>
      <c r="N246" s="613"/>
      <c r="O246" s="613"/>
      <c r="P246" s="613"/>
      <c r="Q246" s="613"/>
      <c r="R246" s="613"/>
      <c r="S246" s="613"/>
      <c r="T246" s="613"/>
      <c r="U246" s="613"/>
      <c r="V246" s="613"/>
      <c r="W246" s="613"/>
      <c r="X246" s="613"/>
      <c r="Y246" s="613"/>
      <c r="Z246" s="613"/>
      <c r="AA246" s="613"/>
      <c r="AB246" s="600"/>
      <c r="AC246" s="600"/>
      <c r="AD246" s="600"/>
      <c r="AE246" s="600"/>
      <c r="AF246" s="600"/>
      <c r="AG246" s="600"/>
      <c r="AH246" s="600"/>
      <c r="AI246" s="600"/>
      <c r="AJ246" s="600"/>
      <c r="AK246" s="600"/>
      <c r="AL246" s="600"/>
      <c r="AM246" s="600"/>
      <c r="AN246" s="600"/>
      <c r="AO246" s="600"/>
      <c r="AP246" s="600"/>
      <c r="AQ246" s="600"/>
      <c r="AR246" s="600"/>
      <c r="AS246" s="600"/>
      <c r="AT246" s="600"/>
      <c r="AU246" s="600"/>
      <c r="AV246" s="600"/>
      <c r="AW246" s="600"/>
      <c r="AX246" s="600"/>
      <c r="AY246" s="600"/>
      <c r="AZ246" s="600"/>
      <c r="BA246" s="600"/>
      <c r="BB246" s="600"/>
      <c r="BC246" s="600"/>
      <c r="BD246" s="600"/>
      <c r="BE246" s="600"/>
      <c r="BF246" s="600"/>
      <c r="BG246" s="600"/>
      <c r="BH246" s="600"/>
      <c r="BI246" s="600"/>
      <c r="BJ246" s="600"/>
      <c r="BK246" s="600"/>
      <c r="BL246" s="600"/>
      <c r="BM246" s="600"/>
      <c r="BN246" s="600"/>
      <c r="BO246" s="600"/>
      <c r="BP246" s="600"/>
      <c r="BQ246" s="600"/>
      <c r="BR246" s="600"/>
      <c r="BS246" s="600"/>
      <c r="BT246" s="600"/>
      <c r="BU246" s="600"/>
      <c r="BV246" s="600"/>
      <c r="BW246" s="600"/>
      <c r="BX246" s="600"/>
      <c r="BY246" s="600"/>
      <c r="BZ246" s="600"/>
      <c r="CA246" s="600"/>
      <c r="CB246" s="600"/>
      <c r="CC246" s="600"/>
      <c r="CD246" s="600"/>
      <c r="CE246" s="600"/>
      <c r="CF246" s="600"/>
      <c r="CG246" s="600"/>
      <c r="CH246" s="600"/>
      <c r="CI246" s="600"/>
      <c r="CJ246" s="600"/>
      <c r="CK246" s="600"/>
    </row>
    <row r="247" spans="1:89" x14ac:dyDescent="0.25">
      <c r="A247" s="537"/>
      <c r="B247" s="623">
        <v>998</v>
      </c>
      <c r="C247" s="611" t="s">
        <v>374</v>
      </c>
      <c r="D247" s="617" t="s">
        <v>604</v>
      </c>
      <c r="E247" s="621">
        <v>50</v>
      </c>
      <c r="F247" s="610">
        <v>50</v>
      </c>
      <c r="G247" s="610">
        <v>50</v>
      </c>
      <c r="H247" s="610">
        <v>50</v>
      </c>
      <c r="I247" s="610">
        <v>50</v>
      </c>
      <c r="J247" s="610">
        <v>50</v>
      </c>
      <c r="K247" s="609">
        <v>50</v>
      </c>
      <c r="L247" s="608">
        <v>50</v>
      </c>
      <c r="M247" s="608">
        <v>50</v>
      </c>
      <c r="N247" s="588">
        <v>50</v>
      </c>
      <c r="O247" s="588">
        <v>50</v>
      </c>
      <c r="P247" s="588">
        <v>50</v>
      </c>
      <c r="Q247" s="588">
        <v>50</v>
      </c>
      <c r="R247" s="588">
        <v>50</v>
      </c>
      <c r="S247" s="588">
        <v>50</v>
      </c>
      <c r="T247" s="588">
        <v>50</v>
      </c>
      <c r="U247" s="588">
        <v>50</v>
      </c>
      <c r="V247" s="588">
        <v>50</v>
      </c>
      <c r="W247" s="588">
        <v>50</v>
      </c>
      <c r="X247" s="588">
        <v>50</v>
      </c>
      <c r="Y247" s="588">
        <v>50</v>
      </c>
      <c r="Z247" s="588">
        <v>50</v>
      </c>
      <c r="AA247" s="588">
        <v>50</v>
      </c>
      <c r="AB247" s="608">
        <v>50</v>
      </c>
      <c r="AC247" s="608">
        <v>50</v>
      </c>
      <c r="AD247" s="608">
        <v>50</v>
      </c>
      <c r="AE247" s="608">
        <v>50</v>
      </c>
      <c r="AF247" s="608">
        <v>50</v>
      </c>
      <c r="AG247" s="608">
        <v>50</v>
      </c>
      <c r="AH247" s="608">
        <v>50</v>
      </c>
      <c r="AI247" s="608">
        <v>50</v>
      </c>
      <c r="AJ247" s="608">
        <v>50</v>
      </c>
      <c r="AK247" s="608">
        <v>50</v>
      </c>
      <c r="AL247" s="608">
        <v>50</v>
      </c>
      <c r="AM247" s="608">
        <v>50</v>
      </c>
      <c r="AN247" s="608">
        <v>50</v>
      </c>
      <c r="AO247" s="608">
        <v>50</v>
      </c>
      <c r="AP247" s="608">
        <v>50</v>
      </c>
      <c r="AQ247" s="608">
        <v>50</v>
      </c>
      <c r="AR247" s="608">
        <v>50</v>
      </c>
      <c r="AS247" s="608">
        <v>50</v>
      </c>
      <c r="AT247" s="608">
        <v>50</v>
      </c>
      <c r="AU247" s="608">
        <v>50</v>
      </c>
      <c r="AV247" s="608">
        <v>50</v>
      </c>
      <c r="AW247" s="608">
        <v>50</v>
      </c>
      <c r="AX247" s="608">
        <v>50</v>
      </c>
      <c r="AY247" s="608">
        <v>50</v>
      </c>
      <c r="AZ247" s="608">
        <v>50</v>
      </c>
      <c r="BA247" s="608">
        <v>50</v>
      </c>
      <c r="BB247" s="608">
        <v>50</v>
      </c>
      <c r="BC247" s="608">
        <v>50</v>
      </c>
      <c r="BD247" s="608">
        <v>50</v>
      </c>
      <c r="BE247" s="608">
        <v>50</v>
      </c>
      <c r="BF247" s="608">
        <v>50</v>
      </c>
      <c r="BG247" s="608">
        <v>50</v>
      </c>
      <c r="BH247" s="608">
        <v>50</v>
      </c>
      <c r="BI247" s="608">
        <v>50</v>
      </c>
      <c r="BJ247" s="608">
        <v>50</v>
      </c>
      <c r="BK247" s="608">
        <v>50</v>
      </c>
      <c r="BL247" s="608">
        <v>50</v>
      </c>
      <c r="BM247" s="608">
        <v>50</v>
      </c>
      <c r="BN247" s="608">
        <v>50</v>
      </c>
      <c r="BO247" s="608">
        <v>50</v>
      </c>
      <c r="BP247" s="608">
        <v>50</v>
      </c>
      <c r="BQ247" s="608">
        <v>50</v>
      </c>
      <c r="BR247" s="608">
        <v>50</v>
      </c>
      <c r="BS247" s="608">
        <v>50</v>
      </c>
      <c r="BT247" s="608">
        <v>50</v>
      </c>
      <c r="BU247" s="608">
        <v>50</v>
      </c>
      <c r="BV247" s="608">
        <v>50</v>
      </c>
      <c r="BW247" s="608">
        <v>50</v>
      </c>
      <c r="BX247" s="608">
        <v>50</v>
      </c>
      <c r="BY247" s="608">
        <v>50</v>
      </c>
      <c r="BZ247" s="608">
        <v>50</v>
      </c>
      <c r="CA247" s="608">
        <v>50</v>
      </c>
      <c r="CB247" s="608">
        <v>50</v>
      </c>
      <c r="CC247" s="608">
        <v>50</v>
      </c>
      <c r="CD247" s="608">
        <v>50</v>
      </c>
      <c r="CE247" s="608">
        <v>50</v>
      </c>
      <c r="CF247" s="617"/>
      <c r="CG247" s="617"/>
      <c r="CH247" s="617"/>
      <c r="CI247" s="617"/>
      <c r="CJ247" s="617"/>
      <c r="CK247" s="617"/>
    </row>
    <row r="248" spans="1:89" x14ac:dyDescent="0.25">
      <c r="A248" s="537"/>
      <c r="B248" s="622">
        <v>999</v>
      </c>
      <c r="C248" s="618" t="s">
        <v>375</v>
      </c>
      <c r="D248" s="599" t="s">
        <v>605</v>
      </c>
      <c r="E248" s="598">
        <v>50254</v>
      </c>
      <c r="F248" s="597">
        <v>50255</v>
      </c>
      <c r="G248" s="597">
        <v>50256</v>
      </c>
      <c r="H248" s="597">
        <v>50558</v>
      </c>
      <c r="I248" s="597">
        <v>50566</v>
      </c>
      <c r="J248" s="597">
        <v>50562</v>
      </c>
      <c r="K248" s="589">
        <v>50257</v>
      </c>
      <c r="L248" s="593">
        <v>50555</v>
      </c>
      <c r="M248" s="593">
        <v>50445</v>
      </c>
      <c r="N248" s="547">
        <v>50452</v>
      </c>
      <c r="O248" s="547">
        <v>50563</v>
      </c>
      <c r="P248" s="547">
        <v>50258</v>
      </c>
      <c r="Q248" s="547">
        <v>50523</v>
      </c>
      <c r="R248" s="547">
        <v>50259</v>
      </c>
      <c r="S248" s="547">
        <v>50260</v>
      </c>
      <c r="T248" s="547">
        <v>50487</v>
      </c>
      <c r="U248" s="547">
        <v>50261</v>
      </c>
      <c r="V248" s="547">
        <v>50262</v>
      </c>
      <c r="W248" s="547">
        <v>50263</v>
      </c>
      <c r="X248" s="547">
        <v>50264</v>
      </c>
      <c r="Y248" s="547">
        <v>50265</v>
      </c>
      <c r="Z248" s="547">
        <v>50266</v>
      </c>
      <c r="AA248" s="547">
        <v>50267</v>
      </c>
      <c r="AB248" s="593">
        <v>50268</v>
      </c>
      <c r="AC248" s="593">
        <v>50269</v>
      </c>
      <c r="AD248" s="593">
        <v>50270</v>
      </c>
      <c r="AE248" s="593">
        <v>50271</v>
      </c>
      <c r="AF248" s="593">
        <v>50272</v>
      </c>
      <c r="AG248" s="593">
        <v>50273</v>
      </c>
      <c r="AH248" s="593">
        <v>50274</v>
      </c>
      <c r="AI248" s="593">
        <v>50480</v>
      </c>
      <c r="AJ248" s="593">
        <v>50275</v>
      </c>
      <c r="AK248" s="593">
        <v>50277</v>
      </c>
      <c r="AL248" s="593">
        <v>50276</v>
      </c>
      <c r="AM248" s="593">
        <v>50278</v>
      </c>
      <c r="AN248" s="593">
        <v>50279</v>
      </c>
      <c r="AO248" s="593">
        <v>50280</v>
      </c>
      <c r="AP248" s="593">
        <v>50281</v>
      </c>
      <c r="AQ248" s="593">
        <v>50478</v>
      </c>
      <c r="AR248" s="593">
        <v>50524</v>
      </c>
      <c r="AS248" s="593">
        <v>50282</v>
      </c>
      <c r="AT248" s="593">
        <v>50525</v>
      </c>
      <c r="AU248" s="593">
        <v>50283</v>
      </c>
      <c r="AV248" s="593">
        <v>50285</v>
      </c>
      <c r="AW248" s="593">
        <v>50553</v>
      </c>
      <c r="AX248" s="593">
        <v>50548</v>
      </c>
      <c r="AY248" s="593">
        <v>50284</v>
      </c>
      <c r="AZ248" s="593">
        <v>50286</v>
      </c>
      <c r="BA248" s="593">
        <v>50287</v>
      </c>
      <c r="BB248" s="593">
        <v>50288</v>
      </c>
      <c r="BC248" s="593">
        <v>50290</v>
      </c>
      <c r="BD248" s="593">
        <v>50564</v>
      </c>
      <c r="BE248" s="593">
        <v>50289</v>
      </c>
      <c r="BF248" s="593">
        <v>50291</v>
      </c>
      <c r="BG248" s="593">
        <v>50292</v>
      </c>
      <c r="BH248" s="593">
        <v>50293</v>
      </c>
      <c r="BI248" s="593">
        <v>50463</v>
      </c>
      <c r="BJ248" s="593">
        <v>50294</v>
      </c>
      <c r="BK248" s="593">
        <v>50538</v>
      </c>
      <c r="BL248" s="593">
        <v>50295</v>
      </c>
      <c r="BM248" s="593">
        <v>50296</v>
      </c>
      <c r="BN248" s="593">
        <v>50297</v>
      </c>
      <c r="BO248" s="593">
        <v>50449</v>
      </c>
      <c r="BP248" s="593">
        <v>50300</v>
      </c>
      <c r="BQ248" s="593">
        <v>50298</v>
      </c>
      <c r="BR248" s="593">
        <v>50299</v>
      </c>
      <c r="BS248" s="593">
        <v>50301</v>
      </c>
      <c r="BT248" s="593">
        <v>50302</v>
      </c>
      <c r="BU248" s="593">
        <v>50303</v>
      </c>
      <c r="BV248" s="593">
        <v>50304</v>
      </c>
      <c r="BW248" s="593">
        <v>50540</v>
      </c>
      <c r="BX248" s="593">
        <v>50305</v>
      </c>
      <c r="BY248" s="593">
        <v>50306</v>
      </c>
      <c r="BZ248" s="593">
        <v>50479</v>
      </c>
      <c r="CA248" s="593">
        <v>50307</v>
      </c>
      <c r="CB248" s="593">
        <v>50308</v>
      </c>
      <c r="CC248" s="593">
        <v>50309</v>
      </c>
      <c r="CD248" s="593">
        <v>50310</v>
      </c>
      <c r="CE248" s="593">
        <v>50311</v>
      </c>
      <c r="CF248" s="599"/>
      <c r="CG248" s="599"/>
      <c r="CH248" s="599"/>
      <c r="CI248" s="599"/>
      <c r="CJ248" s="599"/>
      <c r="CK248" s="599"/>
    </row>
    <row r="249" spans="1:89" x14ac:dyDescent="0.25">
      <c r="A249" s="537"/>
      <c r="B249" s="540">
        <v>1000</v>
      </c>
      <c r="C249" s="552"/>
      <c r="D249" s="553"/>
      <c r="E249" s="594" t="s">
        <v>899</v>
      </c>
      <c r="F249" s="594" t="s">
        <v>838</v>
      </c>
      <c r="G249" s="594" t="s">
        <v>899</v>
      </c>
      <c r="H249" s="594" t="s">
        <v>838</v>
      </c>
      <c r="I249" s="594" t="s">
        <v>838</v>
      </c>
      <c r="J249" s="594" t="s">
        <v>838</v>
      </c>
      <c r="K249" s="594" t="s">
        <v>899</v>
      </c>
      <c r="L249" s="594" t="s">
        <v>838</v>
      </c>
      <c r="M249" s="594" t="s">
        <v>838</v>
      </c>
      <c r="N249" s="594" t="s">
        <v>838</v>
      </c>
      <c r="O249" s="594" t="s">
        <v>838</v>
      </c>
      <c r="P249" s="594" t="s">
        <v>899</v>
      </c>
      <c r="Q249" s="594" t="s">
        <v>838</v>
      </c>
      <c r="R249" s="594" t="s">
        <v>899</v>
      </c>
      <c r="S249" s="594" t="s">
        <v>899</v>
      </c>
      <c r="T249" s="594" t="s">
        <v>838</v>
      </c>
      <c r="U249" s="594" t="s">
        <v>899</v>
      </c>
      <c r="V249" s="594" t="s">
        <v>899</v>
      </c>
      <c r="W249" s="594" t="s">
        <v>899</v>
      </c>
      <c r="X249" s="594" t="s">
        <v>838</v>
      </c>
      <c r="Y249" s="594" t="s">
        <v>899</v>
      </c>
      <c r="Z249" s="594" t="s">
        <v>899</v>
      </c>
      <c r="AA249" s="594" t="s">
        <v>899</v>
      </c>
      <c r="AB249" s="594" t="s">
        <v>899</v>
      </c>
      <c r="AC249" s="594" t="s">
        <v>899</v>
      </c>
      <c r="AD249" s="594" t="s">
        <v>899</v>
      </c>
      <c r="AE249" s="594" t="s">
        <v>899</v>
      </c>
      <c r="AF249" s="594" t="s">
        <v>899</v>
      </c>
      <c r="AG249" s="594" t="s">
        <v>899</v>
      </c>
      <c r="AH249" s="594" t="s">
        <v>899</v>
      </c>
      <c r="AI249" s="594" t="s">
        <v>899</v>
      </c>
      <c r="AJ249" s="594" t="s">
        <v>899</v>
      </c>
      <c r="AK249" s="594" t="s">
        <v>899</v>
      </c>
      <c r="AL249" s="594" t="s">
        <v>899</v>
      </c>
      <c r="AM249" s="594" t="s">
        <v>899</v>
      </c>
      <c r="AN249" s="594" t="s">
        <v>899</v>
      </c>
      <c r="AO249" s="594" t="s">
        <v>899</v>
      </c>
      <c r="AP249" s="594" t="s">
        <v>899</v>
      </c>
      <c r="AQ249" s="594" t="s">
        <v>838</v>
      </c>
      <c r="AR249" s="594" t="s">
        <v>838</v>
      </c>
      <c r="AS249" s="594" t="s">
        <v>899</v>
      </c>
      <c r="AT249" s="594" t="s">
        <v>899</v>
      </c>
      <c r="AU249" s="594" t="s">
        <v>899</v>
      </c>
      <c r="AV249" s="594" t="s">
        <v>838</v>
      </c>
      <c r="AW249" s="594" t="s">
        <v>899</v>
      </c>
      <c r="AX249" s="594" t="s">
        <v>838</v>
      </c>
      <c r="AY249" s="594" t="s">
        <v>899</v>
      </c>
      <c r="AZ249" s="594" t="s">
        <v>899</v>
      </c>
      <c r="BA249" s="594" t="s">
        <v>899</v>
      </c>
      <c r="BB249" s="594" t="s">
        <v>899</v>
      </c>
      <c r="BC249" s="594" t="s">
        <v>838</v>
      </c>
      <c r="BD249" s="594" t="s">
        <v>899</v>
      </c>
      <c r="BE249" s="594" t="s">
        <v>899</v>
      </c>
      <c r="BF249" s="594" t="s">
        <v>838</v>
      </c>
      <c r="BG249" s="594" t="s">
        <v>899</v>
      </c>
      <c r="BH249" s="594" t="s">
        <v>899</v>
      </c>
      <c r="BI249" s="594" t="s">
        <v>838</v>
      </c>
      <c r="BJ249" s="594" t="s">
        <v>899</v>
      </c>
      <c r="BK249" s="594" t="s">
        <v>838</v>
      </c>
      <c r="BL249" s="594" t="s">
        <v>899</v>
      </c>
      <c r="BM249" s="594" t="s">
        <v>899</v>
      </c>
      <c r="BN249" s="594" t="s">
        <v>899</v>
      </c>
      <c r="BO249" s="594" t="s">
        <v>899</v>
      </c>
      <c r="BP249" s="594" t="s">
        <v>899</v>
      </c>
      <c r="BQ249" s="594" t="s">
        <v>899</v>
      </c>
      <c r="BR249" s="594" t="s">
        <v>838</v>
      </c>
      <c r="BS249" s="594" t="s">
        <v>899</v>
      </c>
      <c r="BT249" s="594" t="s">
        <v>838</v>
      </c>
      <c r="BU249" s="594" t="s">
        <v>899</v>
      </c>
      <c r="BV249" s="594" t="s">
        <v>899</v>
      </c>
      <c r="BW249" s="594" t="s">
        <v>838</v>
      </c>
      <c r="BX249" s="594" t="s">
        <v>899</v>
      </c>
      <c r="BY249" s="594" t="s">
        <v>899</v>
      </c>
      <c r="BZ249" s="594" t="s">
        <v>899</v>
      </c>
      <c r="CA249" s="594" t="s">
        <v>899</v>
      </c>
      <c r="CB249" s="594" t="s">
        <v>899</v>
      </c>
      <c r="CC249" s="594" t="s">
        <v>899</v>
      </c>
      <c r="CD249" s="594" t="s">
        <v>838</v>
      </c>
      <c r="CE249" s="594" t="s">
        <v>899</v>
      </c>
      <c r="CF249" s="553"/>
      <c r="CG249" s="553"/>
      <c r="CH249" s="553"/>
      <c r="CI249" s="553"/>
      <c r="CJ249" s="553"/>
      <c r="CK249" s="553"/>
    </row>
    <row r="250" spans="1:89" x14ac:dyDescent="0.25">
      <c r="A250" s="537"/>
      <c r="B250" s="540">
        <v>537</v>
      </c>
      <c r="C250" s="552"/>
      <c r="D250" s="553"/>
      <c r="E250" s="554" t="s">
        <v>70</v>
      </c>
      <c r="F250" s="554" t="s">
        <v>71</v>
      </c>
      <c r="G250" s="554" t="s">
        <v>71</v>
      </c>
      <c r="H250" s="554" t="s">
        <v>838</v>
      </c>
      <c r="I250" s="554" t="s">
        <v>838</v>
      </c>
      <c r="J250" s="554" t="s">
        <v>838</v>
      </c>
      <c r="K250" s="554" t="s">
        <v>70</v>
      </c>
      <c r="L250" s="554" t="s">
        <v>838</v>
      </c>
      <c r="M250" s="554" t="s">
        <v>71</v>
      </c>
      <c r="N250" s="554" t="s">
        <v>71</v>
      </c>
      <c r="O250" s="554" t="s">
        <v>838</v>
      </c>
      <c r="P250" s="554" t="s">
        <v>71</v>
      </c>
      <c r="Q250" s="554" t="s">
        <v>838</v>
      </c>
      <c r="R250" s="554" t="s">
        <v>70</v>
      </c>
      <c r="S250" s="554" t="s">
        <v>71</v>
      </c>
      <c r="T250" s="554" t="s">
        <v>838</v>
      </c>
      <c r="U250" s="554" t="s">
        <v>71</v>
      </c>
      <c r="V250" s="554" t="s">
        <v>70</v>
      </c>
      <c r="W250" s="554" t="s">
        <v>71</v>
      </c>
      <c r="X250" s="554" t="s">
        <v>71</v>
      </c>
      <c r="Y250" s="554" t="s">
        <v>838</v>
      </c>
      <c r="Z250" s="554" t="s">
        <v>71</v>
      </c>
      <c r="AA250" s="554" t="s">
        <v>70</v>
      </c>
      <c r="AB250" s="554" t="s">
        <v>71</v>
      </c>
      <c r="AC250" s="554" t="s">
        <v>71</v>
      </c>
      <c r="AD250" s="554" t="s">
        <v>70</v>
      </c>
      <c r="AE250" s="554" t="s">
        <v>71</v>
      </c>
      <c r="AF250" s="554" t="s">
        <v>71</v>
      </c>
      <c r="AG250" s="554" t="s">
        <v>71</v>
      </c>
      <c r="AH250" s="554" t="s">
        <v>71</v>
      </c>
      <c r="AI250" s="554" t="s">
        <v>71</v>
      </c>
      <c r="AJ250" s="554" t="s">
        <v>71</v>
      </c>
      <c r="AK250" s="554" t="s">
        <v>71</v>
      </c>
      <c r="AL250" s="554" t="s">
        <v>71</v>
      </c>
      <c r="AM250" s="554" t="s">
        <v>838</v>
      </c>
      <c r="AN250" s="554" t="s">
        <v>70</v>
      </c>
      <c r="AO250" s="554" t="s">
        <v>70</v>
      </c>
      <c r="AP250" s="554" t="s">
        <v>838</v>
      </c>
      <c r="AQ250" s="554" t="s">
        <v>838</v>
      </c>
      <c r="AR250" s="554" t="s">
        <v>838</v>
      </c>
      <c r="AS250" s="554" t="s">
        <v>71</v>
      </c>
      <c r="AT250" s="554" t="s">
        <v>838</v>
      </c>
      <c r="AU250" s="554" t="s">
        <v>71</v>
      </c>
      <c r="AV250" s="554" t="s">
        <v>838</v>
      </c>
      <c r="AW250" s="554" t="s">
        <v>71</v>
      </c>
      <c r="AX250" s="554" t="s">
        <v>71</v>
      </c>
      <c r="AY250" s="554" t="s">
        <v>71</v>
      </c>
      <c r="AZ250" s="554" t="s">
        <v>71</v>
      </c>
      <c r="BA250" s="554" t="s">
        <v>71</v>
      </c>
      <c r="BB250" s="554" t="s">
        <v>838</v>
      </c>
      <c r="BC250" s="554" t="s">
        <v>71</v>
      </c>
      <c r="BD250" s="554" t="s">
        <v>70</v>
      </c>
      <c r="BE250" s="554" t="s">
        <v>70</v>
      </c>
      <c r="BF250" s="554" t="s">
        <v>838</v>
      </c>
      <c r="BG250" s="554" t="s">
        <v>71</v>
      </c>
      <c r="BH250" s="554" t="s">
        <v>71</v>
      </c>
      <c r="BI250" s="554" t="s">
        <v>838</v>
      </c>
      <c r="BJ250" s="554" t="s">
        <v>70</v>
      </c>
      <c r="BK250" s="554" t="s">
        <v>838</v>
      </c>
      <c r="BL250" s="554" t="s">
        <v>71</v>
      </c>
      <c r="BM250" s="554" t="s">
        <v>71</v>
      </c>
      <c r="BN250" s="554" t="s">
        <v>71</v>
      </c>
      <c r="BO250" s="554" t="s">
        <v>71</v>
      </c>
      <c r="BP250" s="554" t="s">
        <v>71</v>
      </c>
      <c r="BQ250" s="554" t="s">
        <v>71</v>
      </c>
      <c r="BR250" s="554" t="s">
        <v>838</v>
      </c>
      <c r="BS250" s="554" t="s">
        <v>71</v>
      </c>
      <c r="BT250" s="554" t="s">
        <v>71</v>
      </c>
      <c r="BU250" s="554" t="s">
        <v>70</v>
      </c>
      <c r="BV250" s="554" t="s">
        <v>71</v>
      </c>
      <c r="BW250" s="554" t="s">
        <v>71</v>
      </c>
      <c r="BX250" s="554" t="s">
        <v>71</v>
      </c>
      <c r="BY250" s="554" t="s">
        <v>70</v>
      </c>
      <c r="BZ250" s="554" t="s">
        <v>71</v>
      </c>
      <c r="CA250" s="554" t="s">
        <v>838</v>
      </c>
      <c r="CB250" s="554" t="s">
        <v>71</v>
      </c>
      <c r="CC250" s="554" t="s">
        <v>71</v>
      </c>
      <c r="CD250" s="554" t="s">
        <v>838</v>
      </c>
      <c r="CE250" s="554" t="s">
        <v>71</v>
      </c>
      <c r="CF250" s="553"/>
      <c r="CG250" s="553"/>
      <c r="CH250" s="553"/>
      <c r="CI250" s="553"/>
      <c r="CJ250" s="553"/>
      <c r="CK250" s="553"/>
    </row>
    <row r="251" spans="1:89" x14ac:dyDescent="0.25">
      <c r="A251" s="537"/>
      <c r="B251" s="540">
        <v>538</v>
      </c>
      <c r="C251" s="552"/>
      <c r="D251" s="553"/>
      <c r="E251" s="554" t="s">
        <v>70</v>
      </c>
      <c r="F251" s="554" t="s">
        <v>71</v>
      </c>
      <c r="G251" s="554" t="s">
        <v>71</v>
      </c>
      <c r="H251" s="554" t="s">
        <v>838</v>
      </c>
      <c r="I251" s="554" t="s">
        <v>838</v>
      </c>
      <c r="J251" s="554" t="s">
        <v>838</v>
      </c>
      <c r="K251" s="554" t="s">
        <v>71</v>
      </c>
      <c r="L251" s="554" t="s">
        <v>838</v>
      </c>
      <c r="M251" s="554" t="s">
        <v>71</v>
      </c>
      <c r="N251" s="554" t="s">
        <v>71</v>
      </c>
      <c r="O251" s="554" t="s">
        <v>838</v>
      </c>
      <c r="P251" s="554" t="s">
        <v>838</v>
      </c>
      <c r="Q251" s="554" t="s">
        <v>838</v>
      </c>
      <c r="R251" s="554" t="s">
        <v>70</v>
      </c>
      <c r="S251" s="554" t="s">
        <v>71</v>
      </c>
      <c r="T251" s="554" t="s">
        <v>838</v>
      </c>
      <c r="U251" s="554" t="s">
        <v>71</v>
      </c>
      <c r="V251" s="554" t="s">
        <v>71</v>
      </c>
      <c r="W251" s="554" t="s">
        <v>70</v>
      </c>
      <c r="X251" s="554" t="s">
        <v>71</v>
      </c>
      <c r="Y251" s="554" t="s">
        <v>838</v>
      </c>
      <c r="Z251" s="554" t="s">
        <v>838</v>
      </c>
      <c r="AA251" s="554" t="s">
        <v>71</v>
      </c>
      <c r="AB251" s="554" t="s">
        <v>71</v>
      </c>
      <c r="AC251" s="554" t="s">
        <v>71</v>
      </c>
      <c r="AD251" s="554" t="s">
        <v>70</v>
      </c>
      <c r="AE251" s="554" t="s">
        <v>71</v>
      </c>
      <c r="AF251" s="554" t="s">
        <v>70</v>
      </c>
      <c r="AG251" s="554" t="s">
        <v>70</v>
      </c>
      <c r="AH251" s="554" t="s">
        <v>71</v>
      </c>
      <c r="AI251" s="554" t="s">
        <v>71</v>
      </c>
      <c r="AJ251" s="554" t="s">
        <v>71</v>
      </c>
      <c r="AK251" s="554" t="s">
        <v>71</v>
      </c>
      <c r="AL251" s="554" t="s">
        <v>71</v>
      </c>
      <c r="AM251" s="554" t="s">
        <v>838</v>
      </c>
      <c r="AN251" s="554" t="s">
        <v>70</v>
      </c>
      <c r="AO251" s="554" t="s">
        <v>71</v>
      </c>
      <c r="AP251" s="554" t="s">
        <v>838</v>
      </c>
      <c r="AQ251" s="554" t="s">
        <v>838</v>
      </c>
      <c r="AR251" s="554" t="s">
        <v>838</v>
      </c>
      <c r="AS251" s="554" t="s">
        <v>71</v>
      </c>
      <c r="AT251" s="554" t="s">
        <v>838</v>
      </c>
      <c r="AU251" s="554" t="s">
        <v>70</v>
      </c>
      <c r="AV251" s="554" t="s">
        <v>838</v>
      </c>
      <c r="AW251" s="554" t="s">
        <v>71</v>
      </c>
      <c r="AX251" s="554" t="s">
        <v>71</v>
      </c>
      <c r="AY251" s="554" t="s">
        <v>71</v>
      </c>
      <c r="AZ251" s="554" t="s">
        <v>71</v>
      </c>
      <c r="BA251" s="554" t="s">
        <v>71</v>
      </c>
      <c r="BB251" s="554" t="s">
        <v>838</v>
      </c>
      <c r="BC251" s="554" t="s">
        <v>71</v>
      </c>
      <c r="BD251" s="554" t="s">
        <v>70</v>
      </c>
      <c r="BE251" s="554" t="s">
        <v>70</v>
      </c>
      <c r="BF251" s="554" t="s">
        <v>838</v>
      </c>
      <c r="BG251" s="554" t="s">
        <v>71</v>
      </c>
      <c r="BH251" s="554" t="s">
        <v>71</v>
      </c>
      <c r="BI251" s="554" t="s">
        <v>838</v>
      </c>
      <c r="BJ251" s="554" t="s">
        <v>70</v>
      </c>
      <c r="BK251" s="554" t="s">
        <v>71</v>
      </c>
      <c r="BL251" s="554" t="s">
        <v>71</v>
      </c>
      <c r="BM251" s="554" t="s">
        <v>71</v>
      </c>
      <c r="BN251" s="554" t="s">
        <v>70</v>
      </c>
      <c r="BO251" s="554" t="s">
        <v>71</v>
      </c>
      <c r="BP251" s="554" t="s">
        <v>71</v>
      </c>
      <c r="BQ251" s="554" t="s">
        <v>71</v>
      </c>
      <c r="BR251" s="554" t="s">
        <v>838</v>
      </c>
      <c r="BS251" s="554" t="s">
        <v>71</v>
      </c>
      <c r="BT251" s="554" t="s">
        <v>71</v>
      </c>
      <c r="BU251" s="554" t="s">
        <v>70</v>
      </c>
      <c r="BV251" s="554" t="s">
        <v>71</v>
      </c>
      <c r="BW251" s="554" t="s">
        <v>71</v>
      </c>
      <c r="BX251" s="554" t="s">
        <v>71</v>
      </c>
      <c r="BY251" s="554" t="s">
        <v>70</v>
      </c>
      <c r="BZ251" s="554" t="s">
        <v>71</v>
      </c>
      <c r="CA251" s="554" t="s">
        <v>838</v>
      </c>
      <c r="CB251" s="554" t="s">
        <v>71</v>
      </c>
      <c r="CC251" s="554" t="s">
        <v>71</v>
      </c>
      <c r="CD251" s="554" t="s">
        <v>838</v>
      </c>
      <c r="CE251" s="554" t="s">
        <v>71</v>
      </c>
      <c r="CF251" s="553"/>
      <c r="CG251" s="553"/>
      <c r="CH251" s="553"/>
      <c r="CI251" s="553"/>
      <c r="CJ251" s="553"/>
      <c r="CK251" s="553"/>
    </row>
    <row r="252" spans="1:89" ht="28.5" x14ac:dyDescent="0.25">
      <c r="A252" s="640">
        <v>591</v>
      </c>
      <c r="B252" s="537"/>
      <c r="C252" s="569" t="s">
        <v>729</v>
      </c>
      <c r="D252" s="540"/>
      <c r="E252" s="554">
        <v>331729</v>
      </c>
      <c r="F252" s="555">
        <v>0</v>
      </c>
      <c r="G252" s="555">
        <v>569516</v>
      </c>
      <c r="H252" s="555">
        <v>0</v>
      </c>
      <c r="I252" s="555">
        <v>0</v>
      </c>
      <c r="J252" s="555">
        <v>0</v>
      </c>
      <c r="K252" s="556">
        <v>187433</v>
      </c>
      <c r="L252" s="550">
        <v>0</v>
      </c>
      <c r="M252" s="550">
        <v>0</v>
      </c>
      <c r="N252" s="546">
        <v>0</v>
      </c>
      <c r="O252" s="546">
        <v>0</v>
      </c>
      <c r="P252" s="546">
        <v>2772704</v>
      </c>
      <c r="Q252" s="546">
        <v>0</v>
      </c>
      <c r="R252" s="546">
        <v>99428196</v>
      </c>
      <c r="S252" s="546">
        <v>271947</v>
      </c>
      <c r="T252" s="546">
        <v>0</v>
      </c>
      <c r="U252" s="546">
        <v>19625372</v>
      </c>
      <c r="V252" s="546">
        <v>7620171</v>
      </c>
      <c r="W252" s="546">
        <v>45879238</v>
      </c>
      <c r="X252" s="546">
        <v>382035</v>
      </c>
      <c r="Y252" s="546">
        <v>0</v>
      </c>
      <c r="Z252" s="546">
        <v>5808455</v>
      </c>
      <c r="AA252" s="546">
        <v>1237320</v>
      </c>
      <c r="AB252" s="550">
        <v>6080878</v>
      </c>
      <c r="AC252" s="550">
        <v>3357934</v>
      </c>
      <c r="AD252" s="550">
        <v>1203830</v>
      </c>
      <c r="AE252" s="550">
        <v>1270731</v>
      </c>
      <c r="AF252" s="550">
        <v>2902702</v>
      </c>
      <c r="AG252" s="550">
        <v>3082644</v>
      </c>
      <c r="AH252" s="550">
        <v>3312866</v>
      </c>
      <c r="AI252" s="550">
        <v>517496</v>
      </c>
      <c r="AJ252" s="550">
        <v>65834877</v>
      </c>
      <c r="AK252" s="550">
        <v>284151</v>
      </c>
      <c r="AL252" s="550">
        <v>549260</v>
      </c>
      <c r="AM252" s="550">
        <v>0</v>
      </c>
      <c r="AN252" s="550">
        <v>23153049</v>
      </c>
      <c r="AO252" s="550">
        <v>503818</v>
      </c>
      <c r="AP252" s="550">
        <v>0</v>
      </c>
      <c r="AQ252" s="550">
        <v>0</v>
      </c>
      <c r="AR252" s="550">
        <v>0</v>
      </c>
      <c r="AS252" s="550">
        <v>2765978</v>
      </c>
      <c r="AT252" s="550">
        <v>0</v>
      </c>
      <c r="AU252" s="550">
        <v>1521545</v>
      </c>
      <c r="AV252" s="550">
        <v>353457</v>
      </c>
      <c r="AW252" s="550">
        <v>17525075</v>
      </c>
      <c r="AX252" s="550">
        <v>0</v>
      </c>
      <c r="AY252" s="550">
        <v>0</v>
      </c>
      <c r="AZ252" s="550">
        <v>2317099</v>
      </c>
      <c r="BA252" s="550">
        <v>755905</v>
      </c>
      <c r="BB252" s="550">
        <v>0</v>
      </c>
      <c r="BC252" s="550">
        <v>0</v>
      </c>
      <c r="BD252" s="550">
        <v>122046</v>
      </c>
      <c r="BE252" s="550">
        <v>4516761</v>
      </c>
      <c r="BF252" s="550">
        <v>0</v>
      </c>
      <c r="BG252" s="550">
        <v>241604</v>
      </c>
      <c r="BH252" s="550">
        <v>165756</v>
      </c>
      <c r="BI252" s="550">
        <v>0</v>
      </c>
      <c r="BJ252" s="550">
        <v>183515</v>
      </c>
      <c r="BK252" s="550">
        <v>0</v>
      </c>
      <c r="BL252" s="550">
        <v>2763776</v>
      </c>
      <c r="BM252" s="550">
        <v>1567164</v>
      </c>
      <c r="BN252" s="550">
        <v>1175766</v>
      </c>
      <c r="BO252" s="550">
        <v>697465</v>
      </c>
      <c r="BP252" s="550">
        <v>796489</v>
      </c>
      <c r="BQ252" s="550">
        <v>366252</v>
      </c>
      <c r="BR252" s="550">
        <v>0</v>
      </c>
      <c r="BS252" s="550">
        <v>3289564</v>
      </c>
      <c r="BT252" s="550">
        <v>13806596</v>
      </c>
      <c r="BU252" s="550">
        <v>778307</v>
      </c>
      <c r="BV252" s="550">
        <v>2980628</v>
      </c>
      <c r="BW252" s="550">
        <v>0</v>
      </c>
      <c r="BX252" s="550">
        <v>2729930</v>
      </c>
      <c r="BY252" s="550">
        <v>352329</v>
      </c>
      <c r="BZ252" s="550">
        <v>35057</v>
      </c>
      <c r="CA252" s="550">
        <v>0</v>
      </c>
      <c r="CB252" s="550">
        <v>302283</v>
      </c>
      <c r="CC252" s="550">
        <v>769120</v>
      </c>
      <c r="CD252" s="550">
        <v>0</v>
      </c>
      <c r="CE252" s="550">
        <v>48365</v>
      </c>
      <c r="CF252" s="537"/>
      <c r="CG252" s="537"/>
      <c r="CH252" s="537"/>
      <c r="CI252" s="537"/>
      <c r="CJ252" s="537"/>
      <c r="CK252" s="537"/>
    </row>
    <row r="253" spans="1:89" ht="28.5" x14ac:dyDescent="0.25">
      <c r="A253" s="640">
        <v>592</v>
      </c>
      <c r="B253" s="537"/>
      <c r="C253" s="569" t="s">
        <v>730</v>
      </c>
      <c r="D253" s="540"/>
      <c r="E253" s="554">
        <v>59850</v>
      </c>
      <c r="F253" s="555">
        <v>0</v>
      </c>
      <c r="G253" s="555">
        <v>-31897</v>
      </c>
      <c r="H253" s="555">
        <v>0</v>
      </c>
      <c r="I253" s="555">
        <v>0</v>
      </c>
      <c r="J253" s="555">
        <v>0</v>
      </c>
      <c r="K253" s="556">
        <v>-73025</v>
      </c>
      <c r="L253" s="550">
        <v>0</v>
      </c>
      <c r="M253" s="550">
        <v>0</v>
      </c>
      <c r="N253" s="546">
        <v>0</v>
      </c>
      <c r="O253" s="546">
        <v>0</v>
      </c>
      <c r="P253" s="546">
        <v>181318</v>
      </c>
      <c r="Q253" s="546">
        <v>0</v>
      </c>
      <c r="R253" s="546">
        <v>10963532</v>
      </c>
      <c r="S253" s="546">
        <v>65690</v>
      </c>
      <c r="T253" s="546">
        <v>0</v>
      </c>
      <c r="U253" s="546">
        <v>10129491</v>
      </c>
      <c r="V253" s="546">
        <v>892989</v>
      </c>
      <c r="W253" s="546">
        <v>1772629</v>
      </c>
      <c r="X253" s="546">
        <v>568475</v>
      </c>
      <c r="Y253" s="546">
        <v>0</v>
      </c>
      <c r="Z253" s="546">
        <v>374921</v>
      </c>
      <c r="AA253" s="546">
        <v>-127854</v>
      </c>
      <c r="AB253" s="550">
        <v>802087</v>
      </c>
      <c r="AC253" s="550">
        <v>2804212</v>
      </c>
      <c r="AD253" s="550">
        <v>-132297</v>
      </c>
      <c r="AE253" s="550">
        <v>118477</v>
      </c>
      <c r="AF253" s="550">
        <v>-253840</v>
      </c>
      <c r="AG253" s="550">
        <v>-215857</v>
      </c>
      <c r="AH253" s="550">
        <v>1656231</v>
      </c>
      <c r="AI253" s="550">
        <v>-247241</v>
      </c>
      <c r="AJ253" s="550">
        <v>8283682</v>
      </c>
      <c r="AK253" s="550">
        <v>34796</v>
      </c>
      <c r="AL253" s="550">
        <v>-44167</v>
      </c>
      <c r="AM253" s="550">
        <v>0</v>
      </c>
      <c r="AN253" s="550">
        <v>1118212</v>
      </c>
      <c r="AO253" s="550">
        <v>-36948</v>
      </c>
      <c r="AP253" s="550">
        <v>0</v>
      </c>
      <c r="AQ253" s="550">
        <v>0</v>
      </c>
      <c r="AR253" s="550">
        <v>0</v>
      </c>
      <c r="AS253" s="550">
        <v>959203</v>
      </c>
      <c r="AT253" s="550">
        <v>0</v>
      </c>
      <c r="AU253" s="550">
        <v>263577</v>
      </c>
      <c r="AV253" s="550">
        <v>-32921</v>
      </c>
      <c r="AW253" s="550">
        <v>3481903</v>
      </c>
      <c r="AX253" s="550">
        <v>0</v>
      </c>
      <c r="AY253" s="550">
        <v>0</v>
      </c>
      <c r="AZ253" s="550">
        <v>486108</v>
      </c>
      <c r="BA253" s="550">
        <v>-139937</v>
      </c>
      <c r="BB253" s="550">
        <v>0</v>
      </c>
      <c r="BC253" s="550">
        <v>0</v>
      </c>
      <c r="BD253" s="550">
        <v>-4332</v>
      </c>
      <c r="BE253" s="550">
        <v>2217392</v>
      </c>
      <c r="BF253" s="550">
        <v>0</v>
      </c>
      <c r="BG253" s="550">
        <v>17739</v>
      </c>
      <c r="BH253" s="550">
        <v>-38166</v>
      </c>
      <c r="BI253" s="550">
        <v>0</v>
      </c>
      <c r="BJ253" s="550">
        <v>-21893</v>
      </c>
      <c r="BK253" s="550">
        <v>0</v>
      </c>
      <c r="BL253" s="550">
        <v>563079</v>
      </c>
      <c r="BM253" s="550">
        <v>223570</v>
      </c>
      <c r="BN253" s="550">
        <v>-118186</v>
      </c>
      <c r="BO253" s="550">
        <v>118868</v>
      </c>
      <c r="BP253" s="550">
        <v>24229</v>
      </c>
      <c r="BQ253" s="550">
        <v>86858</v>
      </c>
      <c r="BR253" s="550">
        <v>0</v>
      </c>
      <c r="BS253" s="550">
        <v>-475131</v>
      </c>
      <c r="BT253" s="550">
        <v>533228</v>
      </c>
      <c r="BU253" s="550">
        <v>-154582</v>
      </c>
      <c r="BV253" s="550">
        <v>216950</v>
      </c>
      <c r="BW253" s="550">
        <v>0</v>
      </c>
      <c r="BX253" s="550">
        <v>2238318</v>
      </c>
      <c r="BY253" s="550">
        <v>13244</v>
      </c>
      <c r="BZ253" s="550">
        <v>-21847</v>
      </c>
      <c r="CA253" s="550">
        <v>0</v>
      </c>
      <c r="CB253" s="550">
        <v>-147313</v>
      </c>
      <c r="CC253" s="550">
        <v>-51354</v>
      </c>
      <c r="CD253" s="550">
        <v>0</v>
      </c>
      <c r="CE253" s="550">
        <v>-27153</v>
      </c>
      <c r="CF253" s="537"/>
      <c r="CG253" s="537"/>
      <c r="CH253" s="537"/>
      <c r="CI253" s="537"/>
      <c r="CJ253" s="537"/>
      <c r="CK253" s="537"/>
    </row>
    <row r="254" spans="1:89" x14ac:dyDescent="0.25">
      <c r="A254" s="537"/>
      <c r="B254" s="537"/>
      <c r="C254" s="569" t="s">
        <v>900</v>
      </c>
      <c r="D254" s="540"/>
      <c r="E254" s="554"/>
      <c r="F254" s="555"/>
      <c r="G254" s="555"/>
      <c r="H254" s="555"/>
      <c r="I254" s="555"/>
      <c r="J254" s="555"/>
      <c r="K254" s="556"/>
      <c r="L254" s="550"/>
      <c r="M254" s="550"/>
      <c r="N254" s="546"/>
      <c r="O254" s="546"/>
      <c r="P254" s="546"/>
      <c r="Q254" s="546"/>
      <c r="R254" s="546"/>
      <c r="S254" s="546"/>
      <c r="T254" s="546"/>
      <c r="U254" s="546"/>
      <c r="V254" s="546"/>
      <c r="W254" s="546"/>
      <c r="X254" s="546"/>
      <c r="Y254" s="546"/>
      <c r="Z254" s="546"/>
      <c r="AA254" s="546"/>
      <c r="AB254" s="550"/>
      <c r="AC254" s="550"/>
      <c r="AD254" s="550"/>
      <c r="AE254" s="550"/>
      <c r="AF254" s="550"/>
      <c r="AG254" s="550"/>
      <c r="AH254" s="550"/>
      <c r="AI254" s="550"/>
      <c r="AJ254" s="550"/>
      <c r="AK254" s="550"/>
      <c r="AL254" s="550"/>
      <c r="AM254" s="550"/>
      <c r="AN254" s="550"/>
      <c r="AO254" s="550"/>
      <c r="AP254" s="550"/>
      <c r="AQ254" s="550"/>
      <c r="AR254" s="550"/>
      <c r="AS254" s="550"/>
      <c r="AT254" s="550"/>
      <c r="AU254" s="550"/>
      <c r="AV254" s="550"/>
      <c r="AW254" s="550"/>
      <c r="AX254" s="550"/>
      <c r="AY254" s="550"/>
      <c r="AZ254" s="550"/>
      <c r="BA254" s="550"/>
      <c r="BB254" s="550"/>
      <c r="BC254" s="550"/>
      <c r="BD254" s="550"/>
      <c r="BE254" s="550"/>
      <c r="BF254" s="550"/>
      <c r="BG254" s="550"/>
      <c r="BH254" s="550"/>
      <c r="BI254" s="550"/>
      <c r="BJ254" s="550"/>
      <c r="BK254" s="550"/>
      <c r="BL254" s="550"/>
      <c r="BM254" s="550"/>
      <c r="BN254" s="550"/>
      <c r="BO254" s="550"/>
      <c r="BP254" s="550"/>
      <c r="BQ254" s="550"/>
      <c r="BR254" s="550"/>
      <c r="BS254" s="550"/>
      <c r="BT254" s="550"/>
      <c r="BU254" s="550"/>
      <c r="BV254" s="550"/>
      <c r="BW254" s="550"/>
      <c r="BX254" s="550"/>
      <c r="BY254" s="550"/>
      <c r="BZ254" s="550"/>
      <c r="CA254" s="550"/>
      <c r="CB254" s="550"/>
      <c r="CC254" s="550"/>
      <c r="CD254" s="550"/>
      <c r="CE254" s="550"/>
      <c r="CF254" s="537"/>
      <c r="CG254" s="537"/>
      <c r="CH254" s="537"/>
      <c r="CI254" s="537"/>
      <c r="CJ254" s="537"/>
      <c r="CK254" s="537"/>
    </row>
    <row r="255" spans="1:89" x14ac:dyDescent="0.25">
      <c r="A255" s="640">
        <v>596</v>
      </c>
      <c r="B255" s="537"/>
      <c r="C255" s="569" t="s">
        <v>736</v>
      </c>
      <c r="D255" s="540"/>
      <c r="E255" s="554">
        <v>52</v>
      </c>
      <c r="F255" s="555">
        <v>52</v>
      </c>
      <c r="G255" s="555">
        <v>52</v>
      </c>
      <c r="H255" s="555">
        <v>0</v>
      </c>
      <c r="I255" s="555">
        <v>0</v>
      </c>
      <c r="J255" s="555">
        <v>0</v>
      </c>
      <c r="K255" s="556">
        <v>52</v>
      </c>
      <c r="L255" s="550">
        <v>0</v>
      </c>
      <c r="M255" s="550">
        <v>52</v>
      </c>
      <c r="N255" s="546">
        <v>52</v>
      </c>
      <c r="O255" s="546">
        <v>52</v>
      </c>
      <c r="P255" s="546">
        <v>52</v>
      </c>
      <c r="Q255" s="546">
        <v>52</v>
      </c>
      <c r="R255" s="546">
        <v>52</v>
      </c>
      <c r="S255" s="546">
        <v>52</v>
      </c>
      <c r="T255" s="546">
        <v>0</v>
      </c>
      <c r="U255" s="546">
        <v>52</v>
      </c>
      <c r="V255" s="546">
        <v>52</v>
      </c>
      <c r="W255" s="546">
        <v>52</v>
      </c>
      <c r="X255" s="546">
        <v>52</v>
      </c>
      <c r="Y255" s="546">
        <v>0</v>
      </c>
      <c r="Z255" s="546">
        <v>52</v>
      </c>
      <c r="AA255" s="546">
        <v>52</v>
      </c>
      <c r="AB255" s="550">
        <v>52</v>
      </c>
      <c r="AC255" s="550">
        <v>52</v>
      </c>
      <c r="AD255" s="550">
        <v>52</v>
      </c>
      <c r="AE255" s="550">
        <v>52</v>
      </c>
      <c r="AF255" s="550">
        <v>52</v>
      </c>
      <c r="AG255" s="550">
        <v>52</v>
      </c>
      <c r="AH255" s="550">
        <v>52</v>
      </c>
      <c r="AI255" s="550">
        <v>52</v>
      </c>
      <c r="AJ255" s="550">
        <v>52</v>
      </c>
      <c r="AK255" s="550">
        <v>52</v>
      </c>
      <c r="AL255" s="550">
        <v>52</v>
      </c>
      <c r="AM255" s="550">
        <v>0</v>
      </c>
      <c r="AN255" s="550">
        <v>52</v>
      </c>
      <c r="AO255" s="550">
        <v>52</v>
      </c>
      <c r="AP255" s="550">
        <v>0</v>
      </c>
      <c r="AQ255" s="550">
        <v>52</v>
      </c>
      <c r="AR255" s="550">
        <v>0</v>
      </c>
      <c r="AS255" s="550">
        <v>52</v>
      </c>
      <c r="AT255" s="550">
        <v>0</v>
      </c>
      <c r="AU255" s="550">
        <v>52</v>
      </c>
      <c r="AV255" s="550">
        <v>0</v>
      </c>
      <c r="AW255" s="550">
        <v>52</v>
      </c>
      <c r="AX255" s="550">
        <v>52</v>
      </c>
      <c r="AY255" s="550">
        <v>52</v>
      </c>
      <c r="AZ255" s="550">
        <v>52</v>
      </c>
      <c r="BA255" s="550">
        <v>52</v>
      </c>
      <c r="BB255" s="550">
        <v>0</v>
      </c>
      <c r="BC255" s="550">
        <v>0</v>
      </c>
      <c r="BD255" s="550">
        <v>52</v>
      </c>
      <c r="BE255" s="550">
        <v>52</v>
      </c>
      <c r="BF255" s="550">
        <v>52</v>
      </c>
      <c r="BG255" s="550">
        <v>52</v>
      </c>
      <c r="BH255" s="550">
        <v>52</v>
      </c>
      <c r="BI255" s="550">
        <v>0</v>
      </c>
      <c r="BJ255" s="550">
        <v>52</v>
      </c>
      <c r="BK255" s="550">
        <v>52</v>
      </c>
      <c r="BL255" s="550">
        <v>52</v>
      </c>
      <c r="BM255" s="550">
        <v>52</v>
      </c>
      <c r="BN255" s="550">
        <v>52</v>
      </c>
      <c r="BO255" s="550">
        <v>52</v>
      </c>
      <c r="BP255" s="550">
        <v>52</v>
      </c>
      <c r="BQ255" s="550">
        <v>52</v>
      </c>
      <c r="BR255" s="550">
        <v>0</v>
      </c>
      <c r="BS255" s="550">
        <v>52</v>
      </c>
      <c r="BT255" s="550">
        <v>52</v>
      </c>
      <c r="BU255" s="550">
        <v>52</v>
      </c>
      <c r="BV255" s="550">
        <v>52</v>
      </c>
      <c r="BW255" s="550">
        <v>52</v>
      </c>
      <c r="BX255" s="550">
        <v>52</v>
      </c>
      <c r="BY255" s="550">
        <v>52</v>
      </c>
      <c r="BZ255" s="550">
        <v>52</v>
      </c>
      <c r="CA255" s="550">
        <v>0</v>
      </c>
      <c r="CB255" s="550">
        <v>52</v>
      </c>
      <c r="CC255" s="550">
        <v>52</v>
      </c>
      <c r="CD255" s="550">
        <v>0</v>
      </c>
      <c r="CE255" s="550">
        <v>52</v>
      </c>
      <c r="CF255" s="537"/>
      <c r="CG255" s="537"/>
      <c r="CH255" s="537"/>
      <c r="CI255" s="537"/>
      <c r="CJ255" s="537"/>
      <c r="CK255" s="537"/>
    </row>
    <row r="256" spans="1:89" ht="28.5" x14ac:dyDescent="0.25">
      <c r="A256" s="640">
        <v>597</v>
      </c>
      <c r="B256" s="537"/>
      <c r="C256" s="569" t="s">
        <v>901</v>
      </c>
      <c r="D256" s="540"/>
      <c r="E256" s="554">
        <v>42</v>
      </c>
      <c r="F256" s="555">
        <v>3</v>
      </c>
      <c r="G256" s="555">
        <v>3746</v>
      </c>
      <c r="H256" s="555">
        <v>9099</v>
      </c>
      <c r="I256" s="555">
        <v>29082</v>
      </c>
      <c r="J256" s="555">
        <v>37971</v>
      </c>
      <c r="K256" s="556">
        <v>520</v>
      </c>
      <c r="L256" s="550">
        <v>2128</v>
      </c>
      <c r="M256" s="550">
        <v>4102</v>
      </c>
      <c r="N256" s="546">
        <v>123332</v>
      </c>
      <c r="O256" s="546">
        <v>7361</v>
      </c>
      <c r="P256" s="546">
        <v>10773</v>
      </c>
      <c r="Q256" s="546">
        <v>5617</v>
      </c>
      <c r="R256" s="546">
        <v>-2014627</v>
      </c>
      <c r="S256" s="546">
        <v>4679</v>
      </c>
      <c r="T256" s="546">
        <v>412</v>
      </c>
      <c r="U256" s="546">
        <v>5053693</v>
      </c>
      <c r="V256" s="546">
        <v>240179</v>
      </c>
      <c r="W256" s="546">
        <v>366580</v>
      </c>
      <c r="X256" s="546">
        <v>519740</v>
      </c>
      <c r="Y256" s="546">
        <v>0</v>
      </c>
      <c r="Z256" s="546">
        <v>228779</v>
      </c>
      <c r="AA256" s="546">
        <v>3536</v>
      </c>
      <c r="AB256" s="550">
        <v>269780</v>
      </c>
      <c r="AC256" s="550">
        <v>1556</v>
      </c>
      <c r="AD256" s="550">
        <v>4748</v>
      </c>
      <c r="AE256" s="550">
        <v>9883</v>
      </c>
      <c r="AF256" s="550">
        <v>9746</v>
      </c>
      <c r="AG256" s="550">
        <v>120701</v>
      </c>
      <c r="AH256" s="550">
        <v>61354</v>
      </c>
      <c r="AI256" s="550">
        <v>2515</v>
      </c>
      <c r="AJ256" s="550">
        <v>750117</v>
      </c>
      <c r="AK256" s="550">
        <v>36398</v>
      </c>
      <c r="AL256" s="550">
        <v>1194</v>
      </c>
      <c r="AM256" s="550">
        <v>0</v>
      </c>
      <c r="AN256" s="550">
        <v>227579</v>
      </c>
      <c r="AO256" s="550">
        <v>2233</v>
      </c>
      <c r="AP256" s="550">
        <v>0</v>
      </c>
      <c r="AQ256" s="550">
        <v>178</v>
      </c>
      <c r="AR256" s="550">
        <v>69017</v>
      </c>
      <c r="AS256" s="550">
        <v>278639</v>
      </c>
      <c r="AT256" s="550">
        <v>0</v>
      </c>
      <c r="AU256" s="550">
        <v>19781</v>
      </c>
      <c r="AV256" s="550">
        <v>4008</v>
      </c>
      <c r="AW256" s="550">
        <v>136820</v>
      </c>
      <c r="AX256" s="550">
        <v>28556</v>
      </c>
      <c r="AY256" s="550">
        <v>14185</v>
      </c>
      <c r="AZ256" s="550">
        <v>95529</v>
      </c>
      <c r="BA256" s="550">
        <v>11042</v>
      </c>
      <c r="BB256" s="550">
        <v>0</v>
      </c>
      <c r="BC256" s="550">
        <v>0</v>
      </c>
      <c r="BD256" s="550">
        <v>1746</v>
      </c>
      <c r="BE256" s="550">
        <v>159828</v>
      </c>
      <c r="BF256" s="550">
        <v>1008</v>
      </c>
      <c r="BG256" s="550">
        <v>6815</v>
      </c>
      <c r="BH256" s="550">
        <v>0</v>
      </c>
      <c r="BI256" s="550">
        <v>1463</v>
      </c>
      <c r="BJ256" s="550">
        <v>1300</v>
      </c>
      <c r="BK256" s="550">
        <v>101</v>
      </c>
      <c r="BL256" s="550">
        <v>14656</v>
      </c>
      <c r="BM256" s="550">
        <v>2440</v>
      </c>
      <c r="BN256" s="550">
        <v>8204</v>
      </c>
      <c r="BO256" s="550">
        <v>54952</v>
      </c>
      <c r="BP256" s="550">
        <v>2331</v>
      </c>
      <c r="BQ256" s="550">
        <v>1399</v>
      </c>
      <c r="BR256" s="550">
        <v>146038</v>
      </c>
      <c r="BS256" s="550">
        <v>3066</v>
      </c>
      <c r="BT256" s="550">
        <v>317605</v>
      </c>
      <c r="BU256" s="550">
        <v>322</v>
      </c>
      <c r="BV256" s="550">
        <v>4073</v>
      </c>
      <c r="BW256" s="550">
        <v>8236</v>
      </c>
      <c r="BX256" s="550">
        <v>14408</v>
      </c>
      <c r="BY256" s="550">
        <v>4152</v>
      </c>
      <c r="BZ256" s="550">
        <v>136</v>
      </c>
      <c r="CA256" s="550">
        <v>0</v>
      </c>
      <c r="CB256" s="550">
        <v>1363</v>
      </c>
      <c r="CC256" s="550">
        <v>1555</v>
      </c>
      <c r="CD256" s="550">
        <v>0</v>
      </c>
      <c r="CE256" s="550">
        <v>662</v>
      </c>
      <c r="CF256" s="537"/>
      <c r="CG256" s="537"/>
      <c r="CH256" s="537"/>
      <c r="CI256" s="537"/>
      <c r="CJ256" s="537"/>
      <c r="CK256" s="537"/>
    </row>
    <row r="257" spans="1:83" x14ac:dyDescent="0.25">
      <c r="A257" s="537"/>
      <c r="B257" s="537"/>
      <c r="C257" s="569"/>
      <c r="D257" s="540"/>
      <c r="E257" s="595"/>
      <c r="F257" s="555"/>
      <c r="G257" s="555"/>
      <c r="H257" s="555"/>
      <c r="I257" s="555"/>
      <c r="J257" s="555"/>
      <c r="K257" s="556"/>
      <c r="L257" s="550"/>
      <c r="M257" s="550"/>
      <c r="N257" s="546"/>
      <c r="O257" s="546"/>
      <c r="P257" s="546"/>
      <c r="Q257" s="546"/>
      <c r="R257" s="546"/>
      <c r="S257" s="546"/>
      <c r="T257" s="546"/>
      <c r="U257" s="546"/>
      <c r="V257" s="546"/>
      <c r="W257" s="546"/>
      <c r="X257" s="546"/>
      <c r="Y257" s="546"/>
      <c r="Z257" s="546"/>
      <c r="AA257" s="546"/>
      <c r="AB257" s="550"/>
      <c r="AC257" s="550"/>
      <c r="AD257" s="550"/>
      <c r="AE257" s="550"/>
      <c r="AF257" s="550"/>
      <c r="AG257" s="550"/>
      <c r="AH257" s="550"/>
      <c r="AI257" s="550"/>
      <c r="AJ257" s="550"/>
      <c r="AK257" s="550"/>
      <c r="AL257" s="550"/>
      <c r="AM257" s="550"/>
      <c r="AN257" s="550"/>
      <c r="AO257" s="550"/>
      <c r="AP257" s="550"/>
      <c r="AQ257" s="550"/>
      <c r="AR257" s="550"/>
      <c r="AS257" s="550"/>
      <c r="AT257" s="550"/>
      <c r="AU257" s="550"/>
      <c r="AV257" s="550"/>
      <c r="AW257" s="550"/>
      <c r="AX257" s="550"/>
      <c r="AY257" s="550"/>
      <c r="AZ257" s="550"/>
      <c r="BA257" s="550"/>
      <c r="BB257" s="550"/>
      <c r="BC257" s="550"/>
      <c r="BD257" s="550"/>
      <c r="BE257" s="550"/>
      <c r="BF257" s="550"/>
      <c r="BG257" s="550"/>
      <c r="BH257" s="550"/>
      <c r="BI257" s="550"/>
      <c r="BJ257" s="550"/>
      <c r="BK257" s="550"/>
      <c r="BL257" s="550"/>
      <c r="BM257" s="550"/>
      <c r="BN257" s="550"/>
      <c r="BO257" s="550"/>
      <c r="BP257" s="550"/>
      <c r="BQ257" s="550"/>
      <c r="BR257" s="550"/>
      <c r="BS257" s="550"/>
      <c r="BT257" s="550"/>
      <c r="BU257" s="550"/>
      <c r="BV257" s="550"/>
      <c r="BW257" s="550"/>
      <c r="BX257" s="550"/>
      <c r="BY257" s="550"/>
      <c r="BZ257" s="550"/>
      <c r="CA257" s="550"/>
      <c r="CB257" s="550"/>
      <c r="CC257" s="550"/>
      <c r="CD257" s="550"/>
      <c r="CE257" s="550"/>
    </row>
    <row r="258" spans="1:83" ht="77.25" x14ac:dyDescent="0.25">
      <c r="A258" s="640">
        <v>598</v>
      </c>
      <c r="B258" s="624">
        <v>598</v>
      </c>
      <c r="C258" s="625" t="s">
        <v>800</v>
      </c>
      <c r="D258" s="540"/>
      <c r="E258" s="554">
        <v>1126</v>
      </c>
      <c r="F258" s="555">
        <v>0</v>
      </c>
      <c r="G258" s="555">
        <v>0</v>
      </c>
      <c r="H258" s="555">
        <v>0</v>
      </c>
      <c r="I258" s="555">
        <v>0</v>
      </c>
      <c r="J258" s="555">
        <v>0</v>
      </c>
      <c r="K258" s="556">
        <v>0</v>
      </c>
      <c r="L258" s="550">
        <v>0</v>
      </c>
      <c r="M258" s="550">
        <v>0</v>
      </c>
      <c r="N258" s="546">
        <v>0</v>
      </c>
      <c r="O258" s="546">
        <v>0</v>
      </c>
      <c r="P258" s="546">
        <v>0</v>
      </c>
      <c r="Q258" s="546">
        <v>0</v>
      </c>
      <c r="R258" s="546">
        <v>153808</v>
      </c>
      <c r="S258" s="546">
        <v>18657</v>
      </c>
      <c r="T258" s="546">
        <v>0</v>
      </c>
      <c r="U258" s="546">
        <v>68798</v>
      </c>
      <c r="V258" s="546">
        <v>97174</v>
      </c>
      <c r="W258" s="546">
        <v>191823</v>
      </c>
      <c r="X258" s="546">
        <v>35728</v>
      </c>
      <c r="Y258" s="546">
        <v>0</v>
      </c>
      <c r="Z258" s="546">
        <v>81275</v>
      </c>
      <c r="AA258" s="546">
        <v>0</v>
      </c>
      <c r="AB258" s="550">
        <v>30093</v>
      </c>
      <c r="AC258" s="550">
        <v>27032</v>
      </c>
      <c r="AD258" s="550">
        <v>0</v>
      </c>
      <c r="AE258" s="550">
        <v>3885</v>
      </c>
      <c r="AF258" s="550">
        <v>0</v>
      </c>
      <c r="AG258" s="550">
        <v>39593</v>
      </c>
      <c r="AH258" s="550">
        <v>0</v>
      </c>
      <c r="AI258" s="550">
        <v>0</v>
      </c>
      <c r="AJ258" s="550">
        <v>185918</v>
      </c>
      <c r="AK258" s="550">
        <v>0</v>
      </c>
      <c r="AL258" s="550">
        <v>0</v>
      </c>
      <c r="AM258" s="550">
        <v>0</v>
      </c>
      <c r="AN258" s="550">
        <v>64961</v>
      </c>
      <c r="AO258" s="550">
        <v>0</v>
      </c>
      <c r="AP258" s="550">
        <v>0</v>
      </c>
      <c r="AQ258" s="550">
        <v>0</v>
      </c>
      <c r="AR258" s="550">
        <v>20603</v>
      </c>
      <c r="AS258" s="550">
        <v>29114</v>
      </c>
      <c r="AT258" s="550">
        <v>0</v>
      </c>
      <c r="AU258" s="550">
        <v>13499</v>
      </c>
      <c r="AV258" s="550">
        <v>0</v>
      </c>
      <c r="AW258" s="550">
        <v>20641</v>
      </c>
      <c r="AX258" s="550">
        <v>0</v>
      </c>
      <c r="AY258" s="550">
        <v>0</v>
      </c>
      <c r="AZ258" s="550">
        <v>28640</v>
      </c>
      <c r="BA258" s="550">
        <v>0</v>
      </c>
      <c r="BB258" s="550">
        <v>0</v>
      </c>
      <c r="BC258" s="550">
        <v>0</v>
      </c>
      <c r="BD258" s="550">
        <v>0</v>
      </c>
      <c r="BE258" s="550">
        <v>51676</v>
      </c>
      <c r="BF258" s="550">
        <v>0</v>
      </c>
      <c r="BG258" s="550">
        <v>0</v>
      </c>
      <c r="BH258" s="550">
        <v>0</v>
      </c>
      <c r="BI258" s="550">
        <v>0</v>
      </c>
      <c r="BJ258" s="550">
        <v>0</v>
      </c>
      <c r="BK258" s="550">
        <v>0</v>
      </c>
      <c r="BL258" s="550">
        <v>16512</v>
      </c>
      <c r="BM258" s="550">
        <v>1830</v>
      </c>
      <c r="BN258" s="550">
        <v>16149</v>
      </c>
      <c r="BO258" s="550">
        <v>3395</v>
      </c>
      <c r="BP258" s="550">
        <v>0</v>
      </c>
      <c r="BQ258" s="550">
        <v>0</v>
      </c>
      <c r="BR258" s="550">
        <v>47333</v>
      </c>
      <c r="BS258" s="550">
        <v>0</v>
      </c>
      <c r="BT258" s="550">
        <v>26833</v>
      </c>
      <c r="BU258" s="550">
        <v>0</v>
      </c>
      <c r="BV258" s="550">
        <v>16533</v>
      </c>
      <c r="BW258" s="550">
        <v>0</v>
      </c>
      <c r="BX258" s="550">
        <v>2508</v>
      </c>
      <c r="BY258" s="550">
        <v>0</v>
      </c>
      <c r="BZ258" s="550">
        <v>0</v>
      </c>
      <c r="CA258" s="550">
        <v>0</v>
      </c>
      <c r="CB258" s="550">
        <v>0</v>
      </c>
      <c r="CC258" s="550">
        <v>2164</v>
      </c>
      <c r="CD258" s="550">
        <v>0</v>
      </c>
      <c r="CE258" s="550">
        <v>0</v>
      </c>
    </row>
    <row r="259" spans="1:83" ht="39" x14ac:dyDescent="0.25">
      <c r="A259" s="537">
        <v>599</v>
      </c>
      <c r="B259" s="624">
        <v>599</v>
      </c>
      <c r="C259" s="625" t="s">
        <v>801</v>
      </c>
      <c r="D259" s="540"/>
      <c r="E259" s="554">
        <v>20398</v>
      </c>
      <c r="F259" s="555">
        <v>0</v>
      </c>
      <c r="G259" s="555">
        <v>24367</v>
      </c>
      <c r="H259" s="555">
        <v>0</v>
      </c>
      <c r="I259" s="555">
        <v>0</v>
      </c>
      <c r="J259" s="555">
        <v>0</v>
      </c>
      <c r="K259" s="556">
        <v>0</v>
      </c>
      <c r="L259" s="550">
        <v>0</v>
      </c>
      <c r="M259" s="550">
        <v>0</v>
      </c>
      <c r="N259" s="546">
        <v>495902</v>
      </c>
      <c r="O259" s="546">
        <v>42121</v>
      </c>
      <c r="P259" s="546">
        <v>134701</v>
      </c>
      <c r="Q259" s="546">
        <v>0</v>
      </c>
      <c r="R259" s="546">
        <v>4075929</v>
      </c>
      <c r="S259" s="546">
        <v>59532</v>
      </c>
      <c r="T259" s="546">
        <v>0</v>
      </c>
      <c r="U259" s="546">
        <v>2874949</v>
      </c>
      <c r="V259" s="546">
        <v>1081661</v>
      </c>
      <c r="W259" s="546">
        <v>2619567</v>
      </c>
      <c r="X259" s="546">
        <v>1164414</v>
      </c>
      <c r="Y259" s="546">
        <v>0</v>
      </c>
      <c r="Z259" s="546">
        <v>1438070</v>
      </c>
      <c r="AA259" s="546">
        <v>50220</v>
      </c>
      <c r="AB259" s="550">
        <v>1109712</v>
      </c>
      <c r="AC259" s="550">
        <v>363709</v>
      </c>
      <c r="AD259" s="550">
        <v>0</v>
      </c>
      <c r="AE259" s="550">
        <v>374872</v>
      </c>
      <c r="AF259" s="550">
        <v>180164</v>
      </c>
      <c r="AG259" s="550">
        <v>823639</v>
      </c>
      <c r="AH259" s="550">
        <v>135733</v>
      </c>
      <c r="AI259" s="550">
        <v>12436</v>
      </c>
      <c r="AJ259" s="550">
        <v>2767704</v>
      </c>
      <c r="AK259" s="550">
        <v>0</v>
      </c>
      <c r="AL259" s="550">
        <v>43712</v>
      </c>
      <c r="AM259" s="550">
        <v>0</v>
      </c>
      <c r="AN259" s="550">
        <v>1064104</v>
      </c>
      <c r="AO259" s="550">
        <v>55230</v>
      </c>
      <c r="AP259" s="550">
        <v>0</v>
      </c>
      <c r="AQ259" s="550">
        <v>0</v>
      </c>
      <c r="AR259" s="550">
        <v>336687</v>
      </c>
      <c r="AS259" s="550">
        <v>737751</v>
      </c>
      <c r="AT259" s="550">
        <v>0</v>
      </c>
      <c r="AU259" s="550">
        <v>152141</v>
      </c>
      <c r="AV259" s="550">
        <v>0</v>
      </c>
      <c r="AW259" s="550">
        <v>682477</v>
      </c>
      <c r="AX259" s="550">
        <v>0</v>
      </c>
      <c r="AY259" s="550">
        <v>21533</v>
      </c>
      <c r="AZ259" s="550">
        <v>169081</v>
      </c>
      <c r="BA259" s="550">
        <v>55171</v>
      </c>
      <c r="BB259" s="550">
        <v>0</v>
      </c>
      <c r="BC259" s="550">
        <v>0</v>
      </c>
      <c r="BD259" s="550">
        <v>0</v>
      </c>
      <c r="BE259" s="550">
        <v>881989</v>
      </c>
      <c r="BF259" s="550">
        <v>0</v>
      </c>
      <c r="BG259" s="550">
        <v>0</v>
      </c>
      <c r="BH259" s="550">
        <v>0</v>
      </c>
      <c r="BI259" s="550">
        <v>0</v>
      </c>
      <c r="BJ259" s="550">
        <v>0</v>
      </c>
      <c r="BK259" s="550">
        <v>0</v>
      </c>
      <c r="BL259" s="550">
        <v>275321</v>
      </c>
      <c r="BM259" s="550">
        <v>64990</v>
      </c>
      <c r="BN259" s="550">
        <v>250078</v>
      </c>
      <c r="BO259" s="550">
        <v>84544</v>
      </c>
      <c r="BP259" s="550">
        <v>132388</v>
      </c>
      <c r="BQ259" s="550">
        <v>75532</v>
      </c>
      <c r="BR259" s="550">
        <v>1034234</v>
      </c>
      <c r="BS259" s="550">
        <v>43577</v>
      </c>
      <c r="BT259" s="550">
        <v>1200412</v>
      </c>
      <c r="BU259" s="550">
        <v>64527</v>
      </c>
      <c r="BV259" s="550">
        <v>493116</v>
      </c>
      <c r="BW259" s="550">
        <v>0</v>
      </c>
      <c r="BX259" s="550">
        <v>39821</v>
      </c>
      <c r="BY259" s="550">
        <v>12180</v>
      </c>
      <c r="BZ259" s="550">
        <v>0</v>
      </c>
      <c r="CA259" s="550">
        <v>0</v>
      </c>
      <c r="CB259" s="550">
        <v>0</v>
      </c>
      <c r="CC259" s="550">
        <v>26556</v>
      </c>
      <c r="CD259" s="550">
        <v>0</v>
      </c>
      <c r="CE259" s="550">
        <v>0</v>
      </c>
    </row>
    <row r="260" spans="1:83" ht="102.75" x14ac:dyDescent="0.25">
      <c r="A260" s="617"/>
      <c r="B260" s="587">
        <v>600</v>
      </c>
      <c r="C260" s="586" t="s">
        <v>877</v>
      </c>
      <c r="D260" s="622"/>
      <c r="E260" s="598">
        <v>0</v>
      </c>
      <c r="F260" s="597">
        <v>0</v>
      </c>
      <c r="G260" s="597">
        <v>0</v>
      </c>
      <c r="H260" s="597">
        <v>0</v>
      </c>
      <c r="I260" s="597">
        <v>0</v>
      </c>
      <c r="J260" s="597">
        <v>0</v>
      </c>
      <c r="K260" s="589">
        <v>0</v>
      </c>
      <c r="L260" s="593">
        <v>0</v>
      </c>
      <c r="M260" s="593">
        <v>0</v>
      </c>
      <c r="N260" s="547">
        <v>0</v>
      </c>
      <c r="O260" s="547">
        <v>0</v>
      </c>
      <c r="P260" s="547">
        <v>0</v>
      </c>
      <c r="Q260" s="547">
        <v>0</v>
      </c>
      <c r="R260" s="547">
        <v>0</v>
      </c>
      <c r="S260" s="547">
        <v>0</v>
      </c>
      <c r="T260" s="547">
        <v>0</v>
      </c>
      <c r="U260" s="547">
        <v>0</v>
      </c>
      <c r="V260" s="547">
        <v>0</v>
      </c>
      <c r="W260" s="547">
        <v>0</v>
      </c>
      <c r="X260" s="547">
        <v>0</v>
      </c>
      <c r="Y260" s="547">
        <v>0</v>
      </c>
      <c r="Z260" s="547">
        <v>0</v>
      </c>
      <c r="AA260" s="547">
        <v>0</v>
      </c>
      <c r="AB260" s="593">
        <v>0</v>
      </c>
      <c r="AC260" s="593">
        <v>0</v>
      </c>
      <c r="AD260" s="593">
        <v>0</v>
      </c>
      <c r="AE260" s="593">
        <v>0</v>
      </c>
      <c r="AF260" s="593">
        <v>0</v>
      </c>
      <c r="AG260" s="593">
        <v>0</v>
      </c>
      <c r="AH260" s="593">
        <v>0</v>
      </c>
      <c r="AI260" s="593">
        <v>0</v>
      </c>
      <c r="AJ260" s="593">
        <v>0</v>
      </c>
      <c r="AK260" s="593">
        <v>0</v>
      </c>
      <c r="AL260" s="593">
        <v>0</v>
      </c>
      <c r="AM260" s="593">
        <v>0</v>
      </c>
      <c r="AN260" s="593">
        <v>0</v>
      </c>
      <c r="AO260" s="593">
        <v>0</v>
      </c>
      <c r="AP260" s="593">
        <v>0</v>
      </c>
      <c r="AQ260" s="593">
        <v>0</v>
      </c>
      <c r="AR260" s="593">
        <v>0</v>
      </c>
      <c r="AS260" s="593">
        <v>0</v>
      </c>
      <c r="AT260" s="593">
        <v>0</v>
      </c>
      <c r="AU260" s="593">
        <v>0</v>
      </c>
      <c r="AV260" s="593">
        <v>0</v>
      </c>
      <c r="AW260" s="593">
        <v>0</v>
      </c>
      <c r="AX260" s="593">
        <v>0</v>
      </c>
      <c r="AY260" s="593">
        <v>0</v>
      </c>
      <c r="AZ260" s="593">
        <v>0</v>
      </c>
      <c r="BA260" s="593">
        <v>0</v>
      </c>
      <c r="BB260" s="593">
        <v>0</v>
      </c>
      <c r="BC260" s="593">
        <v>0</v>
      </c>
      <c r="BD260" s="593">
        <v>0</v>
      </c>
      <c r="BE260" s="593">
        <v>0</v>
      </c>
      <c r="BF260" s="593">
        <v>0</v>
      </c>
      <c r="BG260" s="593">
        <v>0</v>
      </c>
      <c r="BH260" s="593">
        <v>0</v>
      </c>
      <c r="BI260" s="593">
        <v>0</v>
      </c>
      <c r="BJ260" s="593">
        <v>0</v>
      </c>
      <c r="BK260" s="593">
        <v>0</v>
      </c>
      <c r="BL260" s="593">
        <v>0</v>
      </c>
      <c r="BM260" s="593">
        <v>0</v>
      </c>
      <c r="BN260" s="593">
        <v>0</v>
      </c>
      <c r="BO260" s="593">
        <v>0</v>
      </c>
      <c r="BP260" s="593">
        <v>0</v>
      </c>
      <c r="BQ260" s="593">
        <v>0</v>
      </c>
      <c r="BR260" s="593">
        <v>0</v>
      </c>
      <c r="BS260" s="593">
        <v>0</v>
      </c>
      <c r="BT260" s="593">
        <v>0</v>
      </c>
      <c r="BU260" s="593">
        <v>0</v>
      </c>
      <c r="BV260" s="593">
        <v>0</v>
      </c>
      <c r="BW260" s="593">
        <v>0</v>
      </c>
      <c r="BX260" s="593">
        <v>0</v>
      </c>
      <c r="BY260" s="593">
        <v>0</v>
      </c>
      <c r="BZ260" s="593">
        <v>0</v>
      </c>
      <c r="CA260" s="593">
        <v>0</v>
      </c>
      <c r="CB260" s="593">
        <v>0</v>
      </c>
      <c r="CC260" s="593">
        <v>0</v>
      </c>
      <c r="CD260" s="593">
        <v>0</v>
      </c>
      <c r="CE260" s="593">
        <v>0</v>
      </c>
    </row>
    <row r="261" spans="1:83" ht="217.5" x14ac:dyDescent="0.25">
      <c r="A261" s="617"/>
      <c r="B261" s="587">
        <v>601</v>
      </c>
      <c r="C261" s="586" t="s">
        <v>878</v>
      </c>
      <c r="D261" s="622"/>
      <c r="E261" s="598">
        <v>0</v>
      </c>
      <c r="F261" s="597">
        <v>0</v>
      </c>
      <c r="G261" s="597">
        <v>0</v>
      </c>
      <c r="H261" s="597">
        <v>0</v>
      </c>
      <c r="I261" s="597">
        <v>0</v>
      </c>
      <c r="J261" s="597">
        <v>0</v>
      </c>
      <c r="K261" s="589">
        <v>0</v>
      </c>
      <c r="L261" s="593">
        <v>0</v>
      </c>
      <c r="M261" s="593">
        <v>0</v>
      </c>
      <c r="N261" s="547">
        <v>0</v>
      </c>
      <c r="O261" s="547">
        <v>0</v>
      </c>
      <c r="P261" s="547">
        <v>0</v>
      </c>
      <c r="Q261" s="547">
        <v>0</v>
      </c>
      <c r="R261" s="547">
        <v>0</v>
      </c>
      <c r="S261" s="547">
        <v>0</v>
      </c>
      <c r="T261" s="547">
        <v>0</v>
      </c>
      <c r="U261" s="547">
        <v>0</v>
      </c>
      <c r="V261" s="547">
        <v>0</v>
      </c>
      <c r="W261" s="547">
        <v>0</v>
      </c>
      <c r="X261" s="547">
        <v>0</v>
      </c>
      <c r="Y261" s="547">
        <v>0</v>
      </c>
      <c r="Z261" s="547">
        <v>0</v>
      </c>
      <c r="AA261" s="547">
        <v>0</v>
      </c>
      <c r="AB261" s="593">
        <v>0</v>
      </c>
      <c r="AC261" s="593">
        <v>0</v>
      </c>
      <c r="AD261" s="593">
        <v>0</v>
      </c>
      <c r="AE261" s="593">
        <v>0</v>
      </c>
      <c r="AF261" s="593">
        <v>0</v>
      </c>
      <c r="AG261" s="593">
        <v>0</v>
      </c>
      <c r="AH261" s="593">
        <v>0</v>
      </c>
      <c r="AI261" s="593">
        <v>0</v>
      </c>
      <c r="AJ261" s="593">
        <v>0</v>
      </c>
      <c r="AK261" s="593">
        <v>0</v>
      </c>
      <c r="AL261" s="593">
        <v>0</v>
      </c>
      <c r="AM261" s="593">
        <v>0</v>
      </c>
      <c r="AN261" s="593">
        <v>0</v>
      </c>
      <c r="AO261" s="593">
        <v>0</v>
      </c>
      <c r="AP261" s="593">
        <v>0</v>
      </c>
      <c r="AQ261" s="593">
        <v>0</v>
      </c>
      <c r="AR261" s="593">
        <v>0</v>
      </c>
      <c r="AS261" s="593">
        <v>0</v>
      </c>
      <c r="AT261" s="593">
        <v>0</v>
      </c>
      <c r="AU261" s="593">
        <v>0</v>
      </c>
      <c r="AV261" s="593">
        <v>0</v>
      </c>
      <c r="AW261" s="593">
        <v>0</v>
      </c>
      <c r="AX261" s="593">
        <v>0</v>
      </c>
      <c r="AY261" s="593">
        <v>0</v>
      </c>
      <c r="AZ261" s="593">
        <v>0</v>
      </c>
      <c r="BA261" s="593">
        <v>0</v>
      </c>
      <c r="BB261" s="593">
        <v>0</v>
      </c>
      <c r="BC261" s="593">
        <v>0</v>
      </c>
      <c r="BD261" s="593">
        <v>0</v>
      </c>
      <c r="BE261" s="593">
        <v>0</v>
      </c>
      <c r="BF261" s="593">
        <v>0</v>
      </c>
      <c r="BG261" s="593">
        <v>0</v>
      </c>
      <c r="BH261" s="593">
        <v>0</v>
      </c>
      <c r="BI261" s="593">
        <v>0</v>
      </c>
      <c r="BJ261" s="593">
        <v>0</v>
      </c>
      <c r="BK261" s="593">
        <v>0</v>
      </c>
      <c r="BL261" s="593">
        <v>0</v>
      </c>
      <c r="BM261" s="593">
        <v>0</v>
      </c>
      <c r="BN261" s="593">
        <v>0</v>
      </c>
      <c r="BO261" s="593">
        <v>0</v>
      </c>
      <c r="BP261" s="593">
        <v>0</v>
      </c>
      <c r="BQ261" s="593">
        <v>0</v>
      </c>
      <c r="BR261" s="593">
        <v>0</v>
      </c>
      <c r="BS261" s="593">
        <v>0</v>
      </c>
      <c r="BT261" s="593">
        <v>0</v>
      </c>
      <c r="BU261" s="593">
        <v>0</v>
      </c>
      <c r="BV261" s="593">
        <v>0</v>
      </c>
      <c r="BW261" s="593">
        <v>0</v>
      </c>
      <c r="BX261" s="593">
        <v>0</v>
      </c>
      <c r="BY261" s="593">
        <v>0</v>
      </c>
      <c r="BZ261" s="593">
        <v>0</v>
      </c>
      <c r="CA261" s="593">
        <v>0</v>
      </c>
      <c r="CB261" s="593">
        <v>0</v>
      </c>
      <c r="CC261" s="593">
        <v>0</v>
      </c>
      <c r="CD261" s="593">
        <v>0</v>
      </c>
      <c r="CE261" s="593">
        <v>0</v>
      </c>
    </row>
    <row r="262" spans="1:83" ht="64.5" x14ac:dyDescent="0.25">
      <c r="A262" s="535">
        <v>602</v>
      </c>
      <c r="B262" s="624">
        <v>602</v>
      </c>
      <c r="C262" s="625" t="s">
        <v>902</v>
      </c>
      <c r="D262" s="540"/>
      <c r="E262" s="554">
        <v>0</v>
      </c>
      <c r="F262" s="555">
        <v>0</v>
      </c>
      <c r="G262" s="555">
        <v>0</v>
      </c>
      <c r="H262" s="555">
        <v>0</v>
      </c>
      <c r="I262" s="555">
        <v>0</v>
      </c>
      <c r="J262" s="555">
        <v>0</v>
      </c>
      <c r="K262" s="556">
        <v>0</v>
      </c>
      <c r="L262" s="550">
        <v>0</v>
      </c>
      <c r="M262" s="550">
        <v>0</v>
      </c>
      <c r="N262" s="546">
        <v>0</v>
      </c>
      <c r="O262" s="546">
        <v>0</v>
      </c>
      <c r="P262" s="546">
        <v>0</v>
      </c>
      <c r="Q262" s="546">
        <v>0</v>
      </c>
      <c r="R262" s="546">
        <v>0</v>
      </c>
      <c r="S262" s="546">
        <v>0</v>
      </c>
      <c r="T262" s="546">
        <v>0</v>
      </c>
      <c r="U262" s="546">
        <v>0</v>
      </c>
      <c r="V262" s="546">
        <v>0</v>
      </c>
      <c r="W262" s="546">
        <v>0</v>
      </c>
      <c r="X262" s="546">
        <v>0</v>
      </c>
      <c r="Y262" s="546">
        <v>0</v>
      </c>
      <c r="Z262" s="546">
        <v>0</v>
      </c>
      <c r="AA262" s="546">
        <v>0</v>
      </c>
      <c r="AB262" s="550">
        <v>0</v>
      </c>
      <c r="AC262" s="550">
        <v>0</v>
      </c>
      <c r="AD262" s="550">
        <v>0</v>
      </c>
      <c r="AE262" s="550">
        <v>0</v>
      </c>
      <c r="AF262" s="550">
        <v>0</v>
      </c>
      <c r="AG262" s="550">
        <v>0</v>
      </c>
      <c r="AH262" s="550">
        <v>0</v>
      </c>
      <c r="AI262" s="550">
        <v>0</v>
      </c>
      <c r="AJ262" s="550">
        <v>0</v>
      </c>
      <c r="AK262" s="550">
        <v>0</v>
      </c>
      <c r="AL262" s="550">
        <v>0</v>
      </c>
      <c r="AM262" s="550">
        <v>0</v>
      </c>
      <c r="AN262" s="550">
        <v>0</v>
      </c>
      <c r="AO262" s="550">
        <v>0</v>
      </c>
      <c r="AP262" s="550">
        <v>0</v>
      </c>
      <c r="AQ262" s="550">
        <v>0</v>
      </c>
      <c r="AR262" s="550">
        <v>0</v>
      </c>
      <c r="AS262" s="550">
        <v>0</v>
      </c>
      <c r="AT262" s="550">
        <v>0</v>
      </c>
      <c r="AU262" s="550">
        <v>0</v>
      </c>
      <c r="AV262" s="550">
        <v>0</v>
      </c>
      <c r="AW262" s="550">
        <v>0</v>
      </c>
      <c r="AX262" s="550">
        <v>0</v>
      </c>
      <c r="AY262" s="550">
        <v>0</v>
      </c>
      <c r="AZ262" s="550">
        <v>0</v>
      </c>
      <c r="BA262" s="550">
        <v>0</v>
      </c>
      <c r="BB262" s="550">
        <v>0</v>
      </c>
      <c r="BC262" s="550">
        <v>0</v>
      </c>
      <c r="BD262" s="550">
        <v>0</v>
      </c>
      <c r="BE262" s="550">
        <v>0</v>
      </c>
      <c r="BF262" s="550">
        <v>0</v>
      </c>
      <c r="BG262" s="550">
        <v>0</v>
      </c>
      <c r="BH262" s="550">
        <v>0</v>
      </c>
      <c r="BI262" s="550">
        <v>0</v>
      </c>
      <c r="BJ262" s="550">
        <v>0</v>
      </c>
      <c r="BK262" s="550">
        <v>0</v>
      </c>
      <c r="BL262" s="550">
        <v>0</v>
      </c>
      <c r="BM262" s="550">
        <v>0</v>
      </c>
      <c r="BN262" s="550">
        <v>0</v>
      </c>
      <c r="BO262" s="550">
        <v>0</v>
      </c>
      <c r="BP262" s="550">
        <v>0</v>
      </c>
      <c r="BQ262" s="550">
        <v>0</v>
      </c>
      <c r="BR262" s="550">
        <v>0</v>
      </c>
      <c r="BS262" s="550">
        <v>0</v>
      </c>
      <c r="BT262" s="550">
        <v>0</v>
      </c>
      <c r="BU262" s="550">
        <v>0</v>
      </c>
      <c r="BV262" s="550">
        <v>0</v>
      </c>
      <c r="BW262" s="550">
        <v>0</v>
      </c>
      <c r="BX262" s="550">
        <v>0</v>
      </c>
      <c r="BY262" s="550">
        <v>0</v>
      </c>
      <c r="BZ262" s="550">
        <v>0</v>
      </c>
      <c r="CA262" s="550">
        <v>0</v>
      </c>
      <c r="CB262" s="550">
        <v>0</v>
      </c>
      <c r="CC262" s="550">
        <v>0</v>
      </c>
      <c r="CD262" s="550">
        <v>0</v>
      </c>
      <c r="CE262" s="550">
        <v>0</v>
      </c>
    </row>
    <row r="263" spans="1:83" ht="214.5" x14ac:dyDescent="0.25">
      <c r="A263" s="537">
        <v>603</v>
      </c>
      <c r="B263" s="624">
        <v>603</v>
      </c>
      <c r="C263" s="632" t="s">
        <v>821</v>
      </c>
      <c r="D263" s="540"/>
      <c r="E263" s="554">
        <v>2</v>
      </c>
      <c r="F263" s="555">
        <v>2</v>
      </c>
      <c r="G263" s="555">
        <v>2</v>
      </c>
      <c r="H263" s="555">
        <v>2</v>
      </c>
      <c r="I263" s="555">
        <v>1</v>
      </c>
      <c r="J263" s="555">
        <v>1</v>
      </c>
      <c r="K263" s="556">
        <v>2</v>
      </c>
      <c r="L263" s="550">
        <v>1</v>
      </c>
      <c r="M263" s="550">
        <v>1</v>
      </c>
      <c r="N263" s="546">
        <v>1</v>
      </c>
      <c r="O263" s="546">
        <v>1</v>
      </c>
      <c r="P263" s="546">
        <v>1</v>
      </c>
      <c r="Q263" s="546">
        <v>1</v>
      </c>
      <c r="R263" s="546">
        <v>2</v>
      </c>
      <c r="S263" s="546">
        <v>4</v>
      </c>
      <c r="T263" s="546">
        <v>1</v>
      </c>
      <c r="U263" s="546">
        <v>1</v>
      </c>
      <c r="V263" s="546">
        <v>2</v>
      </c>
      <c r="W263" s="546">
        <v>1</v>
      </c>
      <c r="X263" s="546">
        <v>1</v>
      </c>
      <c r="Y263" s="546">
        <v>0</v>
      </c>
      <c r="Z263" s="546">
        <v>1</v>
      </c>
      <c r="AA263" s="546">
        <v>2</v>
      </c>
      <c r="AB263" s="550">
        <v>1</v>
      </c>
      <c r="AC263" s="550">
        <v>4</v>
      </c>
      <c r="AD263" s="550">
        <v>1</v>
      </c>
      <c r="AE263" s="550">
        <v>1</v>
      </c>
      <c r="AF263" s="550">
        <v>1</v>
      </c>
      <c r="AG263" s="550">
        <v>1</v>
      </c>
      <c r="AH263" s="550">
        <v>4</v>
      </c>
      <c r="AI263" s="550">
        <v>5</v>
      </c>
      <c r="AJ263" s="550">
        <v>2</v>
      </c>
      <c r="AK263" s="550">
        <v>1</v>
      </c>
      <c r="AL263" s="550">
        <v>6</v>
      </c>
      <c r="AM263" s="550">
        <v>0</v>
      </c>
      <c r="AN263" s="550">
        <v>1</v>
      </c>
      <c r="AO263" s="550">
        <v>1</v>
      </c>
      <c r="AP263" s="550">
        <v>0</v>
      </c>
      <c r="AQ263" s="550">
        <v>2</v>
      </c>
      <c r="AR263" s="550">
        <v>4</v>
      </c>
      <c r="AS263" s="550">
        <v>1</v>
      </c>
      <c r="AT263" s="550">
        <v>0</v>
      </c>
      <c r="AU263" s="550">
        <v>5</v>
      </c>
      <c r="AV263" s="550">
        <v>2</v>
      </c>
      <c r="AW263" s="550">
        <v>4</v>
      </c>
      <c r="AX263" s="550">
        <v>1</v>
      </c>
      <c r="AY263" s="550">
        <v>1</v>
      </c>
      <c r="AZ263" s="550">
        <v>1</v>
      </c>
      <c r="BA263" s="550">
        <v>1</v>
      </c>
      <c r="BB263" s="550">
        <v>0</v>
      </c>
      <c r="BC263" s="550">
        <v>2</v>
      </c>
      <c r="BD263" s="550">
        <v>5</v>
      </c>
      <c r="BE263" s="550">
        <v>1</v>
      </c>
      <c r="BF263" s="550">
        <v>2</v>
      </c>
      <c r="BG263" s="550">
        <v>2</v>
      </c>
      <c r="BH263" s="550">
        <v>2</v>
      </c>
      <c r="BI263" s="550">
        <v>2</v>
      </c>
      <c r="BJ263" s="550">
        <v>2</v>
      </c>
      <c r="BK263" s="550">
        <v>2</v>
      </c>
      <c r="BL263" s="550">
        <v>1</v>
      </c>
      <c r="BM263" s="550">
        <v>4</v>
      </c>
      <c r="BN263" s="550">
        <v>1</v>
      </c>
      <c r="BO263" s="550">
        <v>2</v>
      </c>
      <c r="BP263" s="550">
        <v>2</v>
      </c>
      <c r="BQ263" s="550">
        <v>2</v>
      </c>
      <c r="BR263" s="550">
        <v>1</v>
      </c>
      <c r="BS263" s="550">
        <v>4</v>
      </c>
      <c r="BT263" s="550">
        <v>1</v>
      </c>
      <c r="BU263" s="550">
        <v>2</v>
      </c>
      <c r="BV263" s="550">
        <v>2</v>
      </c>
      <c r="BW263" s="550">
        <v>1</v>
      </c>
      <c r="BX263" s="550">
        <v>5</v>
      </c>
      <c r="BY263" s="550">
        <v>2</v>
      </c>
      <c r="BZ263" s="550">
        <v>3</v>
      </c>
      <c r="CA263" s="550">
        <v>0</v>
      </c>
      <c r="CB263" s="550">
        <v>5</v>
      </c>
      <c r="CC263" s="550">
        <v>2</v>
      </c>
      <c r="CD263" s="550">
        <v>0</v>
      </c>
      <c r="CE263" s="550">
        <v>5</v>
      </c>
    </row>
    <row r="264" spans="1:83" ht="156.75" x14ac:dyDescent="0.25">
      <c r="A264" s="537">
        <v>604</v>
      </c>
      <c r="B264" s="624">
        <v>604</v>
      </c>
      <c r="C264" s="635" t="s">
        <v>822</v>
      </c>
      <c r="D264" s="540"/>
      <c r="E264" s="554">
        <v>2</v>
      </c>
      <c r="F264" s="555">
        <v>1</v>
      </c>
      <c r="G264" s="555">
        <v>1</v>
      </c>
      <c r="H264" s="555">
        <v>1</v>
      </c>
      <c r="I264" s="555">
        <v>1</v>
      </c>
      <c r="J264" s="555">
        <v>1</v>
      </c>
      <c r="K264" s="556">
        <v>5</v>
      </c>
      <c r="L264" s="550">
        <v>1</v>
      </c>
      <c r="M264" s="550">
        <v>1</v>
      </c>
      <c r="N264" s="546">
        <v>1</v>
      </c>
      <c r="O264" s="546">
        <v>1</v>
      </c>
      <c r="P264" s="546">
        <v>1</v>
      </c>
      <c r="Q264" s="546">
        <v>1</v>
      </c>
      <c r="R264" s="546">
        <v>1</v>
      </c>
      <c r="S264" s="546">
        <v>5</v>
      </c>
      <c r="T264" s="546">
        <v>1</v>
      </c>
      <c r="U264" s="546">
        <v>1</v>
      </c>
      <c r="V264" s="546">
        <v>1</v>
      </c>
      <c r="W264" s="546">
        <v>1</v>
      </c>
      <c r="X264" s="546">
        <v>1</v>
      </c>
      <c r="Y264" s="546">
        <v>0</v>
      </c>
      <c r="Z264" s="546">
        <v>1</v>
      </c>
      <c r="AA264" s="546">
        <v>1</v>
      </c>
      <c r="AB264" s="550">
        <v>4</v>
      </c>
      <c r="AC264" s="550">
        <v>5</v>
      </c>
      <c r="AD264" s="550">
        <v>3</v>
      </c>
      <c r="AE264" s="550">
        <v>3</v>
      </c>
      <c r="AF264" s="550">
        <v>1</v>
      </c>
      <c r="AG264" s="550">
        <v>1</v>
      </c>
      <c r="AH264" s="550">
        <v>3</v>
      </c>
      <c r="AI264" s="550">
        <v>5</v>
      </c>
      <c r="AJ264" s="550">
        <v>1</v>
      </c>
      <c r="AK264" s="550">
        <v>1</v>
      </c>
      <c r="AL264" s="550">
        <v>1</v>
      </c>
      <c r="AM264" s="550">
        <v>0</v>
      </c>
      <c r="AN264" s="550">
        <v>1</v>
      </c>
      <c r="AO264" s="550">
        <v>1</v>
      </c>
      <c r="AP264" s="550">
        <v>0</v>
      </c>
      <c r="AQ264" s="550">
        <v>1</v>
      </c>
      <c r="AR264" s="550">
        <v>5</v>
      </c>
      <c r="AS264" s="550">
        <v>1</v>
      </c>
      <c r="AT264" s="550">
        <v>0</v>
      </c>
      <c r="AU264" s="550">
        <v>5</v>
      </c>
      <c r="AV264" s="550">
        <v>1</v>
      </c>
      <c r="AW264" s="550">
        <v>3</v>
      </c>
      <c r="AX264" s="550">
        <v>1</v>
      </c>
      <c r="AY264" s="550">
        <v>1</v>
      </c>
      <c r="AZ264" s="550">
        <v>1</v>
      </c>
      <c r="BA264" s="550">
        <v>1</v>
      </c>
      <c r="BB264" s="550">
        <v>0</v>
      </c>
      <c r="BC264" s="550">
        <v>1</v>
      </c>
      <c r="BD264" s="550">
        <v>2</v>
      </c>
      <c r="BE264" s="550">
        <v>3</v>
      </c>
      <c r="BF264" s="550">
        <v>1</v>
      </c>
      <c r="BG264" s="550">
        <v>1</v>
      </c>
      <c r="BH264" s="550">
        <v>1</v>
      </c>
      <c r="BI264" s="550">
        <v>1</v>
      </c>
      <c r="BJ264" s="550">
        <v>1</v>
      </c>
      <c r="BK264" s="550">
        <v>1</v>
      </c>
      <c r="BL264" s="550">
        <v>1</v>
      </c>
      <c r="BM264" s="550">
        <v>5</v>
      </c>
      <c r="BN264" s="550">
        <v>3</v>
      </c>
      <c r="BO264" s="550">
        <v>1</v>
      </c>
      <c r="BP264" s="550">
        <v>1</v>
      </c>
      <c r="BQ264" s="550">
        <v>1</v>
      </c>
      <c r="BR264" s="550">
        <v>1</v>
      </c>
      <c r="BS264" s="550">
        <v>5</v>
      </c>
      <c r="BT264" s="550">
        <v>1</v>
      </c>
      <c r="BU264" s="550">
        <v>1</v>
      </c>
      <c r="BV264" s="550">
        <v>1</v>
      </c>
      <c r="BW264" s="550">
        <v>1</v>
      </c>
      <c r="BX264" s="550">
        <v>3</v>
      </c>
      <c r="BY264" s="550">
        <v>1</v>
      </c>
      <c r="BZ264" s="550">
        <v>1</v>
      </c>
      <c r="CA264" s="550">
        <v>0</v>
      </c>
      <c r="CB264" s="550">
        <v>3</v>
      </c>
      <c r="CC264" s="550">
        <v>1</v>
      </c>
      <c r="CD264" s="550">
        <v>0</v>
      </c>
      <c r="CE264" s="550">
        <v>5</v>
      </c>
    </row>
    <row r="265" spans="1:83" ht="57.75" x14ac:dyDescent="0.25">
      <c r="A265" s="537">
        <v>605</v>
      </c>
      <c r="B265" s="624">
        <v>605</v>
      </c>
      <c r="C265" s="632" t="s">
        <v>825</v>
      </c>
      <c r="D265" s="540"/>
      <c r="E265" s="554">
        <v>1</v>
      </c>
      <c r="F265" s="555">
        <v>1</v>
      </c>
      <c r="G265" s="555">
        <v>1</v>
      </c>
      <c r="H265" s="555">
        <v>1</v>
      </c>
      <c r="I265" s="555">
        <v>1</v>
      </c>
      <c r="J265" s="555">
        <v>0</v>
      </c>
      <c r="K265" s="556">
        <v>1</v>
      </c>
      <c r="L265" s="550">
        <v>1</v>
      </c>
      <c r="M265" s="550">
        <v>1</v>
      </c>
      <c r="N265" s="546">
        <v>1</v>
      </c>
      <c r="O265" s="546">
        <v>1</v>
      </c>
      <c r="P265" s="546">
        <v>1</v>
      </c>
      <c r="Q265" s="546">
        <v>1</v>
      </c>
      <c r="R265" s="546">
        <v>1</v>
      </c>
      <c r="S265" s="546">
        <v>1</v>
      </c>
      <c r="T265" s="546">
        <v>1</v>
      </c>
      <c r="U265" s="546">
        <v>1</v>
      </c>
      <c r="V265" s="546">
        <v>1</v>
      </c>
      <c r="W265" s="546">
        <v>1</v>
      </c>
      <c r="X265" s="546">
        <v>1</v>
      </c>
      <c r="Y265" s="546">
        <v>0</v>
      </c>
      <c r="Z265" s="546">
        <v>1</v>
      </c>
      <c r="AA265" s="546">
        <v>1</v>
      </c>
      <c r="AB265" s="550">
        <v>1</v>
      </c>
      <c r="AC265" s="550">
        <v>1</v>
      </c>
      <c r="AD265" s="550">
        <v>1</v>
      </c>
      <c r="AE265" s="550">
        <v>1</v>
      </c>
      <c r="AF265" s="550">
        <v>1</v>
      </c>
      <c r="AG265" s="550">
        <v>1</v>
      </c>
      <c r="AH265" s="550">
        <v>1</v>
      </c>
      <c r="AI265" s="550">
        <v>1</v>
      </c>
      <c r="AJ265" s="550">
        <v>1</v>
      </c>
      <c r="AK265" s="550">
        <v>1</v>
      </c>
      <c r="AL265" s="550">
        <v>1</v>
      </c>
      <c r="AM265" s="550">
        <v>0</v>
      </c>
      <c r="AN265" s="550">
        <v>1</v>
      </c>
      <c r="AO265" s="550">
        <v>1</v>
      </c>
      <c r="AP265" s="550">
        <v>0</v>
      </c>
      <c r="AQ265" s="550">
        <v>1</v>
      </c>
      <c r="AR265" s="550">
        <v>1</v>
      </c>
      <c r="AS265" s="550">
        <v>1</v>
      </c>
      <c r="AT265" s="550">
        <v>0</v>
      </c>
      <c r="AU265" s="550">
        <v>0</v>
      </c>
      <c r="AV265" s="550">
        <v>1</v>
      </c>
      <c r="AW265" s="550">
        <v>1</v>
      </c>
      <c r="AX265" s="550">
        <v>1</v>
      </c>
      <c r="AY265" s="550">
        <v>1</v>
      </c>
      <c r="AZ265" s="550">
        <v>1</v>
      </c>
      <c r="BA265" s="550">
        <v>1</v>
      </c>
      <c r="BB265" s="550">
        <v>0</v>
      </c>
      <c r="BC265" s="550">
        <v>1</v>
      </c>
      <c r="BD265" s="550">
        <v>1</v>
      </c>
      <c r="BE265" s="550">
        <v>1</v>
      </c>
      <c r="BF265" s="550">
        <v>1</v>
      </c>
      <c r="BG265" s="550">
        <v>1</v>
      </c>
      <c r="BH265" s="550">
        <v>1</v>
      </c>
      <c r="BI265" s="550">
        <v>1</v>
      </c>
      <c r="BJ265" s="550">
        <v>1</v>
      </c>
      <c r="BK265" s="550">
        <v>1</v>
      </c>
      <c r="BL265" s="550">
        <v>1</v>
      </c>
      <c r="BM265" s="550">
        <v>1</v>
      </c>
      <c r="BN265" s="550">
        <v>1</v>
      </c>
      <c r="BO265" s="550">
        <v>1</v>
      </c>
      <c r="BP265" s="550">
        <v>1</v>
      </c>
      <c r="BQ265" s="550">
        <v>1</v>
      </c>
      <c r="BR265" s="550">
        <v>1</v>
      </c>
      <c r="BS265" s="550">
        <v>1</v>
      </c>
      <c r="BT265" s="550">
        <v>1</v>
      </c>
      <c r="BU265" s="550">
        <v>1</v>
      </c>
      <c r="BV265" s="550">
        <v>1</v>
      </c>
      <c r="BW265" s="550">
        <v>1</v>
      </c>
      <c r="BX265" s="550">
        <v>1</v>
      </c>
      <c r="BY265" s="550">
        <v>1</v>
      </c>
      <c r="BZ265" s="550">
        <v>1</v>
      </c>
      <c r="CA265" s="550">
        <v>0</v>
      </c>
      <c r="CB265" s="550">
        <v>1</v>
      </c>
      <c r="CC265" s="550">
        <v>1</v>
      </c>
      <c r="CD265" s="550">
        <v>0</v>
      </c>
      <c r="CE265" s="550">
        <v>1</v>
      </c>
    </row>
    <row r="266" spans="1:83" ht="45" x14ac:dyDescent="0.25">
      <c r="A266" s="537">
        <v>606</v>
      </c>
      <c r="B266" s="624">
        <v>606</v>
      </c>
      <c r="C266" s="633" t="s">
        <v>848</v>
      </c>
      <c r="D266" s="540"/>
      <c r="E266" s="554">
        <v>0</v>
      </c>
      <c r="F266" s="555">
        <v>0</v>
      </c>
      <c r="G266" s="555">
        <v>0</v>
      </c>
      <c r="H266" s="555">
        <v>0</v>
      </c>
      <c r="I266" s="555">
        <v>0</v>
      </c>
      <c r="J266" s="555">
        <v>0</v>
      </c>
      <c r="K266" s="556">
        <v>0</v>
      </c>
      <c r="L266" s="550">
        <v>0</v>
      </c>
      <c r="M266" s="550">
        <v>0</v>
      </c>
      <c r="N266" s="546">
        <v>1</v>
      </c>
      <c r="O266" s="546">
        <v>0</v>
      </c>
      <c r="P266" s="546">
        <v>0</v>
      </c>
      <c r="Q266" s="546">
        <v>0</v>
      </c>
      <c r="R266" s="546">
        <v>1</v>
      </c>
      <c r="S266" s="546">
        <v>0</v>
      </c>
      <c r="T266" s="546">
        <v>0</v>
      </c>
      <c r="U266" s="546">
        <v>1</v>
      </c>
      <c r="V266" s="546">
        <v>1</v>
      </c>
      <c r="W266" s="546">
        <v>1</v>
      </c>
      <c r="X266" s="546">
        <v>1</v>
      </c>
      <c r="Y266" s="546">
        <v>0</v>
      </c>
      <c r="Z266" s="546">
        <v>1</v>
      </c>
      <c r="AA266" s="546">
        <v>0</v>
      </c>
      <c r="AB266" s="550">
        <v>0</v>
      </c>
      <c r="AC266" s="550">
        <v>1</v>
      </c>
      <c r="AD266" s="550">
        <v>0</v>
      </c>
      <c r="AE266" s="550">
        <v>0</v>
      </c>
      <c r="AF266" s="550">
        <v>0</v>
      </c>
      <c r="AG266" s="550">
        <v>0</v>
      </c>
      <c r="AH266" s="550">
        <v>0</v>
      </c>
      <c r="AI266" s="550">
        <v>0</v>
      </c>
      <c r="AJ266" s="550">
        <v>1</v>
      </c>
      <c r="AK266" s="550">
        <v>0</v>
      </c>
      <c r="AL266" s="550">
        <v>0</v>
      </c>
      <c r="AM266" s="550">
        <v>0</v>
      </c>
      <c r="AN266" s="550">
        <v>1</v>
      </c>
      <c r="AO266" s="550">
        <v>0</v>
      </c>
      <c r="AP266" s="550">
        <v>0</v>
      </c>
      <c r="AQ266" s="550">
        <v>0</v>
      </c>
      <c r="AR266" s="550">
        <v>0</v>
      </c>
      <c r="AS266" s="550">
        <v>0</v>
      </c>
      <c r="AT266" s="550">
        <v>0</v>
      </c>
      <c r="AU266" s="550">
        <v>0</v>
      </c>
      <c r="AV266" s="550">
        <v>0</v>
      </c>
      <c r="AW266" s="550">
        <v>0</v>
      </c>
      <c r="AX266" s="550">
        <v>0</v>
      </c>
      <c r="AY266" s="550">
        <v>0</v>
      </c>
      <c r="AZ266" s="550">
        <v>1</v>
      </c>
      <c r="BA266" s="550">
        <v>0</v>
      </c>
      <c r="BB266" s="550">
        <v>0</v>
      </c>
      <c r="BC266" s="550">
        <v>0</v>
      </c>
      <c r="BD266" s="550">
        <v>0</v>
      </c>
      <c r="BE266" s="550">
        <v>0</v>
      </c>
      <c r="BF266" s="550">
        <v>0</v>
      </c>
      <c r="BG266" s="550">
        <v>0</v>
      </c>
      <c r="BH266" s="550">
        <v>0</v>
      </c>
      <c r="BI266" s="550">
        <v>0</v>
      </c>
      <c r="BJ266" s="550">
        <v>0</v>
      </c>
      <c r="BK266" s="550">
        <v>0</v>
      </c>
      <c r="BL266" s="550">
        <v>0</v>
      </c>
      <c r="BM266" s="550">
        <v>0</v>
      </c>
      <c r="BN266" s="550">
        <v>0</v>
      </c>
      <c r="BO266" s="550">
        <v>0</v>
      </c>
      <c r="BP266" s="550">
        <v>0</v>
      </c>
      <c r="BQ266" s="550">
        <v>0</v>
      </c>
      <c r="BR266" s="550">
        <v>0</v>
      </c>
      <c r="BS266" s="550">
        <v>0</v>
      </c>
      <c r="BT266" s="550">
        <v>0</v>
      </c>
      <c r="BU266" s="550">
        <v>0</v>
      </c>
      <c r="BV266" s="550">
        <v>0</v>
      </c>
      <c r="BW266" s="550">
        <v>0</v>
      </c>
      <c r="BX266" s="550">
        <v>1</v>
      </c>
      <c r="BY266" s="550">
        <v>0</v>
      </c>
      <c r="BZ266" s="550">
        <v>0</v>
      </c>
      <c r="CA266" s="550">
        <v>0</v>
      </c>
      <c r="CB266" s="550">
        <v>0</v>
      </c>
      <c r="CC266" s="550">
        <v>0</v>
      </c>
      <c r="CD266" s="550">
        <v>0</v>
      </c>
      <c r="CE266" s="550">
        <v>0</v>
      </c>
    </row>
    <row r="267" spans="1:83" ht="29.25" x14ac:dyDescent="0.25">
      <c r="A267" s="537">
        <v>607</v>
      </c>
      <c r="B267" s="624">
        <v>607</v>
      </c>
      <c r="C267" s="632" t="s">
        <v>813</v>
      </c>
      <c r="D267" s="540"/>
      <c r="E267" s="554">
        <v>0</v>
      </c>
      <c r="F267" s="555">
        <v>0</v>
      </c>
      <c r="G267" s="555">
        <v>2565</v>
      </c>
      <c r="H267" s="555">
        <v>0</v>
      </c>
      <c r="I267" s="555">
        <v>0</v>
      </c>
      <c r="J267" s="555">
        <v>0</v>
      </c>
      <c r="K267" s="556">
        <v>0</v>
      </c>
      <c r="L267" s="550">
        <v>0</v>
      </c>
      <c r="M267" s="550">
        <v>0</v>
      </c>
      <c r="N267" s="546">
        <v>2909603</v>
      </c>
      <c r="O267" s="546">
        <v>0</v>
      </c>
      <c r="P267" s="546">
        <v>634093</v>
      </c>
      <c r="Q267" s="546">
        <v>0</v>
      </c>
      <c r="R267" s="546">
        <v>41697873</v>
      </c>
      <c r="S267" s="546">
        <v>0</v>
      </c>
      <c r="T267" s="546">
        <v>0</v>
      </c>
      <c r="U267" s="546">
        <v>52289488</v>
      </c>
      <c r="V267" s="546">
        <v>2522556</v>
      </c>
      <c r="W267" s="546">
        <v>19005352</v>
      </c>
      <c r="X267" s="546">
        <v>4014427</v>
      </c>
      <c r="Y267" s="546">
        <v>0</v>
      </c>
      <c r="Z267" s="546">
        <v>0</v>
      </c>
      <c r="AA267" s="546">
        <v>0</v>
      </c>
      <c r="AB267" s="550">
        <v>1022188</v>
      </c>
      <c r="AC267" s="550">
        <v>0</v>
      </c>
      <c r="AD267" s="550">
        <v>0</v>
      </c>
      <c r="AE267" s="550">
        <v>0</v>
      </c>
      <c r="AF267" s="550">
        <v>0</v>
      </c>
      <c r="AG267" s="550">
        <v>4089885</v>
      </c>
      <c r="AH267" s="550">
        <v>848767</v>
      </c>
      <c r="AI267" s="550">
        <v>0</v>
      </c>
      <c r="AJ267" s="550">
        <v>31660786</v>
      </c>
      <c r="AK267" s="550">
        <v>0</v>
      </c>
      <c r="AL267" s="550">
        <v>0</v>
      </c>
      <c r="AM267" s="550">
        <v>0</v>
      </c>
      <c r="AN267" s="550">
        <v>1212209</v>
      </c>
      <c r="AO267" s="550">
        <v>0</v>
      </c>
      <c r="AP267" s="550">
        <v>0</v>
      </c>
      <c r="AQ267" s="550">
        <v>0</v>
      </c>
      <c r="AR267" s="550">
        <v>0</v>
      </c>
      <c r="AS267" s="550">
        <v>1737003</v>
      </c>
      <c r="AT267" s="550">
        <v>0</v>
      </c>
      <c r="AU267" s="550">
        <v>253228</v>
      </c>
      <c r="AV267" s="550">
        <v>0</v>
      </c>
      <c r="AW267" s="550">
        <v>3731745</v>
      </c>
      <c r="AX267" s="550">
        <v>0</v>
      </c>
      <c r="AY267" s="550">
        <v>0</v>
      </c>
      <c r="AZ267" s="550">
        <v>0</v>
      </c>
      <c r="BA267" s="550">
        <v>0</v>
      </c>
      <c r="BB267" s="550">
        <v>0</v>
      </c>
      <c r="BC267" s="550">
        <v>0</v>
      </c>
      <c r="BD267" s="550">
        <v>0</v>
      </c>
      <c r="BE267" s="550">
        <v>6447077</v>
      </c>
      <c r="BF267" s="550">
        <v>0</v>
      </c>
      <c r="BG267" s="550">
        <v>0</v>
      </c>
      <c r="BH267" s="550">
        <v>0</v>
      </c>
      <c r="BI267" s="550">
        <v>0</v>
      </c>
      <c r="BJ267" s="550">
        <v>0</v>
      </c>
      <c r="BK267" s="550">
        <v>0</v>
      </c>
      <c r="BL267" s="550">
        <v>2015301</v>
      </c>
      <c r="BM267" s="550">
        <v>0</v>
      </c>
      <c r="BN267" s="550">
        <v>30586</v>
      </c>
      <c r="BO267" s="550">
        <v>0</v>
      </c>
      <c r="BP267" s="550">
        <v>0</v>
      </c>
      <c r="BQ267" s="550">
        <v>0</v>
      </c>
      <c r="BR267" s="550">
        <v>0</v>
      </c>
      <c r="BS267" s="550">
        <v>58595</v>
      </c>
      <c r="BT267" s="550">
        <v>4532967</v>
      </c>
      <c r="BU267" s="550">
        <v>87317</v>
      </c>
      <c r="BV267" s="550">
        <v>992928</v>
      </c>
      <c r="BW267" s="550">
        <v>0</v>
      </c>
      <c r="BX267" s="550">
        <v>0</v>
      </c>
      <c r="BY267" s="550">
        <v>506402</v>
      </c>
      <c r="BZ267" s="550">
        <v>0</v>
      </c>
      <c r="CA267" s="550">
        <v>0</v>
      </c>
      <c r="CB267" s="550">
        <v>0</v>
      </c>
      <c r="CC267" s="550">
        <v>0</v>
      </c>
      <c r="CD267" s="550">
        <v>0</v>
      </c>
      <c r="CE267" s="550">
        <v>0</v>
      </c>
    </row>
    <row r="268" spans="1:83" ht="43.5" x14ac:dyDescent="0.25">
      <c r="A268" s="537">
        <v>608</v>
      </c>
      <c r="B268" s="624">
        <v>608</v>
      </c>
      <c r="C268" s="632" t="s">
        <v>814</v>
      </c>
      <c r="D268" s="540"/>
      <c r="E268" s="630">
        <v>0</v>
      </c>
      <c r="F268" s="629">
        <v>0</v>
      </c>
      <c r="G268" s="629">
        <v>0</v>
      </c>
      <c r="H268" s="629">
        <v>0</v>
      </c>
      <c r="I268" s="629">
        <v>0</v>
      </c>
      <c r="J268" s="629">
        <v>0</v>
      </c>
      <c r="K268" s="628">
        <v>0</v>
      </c>
      <c r="L268" s="631">
        <v>0</v>
      </c>
      <c r="M268" s="631">
        <v>0</v>
      </c>
      <c r="N268" s="627">
        <v>0</v>
      </c>
      <c r="O268" s="627">
        <v>0</v>
      </c>
      <c r="P268" s="627">
        <v>0</v>
      </c>
      <c r="Q268" s="627">
        <v>0</v>
      </c>
      <c r="R268" s="627">
        <v>0</v>
      </c>
      <c r="S268" s="627">
        <v>0</v>
      </c>
      <c r="T268" s="627">
        <v>0</v>
      </c>
      <c r="U268" s="627">
        <v>0</v>
      </c>
      <c r="V268" s="627">
        <v>0</v>
      </c>
      <c r="W268" s="627">
        <v>0</v>
      </c>
      <c r="X268" s="627">
        <v>0</v>
      </c>
      <c r="Y268" s="627">
        <v>0</v>
      </c>
      <c r="Z268" s="627">
        <v>0</v>
      </c>
      <c r="AA268" s="627">
        <v>0</v>
      </c>
      <c r="AB268" s="631">
        <v>0</v>
      </c>
      <c r="AC268" s="631">
        <v>0</v>
      </c>
      <c r="AD268" s="631">
        <v>0</v>
      </c>
      <c r="AE268" s="631">
        <v>0</v>
      </c>
      <c r="AF268" s="631">
        <v>0</v>
      </c>
      <c r="AG268" s="631">
        <v>0</v>
      </c>
      <c r="AH268" s="631">
        <v>0</v>
      </c>
      <c r="AI268" s="631">
        <v>0</v>
      </c>
      <c r="AJ268" s="631">
        <v>0</v>
      </c>
      <c r="AK268" s="631">
        <v>0</v>
      </c>
      <c r="AL268" s="631">
        <v>0</v>
      </c>
      <c r="AM268" s="631">
        <v>0</v>
      </c>
      <c r="AN268" s="631">
        <v>0</v>
      </c>
      <c r="AO268" s="631">
        <v>0</v>
      </c>
      <c r="AP268" s="631">
        <v>0</v>
      </c>
      <c r="AQ268" s="631">
        <v>0</v>
      </c>
      <c r="AR268" s="631">
        <v>0</v>
      </c>
      <c r="AS268" s="631">
        <v>0</v>
      </c>
      <c r="AT268" s="631">
        <v>0</v>
      </c>
      <c r="AU268" s="631">
        <v>0</v>
      </c>
      <c r="AV268" s="631">
        <v>0</v>
      </c>
      <c r="AW268" s="631">
        <v>0</v>
      </c>
      <c r="AX268" s="631">
        <v>0</v>
      </c>
      <c r="AY268" s="631">
        <v>0</v>
      </c>
      <c r="AZ268" s="631">
        <v>0</v>
      </c>
      <c r="BA268" s="631">
        <v>0</v>
      </c>
      <c r="BB268" s="631">
        <v>0</v>
      </c>
      <c r="BC268" s="631">
        <v>0</v>
      </c>
      <c r="BD268" s="631">
        <v>0</v>
      </c>
      <c r="BE268" s="631">
        <v>0</v>
      </c>
      <c r="BF268" s="631">
        <v>0</v>
      </c>
      <c r="BG268" s="631">
        <v>0</v>
      </c>
      <c r="BH268" s="631">
        <v>0</v>
      </c>
      <c r="BI268" s="631">
        <v>0</v>
      </c>
      <c r="BJ268" s="631">
        <v>0</v>
      </c>
      <c r="BK268" s="631">
        <v>0</v>
      </c>
      <c r="BL268" s="631">
        <v>0</v>
      </c>
      <c r="BM268" s="631">
        <v>0</v>
      </c>
      <c r="BN268" s="631">
        <v>0</v>
      </c>
      <c r="BO268" s="631">
        <v>0</v>
      </c>
      <c r="BP268" s="631">
        <v>0</v>
      </c>
      <c r="BQ268" s="631">
        <v>0</v>
      </c>
      <c r="BR268" s="631">
        <v>0</v>
      </c>
      <c r="BS268" s="631">
        <v>0</v>
      </c>
      <c r="BT268" s="631">
        <v>0</v>
      </c>
      <c r="BU268" s="631">
        <v>0</v>
      </c>
      <c r="BV268" s="631">
        <v>0</v>
      </c>
      <c r="BW268" s="631">
        <v>0</v>
      </c>
      <c r="BX268" s="631">
        <v>0</v>
      </c>
      <c r="BY268" s="631">
        <v>0</v>
      </c>
      <c r="BZ268" s="631">
        <v>0</v>
      </c>
      <c r="CA268" s="631">
        <v>0</v>
      </c>
      <c r="CB268" s="631">
        <v>0</v>
      </c>
      <c r="CC268" s="631">
        <v>0</v>
      </c>
      <c r="CD268" s="631">
        <v>0</v>
      </c>
      <c r="CE268" s="631">
        <v>0</v>
      </c>
    </row>
    <row r="269" spans="1:83" ht="43.5" x14ac:dyDescent="0.25">
      <c r="A269" s="537">
        <v>609</v>
      </c>
      <c r="B269" s="624">
        <v>609</v>
      </c>
      <c r="C269" s="632" t="s">
        <v>841</v>
      </c>
      <c r="D269" s="540"/>
      <c r="E269" s="554">
        <v>0</v>
      </c>
      <c r="F269" s="555">
        <v>0</v>
      </c>
      <c r="G269" s="555">
        <v>0</v>
      </c>
      <c r="H269" s="555">
        <v>0</v>
      </c>
      <c r="I269" s="555">
        <v>0</v>
      </c>
      <c r="J269" s="555">
        <v>0</v>
      </c>
      <c r="K269" s="556">
        <v>0</v>
      </c>
      <c r="L269" s="550">
        <v>0</v>
      </c>
      <c r="M269" s="550">
        <v>0</v>
      </c>
      <c r="N269" s="546">
        <v>0</v>
      </c>
      <c r="O269" s="546">
        <v>0</v>
      </c>
      <c r="P269" s="546">
        <v>0</v>
      </c>
      <c r="Q269" s="546">
        <v>0</v>
      </c>
      <c r="R269" s="546">
        <v>0</v>
      </c>
      <c r="S269" s="546">
        <v>0</v>
      </c>
      <c r="T269" s="546">
        <v>0</v>
      </c>
      <c r="U269" s="546">
        <v>0</v>
      </c>
      <c r="V269" s="546">
        <v>0</v>
      </c>
      <c r="W269" s="546">
        <v>0</v>
      </c>
      <c r="X269" s="546">
        <v>0</v>
      </c>
      <c r="Y269" s="546">
        <v>0</v>
      </c>
      <c r="Z269" s="546">
        <v>0</v>
      </c>
      <c r="AA269" s="546">
        <v>0</v>
      </c>
      <c r="AB269" s="550">
        <v>0</v>
      </c>
      <c r="AC269" s="550">
        <v>0</v>
      </c>
      <c r="AD269" s="550">
        <v>0</v>
      </c>
      <c r="AE269" s="550">
        <v>0</v>
      </c>
      <c r="AF269" s="550">
        <v>0</v>
      </c>
      <c r="AG269" s="550">
        <v>0</v>
      </c>
      <c r="AH269" s="550">
        <v>0</v>
      </c>
      <c r="AI269" s="550">
        <v>0</v>
      </c>
      <c r="AJ269" s="550">
        <v>0</v>
      </c>
      <c r="AK269" s="550">
        <v>0</v>
      </c>
      <c r="AL269" s="550">
        <v>0</v>
      </c>
      <c r="AM269" s="550">
        <v>0</v>
      </c>
      <c r="AN269" s="550">
        <v>0</v>
      </c>
      <c r="AO269" s="550">
        <v>0</v>
      </c>
      <c r="AP269" s="550">
        <v>0</v>
      </c>
      <c r="AQ269" s="550">
        <v>0</v>
      </c>
      <c r="AR269" s="550">
        <v>0</v>
      </c>
      <c r="AS269" s="550">
        <v>0</v>
      </c>
      <c r="AT269" s="550">
        <v>0</v>
      </c>
      <c r="AU269" s="550">
        <v>0</v>
      </c>
      <c r="AV269" s="550">
        <v>0</v>
      </c>
      <c r="AW269" s="550">
        <v>0</v>
      </c>
      <c r="AX269" s="550">
        <v>0</v>
      </c>
      <c r="AY269" s="550">
        <v>0</v>
      </c>
      <c r="AZ269" s="550">
        <v>0</v>
      </c>
      <c r="BA269" s="550">
        <v>0</v>
      </c>
      <c r="BB269" s="550">
        <v>0</v>
      </c>
      <c r="BC269" s="550">
        <v>0</v>
      </c>
      <c r="BD269" s="550">
        <v>0</v>
      </c>
      <c r="BE269" s="550">
        <v>0</v>
      </c>
      <c r="BF269" s="550">
        <v>0</v>
      </c>
      <c r="BG269" s="550">
        <v>0</v>
      </c>
      <c r="BH269" s="550">
        <v>0</v>
      </c>
      <c r="BI269" s="550">
        <v>0</v>
      </c>
      <c r="BJ269" s="550">
        <v>0</v>
      </c>
      <c r="BK269" s="550">
        <v>0</v>
      </c>
      <c r="BL269" s="550">
        <v>0</v>
      </c>
      <c r="BM269" s="550">
        <v>0</v>
      </c>
      <c r="BN269" s="550">
        <v>0</v>
      </c>
      <c r="BO269" s="550">
        <v>0</v>
      </c>
      <c r="BP269" s="550">
        <v>0</v>
      </c>
      <c r="BQ269" s="550">
        <v>0</v>
      </c>
      <c r="BR269" s="550">
        <v>0</v>
      </c>
      <c r="BS269" s="550">
        <v>0</v>
      </c>
      <c r="BT269" s="550">
        <v>0</v>
      </c>
      <c r="BU269" s="550">
        <v>0</v>
      </c>
      <c r="BV269" s="550">
        <v>0</v>
      </c>
      <c r="BW269" s="550">
        <v>0</v>
      </c>
      <c r="BX269" s="550">
        <v>0</v>
      </c>
      <c r="BY269" s="550">
        <v>0</v>
      </c>
      <c r="BZ269" s="550">
        <v>0</v>
      </c>
      <c r="CA269" s="550">
        <v>0</v>
      </c>
      <c r="CB269" s="550">
        <v>0</v>
      </c>
      <c r="CC269" s="550">
        <v>0</v>
      </c>
      <c r="CD269" s="550">
        <v>0</v>
      </c>
      <c r="CE269" s="550">
        <v>0</v>
      </c>
    </row>
    <row r="270" spans="1:83" ht="29.25" x14ac:dyDescent="0.25">
      <c r="A270" s="537">
        <v>610</v>
      </c>
      <c r="B270" s="624">
        <v>610</v>
      </c>
      <c r="C270" s="632" t="s">
        <v>815</v>
      </c>
      <c r="D270" s="540"/>
      <c r="E270" s="554">
        <v>0</v>
      </c>
      <c r="F270" s="555">
        <v>0</v>
      </c>
      <c r="G270" s="555">
        <v>0</v>
      </c>
      <c r="H270" s="555">
        <v>0</v>
      </c>
      <c r="I270" s="555">
        <v>0</v>
      </c>
      <c r="J270" s="555">
        <v>0</v>
      </c>
      <c r="K270" s="556">
        <v>0</v>
      </c>
      <c r="L270" s="550">
        <v>0</v>
      </c>
      <c r="M270" s="550">
        <v>0</v>
      </c>
      <c r="N270" s="546">
        <v>0</v>
      </c>
      <c r="O270" s="546">
        <v>0</v>
      </c>
      <c r="P270" s="546">
        <v>0</v>
      </c>
      <c r="Q270" s="546">
        <v>0</v>
      </c>
      <c r="R270" s="546">
        <v>0</v>
      </c>
      <c r="S270" s="546">
        <v>0</v>
      </c>
      <c r="T270" s="546">
        <v>0</v>
      </c>
      <c r="U270" s="546">
        <v>0</v>
      </c>
      <c r="V270" s="546">
        <v>0</v>
      </c>
      <c r="W270" s="546">
        <v>0</v>
      </c>
      <c r="X270" s="546">
        <v>0</v>
      </c>
      <c r="Y270" s="546">
        <v>0</v>
      </c>
      <c r="Z270" s="546">
        <v>0</v>
      </c>
      <c r="AA270" s="546">
        <v>0</v>
      </c>
      <c r="AB270" s="550">
        <v>0</v>
      </c>
      <c r="AC270" s="550">
        <v>0</v>
      </c>
      <c r="AD270" s="550">
        <v>0</v>
      </c>
      <c r="AE270" s="550">
        <v>0</v>
      </c>
      <c r="AF270" s="550">
        <v>0</v>
      </c>
      <c r="AG270" s="550">
        <v>0</v>
      </c>
      <c r="AH270" s="550">
        <v>0</v>
      </c>
      <c r="AI270" s="550">
        <v>0</v>
      </c>
      <c r="AJ270" s="550">
        <v>0</v>
      </c>
      <c r="AK270" s="550">
        <v>0</v>
      </c>
      <c r="AL270" s="550">
        <v>0</v>
      </c>
      <c r="AM270" s="550">
        <v>0</v>
      </c>
      <c r="AN270" s="550">
        <v>0</v>
      </c>
      <c r="AO270" s="550">
        <v>0</v>
      </c>
      <c r="AP270" s="550">
        <v>0</v>
      </c>
      <c r="AQ270" s="550">
        <v>0</v>
      </c>
      <c r="AR270" s="550">
        <v>0</v>
      </c>
      <c r="AS270" s="550">
        <v>0</v>
      </c>
      <c r="AT270" s="550">
        <v>0</v>
      </c>
      <c r="AU270" s="550">
        <v>0</v>
      </c>
      <c r="AV270" s="550">
        <v>0</v>
      </c>
      <c r="AW270" s="550">
        <v>0</v>
      </c>
      <c r="AX270" s="550">
        <v>0</v>
      </c>
      <c r="AY270" s="550">
        <v>0</v>
      </c>
      <c r="AZ270" s="550">
        <v>0</v>
      </c>
      <c r="BA270" s="550">
        <v>0</v>
      </c>
      <c r="BB270" s="550">
        <v>0</v>
      </c>
      <c r="BC270" s="550">
        <v>0</v>
      </c>
      <c r="BD270" s="550">
        <v>0</v>
      </c>
      <c r="BE270" s="550">
        <v>0</v>
      </c>
      <c r="BF270" s="550">
        <v>0</v>
      </c>
      <c r="BG270" s="550">
        <v>0</v>
      </c>
      <c r="BH270" s="550">
        <v>0</v>
      </c>
      <c r="BI270" s="550">
        <v>0</v>
      </c>
      <c r="BJ270" s="550">
        <v>0</v>
      </c>
      <c r="BK270" s="550">
        <v>0</v>
      </c>
      <c r="BL270" s="550">
        <v>0</v>
      </c>
      <c r="BM270" s="550">
        <v>0</v>
      </c>
      <c r="BN270" s="550">
        <v>0</v>
      </c>
      <c r="BO270" s="550">
        <v>0</v>
      </c>
      <c r="BP270" s="550">
        <v>0</v>
      </c>
      <c r="BQ270" s="550">
        <v>0</v>
      </c>
      <c r="BR270" s="550">
        <v>0</v>
      </c>
      <c r="BS270" s="550">
        <v>0</v>
      </c>
      <c r="BT270" s="550">
        <v>0</v>
      </c>
      <c r="BU270" s="550">
        <v>0</v>
      </c>
      <c r="BV270" s="550">
        <v>0</v>
      </c>
      <c r="BW270" s="550">
        <v>0</v>
      </c>
      <c r="BX270" s="550">
        <v>0</v>
      </c>
      <c r="BY270" s="550">
        <v>0</v>
      </c>
      <c r="BZ270" s="550">
        <v>0</v>
      </c>
      <c r="CA270" s="550">
        <v>0</v>
      </c>
      <c r="CB270" s="550">
        <v>0</v>
      </c>
      <c r="CC270" s="550">
        <v>0</v>
      </c>
      <c r="CD270" s="550">
        <v>0</v>
      </c>
      <c r="CE270" s="550">
        <v>0</v>
      </c>
    </row>
    <row r="271" spans="1:83" ht="43.5" x14ac:dyDescent="0.25">
      <c r="A271" s="537">
        <v>611</v>
      </c>
      <c r="B271" s="624">
        <v>611</v>
      </c>
      <c r="C271" s="632" t="s">
        <v>816</v>
      </c>
      <c r="D271" s="540"/>
      <c r="E271" s="554">
        <v>0</v>
      </c>
      <c r="F271" s="555">
        <v>0</v>
      </c>
      <c r="G271" s="555">
        <v>0</v>
      </c>
      <c r="H271" s="555">
        <v>0</v>
      </c>
      <c r="I271" s="555">
        <v>0</v>
      </c>
      <c r="J271" s="555">
        <v>0</v>
      </c>
      <c r="K271" s="556">
        <v>0</v>
      </c>
      <c r="L271" s="550">
        <v>0</v>
      </c>
      <c r="M271" s="550">
        <v>0</v>
      </c>
      <c r="N271" s="546">
        <v>0</v>
      </c>
      <c r="O271" s="546">
        <v>0</v>
      </c>
      <c r="P271" s="546">
        <v>0</v>
      </c>
      <c r="Q271" s="546">
        <v>0</v>
      </c>
      <c r="R271" s="546">
        <v>0</v>
      </c>
      <c r="S271" s="546">
        <v>0</v>
      </c>
      <c r="T271" s="546">
        <v>0</v>
      </c>
      <c r="U271" s="546">
        <v>0</v>
      </c>
      <c r="V271" s="546">
        <v>0</v>
      </c>
      <c r="W271" s="546">
        <v>0</v>
      </c>
      <c r="X271" s="546">
        <v>0</v>
      </c>
      <c r="Y271" s="546">
        <v>0</v>
      </c>
      <c r="Z271" s="546">
        <v>0</v>
      </c>
      <c r="AA271" s="546">
        <v>0</v>
      </c>
      <c r="AB271" s="550">
        <v>0</v>
      </c>
      <c r="AC271" s="550">
        <v>0</v>
      </c>
      <c r="AD271" s="550">
        <v>0</v>
      </c>
      <c r="AE271" s="550">
        <v>0</v>
      </c>
      <c r="AF271" s="550">
        <v>0</v>
      </c>
      <c r="AG271" s="550">
        <v>0</v>
      </c>
      <c r="AH271" s="550">
        <v>0</v>
      </c>
      <c r="AI271" s="550">
        <v>0</v>
      </c>
      <c r="AJ271" s="550">
        <v>0</v>
      </c>
      <c r="AK271" s="550">
        <v>0</v>
      </c>
      <c r="AL271" s="550">
        <v>0</v>
      </c>
      <c r="AM271" s="550">
        <v>0</v>
      </c>
      <c r="AN271" s="550">
        <v>0</v>
      </c>
      <c r="AO271" s="550">
        <v>0</v>
      </c>
      <c r="AP271" s="550">
        <v>0</v>
      </c>
      <c r="AQ271" s="550">
        <v>0</v>
      </c>
      <c r="AR271" s="550">
        <v>0</v>
      </c>
      <c r="AS271" s="550">
        <v>0</v>
      </c>
      <c r="AT271" s="550">
        <v>0</v>
      </c>
      <c r="AU271" s="550">
        <v>0</v>
      </c>
      <c r="AV271" s="550">
        <v>0</v>
      </c>
      <c r="AW271" s="550">
        <v>0</v>
      </c>
      <c r="AX271" s="550">
        <v>0</v>
      </c>
      <c r="AY271" s="550">
        <v>0</v>
      </c>
      <c r="AZ271" s="550">
        <v>0</v>
      </c>
      <c r="BA271" s="550">
        <v>0</v>
      </c>
      <c r="BB271" s="550">
        <v>0</v>
      </c>
      <c r="BC271" s="550">
        <v>0</v>
      </c>
      <c r="BD271" s="550">
        <v>0</v>
      </c>
      <c r="BE271" s="550">
        <v>0</v>
      </c>
      <c r="BF271" s="550">
        <v>0</v>
      </c>
      <c r="BG271" s="550">
        <v>0</v>
      </c>
      <c r="BH271" s="550">
        <v>0</v>
      </c>
      <c r="BI271" s="550">
        <v>0</v>
      </c>
      <c r="BJ271" s="550">
        <v>0</v>
      </c>
      <c r="BK271" s="550">
        <v>0</v>
      </c>
      <c r="BL271" s="550">
        <v>0</v>
      </c>
      <c r="BM271" s="550">
        <v>0</v>
      </c>
      <c r="BN271" s="550">
        <v>0</v>
      </c>
      <c r="BO271" s="550">
        <v>0</v>
      </c>
      <c r="BP271" s="550">
        <v>0</v>
      </c>
      <c r="BQ271" s="550">
        <v>0</v>
      </c>
      <c r="BR271" s="550">
        <v>0</v>
      </c>
      <c r="BS271" s="550">
        <v>0</v>
      </c>
      <c r="BT271" s="550">
        <v>0</v>
      </c>
      <c r="BU271" s="550">
        <v>0</v>
      </c>
      <c r="BV271" s="550">
        <v>0</v>
      </c>
      <c r="BW271" s="550">
        <v>0</v>
      </c>
      <c r="BX271" s="550">
        <v>0</v>
      </c>
      <c r="BY271" s="550">
        <v>0</v>
      </c>
      <c r="BZ271" s="550">
        <v>0</v>
      </c>
      <c r="CA271" s="550">
        <v>0</v>
      </c>
      <c r="CB271" s="550">
        <v>0</v>
      </c>
      <c r="CC271" s="550">
        <v>0</v>
      </c>
      <c r="CD271" s="550">
        <v>0</v>
      </c>
      <c r="CE271" s="550">
        <v>0</v>
      </c>
    </row>
    <row r="272" spans="1:83" ht="43.5" x14ac:dyDescent="0.25">
      <c r="A272" s="537">
        <v>612</v>
      </c>
      <c r="B272" s="624">
        <v>612</v>
      </c>
      <c r="C272" s="632" t="s">
        <v>842</v>
      </c>
      <c r="D272" s="540"/>
      <c r="E272" s="630">
        <v>0</v>
      </c>
      <c r="F272" s="629">
        <v>0</v>
      </c>
      <c r="G272" s="629">
        <v>0</v>
      </c>
      <c r="H272" s="629">
        <v>0</v>
      </c>
      <c r="I272" s="629">
        <v>0</v>
      </c>
      <c r="J272" s="629">
        <v>0</v>
      </c>
      <c r="K272" s="628">
        <v>0</v>
      </c>
      <c r="L272" s="631">
        <v>0</v>
      </c>
      <c r="M272" s="631">
        <v>0</v>
      </c>
      <c r="N272" s="627">
        <v>0</v>
      </c>
      <c r="O272" s="627">
        <v>0</v>
      </c>
      <c r="P272" s="627">
        <v>0</v>
      </c>
      <c r="Q272" s="627">
        <v>0</v>
      </c>
      <c r="R272" s="627">
        <v>0</v>
      </c>
      <c r="S272" s="627">
        <v>0</v>
      </c>
      <c r="T272" s="627">
        <v>0</v>
      </c>
      <c r="U272" s="627">
        <v>0</v>
      </c>
      <c r="V272" s="627">
        <v>0</v>
      </c>
      <c r="W272" s="627">
        <v>0</v>
      </c>
      <c r="X272" s="627">
        <v>0</v>
      </c>
      <c r="Y272" s="627">
        <v>0</v>
      </c>
      <c r="Z272" s="627">
        <v>0</v>
      </c>
      <c r="AA272" s="627">
        <v>0</v>
      </c>
      <c r="AB272" s="631">
        <v>0</v>
      </c>
      <c r="AC272" s="631">
        <v>0</v>
      </c>
      <c r="AD272" s="631">
        <v>0</v>
      </c>
      <c r="AE272" s="631">
        <v>0</v>
      </c>
      <c r="AF272" s="631">
        <v>0</v>
      </c>
      <c r="AG272" s="631">
        <v>0</v>
      </c>
      <c r="AH272" s="631">
        <v>0</v>
      </c>
      <c r="AI272" s="631">
        <v>0</v>
      </c>
      <c r="AJ272" s="631">
        <v>0</v>
      </c>
      <c r="AK272" s="631">
        <v>0</v>
      </c>
      <c r="AL272" s="631">
        <v>0</v>
      </c>
      <c r="AM272" s="631">
        <v>0</v>
      </c>
      <c r="AN272" s="631">
        <v>0</v>
      </c>
      <c r="AO272" s="631">
        <v>0</v>
      </c>
      <c r="AP272" s="631">
        <v>0</v>
      </c>
      <c r="AQ272" s="631">
        <v>0</v>
      </c>
      <c r="AR272" s="631">
        <v>0</v>
      </c>
      <c r="AS272" s="631">
        <v>0</v>
      </c>
      <c r="AT272" s="631">
        <v>0</v>
      </c>
      <c r="AU272" s="631">
        <v>0</v>
      </c>
      <c r="AV272" s="631">
        <v>0</v>
      </c>
      <c r="AW272" s="631">
        <v>0</v>
      </c>
      <c r="AX272" s="631">
        <v>0</v>
      </c>
      <c r="AY272" s="631">
        <v>0</v>
      </c>
      <c r="AZ272" s="631">
        <v>0</v>
      </c>
      <c r="BA272" s="631">
        <v>0</v>
      </c>
      <c r="BB272" s="631">
        <v>0</v>
      </c>
      <c r="BC272" s="631">
        <v>0</v>
      </c>
      <c r="BD272" s="631">
        <v>0</v>
      </c>
      <c r="BE272" s="631">
        <v>0</v>
      </c>
      <c r="BF272" s="631">
        <v>0</v>
      </c>
      <c r="BG272" s="631">
        <v>0</v>
      </c>
      <c r="BH272" s="631">
        <v>0</v>
      </c>
      <c r="BI272" s="631">
        <v>0</v>
      </c>
      <c r="BJ272" s="631">
        <v>0</v>
      </c>
      <c r="BK272" s="631">
        <v>0</v>
      </c>
      <c r="BL272" s="631">
        <v>0</v>
      </c>
      <c r="BM272" s="631">
        <v>0</v>
      </c>
      <c r="BN272" s="631">
        <v>0</v>
      </c>
      <c r="BO272" s="631">
        <v>0</v>
      </c>
      <c r="BP272" s="631">
        <v>0</v>
      </c>
      <c r="BQ272" s="631">
        <v>0</v>
      </c>
      <c r="BR272" s="631">
        <v>0</v>
      </c>
      <c r="BS272" s="631">
        <v>0</v>
      </c>
      <c r="BT272" s="631">
        <v>0</v>
      </c>
      <c r="BU272" s="631">
        <v>0</v>
      </c>
      <c r="BV272" s="631">
        <v>0</v>
      </c>
      <c r="BW272" s="631">
        <v>0</v>
      </c>
      <c r="BX272" s="631">
        <v>0</v>
      </c>
      <c r="BY272" s="631">
        <v>0</v>
      </c>
      <c r="BZ272" s="631">
        <v>0</v>
      </c>
      <c r="CA272" s="631">
        <v>0</v>
      </c>
      <c r="CB272" s="631">
        <v>0</v>
      </c>
      <c r="CC272" s="631">
        <v>0</v>
      </c>
      <c r="CD272" s="631">
        <v>0</v>
      </c>
      <c r="CE272" s="631">
        <v>0</v>
      </c>
    </row>
    <row r="273" spans="1:83" ht="29.25" x14ac:dyDescent="0.25">
      <c r="A273" s="537">
        <v>613</v>
      </c>
      <c r="B273" s="624">
        <v>613</v>
      </c>
      <c r="C273" s="632" t="s">
        <v>830</v>
      </c>
      <c r="D273" s="540"/>
      <c r="E273" s="554">
        <v>0</v>
      </c>
      <c r="F273" s="555">
        <v>0</v>
      </c>
      <c r="G273" s="555">
        <v>0</v>
      </c>
      <c r="H273" s="555">
        <v>0</v>
      </c>
      <c r="I273" s="555">
        <v>0</v>
      </c>
      <c r="J273" s="555">
        <v>0</v>
      </c>
      <c r="K273" s="556">
        <v>0</v>
      </c>
      <c r="L273" s="550">
        <v>0</v>
      </c>
      <c r="M273" s="550">
        <v>0</v>
      </c>
      <c r="N273" s="546">
        <v>0</v>
      </c>
      <c r="O273" s="546">
        <v>0</v>
      </c>
      <c r="P273" s="546">
        <v>0</v>
      </c>
      <c r="Q273" s="546">
        <v>0</v>
      </c>
      <c r="R273" s="546">
        <v>0</v>
      </c>
      <c r="S273" s="546">
        <v>0</v>
      </c>
      <c r="T273" s="546">
        <v>0</v>
      </c>
      <c r="U273" s="546">
        <v>0</v>
      </c>
      <c r="V273" s="546">
        <v>0</v>
      </c>
      <c r="W273" s="546">
        <v>0</v>
      </c>
      <c r="X273" s="546">
        <v>0</v>
      </c>
      <c r="Y273" s="546">
        <v>0</v>
      </c>
      <c r="Z273" s="546">
        <v>0</v>
      </c>
      <c r="AA273" s="546">
        <v>0</v>
      </c>
      <c r="AB273" s="550">
        <v>0</v>
      </c>
      <c r="AC273" s="550">
        <v>0</v>
      </c>
      <c r="AD273" s="550">
        <v>0</v>
      </c>
      <c r="AE273" s="550">
        <v>0</v>
      </c>
      <c r="AF273" s="550">
        <v>0</v>
      </c>
      <c r="AG273" s="550">
        <v>0</v>
      </c>
      <c r="AH273" s="550">
        <v>0</v>
      </c>
      <c r="AI273" s="550">
        <v>0</v>
      </c>
      <c r="AJ273" s="550">
        <v>0</v>
      </c>
      <c r="AK273" s="550">
        <v>0</v>
      </c>
      <c r="AL273" s="550">
        <v>0</v>
      </c>
      <c r="AM273" s="550">
        <v>0</v>
      </c>
      <c r="AN273" s="550">
        <v>0</v>
      </c>
      <c r="AO273" s="550">
        <v>0</v>
      </c>
      <c r="AP273" s="550">
        <v>0</v>
      </c>
      <c r="AQ273" s="550">
        <v>0</v>
      </c>
      <c r="AR273" s="550">
        <v>0</v>
      </c>
      <c r="AS273" s="550">
        <v>0</v>
      </c>
      <c r="AT273" s="550">
        <v>0</v>
      </c>
      <c r="AU273" s="550">
        <v>0</v>
      </c>
      <c r="AV273" s="550">
        <v>0</v>
      </c>
      <c r="AW273" s="550">
        <v>0</v>
      </c>
      <c r="AX273" s="550">
        <v>0</v>
      </c>
      <c r="AY273" s="550">
        <v>0</v>
      </c>
      <c r="AZ273" s="550">
        <v>0</v>
      </c>
      <c r="BA273" s="550">
        <v>0</v>
      </c>
      <c r="BB273" s="550">
        <v>0</v>
      </c>
      <c r="BC273" s="550">
        <v>0</v>
      </c>
      <c r="BD273" s="550">
        <v>0</v>
      </c>
      <c r="BE273" s="550">
        <v>0</v>
      </c>
      <c r="BF273" s="550">
        <v>0</v>
      </c>
      <c r="BG273" s="550">
        <v>0</v>
      </c>
      <c r="BH273" s="550">
        <v>0</v>
      </c>
      <c r="BI273" s="550">
        <v>0</v>
      </c>
      <c r="BJ273" s="550">
        <v>0</v>
      </c>
      <c r="BK273" s="550">
        <v>0</v>
      </c>
      <c r="BL273" s="550">
        <v>0</v>
      </c>
      <c r="BM273" s="550">
        <v>0</v>
      </c>
      <c r="BN273" s="550">
        <v>0</v>
      </c>
      <c r="BO273" s="550">
        <v>0</v>
      </c>
      <c r="BP273" s="550">
        <v>0</v>
      </c>
      <c r="BQ273" s="550">
        <v>0</v>
      </c>
      <c r="BR273" s="550">
        <v>0</v>
      </c>
      <c r="BS273" s="550">
        <v>0</v>
      </c>
      <c r="BT273" s="550">
        <v>0</v>
      </c>
      <c r="BU273" s="550">
        <v>0</v>
      </c>
      <c r="BV273" s="550">
        <v>0</v>
      </c>
      <c r="BW273" s="550">
        <v>0</v>
      </c>
      <c r="BX273" s="550">
        <v>0</v>
      </c>
      <c r="BY273" s="550">
        <v>0</v>
      </c>
      <c r="BZ273" s="550">
        <v>0</v>
      </c>
      <c r="CA273" s="550">
        <v>0</v>
      </c>
      <c r="CB273" s="550">
        <v>0</v>
      </c>
      <c r="CC273" s="550">
        <v>0</v>
      </c>
      <c r="CD273" s="550">
        <v>0</v>
      </c>
      <c r="CE273" s="550">
        <v>0</v>
      </c>
    </row>
    <row r="274" spans="1:83" ht="43.5" x14ac:dyDescent="0.25">
      <c r="A274" s="537">
        <v>614</v>
      </c>
      <c r="B274" s="624">
        <v>614</v>
      </c>
      <c r="C274" s="632" t="s">
        <v>817</v>
      </c>
      <c r="D274" s="540"/>
      <c r="E274" s="554">
        <v>0</v>
      </c>
      <c r="F274" s="555">
        <v>0</v>
      </c>
      <c r="G274" s="555">
        <v>0</v>
      </c>
      <c r="H274" s="555">
        <v>0</v>
      </c>
      <c r="I274" s="555">
        <v>0</v>
      </c>
      <c r="J274" s="555">
        <v>0</v>
      </c>
      <c r="K274" s="556">
        <v>0</v>
      </c>
      <c r="L274" s="550">
        <v>0</v>
      </c>
      <c r="M274" s="550">
        <v>0</v>
      </c>
      <c r="N274" s="546">
        <v>0</v>
      </c>
      <c r="O274" s="546">
        <v>0</v>
      </c>
      <c r="P274" s="546">
        <v>0</v>
      </c>
      <c r="Q274" s="546">
        <v>0</v>
      </c>
      <c r="R274" s="546">
        <v>0</v>
      </c>
      <c r="S274" s="546">
        <v>0</v>
      </c>
      <c r="T274" s="546">
        <v>0</v>
      </c>
      <c r="U274" s="546">
        <v>0</v>
      </c>
      <c r="V274" s="546">
        <v>0</v>
      </c>
      <c r="W274" s="546">
        <v>0</v>
      </c>
      <c r="X274" s="546">
        <v>0</v>
      </c>
      <c r="Y274" s="546">
        <v>0</v>
      </c>
      <c r="Z274" s="546">
        <v>0</v>
      </c>
      <c r="AA274" s="546">
        <v>0</v>
      </c>
      <c r="AB274" s="550">
        <v>0</v>
      </c>
      <c r="AC274" s="550">
        <v>0</v>
      </c>
      <c r="AD274" s="550">
        <v>0</v>
      </c>
      <c r="AE274" s="550">
        <v>0</v>
      </c>
      <c r="AF274" s="550">
        <v>0</v>
      </c>
      <c r="AG274" s="550">
        <v>0</v>
      </c>
      <c r="AH274" s="550">
        <v>0</v>
      </c>
      <c r="AI274" s="550">
        <v>0</v>
      </c>
      <c r="AJ274" s="550">
        <v>0</v>
      </c>
      <c r="AK274" s="550">
        <v>0</v>
      </c>
      <c r="AL274" s="550">
        <v>0</v>
      </c>
      <c r="AM274" s="550">
        <v>0</v>
      </c>
      <c r="AN274" s="550">
        <v>0</v>
      </c>
      <c r="AO274" s="550">
        <v>0</v>
      </c>
      <c r="AP274" s="550">
        <v>0</v>
      </c>
      <c r="AQ274" s="550">
        <v>0</v>
      </c>
      <c r="AR274" s="550">
        <v>0</v>
      </c>
      <c r="AS274" s="550">
        <v>0</v>
      </c>
      <c r="AT274" s="550">
        <v>0</v>
      </c>
      <c r="AU274" s="550">
        <v>0</v>
      </c>
      <c r="AV274" s="550">
        <v>0</v>
      </c>
      <c r="AW274" s="550">
        <v>0</v>
      </c>
      <c r="AX274" s="550">
        <v>0</v>
      </c>
      <c r="AY274" s="550">
        <v>0</v>
      </c>
      <c r="AZ274" s="550">
        <v>0</v>
      </c>
      <c r="BA274" s="550">
        <v>0</v>
      </c>
      <c r="BB274" s="550">
        <v>0</v>
      </c>
      <c r="BC274" s="550">
        <v>0</v>
      </c>
      <c r="BD274" s="550">
        <v>0</v>
      </c>
      <c r="BE274" s="550">
        <v>0</v>
      </c>
      <c r="BF274" s="550">
        <v>0</v>
      </c>
      <c r="BG274" s="550">
        <v>0</v>
      </c>
      <c r="BH274" s="550">
        <v>0</v>
      </c>
      <c r="BI274" s="550">
        <v>0</v>
      </c>
      <c r="BJ274" s="550">
        <v>0</v>
      </c>
      <c r="BK274" s="550">
        <v>0</v>
      </c>
      <c r="BL274" s="550">
        <v>0</v>
      </c>
      <c r="BM274" s="550">
        <v>0</v>
      </c>
      <c r="BN274" s="550">
        <v>0</v>
      </c>
      <c r="BO274" s="550">
        <v>0</v>
      </c>
      <c r="BP274" s="550">
        <v>0</v>
      </c>
      <c r="BQ274" s="550">
        <v>0</v>
      </c>
      <c r="BR274" s="550">
        <v>0</v>
      </c>
      <c r="BS274" s="550">
        <v>0</v>
      </c>
      <c r="BT274" s="550">
        <v>0</v>
      </c>
      <c r="BU274" s="550">
        <v>0</v>
      </c>
      <c r="BV274" s="550">
        <v>0</v>
      </c>
      <c r="BW274" s="550">
        <v>0</v>
      </c>
      <c r="BX274" s="550">
        <v>0</v>
      </c>
      <c r="BY274" s="550">
        <v>0</v>
      </c>
      <c r="BZ274" s="550">
        <v>0</v>
      </c>
      <c r="CA274" s="550">
        <v>0</v>
      </c>
      <c r="CB274" s="550">
        <v>0</v>
      </c>
      <c r="CC274" s="550">
        <v>0</v>
      </c>
      <c r="CD274" s="550">
        <v>0</v>
      </c>
      <c r="CE274" s="550">
        <v>0</v>
      </c>
    </row>
    <row r="275" spans="1:83" ht="43.5" x14ac:dyDescent="0.25">
      <c r="A275" s="537">
        <v>615</v>
      </c>
      <c r="B275" s="624">
        <v>615</v>
      </c>
      <c r="C275" s="632" t="s">
        <v>843</v>
      </c>
      <c r="D275" s="540"/>
      <c r="E275" s="630">
        <v>0</v>
      </c>
      <c r="F275" s="629">
        <v>0</v>
      </c>
      <c r="G275" s="629">
        <v>0</v>
      </c>
      <c r="H275" s="629">
        <v>0</v>
      </c>
      <c r="I275" s="629">
        <v>0</v>
      </c>
      <c r="J275" s="629">
        <v>0</v>
      </c>
      <c r="K275" s="628">
        <v>0</v>
      </c>
      <c r="L275" s="631">
        <v>0</v>
      </c>
      <c r="M275" s="631">
        <v>0</v>
      </c>
      <c r="N275" s="627">
        <v>0</v>
      </c>
      <c r="O275" s="627">
        <v>0</v>
      </c>
      <c r="P275" s="627">
        <v>0</v>
      </c>
      <c r="Q275" s="627">
        <v>0</v>
      </c>
      <c r="R275" s="627">
        <v>0</v>
      </c>
      <c r="S275" s="627">
        <v>0</v>
      </c>
      <c r="T275" s="627">
        <v>0</v>
      </c>
      <c r="U275" s="627">
        <v>0</v>
      </c>
      <c r="V275" s="627">
        <v>0</v>
      </c>
      <c r="W275" s="627">
        <v>0</v>
      </c>
      <c r="X275" s="627">
        <v>0</v>
      </c>
      <c r="Y275" s="627">
        <v>0</v>
      </c>
      <c r="Z275" s="627">
        <v>0</v>
      </c>
      <c r="AA275" s="627">
        <v>0</v>
      </c>
      <c r="AB275" s="631">
        <v>0</v>
      </c>
      <c r="AC275" s="631">
        <v>0</v>
      </c>
      <c r="AD275" s="631">
        <v>0</v>
      </c>
      <c r="AE275" s="631">
        <v>0</v>
      </c>
      <c r="AF275" s="631">
        <v>0</v>
      </c>
      <c r="AG275" s="631">
        <v>0</v>
      </c>
      <c r="AH275" s="631">
        <v>0</v>
      </c>
      <c r="AI275" s="631">
        <v>0</v>
      </c>
      <c r="AJ275" s="631">
        <v>0</v>
      </c>
      <c r="AK275" s="631">
        <v>0</v>
      </c>
      <c r="AL275" s="631">
        <v>0</v>
      </c>
      <c r="AM275" s="631">
        <v>0</v>
      </c>
      <c r="AN275" s="631">
        <v>0</v>
      </c>
      <c r="AO275" s="631">
        <v>0</v>
      </c>
      <c r="AP275" s="631">
        <v>0</v>
      </c>
      <c r="AQ275" s="631">
        <v>0</v>
      </c>
      <c r="AR275" s="631">
        <v>0</v>
      </c>
      <c r="AS275" s="631">
        <v>0</v>
      </c>
      <c r="AT275" s="631">
        <v>0</v>
      </c>
      <c r="AU275" s="631">
        <v>0</v>
      </c>
      <c r="AV275" s="631">
        <v>0</v>
      </c>
      <c r="AW275" s="631">
        <v>0</v>
      </c>
      <c r="AX275" s="631">
        <v>0</v>
      </c>
      <c r="AY275" s="631">
        <v>0</v>
      </c>
      <c r="AZ275" s="631">
        <v>0</v>
      </c>
      <c r="BA275" s="631">
        <v>0</v>
      </c>
      <c r="BB275" s="631">
        <v>0</v>
      </c>
      <c r="BC275" s="631">
        <v>0</v>
      </c>
      <c r="BD275" s="631">
        <v>0</v>
      </c>
      <c r="BE275" s="631">
        <v>0</v>
      </c>
      <c r="BF275" s="631">
        <v>0</v>
      </c>
      <c r="BG275" s="631">
        <v>0</v>
      </c>
      <c r="BH275" s="631">
        <v>0</v>
      </c>
      <c r="BI275" s="631">
        <v>0</v>
      </c>
      <c r="BJ275" s="631">
        <v>0</v>
      </c>
      <c r="BK275" s="631">
        <v>0</v>
      </c>
      <c r="BL275" s="631">
        <v>0</v>
      </c>
      <c r="BM275" s="631">
        <v>0</v>
      </c>
      <c r="BN275" s="631">
        <v>0</v>
      </c>
      <c r="BO275" s="631">
        <v>0</v>
      </c>
      <c r="BP275" s="631">
        <v>0</v>
      </c>
      <c r="BQ275" s="631">
        <v>0</v>
      </c>
      <c r="BR275" s="631">
        <v>0</v>
      </c>
      <c r="BS275" s="631">
        <v>0</v>
      </c>
      <c r="BT275" s="631">
        <v>0</v>
      </c>
      <c r="BU275" s="631">
        <v>0</v>
      </c>
      <c r="BV275" s="631">
        <v>0</v>
      </c>
      <c r="BW275" s="631">
        <v>0</v>
      </c>
      <c r="BX275" s="631">
        <v>0</v>
      </c>
      <c r="BY275" s="631">
        <v>0</v>
      </c>
      <c r="BZ275" s="631">
        <v>0</v>
      </c>
      <c r="CA275" s="631">
        <v>0</v>
      </c>
      <c r="CB275" s="631">
        <v>0</v>
      </c>
      <c r="CC275" s="631">
        <v>0</v>
      </c>
      <c r="CD275" s="631">
        <v>0</v>
      </c>
      <c r="CE275" s="631">
        <v>0</v>
      </c>
    </row>
    <row r="276" spans="1:83" ht="29.25" x14ac:dyDescent="0.25">
      <c r="A276" s="537">
        <v>616</v>
      </c>
      <c r="B276" s="624">
        <v>616</v>
      </c>
      <c r="C276" s="632" t="s">
        <v>818</v>
      </c>
      <c r="D276" s="540"/>
      <c r="E276" s="554">
        <v>0</v>
      </c>
      <c r="F276" s="555">
        <v>0</v>
      </c>
      <c r="G276" s="555">
        <v>0</v>
      </c>
      <c r="H276" s="555">
        <v>0</v>
      </c>
      <c r="I276" s="555">
        <v>0</v>
      </c>
      <c r="J276" s="555">
        <v>0</v>
      </c>
      <c r="K276" s="556">
        <v>0</v>
      </c>
      <c r="L276" s="550">
        <v>0</v>
      </c>
      <c r="M276" s="550">
        <v>0</v>
      </c>
      <c r="N276" s="546">
        <v>0</v>
      </c>
      <c r="O276" s="546">
        <v>0</v>
      </c>
      <c r="P276" s="546">
        <v>0</v>
      </c>
      <c r="Q276" s="546">
        <v>0</v>
      </c>
      <c r="R276" s="546">
        <v>0</v>
      </c>
      <c r="S276" s="546">
        <v>0</v>
      </c>
      <c r="T276" s="546">
        <v>0</v>
      </c>
      <c r="U276" s="546">
        <v>0</v>
      </c>
      <c r="V276" s="546">
        <v>0</v>
      </c>
      <c r="W276" s="546">
        <v>0</v>
      </c>
      <c r="X276" s="546">
        <v>0</v>
      </c>
      <c r="Y276" s="546">
        <v>0</v>
      </c>
      <c r="Z276" s="546">
        <v>0</v>
      </c>
      <c r="AA276" s="546">
        <v>0</v>
      </c>
      <c r="AB276" s="550">
        <v>0</v>
      </c>
      <c r="AC276" s="550">
        <v>0</v>
      </c>
      <c r="AD276" s="550">
        <v>0</v>
      </c>
      <c r="AE276" s="550">
        <v>0</v>
      </c>
      <c r="AF276" s="550">
        <v>0</v>
      </c>
      <c r="AG276" s="550">
        <v>0</v>
      </c>
      <c r="AH276" s="550">
        <v>0</v>
      </c>
      <c r="AI276" s="550">
        <v>0</v>
      </c>
      <c r="AJ276" s="550">
        <v>0</v>
      </c>
      <c r="AK276" s="550">
        <v>0</v>
      </c>
      <c r="AL276" s="550">
        <v>0</v>
      </c>
      <c r="AM276" s="550">
        <v>0</v>
      </c>
      <c r="AN276" s="550">
        <v>0</v>
      </c>
      <c r="AO276" s="550">
        <v>0</v>
      </c>
      <c r="AP276" s="550">
        <v>0</v>
      </c>
      <c r="AQ276" s="550">
        <v>0</v>
      </c>
      <c r="AR276" s="550">
        <v>0</v>
      </c>
      <c r="AS276" s="550">
        <v>0</v>
      </c>
      <c r="AT276" s="550">
        <v>0</v>
      </c>
      <c r="AU276" s="550">
        <v>0</v>
      </c>
      <c r="AV276" s="550">
        <v>0</v>
      </c>
      <c r="AW276" s="550">
        <v>0</v>
      </c>
      <c r="AX276" s="550">
        <v>0</v>
      </c>
      <c r="AY276" s="550">
        <v>0</v>
      </c>
      <c r="AZ276" s="550">
        <v>0</v>
      </c>
      <c r="BA276" s="550">
        <v>0</v>
      </c>
      <c r="BB276" s="550">
        <v>0</v>
      </c>
      <c r="BC276" s="550">
        <v>0</v>
      </c>
      <c r="BD276" s="550">
        <v>0</v>
      </c>
      <c r="BE276" s="550">
        <v>0</v>
      </c>
      <c r="BF276" s="550">
        <v>0</v>
      </c>
      <c r="BG276" s="550">
        <v>0</v>
      </c>
      <c r="BH276" s="550">
        <v>0</v>
      </c>
      <c r="BI276" s="550">
        <v>0</v>
      </c>
      <c r="BJ276" s="550">
        <v>0</v>
      </c>
      <c r="BK276" s="550">
        <v>0</v>
      </c>
      <c r="BL276" s="550">
        <v>0</v>
      </c>
      <c r="BM276" s="550">
        <v>0</v>
      </c>
      <c r="BN276" s="550">
        <v>0</v>
      </c>
      <c r="BO276" s="550">
        <v>0</v>
      </c>
      <c r="BP276" s="550">
        <v>0</v>
      </c>
      <c r="BQ276" s="550">
        <v>0</v>
      </c>
      <c r="BR276" s="550">
        <v>0</v>
      </c>
      <c r="BS276" s="550">
        <v>0</v>
      </c>
      <c r="BT276" s="550">
        <v>0</v>
      </c>
      <c r="BU276" s="550">
        <v>0</v>
      </c>
      <c r="BV276" s="550">
        <v>0</v>
      </c>
      <c r="BW276" s="550">
        <v>0</v>
      </c>
      <c r="BX276" s="550">
        <v>0</v>
      </c>
      <c r="BY276" s="550">
        <v>0</v>
      </c>
      <c r="BZ276" s="550">
        <v>0</v>
      </c>
      <c r="CA276" s="550">
        <v>0</v>
      </c>
      <c r="CB276" s="550">
        <v>0</v>
      </c>
      <c r="CC276" s="550">
        <v>0</v>
      </c>
      <c r="CD276" s="550">
        <v>0</v>
      </c>
      <c r="CE276" s="550">
        <v>0</v>
      </c>
    </row>
    <row r="277" spans="1:83" ht="43.5" x14ac:dyDescent="0.25">
      <c r="A277" s="537">
        <v>617</v>
      </c>
      <c r="B277" s="624">
        <v>617</v>
      </c>
      <c r="C277" s="632" t="s">
        <v>819</v>
      </c>
      <c r="D277" s="540"/>
      <c r="E277" s="554">
        <v>0</v>
      </c>
      <c r="F277" s="555">
        <v>0</v>
      </c>
      <c r="G277" s="555">
        <v>0</v>
      </c>
      <c r="H277" s="555">
        <v>0</v>
      </c>
      <c r="I277" s="555">
        <v>0</v>
      </c>
      <c r="J277" s="555">
        <v>0</v>
      </c>
      <c r="K277" s="556">
        <v>0</v>
      </c>
      <c r="L277" s="550">
        <v>0</v>
      </c>
      <c r="M277" s="550">
        <v>0</v>
      </c>
      <c r="N277" s="546">
        <v>0</v>
      </c>
      <c r="O277" s="546">
        <v>0</v>
      </c>
      <c r="P277" s="546">
        <v>0</v>
      </c>
      <c r="Q277" s="546">
        <v>0</v>
      </c>
      <c r="R277" s="546">
        <v>0</v>
      </c>
      <c r="S277" s="546">
        <v>0</v>
      </c>
      <c r="T277" s="546">
        <v>0</v>
      </c>
      <c r="U277" s="546">
        <v>0</v>
      </c>
      <c r="V277" s="546">
        <v>0</v>
      </c>
      <c r="W277" s="546">
        <v>0</v>
      </c>
      <c r="X277" s="546">
        <v>0</v>
      </c>
      <c r="Y277" s="546">
        <v>0</v>
      </c>
      <c r="Z277" s="546">
        <v>0</v>
      </c>
      <c r="AA277" s="546">
        <v>0</v>
      </c>
      <c r="AB277" s="550">
        <v>0</v>
      </c>
      <c r="AC277" s="550">
        <v>0</v>
      </c>
      <c r="AD277" s="550">
        <v>0</v>
      </c>
      <c r="AE277" s="550">
        <v>0</v>
      </c>
      <c r="AF277" s="550">
        <v>0</v>
      </c>
      <c r="AG277" s="550">
        <v>0</v>
      </c>
      <c r="AH277" s="550">
        <v>0</v>
      </c>
      <c r="AI277" s="550">
        <v>0</v>
      </c>
      <c r="AJ277" s="550">
        <v>0</v>
      </c>
      <c r="AK277" s="550">
        <v>0</v>
      </c>
      <c r="AL277" s="550">
        <v>0</v>
      </c>
      <c r="AM277" s="550">
        <v>0</v>
      </c>
      <c r="AN277" s="550">
        <v>0</v>
      </c>
      <c r="AO277" s="550">
        <v>0</v>
      </c>
      <c r="AP277" s="550">
        <v>0</v>
      </c>
      <c r="AQ277" s="550">
        <v>0</v>
      </c>
      <c r="AR277" s="550">
        <v>0</v>
      </c>
      <c r="AS277" s="550">
        <v>0</v>
      </c>
      <c r="AT277" s="550">
        <v>0</v>
      </c>
      <c r="AU277" s="550">
        <v>0</v>
      </c>
      <c r="AV277" s="550">
        <v>0</v>
      </c>
      <c r="AW277" s="550">
        <v>0</v>
      </c>
      <c r="AX277" s="550">
        <v>0</v>
      </c>
      <c r="AY277" s="550">
        <v>0</v>
      </c>
      <c r="AZ277" s="550">
        <v>0</v>
      </c>
      <c r="BA277" s="550">
        <v>0</v>
      </c>
      <c r="BB277" s="550">
        <v>0</v>
      </c>
      <c r="BC277" s="550">
        <v>0</v>
      </c>
      <c r="BD277" s="550">
        <v>0</v>
      </c>
      <c r="BE277" s="550">
        <v>0</v>
      </c>
      <c r="BF277" s="550">
        <v>0</v>
      </c>
      <c r="BG277" s="550">
        <v>0</v>
      </c>
      <c r="BH277" s="550">
        <v>0</v>
      </c>
      <c r="BI277" s="550">
        <v>0</v>
      </c>
      <c r="BJ277" s="550">
        <v>0</v>
      </c>
      <c r="BK277" s="550">
        <v>0</v>
      </c>
      <c r="BL277" s="550">
        <v>0</v>
      </c>
      <c r="BM277" s="550">
        <v>0</v>
      </c>
      <c r="BN277" s="550">
        <v>0</v>
      </c>
      <c r="BO277" s="550">
        <v>0</v>
      </c>
      <c r="BP277" s="550">
        <v>0</v>
      </c>
      <c r="BQ277" s="550">
        <v>0</v>
      </c>
      <c r="BR277" s="550">
        <v>0</v>
      </c>
      <c r="BS277" s="550">
        <v>0</v>
      </c>
      <c r="BT277" s="550">
        <v>0</v>
      </c>
      <c r="BU277" s="550">
        <v>0</v>
      </c>
      <c r="BV277" s="550">
        <v>0</v>
      </c>
      <c r="BW277" s="550">
        <v>0</v>
      </c>
      <c r="BX277" s="550">
        <v>0</v>
      </c>
      <c r="BY277" s="550">
        <v>0</v>
      </c>
      <c r="BZ277" s="550">
        <v>0</v>
      </c>
      <c r="CA277" s="550">
        <v>0</v>
      </c>
      <c r="CB277" s="550">
        <v>0</v>
      </c>
      <c r="CC277" s="550">
        <v>0</v>
      </c>
      <c r="CD277" s="550">
        <v>0</v>
      </c>
      <c r="CE277" s="550">
        <v>0</v>
      </c>
    </row>
    <row r="278" spans="1:83" ht="43.5" x14ac:dyDescent="0.25">
      <c r="A278" s="537">
        <v>618</v>
      </c>
      <c r="B278" s="624">
        <v>618</v>
      </c>
      <c r="C278" s="632" t="s">
        <v>844</v>
      </c>
      <c r="D278" s="540"/>
      <c r="E278" s="630">
        <v>0</v>
      </c>
      <c r="F278" s="629">
        <v>0</v>
      </c>
      <c r="G278" s="629">
        <v>0</v>
      </c>
      <c r="H278" s="629">
        <v>0</v>
      </c>
      <c r="I278" s="629">
        <v>0</v>
      </c>
      <c r="J278" s="629">
        <v>0</v>
      </c>
      <c r="K278" s="628">
        <v>0</v>
      </c>
      <c r="L278" s="631">
        <v>0</v>
      </c>
      <c r="M278" s="631">
        <v>0</v>
      </c>
      <c r="N278" s="627">
        <v>0</v>
      </c>
      <c r="O278" s="627">
        <v>0</v>
      </c>
      <c r="P278" s="627">
        <v>0</v>
      </c>
      <c r="Q278" s="627">
        <v>0</v>
      </c>
      <c r="R278" s="627">
        <v>0</v>
      </c>
      <c r="S278" s="627">
        <v>0</v>
      </c>
      <c r="T278" s="627">
        <v>0</v>
      </c>
      <c r="U278" s="627">
        <v>0</v>
      </c>
      <c r="V278" s="627">
        <v>0</v>
      </c>
      <c r="W278" s="627">
        <v>0</v>
      </c>
      <c r="X278" s="627">
        <v>0</v>
      </c>
      <c r="Y278" s="627">
        <v>0</v>
      </c>
      <c r="Z278" s="627">
        <v>0</v>
      </c>
      <c r="AA278" s="627">
        <v>0</v>
      </c>
      <c r="AB278" s="631">
        <v>0</v>
      </c>
      <c r="AC278" s="631">
        <v>0</v>
      </c>
      <c r="AD278" s="631">
        <v>0</v>
      </c>
      <c r="AE278" s="631">
        <v>0</v>
      </c>
      <c r="AF278" s="631">
        <v>0</v>
      </c>
      <c r="AG278" s="631">
        <v>0</v>
      </c>
      <c r="AH278" s="631">
        <v>0</v>
      </c>
      <c r="AI278" s="631">
        <v>0</v>
      </c>
      <c r="AJ278" s="631">
        <v>0</v>
      </c>
      <c r="AK278" s="631">
        <v>0</v>
      </c>
      <c r="AL278" s="631">
        <v>0</v>
      </c>
      <c r="AM278" s="631">
        <v>0</v>
      </c>
      <c r="AN278" s="631">
        <v>0</v>
      </c>
      <c r="AO278" s="631">
        <v>0</v>
      </c>
      <c r="AP278" s="631">
        <v>0</v>
      </c>
      <c r="AQ278" s="631">
        <v>0</v>
      </c>
      <c r="AR278" s="631">
        <v>0</v>
      </c>
      <c r="AS278" s="631">
        <v>0</v>
      </c>
      <c r="AT278" s="631">
        <v>0</v>
      </c>
      <c r="AU278" s="631">
        <v>0</v>
      </c>
      <c r="AV278" s="631">
        <v>0</v>
      </c>
      <c r="AW278" s="631">
        <v>0</v>
      </c>
      <c r="AX278" s="631">
        <v>0</v>
      </c>
      <c r="AY278" s="631">
        <v>0</v>
      </c>
      <c r="AZ278" s="631">
        <v>0</v>
      </c>
      <c r="BA278" s="631">
        <v>0</v>
      </c>
      <c r="BB278" s="631">
        <v>0</v>
      </c>
      <c r="BC278" s="631">
        <v>0</v>
      </c>
      <c r="BD278" s="631">
        <v>0</v>
      </c>
      <c r="BE278" s="631">
        <v>0</v>
      </c>
      <c r="BF278" s="631">
        <v>0</v>
      </c>
      <c r="BG278" s="631">
        <v>0</v>
      </c>
      <c r="BH278" s="631">
        <v>0</v>
      </c>
      <c r="BI278" s="631">
        <v>0</v>
      </c>
      <c r="BJ278" s="631">
        <v>0</v>
      </c>
      <c r="BK278" s="631">
        <v>0</v>
      </c>
      <c r="BL278" s="631">
        <v>0</v>
      </c>
      <c r="BM278" s="631">
        <v>0</v>
      </c>
      <c r="BN278" s="631">
        <v>0</v>
      </c>
      <c r="BO278" s="631">
        <v>0</v>
      </c>
      <c r="BP278" s="631">
        <v>0</v>
      </c>
      <c r="BQ278" s="631">
        <v>0</v>
      </c>
      <c r="BR278" s="631">
        <v>0</v>
      </c>
      <c r="BS278" s="631">
        <v>0</v>
      </c>
      <c r="BT278" s="631">
        <v>0</v>
      </c>
      <c r="BU278" s="631">
        <v>0</v>
      </c>
      <c r="BV278" s="631">
        <v>0</v>
      </c>
      <c r="BW278" s="631">
        <v>0</v>
      </c>
      <c r="BX278" s="631">
        <v>0</v>
      </c>
      <c r="BY278" s="631">
        <v>0</v>
      </c>
      <c r="BZ278" s="631">
        <v>0</v>
      </c>
      <c r="CA278" s="631">
        <v>0</v>
      </c>
      <c r="CB278" s="631">
        <v>0</v>
      </c>
      <c r="CC278" s="631">
        <v>0</v>
      </c>
      <c r="CD278" s="631">
        <v>0</v>
      </c>
      <c r="CE278" s="631">
        <v>0</v>
      </c>
    </row>
    <row r="279" spans="1:83" ht="43.5" x14ac:dyDescent="0.25">
      <c r="A279" s="537">
        <v>619</v>
      </c>
      <c r="B279" s="624">
        <v>619</v>
      </c>
      <c r="C279" s="632" t="s">
        <v>846</v>
      </c>
      <c r="D279" s="540"/>
      <c r="E279" s="630">
        <v>0</v>
      </c>
      <c r="F279" s="629">
        <v>0</v>
      </c>
      <c r="G279" s="629">
        <v>0</v>
      </c>
      <c r="H279" s="629">
        <v>0</v>
      </c>
      <c r="I279" s="629">
        <v>0</v>
      </c>
      <c r="J279" s="629">
        <v>0</v>
      </c>
      <c r="K279" s="628">
        <v>0</v>
      </c>
      <c r="L279" s="631">
        <v>0</v>
      </c>
      <c r="M279" s="631">
        <v>0</v>
      </c>
      <c r="N279" s="627">
        <v>0</v>
      </c>
      <c r="O279" s="627">
        <v>0</v>
      </c>
      <c r="P279" s="627">
        <v>0</v>
      </c>
      <c r="Q279" s="627">
        <v>0</v>
      </c>
      <c r="R279" s="627">
        <v>0</v>
      </c>
      <c r="S279" s="627">
        <v>0</v>
      </c>
      <c r="T279" s="627">
        <v>0</v>
      </c>
      <c r="U279" s="627">
        <v>0</v>
      </c>
      <c r="V279" s="627">
        <v>0</v>
      </c>
      <c r="W279" s="627">
        <v>0</v>
      </c>
      <c r="X279" s="627">
        <v>0</v>
      </c>
      <c r="Y279" s="627">
        <v>0</v>
      </c>
      <c r="Z279" s="627">
        <v>0</v>
      </c>
      <c r="AA279" s="627">
        <v>0</v>
      </c>
      <c r="AB279" s="631">
        <v>0</v>
      </c>
      <c r="AC279" s="631">
        <v>0</v>
      </c>
      <c r="AD279" s="631">
        <v>0</v>
      </c>
      <c r="AE279" s="631">
        <v>0</v>
      </c>
      <c r="AF279" s="631">
        <v>0</v>
      </c>
      <c r="AG279" s="631">
        <v>0</v>
      </c>
      <c r="AH279" s="631">
        <v>0</v>
      </c>
      <c r="AI279" s="631">
        <v>0</v>
      </c>
      <c r="AJ279" s="631">
        <v>0</v>
      </c>
      <c r="AK279" s="631">
        <v>0</v>
      </c>
      <c r="AL279" s="631">
        <v>0</v>
      </c>
      <c r="AM279" s="631">
        <v>0</v>
      </c>
      <c r="AN279" s="631">
        <v>0</v>
      </c>
      <c r="AO279" s="631">
        <v>0</v>
      </c>
      <c r="AP279" s="631">
        <v>0</v>
      </c>
      <c r="AQ279" s="631">
        <v>0</v>
      </c>
      <c r="AR279" s="631">
        <v>0</v>
      </c>
      <c r="AS279" s="631">
        <v>0</v>
      </c>
      <c r="AT279" s="631">
        <v>0</v>
      </c>
      <c r="AU279" s="631">
        <v>0</v>
      </c>
      <c r="AV279" s="631">
        <v>0</v>
      </c>
      <c r="AW279" s="631">
        <v>0</v>
      </c>
      <c r="AX279" s="631">
        <v>0</v>
      </c>
      <c r="AY279" s="631">
        <v>0</v>
      </c>
      <c r="AZ279" s="631">
        <v>0</v>
      </c>
      <c r="BA279" s="631">
        <v>0</v>
      </c>
      <c r="BB279" s="631">
        <v>0</v>
      </c>
      <c r="BC279" s="631">
        <v>0</v>
      </c>
      <c r="BD279" s="631">
        <v>0</v>
      </c>
      <c r="BE279" s="631">
        <v>0</v>
      </c>
      <c r="BF279" s="631">
        <v>0</v>
      </c>
      <c r="BG279" s="631">
        <v>0</v>
      </c>
      <c r="BH279" s="631">
        <v>0</v>
      </c>
      <c r="BI279" s="631">
        <v>0</v>
      </c>
      <c r="BJ279" s="631">
        <v>0</v>
      </c>
      <c r="BK279" s="631">
        <v>0</v>
      </c>
      <c r="BL279" s="631">
        <v>0</v>
      </c>
      <c r="BM279" s="631">
        <v>0</v>
      </c>
      <c r="BN279" s="631">
        <v>0</v>
      </c>
      <c r="BO279" s="631">
        <v>0</v>
      </c>
      <c r="BP279" s="631">
        <v>0</v>
      </c>
      <c r="BQ279" s="631">
        <v>0</v>
      </c>
      <c r="BR279" s="631">
        <v>0</v>
      </c>
      <c r="BS279" s="631">
        <v>0</v>
      </c>
      <c r="BT279" s="631">
        <v>0</v>
      </c>
      <c r="BU279" s="631">
        <v>0</v>
      </c>
      <c r="BV279" s="631">
        <v>0</v>
      </c>
      <c r="BW279" s="631">
        <v>0</v>
      </c>
      <c r="BX279" s="631">
        <v>0</v>
      </c>
      <c r="BY279" s="631">
        <v>0</v>
      </c>
      <c r="BZ279" s="631">
        <v>0</v>
      </c>
      <c r="CA279" s="631">
        <v>0</v>
      </c>
      <c r="CB279" s="631">
        <v>0</v>
      </c>
      <c r="CC279" s="631">
        <v>0</v>
      </c>
      <c r="CD279" s="631">
        <v>0</v>
      </c>
      <c r="CE279" s="631">
        <v>0</v>
      </c>
    </row>
    <row r="280" spans="1:83" ht="100.5" x14ac:dyDescent="0.25">
      <c r="A280" s="535">
        <v>620</v>
      </c>
      <c r="B280" s="624">
        <v>620</v>
      </c>
      <c r="C280" s="632" t="s">
        <v>835</v>
      </c>
      <c r="D280" s="540"/>
      <c r="E280" s="554">
        <v>1</v>
      </c>
      <c r="F280" s="555">
        <v>2</v>
      </c>
      <c r="G280" s="555">
        <v>2</v>
      </c>
      <c r="H280" s="555">
        <v>2</v>
      </c>
      <c r="I280" s="555">
        <v>2</v>
      </c>
      <c r="J280" s="555">
        <v>2</v>
      </c>
      <c r="K280" s="556">
        <v>2</v>
      </c>
      <c r="L280" s="550">
        <v>2</v>
      </c>
      <c r="M280" s="550">
        <v>2</v>
      </c>
      <c r="N280" s="546">
        <v>2</v>
      </c>
      <c r="O280" s="546">
        <v>0</v>
      </c>
      <c r="P280" s="546">
        <v>2</v>
      </c>
      <c r="Q280" s="546">
        <v>2</v>
      </c>
      <c r="R280" s="546">
        <v>1</v>
      </c>
      <c r="S280" s="546">
        <v>1</v>
      </c>
      <c r="T280" s="546">
        <v>2</v>
      </c>
      <c r="U280" s="546">
        <v>1</v>
      </c>
      <c r="V280" s="546">
        <v>2</v>
      </c>
      <c r="W280" s="546">
        <v>2</v>
      </c>
      <c r="X280" s="546">
        <v>1</v>
      </c>
      <c r="Y280" s="546">
        <v>0</v>
      </c>
      <c r="Z280" s="546">
        <v>1</v>
      </c>
      <c r="AA280" s="546">
        <v>1</v>
      </c>
      <c r="AB280" s="550">
        <v>1</v>
      </c>
      <c r="AC280" s="550">
        <v>2</v>
      </c>
      <c r="AD280" s="550">
        <v>1</v>
      </c>
      <c r="AE280" s="550">
        <v>1</v>
      </c>
      <c r="AF280" s="550">
        <v>2</v>
      </c>
      <c r="AG280" s="550">
        <v>1</v>
      </c>
      <c r="AH280" s="550">
        <v>1</v>
      </c>
      <c r="AI280" s="550">
        <v>2</v>
      </c>
      <c r="AJ280" s="550">
        <v>1</v>
      </c>
      <c r="AK280" s="550">
        <v>2</v>
      </c>
      <c r="AL280" s="550">
        <v>1</v>
      </c>
      <c r="AM280" s="550">
        <v>0</v>
      </c>
      <c r="AN280" s="550">
        <v>1</v>
      </c>
      <c r="AO280" s="550">
        <v>2</v>
      </c>
      <c r="AP280" s="550">
        <v>0</v>
      </c>
      <c r="AQ280" s="550">
        <v>2</v>
      </c>
      <c r="AR280" s="550">
        <v>2</v>
      </c>
      <c r="AS280" s="550">
        <v>1</v>
      </c>
      <c r="AT280" s="550">
        <v>0</v>
      </c>
      <c r="AU280" s="550">
        <v>1</v>
      </c>
      <c r="AV280" s="550">
        <v>2</v>
      </c>
      <c r="AW280" s="550">
        <v>2</v>
      </c>
      <c r="AX280" s="550">
        <v>2</v>
      </c>
      <c r="AY280" s="550">
        <v>2</v>
      </c>
      <c r="AZ280" s="550">
        <v>1</v>
      </c>
      <c r="BA280" s="550">
        <v>2</v>
      </c>
      <c r="BB280" s="550">
        <v>0</v>
      </c>
      <c r="BC280" s="550">
        <v>2</v>
      </c>
      <c r="BD280" s="550">
        <v>2</v>
      </c>
      <c r="BE280" s="550">
        <v>2</v>
      </c>
      <c r="BF280" s="550">
        <v>2</v>
      </c>
      <c r="BG280" s="550">
        <v>2</v>
      </c>
      <c r="BH280" s="550">
        <v>2</v>
      </c>
      <c r="BI280" s="550">
        <v>2</v>
      </c>
      <c r="BJ280" s="550">
        <v>2</v>
      </c>
      <c r="BK280" s="550">
        <v>2</v>
      </c>
      <c r="BL280" s="550">
        <v>1</v>
      </c>
      <c r="BM280" s="550">
        <v>1</v>
      </c>
      <c r="BN280" s="550">
        <v>1</v>
      </c>
      <c r="BO280" s="550">
        <v>2</v>
      </c>
      <c r="BP280" s="550">
        <v>2</v>
      </c>
      <c r="BQ280" s="550">
        <v>2</v>
      </c>
      <c r="BR280" s="550">
        <v>2</v>
      </c>
      <c r="BS280" s="550">
        <v>1</v>
      </c>
      <c r="BT280" s="550">
        <v>2</v>
      </c>
      <c r="BU280" s="550">
        <v>2</v>
      </c>
      <c r="BV280" s="550">
        <v>2</v>
      </c>
      <c r="BW280" s="550">
        <v>2</v>
      </c>
      <c r="BX280" s="550">
        <v>1</v>
      </c>
      <c r="BY280" s="550">
        <v>2</v>
      </c>
      <c r="BZ280" s="550">
        <v>2</v>
      </c>
      <c r="CA280" s="550">
        <v>0</v>
      </c>
      <c r="CB280" s="550">
        <v>2</v>
      </c>
      <c r="CC280" s="550">
        <v>2</v>
      </c>
      <c r="CD280" s="550">
        <v>0</v>
      </c>
      <c r="CE280" s="550">
        <v>2</v>
      </c>
    </row>
    <row r="281" spans="1:83" ht="28.5" x14ac:dyDescent="0.25">
      <c r="A281" s="535">
        <v>621</v>
      </c>
      <c r="B281" s="624">
        <v>621</v>
      </c>
      <c r="C281" s="634" t="s">
        <v>854</v>
      </c>
      <c r="D281" s="540"/>
      <c r="E281" s="554">
        <v>0</v>
      </c>
      <c r="F281" s="555">
        <v>0</v>
      </c>
      <c r="G281" s="555">
        <v>0</v>
      </c>
      <c r="H281" s="555">
        <v>0</v>
      </c>
      <c r="I281" s="555">
        <v>0</v>
      </c>
      <c r="J281" s="555">
        <v>0</v>
      </c>
      <c r="K281" s="556">
        <v>0</v>
      </c>
      <c r="L281" s="550">
        <v>0</v>
      </c>
      <c r="M281" s="550">
        <v>0</v>
      </c>
      <c r="N281" s="546">
        <v>0</v>
      </c>
      <c r="O281" s="546">
        <v>0</v>
      </c>
      <c r="P281" s="546">
        <v>0</v>
      </c>
      <c r="Q281" s="546">
        <v>0</v>
      </c>
      <c r="R281" s="546">
        <v>0</v>
      </c>
      <c r="S281" s="546">
        <v>0</v>
      </c>
      <c r="T281" s="546">
        <v>0</v>
      </c>
      <c r="U281" s="546">
        <v>0</v>
      </c>
      <c r="V281" s="546">
        <v>0</v>
      </c>
      <c r="W281" s="546">
        <v>0</v>
      </c>
      <c r="X281" s="546">
        <v>0</v>
      </c>
      <c r="Y281" s="546">
        <v>0</v>
      </c>
      <c r="Z281" s="546">
        <v>0</v>
      </c>
      <c r="AA281" s="546">
        <v>0</v>
      </c>
      <c r="AB281" s="550">
        <v>0</v>
      </c>
      <c r="AC281" s="550">
        <v>0</v>
      </c>
      <c r="AD281" s="550">
        <v>0</v>
      </c>
      <c r="AE281" s="550">
        <v>0</v>
      </c>
      <c r="AF281" s="550">
        <v>0</v>
      </c>
      <c r="AG281" s="550">
        <v>0</v>
      </c>
      <c r="AH281" s="550">
        <v>0</v>
      </c>
      <c r="AI281" s="550">
        <v>0</v>
      </c>
      <c r="AJ281" s="550">
        <v>0</v>
      </c>
      <c r="AK281" s="550">
        <v>0</v>
      </c>
      <c r="AL281" s="550">
        <v>0</v>
      </c>
      <c r="AM281" s="550">
        <v>0</v>
      </c>
      <c r="AN281" s="550">
        <v>0</v>
      </c>
      <c r="AO281" s="550">
        <v>0</v>
      </c>
      <c r="AP281" s="550">
        <v>0</v>
      </c>
      <c r="AQ281" s="550">
        <v>0</v>
      </c>
      <c r="AR281" s="550">
        <v>0</v>
      </c>
      <c r="AS281" s="550">
        <v>0</v>
      </c>
      <c r="AT281" s="550">
        <v>0</v>
      </c>
      <c r="AU281" s="550">
        <v>0</v>
      </c>
      <c r="AV281" s="550">
        <v>0</v>
      </c>
      <c r="AW281" s="550">
        <v>0</v>
      </c>
      <c r="AX281" s="550">
        <v>0</v>
      </c>
      <c r="AY281" s="550">
        <v>0</v>
      </c>
      <c r="AZ281" s="550">
        <v>0</v>
      </c>
      <c r="BA281" s="550">
        <v>0</v>
      </c>
      <c r="BB281" s="550">
        <v>0</v>
      </c>
      <c r="BC281" s="550">
        <v>0</v>
      </c>
      <c r="BD281" s="550">
        <v>0</v>
      </c>
      <c r="BE281" s="550">
        <v>0</v>
      </c>
      <c r="BF281" s="550">
        <v>0</v>
      </c>
      <c r="BG281" s="550">
        <v>0</v>
      </c>
      <c r="BH281" s="550">
        <v>0</v>
      </c>
      <c r="BI281" s="550">
        <v>0</v>
      </c>
      <c r="BJ281" s="550">
        <v>0</v>
      </c>
      <c r="BK281" s="550">
        <v>0</v>
      </c>
      <c r="BL281" s="550">
        <v>0</v>
      </c>
      <c r="BM281" s="550">
        <v>0</v>
      </c>
      <c r="BN281" s="550">
        <v>0</v>
      </c>
      <c r="BO281" s="550">
        <v>0</v>
      </c>
      <c r="BP281" s="550">
        <v>0</v>
      </c>
      <c r="BQ281" s="550">
        <v>0</v>
      </c>
      <c r="BR281" s="550">
        <v>0</v>
      </c>
      <c r="BS281" s="550">
        <v>0</v>
      </c>
      <c r="BT281" s="550">
        <v>0</v>
      </c>
      <c r="BU281" s="550">
        <v>0</v>
      </c>
      <c r="BV281" s="550">
        <v>0</v>
      </c>
      <c r="BW281" s="550">
        <v>0</v>
      </c>
      <c r="BX281" s="550">
        <v>0</v>
      </c>
      <c r="BY281" s="550">
        <v>0</v>
      </c>
      <c r="BZ281" s="550">
        <v>0</v>
      </c>
      <c r="CA281" s="550">
        <v>0</v>
      </c>
      <c r="CB281" s="550">
        <v>0</v>
      </c>
      <c r="CC281" s="550">
        <v>0</v>
      </c>
      <c r="CD281" s="550">
        <v>0</v>
      </c>
      <c r="CE281" s="550">
        <v>0</v>
      </c>
    </row>
    <row r="282" spans="1:83" s="652" customFormat="1" x14ac:dyDescent="0.25">
      <c r="A282" s="647"/>
      <c r="B282" s="648"/>
      <c r="C282" s="649" t="s">
        <v>987</v>
      </c>
      <c r="D282" s="650"/>
      <c r="E282" s="651">
        <f>E144-E226</f>
        <v>362906</v>
      </c>
      <c r="F282" s="651">
        <f t="shared" ref="F282:BQ282" si="0">F144-F226</f>
        <v>296911</v>
      </c>
      <c r="G282" s="651">
        <f t="shared" si="0"/>
        <v>1599907</v>
      </c>
      <c r="H282" s="651">
        <f t="shared" si="0"/>
        <v>7834926</v>
      </c>
      <c r="I282" s="651">
        <f t="shared" si="0"/>
        <v>6695783</v>
      </c>
      <c r="J282" s="651">
        <f t="shared" si="0"/>
        <v>9936492</v>
      </c>
      <c r="K282" s="651">
        <f t="shared" si="0"/>
        <v>230666</v>
      </c>
      <c r="L282" s="651">
        <f t="shared" si="0"/>
        <v>2601296</v>
      </c>
      <c r="M282" s="651">
        <f t="shared" si="0"/>
        <v>1255074</v>
      </c>
      <c r="N282" s="651">
        <f t="shared" si="0"/>
        <v>69761405</v>
      </c>
      <c r="O282" s="651">
        <f t="shared" si="0"/>
        <v>1177376</v>
      </c>
      <c r="P282" s="651">
        <f t="shared" si="0"/>
        <v>14271674</v>
      </c>
      <c r="Q282" s="651">
        <f t="shared" si="0"/>
        <v>436436</v>
      </c>
      <c r="R282" s="651">
        <f t="shared" si="0"/>
        <v>123330403</v>
      </c>
      <c r="S282" s="651">
        <f t="shared" si="0"/>
        <v>6167775</v>
      </c>
      <c r="T282" s="651">
        <f t="shared" si="0"/>
        <v>337482</v>
      </c>
      <c r="U282" s="651">
        <f t="shared" si="0"/>
        <v>216755346</v>
      </c>
      <c r="V282" s="651">
        <f t="shared" si="0"/>
        <v>55993748</v>
      </c>
      <c r="W282" s="651">
        <f t="shared" si="0"/>
        <v>57764171</v>
      </c>
      <c r="X282" s="651">
        <f t="shared" si="0"/>
        <v>194219773</v>
      </c>
      <c r="Y282" s="651">
        <f t="shared" si="0"/>
        <v>0</v>
      </c>
      <c r="Z282" s="651">
        <f t="shared" si="0"/>
        <v>43582986</v>
      </c>
      <c r="AA282" s="651">
        <f t="shared" si="0"/>
        <v>3166788</v>
      </c>
      <c r="AB282" s="651">
        <f t="shared" si="0"/>
        <v>45871699</v>
      </c>
      <c r="AC282" s="651">
        <f t="shared" si="0"/>
        <v>5512042</v>
      </c>
      <c r="AD282" s="651">
        <f t="shared" si="0"/>
        <v>4962956</v>
      </c>
      <c r="AE282" s="651">
        <f t="shared" si="0"/>
        <v>2444373</v>
      </c>
      <c r="AF282" s="651">
        <f t="shared" si="0"/>
        <v>7071097</v>
      </c>
      <c r="AG282" s="651">
        <f t="shared" si="0"/>
        <v>44942172</v>
      </c>
      <c r="AH282" s="651">
        <f t="shared" si="0"/>
        <v>12290844</v>
      </c>
      <c r="AI282" s="651">
        <f t="shared" si="0"/>
        <v>3704011</v>
      </c>
      <c r="AJ282" s="651">
        <f t="shared" si="0"/>
        <v>92196143</v>
      </c>
      <c r="AK282" s="651">
        <f t="shared" si="0"/>
        <v>6745221</v>
      </c>
      <c r="AL282" s="651">
        <f t="shared" si="0"/>
        <v>3565263</v>
      </c>
      <c r="AM282" s="651">
        <f t="shared" si="0"/>
        <v>0</v>
      </c>
      <c r="AN282" s="651">
        <f t="shared" si="0"/>
        <v>30394926</v>
      </c>
      <c r="AO282" s="651">
        <f t="shared" si="0"/>
        <v>1150556</v>
      </c>
      <c r="AP282" s="651">
        <f t="shared" si="0"/>
        <v>0</v>
      </c>
      <c r="AQ282" s="651">
        <f t="shared" si="0"/>
        <v>197392</v>
      </c>
      <c r="AR282" s="651">
        <f t="shared" si="0"/>
        <v>38080030</v>
      </c>
      <c r="AS282" s="651">
        <f t="shared" si="0"/>
        <v>99048177</v>
      </c>
      <c r="AT282" s="651">
        <f t="shared" si="0"/>
        <v>0</v>
      </c>
      <c r="AU282" s="651">
        <f t="shared" si="0"/>
        <v>3856532</v>
      </c>
      <c r="AV282" s="651">
        <f t="shared" si="0"/>
        <v>690470</v>
      </c>
      <c r="AW282" s="651">
        <f t="shared" si="0"/>
        <v>48904635</v>
      </c>
      <c r="AX282" s="651">
        <f t="shared" si="0"/>
        <v>9951859</v>
      </c>
      <c r="AY282" s="651">
        <f t="shared" si="0"/>
        <v>4719703</v>
      </c>
      <c r="AZ282" s="651">
        <f t="shared" si="0"/>
        <v>26406359</v>
      </c>
      <c r="BA282" s="651">
        <f t="shared" si="0"/>
        <v>3982235</v>
      </c>
      <c r="BB282" s="651">
        <f t="shared" si="0"/>
        <v>0</v>
      </c>
      <c r="BC282" s="651">
        <f t="shared" si="0"/>
        <v>142729</v>
      </c>
      <c r="BD282" s="651">
        <f t="shared" si="0"/>
        <v>674785</v>
      </c>
      <c r="BE282" s="651">
        <f t="shared" si="0"/>
        <v>12760013</v>
      </c>
      <c r="BF282" s="651">
        <f t="shared" si="0"/>
        <v>824493</v>
      </c>
      <c r="BG282" s="651">
        <f t="shared" si="0"/>
        <v>999785</v>
      </c>
      <c r="BH282" s="651">
        <f t="shared" si="0"/>
        <v>222637</v>
      </c>
      <c r="BI282" s="651">
        <f t="shared" si="0"/>
        <v>356222</v>
      </c>
      <c r="BJ282" s="651">
        <f t="shared" si="0"/>
        <v>845681</v>
      </c>
      <c r="BK282" s="651">
        <f t="shared" si="0"/>
        <v>590723</v>
      </c>
      <c r="BL282" s="651">
        <f t="shared" si="0"/>
        <v>8282535</v>
      </c>
      <c r="BM282" s="651">
        <f t="shared" si="0"/>
        <v>894094</v>
      </c>
      <c r="BN282" s="651">
        <f t="shared" si="0"/>
        <v>3338781</v>
      </c>
      <c r="BO282" s="651">
        <f t="shared" si="0"/>
        <v>12601147</v>
      </c>
      <c r="BP282" s="651">
        <f t="shared" si="0"/>
        <v>2128950</v>
      </c>
      <c r="BQ282" s="651">
        <f t="shared" si="0"/>
        <v>4791831</v>
      </c>
      <c r="BR282" s="651">
        <f t="shared" ref="BR282:CE282" si="1">BR144-BR226</f>
        <v>36587487</v>
      </c>
      <c r="BS282" s="651">
        <f t="shared" si="1"/>
        <v>1746384</v>
      </c>
      <c r="BT282" s="651">
        <f t="shared" si="1"/>
        <v>48848039</v>
      </c>
      <c r="BU282" s="651">
        <f t="shared" si="1"/>
        <v>2079636</v>
      </c>
      <c r="BV282" s="651">
        <f t="shared" si="1"/>
        <v>10572065</v>
      </c>
      <c r="BW282" s="651">
        <f t="shared" si="1"/>
        <v>5416249</v>
      </c>
      <c r="BX282" s="651">
        <f t="shared" si="1"/>
        <v>5145667</v>
      </c>
      <c r="BY282" s="651">
        <f t="shared" si="1"/>
        <v>2468321</v>
      </c>
      <c r="BZ282" s="651">
        <f t="shared" si="1"/>
        <v>675267</v>
      </c>
      <c r="CA282" s="651">
        <f t="shared" si="1"/>
        <v>0</v>
      </c>
      <c r="CB282" s="651">
        <f t="shared" si="1"/>
        <v>161480</v>
      </c>
      <c r="CC282" s="651">
        <f t="shared" si="1"/>
        <v>1497899</v>
      </c>
      <c r="CD282" s="651">
        <f t="shared" si="1"/>
        <v>0</v>
      </c>
      <c r="CE282" s="651">
        <f t="shared" si="1"/>
        <v>451961</v>
      </c>
    </row>
    <row r="283" spans="1:83" s="652" customFormat="1" x14ac:dyDescent="0.25">
      <c r="A283" s="647"/>
      <c r="B283" s="648"/>
      <c r="C283" s="649" t="s">
        <v>988</v>
      </c>
      <c r="D283" s="650"/>
      <c r="E283" s="651">
        <f>E102-E226</f>
        <v>25249</v>
      </c>
      <c r="F283" s="651">
        <f t="shared" ref="F283:BQ283" si="2">F102-F226</f>
        <v>4059</v>
      </c>
      <c r="G283" s="651">
        <f t="shared" si="2"/>
        <v>14196</v>
      </c>
      <c r="H283" s="651">
        <f t="shared" si="2"/>
        <v>101375</v>
      </c>
      <c r="I283" s="651">
        <f t="shared" si="2"/>
        <v>38594</v>
      </c>
      <c r="J283" s="651">
        <f t="shared" si="2"/>
        <v>136941</v>
      </c>
      <c r="K283" s="651">
        <f t="shared" si="2"/>
        <v>630</v>
      </c>
      <c r="L283" s="651">
        <f t="shared" si="2"/>
        <v>1692</v>
      </c>
      <c r="M283" s="651">
        <f t="shared" si="2"/>
        <v>7165</v>
      </c>
      <c r="N283" s="651">
        <f t="shared" si="2"/>
        <v>1074090</v>
      </c>
      <c r="O283" s="651">
        <f t="shared" si="2"/>
        <v>44900</v>
      </c>
      <c r="P283" s="651">
        <f t="shared" si="2"/>
        <v>292480</v>
      </c>
      <c r="Q283" s="651">
        <f t="shared" si="2"/>
        <v>892</v>
      </c>
      <c r="R283" s="651">
        <f t="shared" si="2"/>
        <v>3004314</v>
      </c>
      <c r="S283" s="651">
        <f t="shared" si="2"/>
        <v>116869</v>
      </c>
      <c r="T283" s="651">
        <f t="shared" si="2"/>
        <v>3092</v>
      </c>
      <c r="U283" s="651">
        <f t="shared" si="2"/>
        <v>13595614</v>
      </c>
      <c r="V283" s="651">
        <f t="shared" si="2"/>
        <v>1570507</v>
      </c>
      <c r="W283" s="651">
        <f t="shared" si="2"/>
        <v>2642108</v>
      </c>
      <c r="X283" s="651">
        <f t="shared" si="2"/>
        <v>4371795</v>
      </c>
      <c r="Y283" s="651">
        <f t="shared" si="2"/>
        <v>0</v>
      </c>
      <c r="Z283" s="651">
        <f t="shared" si="2"/>
        <v>990727</v>
      </c>
      <c r="AA283" s="651">
        <f t="shared" si="2"/>
        <v>74813</v>
      </c>
      <c r="AB283" s="651">
        <f t="shared" si="2"/>
        <v>1283686</v>
      </c>
      <c r="AC283" s="651">
        <f t="shared" si="2"/>
        <v>242874</v>
      </c>
      <c r="AD283" s="651">
        <f t="shared" si="2"/>
        <v>136896</v>
      </c>
      <c r="AE283" s="651">
        <f t="shared" si="2"/>
        <v>69295</v>
      </c>
      <c r="AF283" s="651">
        <f t="shared" si="2"/>
        <v>91013</v>
      </c>
      <c r="AG283" s="651">
        <f t="shared" si="2"/>
        <v>1439126</v>
      </c>
      <c r="AH283" s="651">
        <f t="shared" si="2"/>
        <v>87283</v>
      </c>
      <c r="AI283" s="651">
        <f t="shared" si="2"/>
        <v>29280</v>
      </c>
      <c r="AJ283" s="651">
        <f t="shared" si="2"/>
        <v>5302089</v>
      </c>
      <c r="AK283" s="651">
        <f t="shared" si="2"/>
        <v>7138</v>
      </c>
      <c r="AL283" s="651">
        <f t="shared" si="2"/>
        <v>53730</v>
      </c>
      <c r="AM283" s="651">
        <f t="shared" si="2"/>
        <v>0</v>
      </c>
      <c r="AN283" s="651">
        <f t="shared" si="2"/>
        <v>2103633</v>
      </c>
      <c r="AO283" s="651">
        <f t="shared" si="2"/>
        <v>8697</v>
      </c>
      <c r="AP283" s="651">
        <f t="shared" si="2"/>
        <v>0</v>
      </c>
      <c r="AQ283" s="651">
        <f t="shared" si="2"/>
        <v>623</v>
      </c>
      <c r="AR283" s="651">
        <f t="shared" si="2"/>
        <v>702025</v>
      </c>
      <c r="AS283" s="651">
        <f t="shared" si="2"/>
        <v>319951</v>
      </c>
      <c r="AT283" s="651">
        <f t="shared" si="2"/>
        <v>0</v>
      </c>
      <c r="AU283" s="651">
        <f t="shared" si="2"/>
        <v>98495</v>
      </c>
      <c r="AV283" s="651">
        <f t="shared" si="2"/>
        <v>4734</v>
      </c>
      <c r="AW283" s="651">
        <f t="shared" si="2"/>
        <v>1946228</v>
      </c>
      <c r="AX283" s="651">
        <f t="shared" si="2"/>
        <v>53402</v>
      </c>
      <c r="AY283" s="651">
        <f t="shared" si="2"/>
        <v>103678</v>
      </c>
      <c r="AZ283" s="651">
        <f t="shared" si="2"/>
        <v>524460</v>
      </c>
      <c r="BA283" s="651">
        <f t="shared" si="2"/>
        <v>41221</v>
      </c>
      <c r="BB283" s="651">
        <f t="shared" si="2"/>
        <v>0</v>
      </c>
      <c r="BC283" s="651">
        <f t="shared" si="2"/>
        <v>0</v>
      </c>
      <c r="BD283" s="651">
        <f t="shared" si="2"/>
        <v>7453</v>
      </c>
      <c r="BE283" s="651">
        <f t="shared" si="2"/>
        <v>5688833</v>
      </c>
      <c r="BF283" s="651">
        <f t="shared" si="2"/>
        <v>1434</v>
      </c>
      <c r="BG283" s="651">
        <f t="shared" si="2"/>
        <v>7100</v>
      </c>
      <c r="BH283" s="651">
        <f t="shared" si="2"/>
        <v>0</v>
      </c>
      <c r="BI283" s="651">
        <f t="shared" si="2"/>
        <v>1381</v>
      </c>
      <c r="BJ283" s="651">
        <f t="shared" si="2"/>
        <v>7129</v>
      </c>
      <c r="BK283" s="651">
        <f t="shared" si="2"/>
        <v>18613</v>
      </c>
      <c r="BL283" s="651">
        <f t="shared" si="2"/>
        <v>326557</v>
      </c>
      <c r="BM283" s="651">
        <f t="shared" si="2"/>
        <v>16543</v>
      </c>
      <c r="BN283" s="651">
        <f t="shared" si="2"/>
        <v>72943</v>
      </c>
      <c r="BO283" s="651">
        <f t="shared" si="2"/>
        <v>358269</v>
      </c>
      <c r="BP283" s="651">
        <f t="shared" si="2"/>
        <v>46769</v>
      </c>
      <c r="BQ283" s="651">
        <f t="shared" si="2"/>
        <v>73303</v>
      </c>
      <c r="BR283" s="651">
        <f t="shared" ref="BR283:CE283" si="3">BR102-BR226</f>
        <v>1283215</v>
      </c>
      <c r="BS283" s="651">
        <f t="shared" si="3"/>
        <v>54884</v>
      </c>
      <c r="BT283" s="651">
        <f t="shared" si="3"/>
        <v>1691030</v>
      </c>
      <c r="BU283" s="651">
        <f t="shared" si="3"/>
        <v>35372</v>
      </c>
      <c r="BV283" s="651">
        <f t="shared" si="3"/>
        <v>241347</v>
      </c>
      <c r="BW283" s="651">
        <f t="shared" si="3"/>
        <v>21307</v>
      </c>
      <c r="BX283" s="651">
        <f t="shared" si="3"/>
        <v>202467</v>
      </c>
      <c r="BY283" s="651">
        <f t="shared" si="3"/>
        <v>35950</v>
      </c>
      <c r="BZ283" s="651">
        <f t="shared" si="3"/>
        <v>4756</v>
      </c>
      <c r="CA283" s="651">
        <f t="shared" si="3"/>
        <v>0</v>
      </c>
      <c r="CB283" s="651">
        <f t="shared" si="3"/>
        <v>1212</v>
      </c>
      <c r="CC283" s="651">
        <f t="shared" si="3"/>
        <v>152738</v>
      </c>
      <c r="CD283" s="651">
        <f t="shared" si="3"/>
        <v>0</v>
      </c>
      <c r="CE283" s="651">
        <f t="shared" si="3"/>
        <v>3647</v>
      </c>
    </row>
    <row r="284" spans="1:83" s="652" customFormat="1" x14ac:dyDescent="0.25">
      <c r="A284" s="647"/>
      <c r="B284" s="648"/>
      <c r="C284" s="649" t="s">
        <v>989</v>
      </c>
      <c r="D284" s="650"/>
      <c r="E284" s="651">
        <f>E104-E226</f>
        <v>63184</v>
      </c>
      <c r="F284" s="651">
        <f t="shared" ref="F284:BQ284" si="4">F104-F226</f>
        <v>13359</v>
      </c>
      <c r="G284" s="651">
        <f t="shared" si="4"/>
        <v>126790</v>
      </c>
      <c r="H284" s="651">
        <f t="shared" si="4"/>
        <v>777742</v>
      </c>
      <c r="I284" s="651">
        <f t="shared" si="4"/>
        <v>60865</v>
      </c>
      <c r="J284" s="651">
        <f t="shared" si="4"/>
        <v>749623</v>
      </c>
      <c r="K284" s="651">
        <f t="shared" si="4"/>
        <v>630</v>
      </c>
      <c r="L284" s="651">
        <f t="shared" si="4"/>
        <v>39983</v>
      </c>
      <c r="M284" s="651">
        <f t="shared" si="4"/>
        <v>7165</v>
      </c>
      <c r="N284" s="651">
        <f t="shared" si="4"/>
        <v>7496684</v>
      </c>
      <c r="O284" s="651">
        <f t="shared" si="4"/>
        <v>224597</v>
      </c>
      <c r="P284" s="651">
        <f t="shared" si="4"/>
        <v>2715055</v>
      </c>
      <c r="Q284" s="651">
        <f t="shared" si="4"/>
        <v>2396</v>
      </c>
      <c r="R284" s="651">
        <f t="shared" si="4"/>
        <v>51996149</v>
      </c>
      <c r="S284" s="651">
        <f t="shared" si="4"/>
        <v>554540</v>
      </c>
      <c r="T284" s="651">
        <f t="shared" si="4"/>
        <v>3092</v>
      </c>
      <c r="U284" s="651">
        <f t="shared" si="4"/>
        <v>184411370</v>
      </c>
      <c r="V284" s="651">
        <f t="shared" si="4"/>
        <v>17016993</v>
      </c>
      <c r="W284" s="651">
        <f t="shared" si="4"/>
        <v>25933755</v>
      </c>
      <c r="X284" s="651">
        <f t="shared" si="4"/>
        <v>30923717</v>
      </c>
      <c r="Y284" s="651">
        <f t="shared" si="4"/>
        <v>0</v>
      </c>
      <c r="Z284" s="651">
        <f t="shared" si="4"/>
        <v>5426835</v>
      </c>
      <c r="AA284" s="651">
        <f t="shared" si="4"/>
        <v>266816</v>
      </c>
      <c r="AB284" s="651">
        <f t="shared" si="4"/>
        <v>21346604</v>
      </c>
      <c r="AC284" s="651">
        <f t="shared" si="4"/>
        <v>1595117</v>
      </c>
      <c r="AD284" s="651">
        <f t="shared" si="4"/>
        <v>449047</v>
      </c>
      <c r="AE284" s="651">
        <f t="shared" si="4"/>
        <v>581375</v>
      </c>
      <c r="AF284" s="651">
        <f t="shared" si="4"/>
        <v>2234809</v>
      </c>
      <c r="AG284" s="651">
        <f t="shared" si="4"/>
        <v>9643961</v>
      </c>
      <c r="AH284" s="651">
        <f t="shared" si="4"/>
        <v>1789977</v>
      </c>
      <c r="AI284" s="651">
        <f t="shared" si="4"/>
        <v>362086</v>
      </c>
      <c r="AJ284" s="651">
        <f t="shared" si="4"/>
        <v>54704955</v>
      </c>
      <c r="AK284" s="651">
        <f t="shared" si="4"/>
        <v>7138</v>
      </c>
      <c r="AL284" s="651">
        <f t="shared" si="4"/>
        <v>225271</v>
      </c>
      <c r="AM284" s="651">
        <f t="shared" si="4"/>
        <v>0</v>
      </c>
      <c r="AN284" s="651">
        <f t="shared" si="4"/>
        <v>13148759</v>
      </c>
      <c r="AO284" s="651">
        <f t="shared" si="4"/>
        <v>112232</v>
      </c>
      <c r="AP284" s="651">
        <f t="shared" si="4"/>
        <v>0</v>
      </c>
      <c r="AQ284" s="651">
        <f t="shared" si="4"/>
        <v>623</v>
      </c>
      <c r="AR284" s="651">
        <f t="shared" si="4"/>
        <v>17152417</v>
      </c>
      <c r="AS284" s="651">
        <f t="shared" si="4"/>
        <v>54197601</v>
      </c>
      <c r="AT284" s="651">
        <f t="shared" si="4"/>
        <v>0</v>
      </c>
      <c r="AU284" s="651">
        <f t="shared" si="4"/>
        <v>955109</v>
      </c>
      <c r="AV284" s="651">
        <f t="shared" si="4"/>
        <v>5386</v>
      </c>
      <c r="AW284" s="651">
        <f t="shared" si="4"/>
        <v>9931316</v>
      </c>
      <c r="AX284" s="651">
        <f t="shared" si="4"/>
        <v>169821</v>
      </c>
      <c r="AY284" s="651">
        <f t="shared" si="4"/>
        <v>306836</v>
      </c>
      <c r="AZ284" s="651">
        <f t="shared" si="4"/>
        <v>4165876</v>
      </c>
      <c r="BA284" s="651">
        <f t="shared" si="4"/>
        <v>164838</v>
      </c>
      <c r="BB284" s="651">
        <f t="shared" si="4"/>
        <v>0</v>
      </c>
      <c r="BC284" s="651">
        <f t="shared" si="4"/>
        <v>0</v>
      </c>
      <c r="BD284" s="651">
        <f t="shared" si="4"/>
        <v>9278</v>
      </c>
      <c r="BE284" s="651">
        <f t="shared" si="4"/>
        <v>8705335</v>
      </c>
      <c r="BF284" s="651">
        <f t="shared" si="4"/>
        <v>1434</v>
      </c>
      <c r="BG284" s="651">
        <f t="shared" si="4"/>
        <v>32448</v>
      </c>
      <c r="BH284" s="651">
        <f t="shared" si="4"/>
        <v>0</v>
      </c>
      <c r="BI284" s="651">
        <f t="shared" si="4"/>
        <v>1381</v>
      </c>
      <c r="BJ284" s="651">
        <f t="shared" si="4"/>
        <v>25173</v>
      </c>
      <c r="BK284" s="651">
        <f t="shared" si="4"/>
        <v>89712</v>
      </c>
      <c r="BL284" s="651">
        <f t="shared" si="4"/>
        <v>4213937</v>
      </c>
      <c r="BM284" s="651">
        <f t="shared" si="4"/>
        <v>154807</v>
      </c>
      <c r="BN284" s="651">
        <f t="shared" si="4"/>
        <v>935400</v>
      </c>
      <c r="BO284" s="651">
        <f t="shared" si="4"/>
        <v>2134607</v>
      </c>
      <c r="BP284" s="651">
        <f t="shared" si="4"/>
        <v>956782</v>
      </c>
      <c r="BQ284" s="651">
        <f t="shared" si="4"/>
        <v>1903020</v>
      </c>
      <c r="BR284" s="651">
        <f t="shared" ref="BR284:CE284" si="5">BR104-BR226</f>
        <v>5091248</v>
      </c>
      <c r="BS284" s="651">
        <f t="shared" si="5"/>
        <v>500523</v>
      </c>
      <c r="BT284" s="651">
        <f t="shared" si="5"/>
        <v>9336216</v>
      </c>
      <c r="BU284" s="651">
        <f t="shared" si="5"/>
        <v>487753</v>
      </c>
      <c r="BV284" s="651">
        <f t="shared" si="5"/>
        <v>2493180</v>
      </c>
      <c r="BW284" s="651">
        <f t="shared" si="5"/>
        <v>21307</v>
      </c>
      <c r="BX284" s="651">
        <f t="shared" si="5"/>
        <v>814125</v>
      </c>
      <c r="BY284" s="651">
        <f t="shared" si="5"/>
        <v>610883</v>
      </c>
      <c r="BZ284" s="651">
        <f t="shared" si="5"/>
        <v>4756</v>
      </c>
      <c r="CA284" s="651">
        <f t="shared" si="5"/>
        <v>0</v>
      </c>
      <c r="CB284" s="651">
        <f t="shared" si="5"/>
        <v>1607</v>
      </c>
      <c r="CC284" s="651">
        <f t="shared" si="5"/>
        <v>948299</v>
      </c>
      <c r="CD284" s="651">
        <f t="shared" si="5"/>
        <v>0</v>
      </c>
      <c r="CE284" s="651">
        <f t="shared" si="5"/>
        <v>3647</v>
      </c>
    </row>
    <row r="285" spans="1:83" s="527" customFormat="1" x14ac:dyDescent="0.25">
      <c r="A285" s="537"/>
      <c r="B285" s="624"/>
      <c r="C285" s="625"/>
      <c r="D285" s="540"/>
      <c r="E285" s="554"/>
      <c r="F285" s="555"/>
      <c r="G285" s="555"/>
      <c r="H285" s="555"/>
      <c r="I285" s="555"/>
      <c r="J285" s="555"/>
      <c r="K285" s="556"/>
      <c r="L285" s="550"/>
      <c r="M285" s="550"/>
      <c r="N285" s="546"/>
      <c r="O285" s="546"/>
      <c r="P285" s="546"/>
      <c r="Q285" s="546"/>
      <c r="R285" s="546"/>
      <c r="S285" s="546"/>
      <c r="T285" s="546"/>
      <c r="U285" s="546"/>
      <c r="V285" s="546"/>
      <c r="W285" s="546"/>
      <c r="X285" s="546"/>
      <c r="Y285" s="546"/>
      <c r="Z285" s="546"/>
      <c r="AA285" s="546"/>
      <c r="AB285" s="550"/>
      <c r="AC285" s="550"/>
      <c r="AD285" s="550"/>
      <c r="AE285" s="550"/>
      <c r="AF285" s="550"/>
      <c r="AG285" s="550"/>
      <c r="AH285" s="550"/>
      <c r="AI285" s="550"/>
      <c r="AJ285" s="550"/>
      <c r="AK285" s="550"/>
      <c r="AL285" s="550"/>
      <c r="AM285" s="550"/>
      <c r="AN285" s="550"/>
      <c r="AO285" s="550"/>
      <c r="AP285" s="550"/>
      <c r="AQ285" s="550"/>
      <c r="AR285" s="550"/>
      <c r="AS285" s="550"/>
      <c r="AT285" s="550"/>
      <c r="AU285" s="550"/>
      <c r="AV285" s="550"/>
      <c r="AW285" s="550"/>
      <c r="AX285" s="550"/>
      <c r="AY285" s="550"/>
      <c r="AZ285" s="550"/>
      <c r="BA285" s="550"/>
      <c r="BB285" s="550"/>
      <c r="BC285" s="550"/>
      <c r="BD285" s="550"/>
      <c r="BE285" s="550"/>
      <c r="BF285" s="550"/>
      <c r="BG285" s="550"/>
      <c r="BH285" s="550"/>
      <c r="BI285" s="550"/>
      <c r="BJ285" s="550"/>
      <c r="BK285" s="550"/>
      <c r="BL285" s="550"/>
      <c r="BM285" s="550"/>
      <c r="BN285" s="550"/>
      <c r="BO285" s="550"/>
      <c r="BP285" s="550"/>
      <c r="BQ285" s="550"/>
      <c r="BR285" s="550"/>
      <c r="BS285" s="550"/>
      <c r="BT285" s="550"/>
      <c r="BU285" s="550"/>
      <c r="BV285" s="550"/>
      <c r="BW285" s="550"/>
      <c r="BX285" s="550"/>
      <c r="BY285" s="550"/>
      <c r="BZ285" s="550"/>
      <c r="CA285" s="550"/>
      <c r="CB285" s="550"/>
      <c r="CC285" s="550"/>
      <c r="CD285" s="550"/>
      <c r="CE285" s="550"/>
    </row>
    <row r="286" spans="1:83" x14ac:dyDescent="0.25">
      <c r="A286" s="535"/>
      <c r="B286" s="537"/>
      <c r="C286" s="537" t="s">
        <v>984</v>
      </c>
      <c r="D286" s="537"/>
      <c r="E286" s="636">
        <f>SUM(E3:E281)</f>
        <v>11796993.01</v>
      </c>
      <c r="F286" s="636">
        <f t="shared" ref="F286:BQ286" si="6">SUM(F3:F281)</f>
        <v>2156825.2199999997</v>
      </c>
      <c r="G286" s="636">
        <f t="shared" si="6"/>
        <v>37873772.869999997</v>
      </c>
      <c r="H286" s="636">
        <f t="shared" si="6"/>
        <v>45363537.719999999</v>
      </c>
      <c r="I286" s="636">
        <f t="shared" si="6"/>
        <v>42564725.920000002</v>
      </c>
      <c r="J286" s="636">
        <f t="shared" si="6"/>
        <v>61267564.310000002</v>
      </c>
      <c r="K286" s="636">
        <f t="shared" si="6"/>
        <v>12379092.52</v>
      </c>
      <c r="L286" s="636">
        <f t="shared" si="6"/>
        <v>11626983.609999999</v>
      </c>
      <c r="M286" s="636">
        <f t="shared" si="6"/>
        <v>8144428.1399999997</v>
      </c>
      <c r="N286" s="636">
        <f t="shared" si="6"/>
        <v>371690749.05000001</v>
      </c>
      <c r="O286" s="636">
        <f t="shared" si="6"/>
        <v>8351417.4800000004</v>
      </c>
      <c r="P286" s="636">
        <f t="shared" si="6"/>
        <v>198030215.75999999</v>
      </c>
      <c r="Q286" s="636">
        <f t="shared" si="6"/>
        <v>2610452.0700000003</v>
      </c>
      <c r="R286" s="636">
        <f t="shared" si="6"/>
        <v>2682340345.2300005</v>
      </c>
      <c r="S286" s="636">
        <f t="shared" si="6"/>
        <v>48062390.009999998</v>
      </c>
      <c r="T286" s="636">
        <f t="shared" si="6"/>
        <v>2184158</v>
      </c>
      <c r="U286" s="636">
        <f t="shared" si="6"/>
        <v>2556336145.5</v>
      </c>
      <c r="V286" s="636">
        <f t="shared" si="6"/>
        <v>649361687.42999995</v>
      </c>
      <c r="W286" s="636">
        <f t="shared" si="6"/>
        <v>1244789359.3999999</v>
      </c>
      <c r="X286" s="636">
        <f t="shared" si="6"/>
        <v>941899129.87</v>
      </c>
      <c r="Y286" s="636">
        <f t="shared" si="6"/>
        <v>50315.01</v>
      </c>
      <c r="Z286" s="636">
        <f t="shared" si="6"/>
        <v>572610554.76999998</v>
      </c>
      <c r="AA286" s="636">
        <f t="shared" si="6"/>
        <v>82857703.900000006</v>
      </c>
      <c r="AB286" s="636">
        <f t="shared" si="6"/>
        <v>494896934.31</v>
      </c>
      <c r="AC286" s="636">
        <f t="shared" si="6"/>
        <v>192232061.16</v>
      </c>
      <c r="AD286" s="636">
        <f t="shared" si="6"/>
        <v>61627912.579999998</v>
      </c>
      <c r="AE286" s="636">
        <f t="shared" si="6"/>
        <v>72329350.329999998</v>
      </c>
      <c r="AF286" s="636">
        <f t="shared" si="6"/>
        <v>125393179.07000001</v>
      </c>
      <c r="AG286" s="636">
        <f t="shared" si="6"/>
        <v>434589910</v>
      </c>
      <c r="AH286" s="636">
        <f t="shared" si="6"/>
        <v>165298457.97</v>
      </c>
      <c r="AI286" s="636">
        <f t="shared" si="6"/>
        <v>40257358.059999995</v>
      </c>
      <c r="AJ286" s="636">
        <f t="shared" si="6"/>
        <v>1964715990.8099999</v>
      </c>
      <c r="AK286" s="636">
        <f t="shared" si="6"/>
        <v>46877921.189999998</v>
      </c>
      <c r="AL286" s="636">
        <f t="shared" si="6"/>
        <v>45657463.539999999</v>
      </c>
      <c r="AM286" s="636">
        <f t="shared" si="6"/>
        <v>50328.01</v>
      </c>
      <c r="AN286" s="636">
        <f t="shared" si="6"/>
        <v>675315128.70000005</v>
      </c>
      <c r="AO286" s="636">
        <f t="shared" si="6"/>
        <v>22339187.320000004</v>
      </c>
      <c r="AP286" s="636">
        <f t="shared" si="6"/>
        <v>50331.01</v>
      </c>
      <c r="AQ286" s="636">
        <f t="shared" si="6"/>
        <v>1281229</v>
      </c>
      <c r="AR286" s="636">
        <f t="shared" si="6"/>
        <v>183225699.17000002</v>
      </c>
      <c r="AS286" s="636">
        <f t="shared" si="6"/>
        <v>568062007.98000002</v>
      </c>
      <c r="AT286" s="636">
        <f t="shared" si="6"/>
        <v>50575.01</v>
      </c>
      <c r="AU286" s="636">
        <f t="shared" si="6"/>
        <v>97663515.63000001</v>
      </c>
      <c r="AV286" s="636">
        <f t="shared" si="6"/>
        <v>11964592.57</v>
      </c>
      <c r="AW286" s="636">
        <f t="shared" si="6"/>
        <v>1080640703.4099998</v>
      </c>
      <c r="AX286" s="636">
        <f t="shared" si="6"/>
        <v>51003108.18</v>
      </c>
      <c r="AY286" s="636">
        <f t="shared" si="6"/>
        <v>78898355.510000005</v>
      </c>
      <c r="AZ286" s="636">
        <f t="shared" si="6"/>
        <v>242302641.39999998</v>
      </c>
      <c r="BA286" s="636">
        <f t="shared" si="6"/>
        <v>61489629.139999993</v>
      </c>
      <c r="BB286" s="636">
        <f t="shared" si="6"/>
        <v>50338.01</v>
      </c>
      <c r="BC286" s="636">
        <f t="shared" si="6"/>
        <v>918334</v>
      </c>
      <c r="BD286" s="636">
        <f t="shared" si="6"/>
        <v>6900431.2299999995</v>
      </c>
      <c r="BE286" s="636">
        <f t="shared" si="6"/>
        <v>334993486.24000001</v>
      </c>
      <c r="BF286" s="636">
        <f t="shared" si="6"/>
        <v>5035485.54</v>
      </c>
      <c r="BG286" s="636">
        <f t="shared" si="6"/>
        <v>22975170.710000001</v>
      </c>
      <c r="BH286" s="636">
        <f t="shared" si="6"/>
        <v>13140527.33</v>
      </c>
      <c r="BI286" s="636">
        <f t="shared" si="6"/>
        <v>2505827.9899999998</v>
      </c>
      <c r="BJ286" s="636">
        <f t="shared" si="6"/>
        <v>20489973.190000001</v>
      </c>
      <c r="BK286" s="636">
        <f t="shared" si="6"/>
        <v>3421757.8200000003</v>
      </c>
      <c r="BL286" s="636">
        <f t="shared" si="6"/>
        <v>142089418.98999998</v>
      </c>
      <c r="BM286" s="636">
        <f t="shared" si="6"/>
        <v>58488235.43999999</v>
      </c>
      <c r="BN286" s="636">
        <f t="shared" si="6"/>
        <v>68388473.609999999</v>
      </c>
      <c r="BO286" s="636">
        <f t="shared" si="6"/>
        <v>98872313.329999998</v>
      </c>
      <c r="BP286" s="636">
        <f t="shared" si="6"/>
        <v>39468375.009999998</v>
      </c>
      <c r="BQ286" s="636">
        <f t="shared" si="6"/>
        <v>45180180.689999998</v>
      </c>
      <c r="BR286" s="636">
        <f t="shared" ref="BR286:CE286" si="7">SUM(BR3:BR281)</f>
        <v>276690818.86000001</v>
      </c>
      <c r="BS286" s="636">
        <f t="shared" si="7"/>
        <v>67753412.330000013</v>
      </c>
      <c r="BT286" s="636">
        <f t="shared" si="7"/>
        <v>452849339.45999998</v>
      </c>
      <c r="BU286" s="636">
        <f t="shared" si="7"/>
        <v>52268063.890000001</v>
      </c>
      <c r="BV286" s="636">
        <f t="shared" si="7"/>
        <v>178869688.19</v>
      </c>
      <c r="BW286" s="636">
        <f t="shared" si="7"/>
        <v>23042320.219999999</v>
      </c>
      <c r="BX286" s="636">
        <f t="shared" si="7"/>
        <v>115819105.11</v>
      </c>
      <c r="BY286" s="636">
        <f t="shared" si="7"/>
        <v>36566193.530000001</v>
      </c>
      <c r="BZ286" s="636">
        <f t="shared" si="7"/>
        <v>6020082.5199999996</v>
      </c>
      <c r="CA286" s="636">
        <f t="shared" si="7"/>
        <v>50357.01</v>
      </c>
      <c r="CB286" s="636">
        <f t="shared" si="7"/>
        <v>20871826.700000003</v>
      </c>
      <c r="CC286" s="636">
        <f t="shared" si="7"/>
        <v>38959678.909999996</v>
      </c>
      <c r="CD286" s="636">
        <f t="shared" si="7"/>
        <v>50360</v>
      </c>
      <c r="CE286" s="636">
        <f t="shared" si="7"/>
        <v>6485502.54</v>
      </c>
    </row>
    <row r="287" spans="1:83" x14ac:dyDescent="0.25">
      <c r="A287" s="535"/>
      <c r="B287" s="537"/>
      <c r="C287" s="537"/>
      <c r="D287" s="537"/>
      <c r="E287" s="637">
        <f>SUM(E187:E188,E204:E207,E227,E244:E248,E263:E266)</f>
        <v>50313.01</v>
      </c>
      <c r="F287" s="637">
        <f t="shared" ref="F287:BQ287" si="8">SUM(F187:F188,F204:F207,F227,F244:F248,F263:F266)</f>
        <v>50315</v>
      </c>
      <c r="G287" s="637">
        <f t="shared" si="8"/>
        <v>50316.01</v>
      </c>
      <c r="H287" s="637">
        <f t="shared" si="8"/>
        <v>50614</v>
      </c>
      <c r="I287" s="637">
        <f t="shared" si="8"/>
        <v>50619</v>
      </c>
      <c r="J287" s="637">
        <f t="shared" si="8"/>
        <v>50616</v>
      </c>
      <c r="K287" s="637">
        <f t="shared" si="8"/>
        <v>50320.01</v>
      </c>
      <c r="L287" s="637">
        <f t="shared" si="8"/>
        <v>50608</v>
      </c>
      <c r="M287" s="637">
        <f t="shared" si="8"/>
        <v>50504</v>
      </c>
      <c r="N287" s="637">
        <f t="shared" si="8"/>
        <v>1455976</v>
      </c>
      <c r="O287" s="637">
        <f t="shared" si="8"/>
        <v>50618</v>
      </c>
      <c r="P287" s="637">
        <f t="shared" si="8"/>
        <v>50315.01</v>
      </c>
      <c r="Q287" s="637">
        <f t="shared" si="8"/>
        <v>50578</v>
      </c>
      <c r="R287" s="637">
        <f t="shared" si="8"/>
        <v>4085465.0799999996</v>
      </c>
      <c r="S287" s="637">
        <f t="shared" si="8"/>
        <v>50326.01</v>
      </c>
      <c r="T287" s="637">
        <f t="shared" si="8"/>
        <v>50542</v>
      </c>
      <c r="U287" s="637">
        <f t="shared" si="8"/>
        <v>3803607.01</v>
      </c>
      <c r="V287" s="637">
        <f t="shared" si="8"/>
        <v>3569330.01</v>
      </c>
      <c r="W287" s="637">
        <f t="shared" si="8"/>
        <v>1027342.08</v>
      </c>
      <c r="X287" s="637">
        <f t="shared" si="8"/>
        <v>6891776</v>
      </c>
      <c r="Y287" s="637">
        <f t="shared" si="8"/>
        <v>50315.01</v>
      </c>
      <c r="Z287" s="637">
        <f t="shared" si="8"/>
        <v>1646955.01</v>
      </c>
      <c r="AA287" s="637">
        <f t="shared" si="8"/>
        <v>50326.01</v>
      </c>
      <c r="AB287" s="637">
        <f t="shared" si="8"/>
        <v>50330.01</v>
      </c>
      <c r="AC287" s="637">
        <f t="shared" si="8"/>
        <v>8241948.0099999998</v>
      </c>
      <c r="AD287" s="637">
        <f t="shared" si="8"/>
        <v>50329.01</v>
      </c>
      <c r="AE287" s="637">
        <f t="shared" si="8"/>
        <v>50332.01</v>
      </c>
      <c r="AF287" s="637">
        <f t="shared" si="8"/>
        <v>50330.01</v>
      </c>
      <c r="AG287" s="637">
        <f t="shared" si="8"/>
        <v>50331.01</v>
      </c>
      <c r="AH287" s="637">
        <f t="shared" si="8"/>
        <v>50338.01</v>
      </c>
      <c r="AI287" s="637">
        <f t="shared" si="8"/>
        <v>50547.01</v>
      </c>
      <c r="AJ287" s="637">
        <f t="shared" si="8"/>
        <v>2258634.09</v>
      </c>
      <c r="AK287" s="637">
        <f t="shared" si="8"/>
        <v>50336.01</v>
      </c>
      <c r="AL287" s="637">
        <f t="shared" si="8"/>
        <v>50340.01</v>
      </c>
      <c r="AM287" s="637">
        <f t="shared" si="8"/>
        <v>50328.01</v>
      </c>
      <c r="AN287" s="637">
        <f t="shared" si="8"/>
        <v>1348725.08</v>
      </c>
      <c r="AO287" s="637">
        <f t="shared" si="8"/>
        <v>50338.01</v>
      </c>
      <c r="AP287" s="637">
        <f t="shared" si="8"/>
        <v>50331.01</v>
      </c>
      <c r="AQ287" s="637">
        <f t="shared" si="8"/>
        <v>50534</v>
      </c>
      <c r="AR287" s="637">
        <f t="shared" si="8"/>
        <v>50586</v>
      </c>
      <c r="AS287" s="637">
        <f t="shared" si="8"/>
        <v>50341.01</v>
      </c>
      <c r="AT287" s="637">
        <f t="shared" si="8"/>
        <v>50575.01</v>
      </c>
      <c r="AU287" s="637">
        <f t="shared" si="8"/>
        <v>50348.01</v>
      </c>
      <c r="AV287" s="637">
        <f t="shared" si="8"/>
        <v>50339.09</v>
      </c>
      <c r="AW287" s="637">
        <f t="shared" si="8"/>
        <v>50617.01</v>
      </c>
      <c r="AX287" s="637">
        <f t="shared" si="8"/>
        <v>50607</v>
      </c>
      <c r="AY287" s="637">
        <f t="shared" si="8"/>
        <v>50343.01</v>
      </c>
      <c r="AZ287" s="637">
        <f t="shared" si="8"/>
        <v>3235353.01</v>
      </c>
      <c r="BA287" s="637">
        <f t="shared" si="8"/>
        <v>50346.01</v>
      </c>
      <c r="BB287" s="637">
        <f t="shared" si="8"/>
        <v>50338.01</v>
      </c>
      <c r="BC287" s="637">
        <f t="shared" si="8"/>
        <v>50350</v>
      </c>
      <c r="BD287" s="637">
        <f t="shared" si="8"/>
        <v>50626.01</v>
      </c>
      <c r="BE287" s="637">
        <f t="shared" si="8"/>
        <v>50348.01</v>
      </c>
      <c r="BF287" s="637">
        <f t="shared" si="8"/>
        <v>50347</v>
      </c>
      <c r="BG287" s="637">
        <f t="shared" si="8"/>
        <v>50352.01</v>
      </c>
      <c r="BH287" s="637">
        <f t="shared" si="8"/>
        <v>50353.01</v>
      </c>
      <c r="BI287" s="637">
        <f t="shared" si="8"/>
        <v>50517</v>
      </c>
      <c r="BJ287" s="637">
        <f t="shared" si="8"/>
        <v>50352.01</v>
      </c>
      <c r="BK287" s="637">
        <f t="shared" si="8"/>
        <v>50596</v>
      </c>
      <c r="BL287" s="637">
        <f t="shared" si="8"/>
        <v>50354.01</v>
      </c>
      <c r="BM287" s="637">
        <f t="shared" si="8"/>
        <v>50360.09</v>
      </c>
      <c r="BN287" s="637">
        <f t="shared" si="8"/>
        <v>50357.01</v>
      </c>
      <c r="BO287" s="637">
        <f t="shared" si="8"/>
        <v>50509.01</v>
      </c>
      <c r="BP287" s="637">
        <f t="shared" si="8"/>
        <v>50360.01</v>
      </c>
      <c r="BQ287" s="637">
        <f t="shared" si="8"/>
        <v>50358.01</v>
      </c>
      <c r="BR287" s="637">
        <f t="shared" ref="BR287:CE287" si="9">SUM(BR187:BR188,BR204:BR207,BR227,BR244:BR248,BR263:BR266)</f>
        <v>50354</v>
      </c>
      <c r="BS287" s="637">
        <f t="shared" si="9"/>
        <v>50366.1</v>
      </c>
      <c r="BT287" s="637">
        <f t="shared" si="9"/>
        <v>50361.07</v>
      </c>
      <c r="BU287" s="637">
        <f t="shared" si="9"/>
        <v>50361.01</v>
      </c>
      <c r="BV287" s="637">
        <f t="shared" si="9"/>
        <v>50364.01</v>
      </c>
      <c r="BW287" s="637">
        <f t="shared" si="9"/>
        <v>50599</v>
      </c>
      <c r="BX287" s="637">
        <f t="shared" si="9"/>
        <v>4571355.01</v>
      </c>
      <c r="BY287" s="637">
        <f t="shared" si="9"/>
        <v>50364.01</v>
      </c>
      <c r="BZ287" s="637">
        <f t="shared" si="9"/>
        <v>50540.01</v>
      </c>
      <c r="CA287" s="637">
        <f t="shared" si="9"/>
        <v>50357.01</v>
      </c>
      <c r="CB287" s="637">
        <f t="shared" si="9"/>
        <v>50373.01</v>
      </c>
      <c r="CC287" s="637">
        <f t="shared" si="9"/>
        <v>50369.01</v>
      </c>
      <c r="CD287" s="637">
        <f t="shared" si="9"/>
        <v>50360</v>
      </c>
      <c r="CE287" s="637">
        <f t="shared" si="9"/>
        <v>50378.01</v>
      </c>
    </row>
    <row r="288" spans="1:83" x14ac:dyDescent="0.25">
      <c r="A288" s="537"/>
      <c r="B288" s="537"/>
      <c r="C288" s="537"/>
      <c r="D288" s="537"/>
      <c r="E288" s="583">
        <f>E286-E287</f>
        <v>11746680</v>
      </c>
      <c r="F288" s="583">
        <f t="shared" ref="F288:BQ288" si="10">F286-F287</f>
        <v>2106510.2199999997</v>
      </c>
      <c r="G288" s="583">
        <f t="shared" si="10"/>
        <v>37823456.859999999</v>
      </c>
      <c r="H288" s="583">
        <f t="shared" si="10"/>
        <v>45312923.719999999</v>
      </c>
      <c r="I288" s="583">
        <f t="shared" si="10"/>
        <v>42514106.920000002</v>
      </c>
      <c r="J288" s="583">
        <f t="shared" si="10"/>
        <v>61216948.310000002</v>
      </c>
      <c r="K288" s="583">
        <f t="shared" si="10"/>
        <v>12328772.51</v>
      </c>
      <c r="L288" s="583">
        <f t="shared" si="10"/>
        <v>11576375.609999999</v>
      </c>
      <c r="M288" s="583">
        <f t="shared" si="10"/>
        <v>8093924.1399999997</v>
      </c>
      <c r="N288" s="583">
        <f t="shared" si="10"/>
        <v>370234773.05000001</v>
      </c>
      <c r="O288" s="583">
        <f t="shared" si="10"/>
        <v>8300799.4800000004</v>
      </c>
      <c r="P288" s="583">
        <f t="shared" si="10"/>
        <v>197979900.75</v>
      </c>
      <c r="Q288" s="583">
        <f t="shared" si="10"/>
        <v>2559874.0700000003</v>
      </c>
      <c r="R288" s="583">
        <f t="shared" si="10"/>
        <v>2678254880.1500006</v>
      </c>
      <c r="S288" s="583">
        <f t="shared" si="10"/>
        <v>48012064</v>
      </c>
      <c r="T288" s="583">
        <f t="shared" si="10"/>
        <v>2133616</v>
      </c>
      <c r="U288" s="583">
        <f t="shared" si="10"/>
        <v>2552532538.4899998</v>
      </c>
      <c r="V288" s="583">
        <f t="shared" si="10"/>
        <v>645792357.41999996</v>
      </c>
      <c r="W288" s="583">
        <f t="shared" si="10"/>
        <v>1243762017.3199999</v>
      </c>
      <c r="X288" s="583">
        <f t="shared" si="10"/>
        <v>935007353.87</v>
      </c>
      <c r="Y288" s="583">
        <f t="shared" si="10"/>
        <v>0</v>
      </c>
      <c r="Z288" s="583">
        <f t="shared" si="10"/>
        <v>570963599.75999999</v>
      </c>
      <c r="AA288" s="583">
        <f t="shared" si="10"/>
        <v>82807377.890000001</v>
      </c>
      <c r="AB288" s="583">
        <f t="shared" si="10"/>
        <v>494846604.30000001</v>
      </c>
      <c r="AC288" s="583">
        <f t="shared" si="10"/>
        <v>183990113.15000001</v>
      </c>
      <c r="AD288" s="583">
        <f t="shared" si="10"/>
        <v>61577583.57</v>
      </c>
      <c r="AE288" s="583">
        <f t="shared" si="10"/>
        <v>72279018.319999993</v>
      </c>
      <c r="AF288" s="583">
        <f t="shared" si="10"/>
        <v>125342849.06</v>
      </c>
      <c r="AG288" s="583">
        <f t="shared" si="10"/>
        <v>434539578.99000001</v>
      </c>
      <c r="AH288" s="583">
        <f t="shared" si="10"/>
        <v>165248119.96000001</v>
      </c>
      <c r="AI288" s="583">
        <f t="shared" si="10"/>
        <v>40206811.049999997</v>
      </c>
      <c r="AJ288" s="583">
        <f t="shared" si="10"/>
        <v>1962457356.72</v>
      </c>
      <c r="AK288" s="583">
        <f t="shared" si="10"/>
        <v>46827585.18</v>
      </c>
      <c r="AL288" s="583">
        <f t="shared" si="10"/>
        <v>45607123.530000001</v>
      </c>
      <c r="AM288" s="583">
        <f t="shared" si="10"/>
        <v>0</v>
      </c>
      <c r="AN288" s="583">
        <f t="shared" si="10"/>
        <v>673966403.62</v>
      </c>
      <c r="AO288" s="583">
        <f t="shared" si="10"/>
        <v>22288849.310000002</v>
      </c>
      <c r="AP288" s="583">
        <f t="shared" si="10"/>
        <v>0</v>
      </c>
      <c r="AQ288" s="583">
        <f t="shared" si="10"/>
        <v>1230695</v>
      </c>
      <c r="AR288" s="583">
        <f t="shared" si="10"/>
        <v>183175113.17000002</v>
      </c>
      <c r="AS288" s="583">
        <f t="shared" si="10"/>
        <v>568011666.97000003</v>
      </c>
      <c r="AT288" s="583">
        <f t="shared" si="10"/>
        <v>0</v>
      </c>
      <c r="AU288" s="583">
        <f t="shared" si="10"/>
        <v>97613167.620000005</v>
      </c>
      <c r="AV288" s="583">
        <f t="shared" si="10"/>
        <v>11914253.48</v>
      </c>
      <c r="AW288" s="583">
        <f t="shared" si="10"/>
        <v>1080590086.3999999</v>
      </c>
      <c r="AX288" s="583">
        <f t="shared" si="10"/>
        <v>50952501.18</v>
      </c>
      <c r="AY288" s="583">
        <f t="shared" si="10"/>
        <v>78848012.5</v>
      </c>
      <c r="AZ288" s="583">
        <f t="shared" si="10"/>
        <v>239067288.38999999</v>
      </c>
      <c r="BA288" s="583">
        <f t="shared" si="10"/>
        <v>61439283.129999995</v>
      </c>
      <c r="BB288" s="583">
        <f t="shared" si="10"/>
        <v>0</v>
      </c>
      <c r="BC288" s="583">
        <f t="shared" si="10"/>
        <v>867984</v>
      </c>
      <c r="BD288" s="583">
        <f t="shared" si="10"/>
        <v>6849805.2199999997</v>
      </c>
      <c r="BE288" s="583">
        <f t="shared" si="10"/>
        <v>334943138.23000002</v>
      </c>
      <c r="BF288" s="583">
        <f t="shared" si="10"/>
        <v>4985138.54</v>
      </c>
      <c r="BG288" s="583">
        <f t="shared" si="10"/>
        <v>22924818.699999999</v>
      </c>
      <c r="BH288" s="583">
        <f t="shared" si="10"/>
        <v>13090174.32</v>
      </c>
      <c r="BI288" s="583">
        <f t="shared" si="10"/>
        <v>2455310.9899999998</v>
      </c>
      <c r="BJ288" s="583">
        <f t="shared" si="10"/>
        <v>20439621.18</v>
      </c>
      <c r="BK288" s="583">
        <f t="shared" si="10"/>
        <v>3371161.8200000003</v>
      </c>
      <c r="BL288" s="583">
        <f t="shared" si="10"/>
        <v>142039064.97999999</v>
      </c>
      <c r="BM288" s="583">
        <f t="shared" si="10"/>
        <v>58437875.349999987</v>
      </c>
      <c r="BN288" s="583">
        <f t="shared" si="10"/>
        <v>68338116.599999994</v>
      </c>
      <c r="BO288" s="583">
        <f t="shared" si="10"/>
        <v>98821804.319999993</v>
      </c>
      <c r="BP288" s="583">
        <f t="shared" si="10"/>
        <v>39418015</v>
      </c>
      <c r="BQ288" s="583">
        <f t="shared" si="10"/>
        <v>45129822.68</v>
      </c>
      <c r="BR288" s="583">
        <f t="shared" ref="BR288:CE288" si="11">BR286-BR287</f>
        <v>276640464.86000001</v>
      </c>
      <c r="BS288" s="583">
        <f t="shared" si="11"/>
        <v>67703046.230000019</v>
      </c>
      <c r="BT288" s="583">
        <f t="shared" si="11"/>
        <v>452798978.38999999</v>
      </c>
      <c r="BU288" s="583">
        <f t="shared" si="11"/>
        <v>52217702.880000003</v>
      </c>
      <c r="BV288" s="583">
        <f t="shared" si="11"/>
        <v>178819324.18000001</v>
      </c>
      <c r="BW288" s="583">
        <f t="shared" si="11"/>
        <v>22991721.219999999</v>
      </c>
      <c r="BX288" s="583">
        <f t="shared" si="11"/>
        <v>111247750.09999999</v>
      </c>
      <c r="BY288" s="583">
        <f t="shared" si="11"/>
        <v>36515829.520000003</v>
      </c>
      <c r="BZ288" s="583">
        <f t="shared" si="11"/>
        <v>5969542.5099999998</v>
      </c>
      <c r="CA288" s="583">
        <f t="shared" si="11"/>
        <v>0</v>
      </c>
      <c r="CB288" s="583">
        <f t="shared" si="11"/>
        <v>20821453.690000001</v>
      </c>
      <c r="CC288" s="583">
        <f t="shared" si="11"/>
        <v>38909309.899999999</v>
      </c>
      <c r="CD288" s="583">
        <f t="shared" si="11"/>
        <v>0</v>
      </c>
      <c r="CE288" s="583">
        <f t="shared" si="11"/>
        <v>6435124.5300000003</v>
      </c>
    </row>
    <row r="289" spans="1:83" x14ac:dyDescent="0.25">
      <c r="A289" s="537"/>
      <c r="B289" s="537"/>
      <c r="C289" s="537"/>
      <c r="D289" s="537"/>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4"/>
      <c r="AL289" s="584"/>
      <c r="AM289" s="584"/>
      <c r="AN289" s="584"/>
      <c r="AO289" s="537"/>
      <c r="AP289" s="584"/>
      <c r="AQ289" s="584"/>
      <c r="AR289" s="584"/>
      <c r="AS289" s="584"/>
      <c r="AT289" s="584"/>
      <c r="AU289" s="584"/>
      <c r="AV289" s="584"/>
      <c r="AW289" s="584"/>
      <c r="AX289" s="584"/>
      <c r="AY289" s="584"/>
      <c r="AZ289" s="584"/>
      <c r="BA289" s="584"/>
      <c r="BB289" s="584"/>
      <c r="BC289" s="584"/>
      <c r="BD289" s="584"/>
      <c r="BE289" s="584"/>
      <c r="BF289" s="584"/>
      <c r="BG289" s="584"/>
      <c r="BH289" s="584"/>
      <c r="BI289" s="584"/>
      <c r="BJ289" s="584"/>
      <c r="BK289" s="584"/>
      <c r="BL289" s="584"/>
      <c r="BM289" s="584"/>
      <c r="BN289" s="584"/>
      <c r="BO289" s="584"/>
      <c r="BP289" s="584"/>
      <c r="BQ289" s="584"/>
      <c r="BR289" s="584"/>
      <c r="BS289" s="584"/>
      <c r="BT289" s="584"/>
      <c r="BU289" s="584"/>
      <c r="BV289" s="584"/>
      <c r="BW289" s="584"/>
      <c r="BX289" s="584"/>
      <c r="BY289" s="584"/>
      <c r="BZ289" s="584"/>
      <c r="CA289" s="584"/>
      <c r="CB289" s="584"/>
      <c r="CC289" s="584"/>
      <c r="CD289" s="584"/>
      <c r="CE289" s="584"/>
    </row>
    <row r="290" spans="1:83" x14ac:dyDescent="0.25">
      <c r="A290" s="537"/>
      <c r="B290" s="537"/>
      <c r="C290" s="537"/>
      <c r="D290" s="537"/>
      <c r="E290" s="626">
        <f>E226</f>
        <v>0</v>
      </c>
      <c r="F290" s="626">
        <f t="shared" ref="F290:BQ290" si="12">F226</f>
        <v>0</v>
      </c>
      <c r="G290" s="626">
        <f t="shared" si="12"/>
        <v>0</v>
      </c>
      <c r="H290" s="626">
        <f t="shared" si="12"/>
        <v>0</v>
      </c>
      <c r="I290" s="626">
        <f t="shared" si="12"/>
        <v>0</v>
      </c>
      <c r="J290" s="626">
        <f t="shared" si="12"/>
        <v>0</v>
      </c>
      <c r="K290" s="626">
        <f t="shared" si="12"/>
        <v>0</v>
      </c>
      <c r="L290" s="626">
        <f t="shared" si="12"/>
        <v>0</v>
      </c>
      <c r="M290" s="626">
        <f t="shared" si="12"/>
        <v>0</v>
      </c>
      <c r="N290" s="626">
        <f t="shared" si="12"/>
        <v>0</v>
      </c>
      <c r="O290" s="626">
        <f t="shared" si="12"/>
        <v>0</v>
      </c>
      <c r="P290" s="626">
        <f t="shared" si="12"/>
        <v>0</v>
      </c>
      <c r="Q290" s="626">
        <f t="shared" si="12"/>
        <v>0</v>
      </c>
      <c r="R290" s="626">
        <f t="shared" si="12"/>
        <v>130352</v>
      </c>
      <c r="S290" s="626">
        <f t="shared" si="12"/>
        <v>0</v>
      </c>
      <c r="T290" s="626">
        <f t="shared" si="12"/>
        <v>0</v>
      </c>
      <c r="U290" s="626">
        <f t="shared" si="12"/>
        <v>0</v>
      </c>
      <c r="V290" s="626">
        <f t="shared" si="12"/>
        <v>0</v>
      </c>
      <c r="W290" s="626">
        <f t="shared" si="12"/>
        <v>0</v>
      </c>
      <c r="X290" s="626">
        <f t="shared" si="12"/>
        <v>0</v>
      </c>
      <c r="Y290" s="626">
        <f t="shared" si="12"/>
        <v>0</v>
      </c>
      <c r="Z290" s="626">
        <f t="shared" si="12"/>
        <v>106827</v>
      </c>
      <c r="AA290" s="626">
        <f t="shared" si="12"/>
        <v>0</v>
      </c>
      <c r="AB290" s="626">
        <f t="shared" si="12"/>
        <v>0</v>
      </c>
      <c r="AC290" s="626">
        <f t="shared" si="12"/>
        <v>0</v>
      </c>
      <c r="AD290" s="626">
        <f t="shared" si="12"/>
        <v>0</v>
      </c>
      <c r="AE290" s="626">
        <f t="shared" si="12"/>
        <v>31766</v>
      </c>
      <c r="AF290" s="626">
        <f t="shared" si="12"/>
        <v>10290</v>
      </c>
      <c r="AG290" s="626">
        <f t="shared" si="12"/>
        <v>0</v>
      </c>
      <c r="AH290" s="626">
        <f t="shared" si="12"/>
        <v>33481</v>
      </c>
      <c r="AI290" s="626">
        <f t="shared" si="12"/>
        <v>0</v>
      </c>
      <c r="AJ290" s="626">
        <f t="shared" si="12"/>
        <v>1076075</v>
      </c>
      <c r="AK290" s="626">
        <f t="shared" si="12"/>
        <v>0</v>
      </c>
      <c r="AL290" s="626">
        <f t="shared" si="12"/>
        <v>0</v>
      </c>
      <c r="AM290" s="626">
        <f t="shared" si="12"/>
        <v>0</v>
      </c>
      <c r="AN290" s="626">
        <f t="shared" si="12"/>
        <v>331101</v>
      </c>
      <c r="AO290" s="626">
        <f t="shared" si="12"/>
        <v>0</v>
      </c>
      <c r="AP290" s="626">
        <f t="shared" si="12"/>
        <v>0</v>
      </c>
      <c r="AQ290" s="626">
        <f t="shared" si="12"/>
        <v>0</v>
      </c>
      <c r="AR290" s="626">
        <f t="shared" si="12"/>
        <v>0</v>
      </c>
      <c r="AS290" s="626">
        <f t="shared" si="12"/>
        <v>7570</v>
      </c>
      <c r="AT290" s="626">
        <f t="shared" si="12"/>
        <v>0</v>
      </c>
      <c r="AU290" s="626">
        <f t="shared" si="12"/>
        <v>0</v>
      </c>
      <c r="AV290" s="626">
        <f t="shared" si="12"/>
        <v>8170</v>
      </c>
      <c r="AW290" s="626">
        <f t="shared" si="12"/>
        <v>0</v>
      </c>
      <c r="AX290" s="626">
        <f t="shared" si="12"/>
        <v>0</v>
      </c>
      <c r="AY290" s="626">
        <f t="shared" si="12"/>
        <v>0</v>
      </c>
      <c r="AZ290" s="626">
        <f t="shared" si="12"/>
        <v>0</v>
      </c>
      <c r="BA290" s="626">
        <f t="shared" si="12"/>
        <v>0</v>
      </c>
      <c r="BB290" s="626">
        <f t="shared" si="12"/>
        <v>0</v>
      </c>
      <c r="BC290" s="626">
        <f t="shared" si="12"/>
        <v>0</v>
      </c>
      <c r="BD290" s="626">
        <f t="shared" si="12"/>
        <v>0</v>
      </c>
      <c r="BE290" s="626">
        <f t="shared" si="12"/>
        <v>0</v>
      </c>
      <c r="BF290" s="626">
        <f t="shared" si="12"/>
        <v>0</v>
      </c>
      <c r="BG290" s="626">
        <f t="shared" si="12"/>
        <v>0</v>
      </c>
      <c r="BH290" s="626">
        <f t="shared" si="12"/>
        <v>13361</v>
      </c>
      <c r="BI290" s="626">
        <f t="shared" si="12"/>
        <v>0</v>
      </c>
      <c r="BJ290" s="626">
        <f t="shared" si="12"/>
        <v>0</v>
      </c>
      <c r="BK290" s="626">
        <f t="shared" si="12"/>
        <v>0</v>
      </c>
      <c r="BL290" s="626">
        <f t="shared" si="12"/>
        <v>0</v>
      </c>
      <c r="BM290" s="626">
        <f t="shared" si="12"/>
        <v>0</v>
      </c>
      <c r="BN290" s="626">
        <f t="shared" si="12"/>
        <v>3268</v>
      </c>
      <c r="BO290" s="626">
        <f t="shared" si="12"/>
        <v>0</v>
      </c>
      <c r="BP290" s="626">
        <f t="shared" si="12"/>
        <v>0</v>
      </c>
      <c r="BQ290" s="626">
        <f t="shared" si="12"/>
        <v>0</v>
      </c>
      <c r="BR290" s="626">
        <f t="shared" ref="BR290:CE290" si="13">BR226</f>
        <v>0</v>
      </c>
      <c r="BS290" s="626">
        <f t="shared" si="13"/>
        <v>32063</v>
      </c>
      <c r="BT290" s="626">
        <f t="shared" si="13"/>
        <v>0</v>
      </c>
      <c r="BU290" s="626">
        <f t="shared" si="13"/>
        <v>0</v>
      </c>
      <c r="BV290" s="626">
        <f t="shared" si="13"/>
        <v>0</v>
      </c>
      <c r="BW290" s="626">
        <f t="shared" si="13"/>
        <v>0</v>
      </c>
      <c r="BX290" s="626">
        <f t="shared" si="13"/>
        <v>0</v>
      </c>
      <c r="BY290" s="626">
        <f t="shared" si="13"/>
        <v>0</v>
      </c>
      <c r="BZ290" s="626">
        <f t="shared" si="13"/>
        <v>0</v>
      </c>
      <c r="CA290" s="626">
        <f t="shared" si="13"/>
        <v>0</v>
      </c>
      <c r="CB290" s="626">
        <f t="shared" si="13"/>
        <v>0</v>
      </c>
      <c r="CC290" s="626">
        <f t="shared" si="13"/>
        <v>0</v>
      </c>
      <c r="CD290" s="626">
        <f t="shared" si="13"/>
        <v>0</v>
      </c>
      <c r="CE290" s="626">
        <f t="shared" si="13"/>
        <v>0</v>
      </c>
    </row>
    <row r="291" spans="1:83" x14ac:dyDescent="0.25">
      <c r="A291" s="537"/>
      <c r="B291" s="537"/>
      <c r="C291" s="537"/>
      <c r="D291" s="537"/>
      <c r="E291" s="537">
        <v>0</v>
      </c>
      <c r="F291" s="537">
        <v>0</v>
      </c>
      <c r="G291" s="537">
        <v>0</v>
      </c>
      <c r="H291" s="537">
        <v>0</v>
      </c>
      <c r="I291" s="537">
        <v>0</v>
      </c>
      <c r="J291" s="537">
        <v>0</v>
      </c>
      <c r="K291" s="537">
        <v>0</v>
      </c>
      <c r="L291" s="537">
        <v>0</v>
      </c>
      <c r="M291" s="537">
        <v>0</v>
      </c>
      <c r="N291" s="537">
        <v>0</v>
      </c>
      <c r="O291" s="537">
        <v>0</v>
      </c>
      <c r="P291" s="537">
        <v>0</v>
      </c>
      <c r="Q291" s="537">
        <v>0</v>
      </c>
      <c r="R291" s="537">
        <v>130352</v>
      </c>
      <c r="S291" s="537">
        <v>0</v>
      </c>
      <c r="T291" s="537">
        <v>0</v>
      </c>
      <c r="U291" s="537">
        <v>0</v>
      </c>
      <c r="V291" s="537">
        <v>0</v>
      </c>
      <c r="W291" s="537">
        <v>0</v>
      </c>
      <c r="X291" s="537">
        <v>0</v>
      </c>
      <c r="Y291" s="537">
        <v>0</v>
      </c>
      <c r="Z291" s="537">
        <v>106827</v>
      </c>
      <c r="AA291" s="537">
        <v>0</v>
      </c>
      <c r="AB291" s="537">
        <v>0</v>
      </c>
      <c r="AC291" s="537">
        <v>0</v>
      </c>
      <c r="AD291" s="537">
        <v>0</v>
      </c>
      <c r="AE291" s="537">
        <v>31766</v>
      </c>
      <c r="AF291" s="537">
        <v>10290</v>
      </c>
      <c r="AG291" s="537">
        <v>0</v>
      </c>
      <c r="AH291" s="537">
        <v>33481</v>
      </c>
      <c r="AI291" s="537">
        <v>0</v>
      </c>
      <c r="AJ291" s="537">
        <v>1076075</v>
      </c>
      <c r="AK291" s="537">
        <v>0</v>
      </c>
      <c r="AL291" s="537">
        <v>0</v>
      </c>
      <c r="AM291" s="537">
        <v>0</v>
      </c>
      <c r="AN291" s="537">
        <v>331101</v>
      </c>
      <c r="AO291" s="537">
        <v>0</v>
      </c>
      <c r="AP291" s="537">
        <v>0</v>
      </c>
      <c r="AQ291" s="537">
        <v>0</v>
      </c>
      <c r="AR291" s="537">
        <v>0</v>
      </c>
      <c r="AS291" s="537">
        <v>7570</v>
      </c>
      <c r="AT291" s="537">
        <v>0</v>
      </c>
      <c r="AU291" s="537">
        <v>0</v>
      </c>
      <c r="AV291" s="537">
        <v>8170</v>
      </c>
      <c r="AW291" s="537">
        <v>0</v>
      </c>
      <c r="AX291" s="537">
        <v>0</v>
      </c>
      <c r="AY291" s="537">
        <v>0</v>
      </c>
      <c r="AZ291" s="537">
        <v>0</v>
      </c>
      <c r="BA291" s="537">
        <v>0</v>
      </c>
      <c r="BB291" s="537">
        <v>0</v>
      </c>
      <c r="BC291" s="537">
        <v>0</v>
      </c>
      <c r="BD291" s="537">
        <v>0</v>
      </c>
      <c r="BE291" s="537">
        <v>0</v>
      </c>
      <c r="BF291" s="537">
        <v>0</v>
      </c>
      <c r="BG291" s="537">
        <v>0</v>
      </c>
      <c r="BH291" s="537">
        <v>13361</v>
      </c>
      <c r="BI291" s="537">
        <v>0</v>
      </c>
      <c r="BJ291" s="537">
        <v>0</v>
      </c>
      <c r="BK291" s="537">
        <v>0</v>
      </c>
      <c r="BL291" s="537">
        <v>0</v>
      </c>
      <c r="BM291" s="537">
        <v>0</v>
      </c>
      <c r="BN291" s="537">
        <v>3268</v>
      </c>
      <c r="BO291" s="537">
        <v>0</v>
      </c>
      <c r="BP291" s="537">
        <v>0</v>
      </c>
      <c r="BQ291" s="537">
        <v>0</v>
      </c>
      <c r="BR291" s="537">
        <v>0</v>
      </c>
      <c r="BS291" s="537">
        <v>32063</v>
      </c>
      <c r="BT291" s="537">
        <v>0</v>
      </c>
      <c r="BU291" s="537">
        <v>0</v>
      </c>
      <c r="BV291" s="537">
        <v>0</v>
      </c>
      <c r="BW291" s="537">
        <v>0</v>
      </c>
      <c r="BX291" s="537">
        <v>0</v>
      </c>
      <c r="BY291" s="537">
        <v>0</v>
      </c>
      <c r="BZ291" s="537">
        <v>0</v>
      </c>
      <c r="CA291" s="537">
        <v>0</v>
      </c>
      <c r="CB291" s="537">
        <v>0</v>
      </c>
      <c r="CC291" s="537">
        <v>0</v>
      </c>
      <c r="CD291" s="537">
        <v>0</v>
      </c>
      <c r="CE291" s="537">
        <v>0</v>
      </c>
    </row>
    <row r="292" spans="1:83" x14ac:dyDescent="0.25">
      <c r="E292">
        <v>0</v>
      </c>
      <c r="F292">
        <v>0</v>
      </c>
      <c r="G292">
        <v>0</v>
      </c>
      <c r="H292">
        <v>0</v>
      </c>
      <c r="I292">
        <v>0</v>
      </c>
      <c r="J292">
        <v>0</v>
      </c>
      <c r="K292">
        <v>0</v>
      </c>
      <c r="L292">
        <v>0</v>
      </c>
      <c r="M292">
        <v>0</v>
      </c>
      <c r="N292">
        <v>0</v>
      </c>
      <c r="O292">
        <v>0</v>
      </c>
      <c r="P292">
        <v>0</v>
      </c>
      <c r="Q292">
        <v>0</v>
      </c>
      <c r="R292">
        <v>130352</v>
      </c>
      <c r="S292">
        <v>0</v>
      </c>
      <c r="T292">
        <v>0</v>
      </c>
      <c r="U292">
        <v>0</v>
      </c>
      <c r="V292">
        <v>0</v>
      </c>
      <c r="W292">
        <v>0</v>
      </c>
      <c r="X292">
        <v>0</v>
      </c>
      <c r="Y292">
        <v>0</v>
      </c>
      <c r="Z292">
        <v>106827</v>
      </c>
      <c r="AA292">
        <v>0</v>
      </c>
      <c r="AB292">
        <v>0</v>
      </c>
      <c r="AC292">
        <v>0</v>
      </c>
      <c r="AD292">
        <v>0</v>
      </c>
      <c r="AE292">
        <v>31766</v>
      </c>
      <c r="AF292">
        <v>10290</v>
      </c>
      <c r="AG292">
        <v>0</v>
      </c>
      <c r="AH292">
        <v>33481</v>
      </c>
      <c r="AI292">
        <v>0</v>
      </c>
      <c r="AJ292">
        <v>1076075</v>
      </c>
      <c r="AK292">
        <v>0</v>
      </c>
      <c r="AL292">
        <v>0</v>
      </c>
      <c r="AM292">
        <v>0</v>
      </c>
      <c r="AN292">
        <v>331101</v>
      </c>
      <c r="AO292">
        <v>0</v>
      </c>
      <c r="AP292">
        <v>0</v>
      </c>
      <c r="AQ292">
        <v>0</v>
      </c>
      <c r="AR292">
        <v>0</v>
      </c>
      <c r="AS292">
        <v>7570</v>
      </c>
      <c r="AT292">
        <v>0</v>
      </c>
      <c r="AU292">
        <v>0</v>
      </c>
      <c r="AV292">
        <v>8170</v>
      </c>
      <c r="AW292">
        <v>0</v>
      </c>
      <c r="AX292">
        <v>0</v>
      </c>
      <c r="AY292">
        <v>0</v>
      </c>
      <c r="AZ292">
        <v>0</v>
      </c>
      <c r="BA292">
        <v>0</v>
      </c>
      <c r="BB292">
        <v>0</v>
      </c>
      <c r="BC292">
        <v>0</v>
      </c>
      <c r="BD292">
        <v>0</v>
      </c>
      <c r="BE292">
        <v>0</v>
      </c>
      <c r="BF292">
        <v>0</v>
      </c>
      <c r="BG292">
        <v>0</v>
      </c>
      <c r="BH292">
        <v>13361</v>
      </c>
      <c r="BI292">
        <v>0</v>
      </c>
      <c r="BJ292">
        <v>0</v>
      </c>
      <c r="BK292">
        <v>0</v>
      </c>
      <c r="BL292">
        <v>0</v>
      </c>
      <c r="BM292">
        <v>0</v>
      </c>
      <c r="BN292">
        <v>3268</v>
      </c>
      <c r="BO292">
        <v>0</v>
      </c>
      <c r="BP292">
        <v>0</v>
      </c>
      <c r="BQ292">
        <v>0</v>
      </c>
      <c r="BR292">
        <v>0</v>
      </c>
      <c r="BS292">
        <v>32063</v>
      </c>
      <c r="BT292">
        <v>0</v>
      </c>
      <c r="BU292">
        <v>0</v>
      </c>
      <c r="BV292">
        <v>0</v>
      </c>
      <c r="BW292">
        <v>0</v>
      </c>
      <c r="BX292">
        <v>0</v>
      </c>
      <c r="BY292">
        <v>0</v>
      </c>
      <c r="BZ292">
        <v>0</v>
      </c>
      <c r="CA292">
        <v>0</v>
      </c>
      <c r="CB292">
        <v>0</v>
      </c>
      <c r="CC292">
        <v>0</v>
      </c>
      <c r="CD292">
        <v>0</v>
      </c>
      <c r="CE292">
        <v>0</v>
      </c>
    </row>
    <row r="294" spans="1:83" x14ac:dyDescent="0.25">
      <c r="E294" s="662">
        <f>E288-E290-E291-E292</f>
        <v>11746680</v>
      </c>
      <c r="F294" s="662">
        <f t="shared" ref="F294:BQ294" si="14">F288-F290-F291-F292</f>
        <v>2106510.2199999997</v>
      </c>
      <c r="G294" s="662">
        <f t="shared" si="14"/>
        <v>37823456.859999999</v>
      </c>
      <c r="H294" s="662">
        <f t="shared" si="14"/>
        <v>45312923.719999999</v>
      </c>
      <c r="I294" s="662">
        <f t="shared" si="14"/>
        <v>42514106.920000002</v>
      </c>
      <c r="J294" s="662">
        <f t="shared" si="14"/>
        <v>61216948.310000002</v>
      </c>
      <c r="K294" s="662">
        <f t="shared" si="14"/>
        <v>12328772.51</v>
      </c>
      <c r="L294" s="662">
        <f t="shared" si="14"/>
        <v>11576375.609999999</v>
      </c>
      <c r="M294" s="662">
        <f t="shared" si="14"/>
        <v>8093924.1399999997</v>
      </c>
      <c r="N294" s="662">
        <f t="shared" si="14"/>
        <v>370234773.05000001</v>
      </c>
      <c r="O294" s="662">
        <f t="shared" si="14"/>
        <v>8300799.4800000004</v>
      </c>
      <c r="P294" s="662">
        <f t="shared" si="14"/>
        <v>197979900.75</v>
      </c>
      <c r="Q294" s="662">
        <f t="shared" si="14"/>
        <v>2559874.0700000003</v>
      </c>
      <c r="R294" s="662">
        <f t="shared" si="14"/>
        <v>2677863824.1500006</v>
      </c>
      <c r="S294" s="662">
        <f t="shared" si="14"/>
        <v>48012064</v>
      </c>
      <c r="T294" s="662">
        <f t="shared" si="14"/>
        <v>2133616</v>
      </c>
      <c r="U294" s="662">
        <f t="shared" si="14"/>
        <v>2552532538.4899998</v>
      </c>
      <c r="V294" s="662">
        <f t="shared" si="14"/>
        <v>645792357.41999996</v>
      </c>
      <c r="W294" s="662">
        <f t="shared" si="14"/>
        <v>1243762017.3199999</v>
      </c>
      <c r="X294" s="662">
        <f t="shared" si="14"/>
        <v>935007353.87</v>
      </c>
      <c r="Y294" s="662">
        <f t="shared" si="14"/>
        <v>0</v>
      </c>
      <c r="Z294" s="662">
        <f t="shared" si="14"/>
        <v>570643118.75999999</v>
      </c>
      <c r="AA294" s="662">
        <f t="shared" si="14"/>
        <v>82807377.890000001</v>
      </c>
      <c r="AB294" s="662">
        <f t="shared" si="14"/>
        <v>494846604.30000001</v>
      </c>
      <c r="AC294" s="662">
        <f t="shared" si="14"/>
        <v>183990113.15000001</v>
      </c>
      <c r="AD294" s="662">
        <f t="shared" si="14"/>
        <v>61577583.57</v>
      </c>
      <c r="AE294" s="662">
        <f t="shared" si="14"/>
        <v>72183720.319999993</v>
      </c>
      <c r="AF294" s="662">
        <f t="shared" si="14"/>
        <v>125311979.06</v>
      </c>
      <c r="AG294" s="662">
        <f t="shared" si="14"/>
        <v>434539578.99000001</v>
      </c>
      <c r="AH294" s="662">
        <f t="shared" si="14"/>
        <v>165147676.96000001</v>
      </c>
      <c r="AI294" s="662">
        <f t="shared" si="14"/>
        <v>40206811.049999997</v>
      </c>
      <c r="AJ294" s="662">
        <f t="shared" si="14"/>
        <v>1959229131.72</v>
      </c>
      <c r="AK294" s="662">
        <f t="shared" si="14"/>
        <v>46827585.18</v>
      </c>
      <c r="AL294" s="662">
        <f t="shared" si="14"/>
        <v>45607123.530000001</v>
      </c>
      <c r="AM294" s="662">
        <f t="shared" si="14"/>
        <v>0</v>
      </c>
      <c r="AN294" s="662">
        <f t="shared" si="14"/>
        <v>672973100.62</v>
      </c>
      <c r="AO294" s="662">
        <f t="shared" si="14"/>
        <v>22288849.310000002</v>
      </c>
      <c r="AP294" s="662">
        <f t="shared" si="14"/>
        <v>0</v>
      </c>
      <c r="AQ294" s="662">
        <f t="shared" si="14"/>
        <v>1230695</v>
      </c>
      <c r="AR294" s="662">
        <f t="shared" si="14"/>
        <v>183175113.17000002</v>
      </c>
      <c r="AS294" s="662">
        <f t="shared" si="14"/>
        <v>567988956.97000003</v>
      </c>
      <c r="AT294" s="662">
        <f t="shared" si="14"/>
        <v>0</v>
      </c>
      <c r="AU294" s="662">
        <f t="shared" si="14"/>
        <v>97613167.620000005</v>
      </c>
      <c r="AV294" s="662">
        <f t="shared" si="14"/>
        <v>11889743.48</v>
      </c>
      <c r="AW294" s="662">
        <f t="shared" si="14"/>
        <v>1080590086.3999999</v>
      </c>
      <c r="AX294" s="662">
        <f t="shared" si="14"/>
        <v>50952501.18</v>
      </c>
      <c r="AY294" s="662">
        <f t="shared" si="14"/>
        <v>78848012.5</v>
      </c>
      <c r="AZ294" s="662">
        <f t="shared" si="14"/>
        <v>239067288.38999999</v>
      </c>
      <c r="BA294" s="662">
        <f t="shared" si="14"/>
        <v>61439283.129999995</v>
      </c>
      <c r="BB294" s="662">
        <f t="shared" si="14"/>
        <v>0</v>
      </c>
      <c r="BC294" s="662">
        <f t="shared" si="14"/>
        <v>867984</v>
      </c>
      <c r="BD294" s="662">
        <f t="shared" si="14"/>
        <v>6849805.2199999997</v>
      </c>
      <c r="BE294" s="662">
        <f t="shared" si="14"/>
        <v>334943138.23000002</v>
      </c>
      <c r="BF294" s="662">
        <f t="shared" si="14"/>
        <v>4985138.54</v>
      </c>
      <c r="BG294" s="662">
        <f t="shared" si="14"/>
        <v>22924818.699999999</v>
      </c>
      <c r="BH294" s="662">
        <f t="shared" si="14"/>
        <v>13050091.32</v>
      </c>
      <c r="BI294" s="662">
        <f t="shared" si="14"/>
        <v>2455310.9899999998</v>
      </c>
      <c r="BJ294" s="662">
        <f t="shared" si="14"/>
        <v>20439621.18</v>
      </c>
      <c r="BK294" s="662">
        <f t="shared" si="14"/>
        <v>3371161.8200000003</v>
      </c>
      <c r="BL294" s="662">
        <f t="shared" si="14"/>
        <v>142039064.97999999</v>
      </c>
      <c r="BM294" s="662">
        <f t="shared" si="14"/>
        <v>58437875.349999987</v>
      </c>
      <c r="BN294" s="662">
        <f t="shared" si="14"/>
        <v>68328312.599999994</v>
      </c>
      <c r="BO294" s="662">
        <f t="shared" si="14"/>
        <v>98821804.319999993</v>
      </c>
      <c r="BP294" s="662">
        <f t="shared" si="14"/>
        <v>39418015</v>
      </c>
      <c r="BQ294" s="662">
        <f t="shared" si="14"/>
        <v>45129822.68</v>
      </c>
      <c r="BR294" s="662">
        <f t="shared" ref="BR294:CE294" si="15">BR288-BR290-BR291-BR292</f>
        <v>276640464.86000001</v>
      </c>
      <c r="BS294" s="662">
        <f t="shared" si="15"/>
        <v>67606857.230000019</v>
      </c>
      <c r="BT294" s="662">
        <f t="shared" si="15"/>
        <v>452798978.38999999</v>
      </c>
      <c r="BU294" s="662">
        <f t="shared" si="15"/>
        <v>52217702.880000003</v>
      </c>
      <c r="BV294" s="662">
        <f t="shared" si="15"/>
        <v>178819324.18000001</v>
      </c>
      <c r="BW294" s="662">
        <f t="shared" si="15"/>
        <v>22991721.219999999</v>
      </c>
      <c r="BX294" s="662">
        <f t="shared" si="15"/>
        <v>111247750.09999999</v>
      </c>
      <c r="BY294" s="662">
        <f t="shared" si="15"/>
        <v>36515829.520000003</v>
      </c>
      <c r="BZ294" s="662">
        <f t="shared" si="15"/>
        <v>5969542.5099999998</v>
      </c>
      <c r="CA294" s="662">
        <f t="shared" si="15"/>
        <v>0</v>
      </c>
      <c r="CB294" s="662">
        <f t="shared" si="15"/>
        <v>20821453.690000001</v>
      </c>
      <c r="CC294" s="662">
        <f t="shared" si="15"/>
        <v>38909309.899999999</v>
      </c>
      <c r="CD294" s="662">
        <f t="shared" si="15"/>
        <v>0</v>
      </c>
      <c r="CE294" s="662">
        <f t="shared" si="15"/>
        <v>6435124.5300000003</v>
      </c>
    </row>
    <row r="297" spans="1:83" x14ac:dyDescent="0.25">
      <c r="R297" s="663"/>
    </row>
    <row r="299" spans="1:83" x14ac:dyDescent="0.25">
      <c r="R299" s="662"/>
    </row>
    <row r="308" spans="1:1" x14ac:dyDescent="0.25">
      <c r="A308" s="537"/>
    </row>
    <row r="309" spans="1:1" x14ac:dyDescent="0.25">
      <c r="A309" s="537"/>
    </row>
    <row r="310" spans="1:1" x14ac:dyDescent="0.25">
      <c r="A310" s="537"/>
    </row>
    <row r="311" spans="1:1" x14ac:dyDescent="0.25">
      <c r="A311" s="537"/>
    </row>
    <row r="312" spans="1:1" x14ac:dyDescent="0.25">
      <c r="A312" s="537"/>
    </row>
    <row r="313" spans="1:1" x14ac:dyDescent="0.25">
      <c r="A313" s="537"/>
    </row>
    <row r="314" spans="1:1" x14ac:dyDescent="0.25">
      <c r="A314" s="537">
        <v>995</v>
      </c>
    </row>
    <row r="315" spans="1:1" x14ac:dyDescent="0.25">
      <c r="A315" s="537">
        <v>996</v>
      </c>
    </row>
    <row r="316" spans="1:1" x14ac:dyDescent="0.25">
      <c r="A316" s="537">
        <v>998</v>
      </c>
    </row>
    <row r="317" spans="1:1" x14ac:dyDescent="0.25">
      <c r="A317" s="537">
        <v>999</v>
      </c>
    </row>
    <row r="318" spans="1:1" x14ac:dyDescent="0.25">
      <c r="A318" s="640">
        <v>536</v>
      </c>
    </row>
    <row r="319" spans="1:1" x14ac:dyDescent="0.25">
      <c r="A319" s="612">
        <v>537</v>
      </c>
    </row>
    <row r="320" spans="1:1" x14ac:dyDescent="0.25">
      <c r="A320" s="612">
        <v>538</v>
      </c>
    </row>
    <row r="321" spans="1:1" x14ac:dyDescent="0.25">
      <c r="A321" s="612">
        <v>539</v>
      </c>
    </row>
    <row r="322" spans="1:1" x14ac:dyDescent="0.25">
      <c r="A322" s="640">
        <v>540</v>
      </c>
    </row>
    <row r="323" spans="1:1" x14ac:dyDescent="0.25">
      <c r="A323" s="640">
        <v>541</v>
      </c>
    </row>
    <row r="324" spans="1:1" x14ac:dyDescent="0.25">
      <c r="A324" s="640">
        <v>542</v>
      </c>
    </row>
    <row r="325" spans="1:1" x14ac:dyDescent="0.25">
      <c r="A325" s="537"/>
    </row>
    <row r="326" spans="1:1" x14ac:dyDescent="0.25">
      <c r="A326" s="640">
        <v>544</v>
      </c>
    </row>
    <row r="327" spans="1:1" x14ac:dyDescent="0.25">
      <c r="A327" s="640">
        <v>545</v>
      </c>
    </row>
    <row r="328" spans="1:1" x14ac:dyDescent="0.25">
      <c r="A328" s="537"/>
    </row>
    <row r="329" spans="1:1" x14ac:dyDescent="0.25">
      <c r="A329" s="640">
        <v>547</v>
      </c>
    </row>
    <row r="330" spans="1:1" x14ac:dyDescent="0.25">
      <c r="A330" s="535"/>
    </row>
    <row r="331" spans="1:1" x14ac:dyDescent="0.25">
      <c r="A331" s="535"/>
    </row>
    <row r="332" spans="1:1" x14ac:dyDescent="0.25">
      <c r="A332" s="535"/>
    </row>
    <row r="333" spans="1:1" x14ac:dyDescent="0.25">
      <c r="A333" s="535"/>
    </row>
    <row r="334" spans="1:1" x14ac:dyDescent="0.25">
      <c r="A334" s="535"/>
    </row>
    <row r="335" spans="1:1" x14ac:dyDescent="0.25">
      <c r="A335" s="535"/>
    </row>
    <row r="336" spans="1:1" x14ac:dyDescent="0.25">
      <c r="A336" s="535"/>
    </row>
    <row r="337" spans="1:1" x14ac:dyDescent="0.25">
      <c r="A337" s="535"/>
    </row>
    <row r="338" spans="1:1" x14ac:dyDescent="0.25">
      <c r="A338" s="535"/>
    </row>
    <row r="339" spans="1:1" x14ac:dyDescent="0.25">
      <c r="A339" s="535"/>
    </row>
    <row r="340" spans="1:1" x14ac:dyDescent="0.25">
      <c r="A340" s="535"/>
    </row>
    <row r="341" spans="1:1" x14ac:dyDescent="0.25">
      <c r="A341" s="535"/>
    </row>
    <row r="342" spans="1:1" x14ac:dyDescent="0.25">
      <c r="A342" s="535"/>
    </row>
    <row r="343" spans="1:1" x14ac:dyDescent="0.25">
      <c r="A343" s="535"/>
    </row>
    <row r="344" spans="1:1" x14ac:dyDescent="0.25">
      <c r="A344" s="535"/>
    </row>
    <row r="345" spans="1:1" x14ac:dyDescent="0.25">
      <c r="A345" s="535"/>
    </row>
    <row r="346" spans="1:1" x14ac:dyDescent="0.25">
      <c r="A346" s="535"/>
    </row>
    <row r="347" spans="1:1" x14ac:dyDescent="0.25">
      <c r="A347" s="535"/>
    </row>
    <row r="348" spans="1:1" x14ac:dyDescent="0.25">
      <c r="A348" s="535"/>
    </row>
    <row r="349" spans="1:1" x14ac:dyDescent="0.25">
      <c r="A349" s="535"/>
    </row>
    <row r="350" spans="1:1" x14ac:dyDescent="0.25">
      <c r="A350" s="535"/>
    </row>
    <row r="351" spans="1:1" x14ac:dyDescent="0.25">
      <c r="A351" s="535"/>
    </row>
    <row r="352" spans="1:1" x14ac:dyDescent="0.25">
      <c r="A352" s="535"/>
    </row>
    <row r="353" spans="1:1" x14ac:dyDescent="0.25">
      <c r="A353" s="535"/>
    </row>
    <row r="354" spans="1:1" x14ac:dyDescent="0.25">
      <c r="A354" s="535"/>
    </row>
    <row r="355" spans="1:1" x14ac:dyDescent="0.25">
      <c r="A355" s="535"/>
    </row>
    <row r="356" spans="1:1" x14ac:dyDescent="0.25">
      <c r="A356" s="535"/>
    </row>
    <row r="357" spans="1:1" x14ac:dyDescent="0.25">
      <c r="A357" s="535"/>
    </row>
    <row r="358" spans="1:1" x14ac:dyDescent="0.25">
      <c r="A358" s="535"/>
    </row>
    <row r="359" spans="1:1" x14ac:dyDescent="0.25">
      <c r="A359" s="535"/>
    </row>
    <row r="360" spans="1:1" x14ac:dyDescent="0.25">
      <c r="A360" s="535"/>
    </row>
    <row r="361" spans="1:1" x14ac:dyDescent="0.25">
      <c r="A361" s="535"/>
    </row>
    <row r="362" spans="1:1" x14ac:dyDescent="0.25">
      <c r="A362" s="535"/>
    </row>
    <row r="363" spans="1:1" x14ac:dyDescent="0.25">
      <c r="A363" s="535"/>
    </row>
    <row r="364" spans="1:1" x14ac:dyDescent="0.25">
      <c r="A364" s="535"/>
    </row>
    <row r="365" spans="1:1" x14ac:dyDescent="0.25">
      <c r="A365" s="535"/>
    </row>
    <row r="366" spans="1:1" x14ac:dyDescent="0.25">
      <c r="A366" s="535"/>
    </row>
    <row r="367" spans="1:1" x14ac:dyDescent="0.25">
      <c r="A367" s="535"/>
    </row>
    <row r="368" spans="1:1" x14ac:dyDescent="0.25">
      <c r="A368" s="535"/>
    </row>
    <row r="369" spans="1:1" x14ac:dyDescent="0.25">
      <c r="A369" s="535"/>
    </row>
    <row r="370" spans="1:1" x14ac:dyDescent="0.25">
      <c r="A370" s="535"/>
    </row>
    <row r="371" spans="1:1" x14ac:dyDescent="0.25">
      <c r="A371" s="535"/>
    </row>
    <row r="372" spans="1:1" x14ac:dyDescent="0.25">
      <c r="A372" s="535"/>
    </row>
    <row r="373" spans="1:1" x14ac:dyDescent="0.25">
      <c r="A373" s="535"/>
    </row>
    <row r="374" spans="1:1" x14ac:dyDescent="0.25">
      <c r="A374" s="535"/>
    </row>
    <row r="375" spans="1:1" x14ac:dyDescent="0.25">
      <c r="A375" s="535"/>
    </row>
    <row r="376" spans="1:1" x14ac:dyDescent="0.25">
      <c r="A376" s="535"/>
    </row>
    <row r="377" spans="1:1" x14ac:dyDescent="0.25">
      <c r="A377" s="535"/>
    </row>
    <row r="378" spans="1:1" x14ac:dyDescent="0.25">
      <c r="A378" s="535"/>
    </row>
    <row r="379" spans="1:1" x14ac:dyDescent="0.25">
      <c r="A379" s="535"/>
    </row>
    <row r="380" spans="1:1" x14ac:dyDescent="0.25">
      <c r="A380" s="535"/>
    </row>
    <row r="381" spans="1:1" x14ac:dyDescent="0.25">
      <c r="A381" s="535"/>
    </row>
    <row r="382" spans="1:1" x14ac:dyDescent="0.25">
      <c r="A382" s="535"/>
    </row>
    <row r="383" spans="1:1" x14ac:dyDescent="0.25">
      <c r="A383" s="535"/>
    </row>
    <row r="384" spans="1:1" x14ac:dyDescent="0.25">
      <c r="A384" s="535"/>
    </row>
    <row r="385" spans="1:1" x14ac:dyDescent="0.25">
      <c r="A385" s="535"/>
    </row>
    <row r="386" spans="1:1" x14ac:dyDescent="0.25">
      <c r="A386" s="535"/>
    </row>
    <row r="387" spans="1:1" x14ac:dyDescent="0.25">
      <c r="A387" s="535"/>
    </row>
    <row r="388" spans="1:1" x14ac:dyDescent="0.25">
      <c r="A388" s="535"/>
    </row>
    <row r="389" spans="1:1" x14ac:dyDescent="0.25">
      <c r="A389" s="535"/>
    </row>
    <row r="390" spans="1:1" x14ac:dyDescent="0.25">
      <c r="A390" s="535"/>
    </row>
    <row r="391" spans="1:1" x14ac:dyDescent="0.25">
      <c r="A391" s="535"/>
    </row>
    <row r="392" spans="1:1" x14ac:dyDescent="0.25">
      <c r="A392" s="535"/>
    </row>
    <row r="393" spans="1:1" x14ac:dyDescent="0.25">
      <c r="A393" s="535"/>
    </row>
    <row r="394" spans="1:1" x14ac:dyDescent="0.25">
      <c r="A394" s="535"/>
    </row>
    <row r="395" spans="1:1" x14ac:dyDescent="0.25">
      <c r="A395" s="535"/>
    </row>
    <row r="396" spans="1:1" x14ac:dyDescent="0.25">
      <c r="A396" s="535"/>
    </row>
    <row r="397" spans="1:1" x14ac:dyDescent="0.25">
      <c r="A397" s="535"/>
    </row>
    <row r="398" spans="1:1" x14ac:dyDescent="0.25">
      <c r="A398" s="535"/>
    </row>
    <row r="399" spans="1:1" x14ac:dyDescent="0.25">
      <c r="A399" s="535"/>
    </row>
    <row r="400" spans="1:1" x14ac:dyDescent="0.25">
      <c r="A400" s="535"/>
    </row>
    <row r="401" spans="1:1" x14ac:dyDescent="0.25">
      <c r="A401" s="535"/>
    </row>
    <row r="402" spans="1:1" x14ac:dyDescent="0.25">
      <c r="A402" s="535"/>
    </row>
    <row r="403" spans="1:1" x14ac:dyDescent="0.25">
      <c r="A403" s="535"/>
    </row>
    <row r="404" spans="1:1" x14ac:dyDescent="0.25">
      <c r="A404" s="535"/>
    </row>
    <row r="405" spans="1:1" x14ac:dyDescent="0.25">
      <c r="A405" s="535"/>
    </row>
    <row r="406" spans="1:1" x14ac:dyDescent="0.25">
      <c r="A406" s="535"/>
    </row>
    <row r="407" spans="1:1" x14ac:dyDescent="0.25">
      <c r="A407" s="535"/>
    </row>
    <row r="408" spans="1:1" x14ac:dyDescent="0.25">
      <c r="A408" s="535"/>
    </row>
    <row r="409" spans="1:1" x14ac:dyDescent="0.25">
      <c r="A409" s="535"/>
    </row>
    <row r="410" spans="1:1" x14ac:dyDescent="0.25">
      <c r="A410" s="535"/>
    </row>
    <row r="411" spans="1:1" x14ac:dyDescent="0.25">
      <c r="A411" s="535"/>
    </row>
    <row r="412" spans="1:1" x14ac:dyDescent="0.25">
      <c r="A412" s="535"/>
    </row>
    <row r="413" spans="1:1" x14ac:dyDescent="0.25">
      <c r="A413" s="535"/>
    </row>
    <row r="414" spans="1:1" x14ac:dyDescent="0.25">
      <c r="A414" s="535"/>
    </row>
    <row r="415" spans="1:1" x14ac:dyDescent="0.25">
      <c r="A415" s="535"/>
    </row>
    <row r="416" spans="1:1" x14ac:dyDescent="0.25">
      <c r="A416" s="535"/>
    </row>
    <row r="417" spans="1:1" x14ac:dyDescent="0.25">
      <c r="A417" s="535"/>
    </row>
    <row r="418" spans="1:1" x14ac:dyDescent="0.25">
      <c r="A418" s="535"/>
    </row>
    <row r="419" spans="1:1" x14ac:dyDescent="0.25">
      <c r="A419" s="535"/>
    </row>
    <row r="420" spans="1:1" x14ac:dyDescent="0.25">
      <c r="A420" s="535"/>
    </row>
    <row r="421" spans="1:1" x14ac:dyDescent="0.25">
      <c r="A421" s="535"/>
    </row>
    <row r="422" spans="1:1" x14ac:dyDescent="0.25">
      <c r="A422" s="535"/>
    </row>
    <row r="423" spans="1:1" x14ac:dyDescent="0.25">
      <c r="A423" s="535"/>
    </row>
    <row r="424" spans="1:1" x14ac:dyDescent="0.25">
      <c r="A424" s="535"/>
    </row>
    <row r="425" spans="1:1" x14ac:dyDescent="0.25">
      <c r="A425" s="535"/>
    </row>
    <row r="426" spans="1:1" x14ac:dyDescent="0.25">
      <c r="A426" s="535"/>
    </row>
    <row r="427" spans="1:1" x14ac:dyDescent="0.25">
      <c r="A427" s="535"/>
    </row>
    <row r="428" spans="1:1" x14ac:dyDescent="0.25">
      <c r="A428" s="535"/>
    </row>
    <row r="429" spans="1:1" x14ac:dyDescent="0.25">
      <c r="A429" s="535"/>
    </row>
    <row r="430" spans="1:1" x14ac:dyDescent="0.25">
      <c r="A430" s="535"/>
    </row>
    <row r="431" spans="1:1" x14ac:dyDescent="0.25">
      <c r="A431" s="535"/>
    </row>
    <row r="432" spans="1:1" x14ac:dyDescent="0.25">
      <c r="A432" s="535"/>
    </row>
    <row r="433" spans="1:1" x14ac:dyDescent="0.25">
      <c r="A433" s="535"/>
    </row>
    <row r="434" spans="1:1" x14ac:dyDescent="0.25">
      <c r="A434" s="535"/>
    </row>
    <row r="435" spans="1:1" x14ac:dyDescent="0.25">
      <c r="A435" s="535"/>
    </row>
    <row r="436" spans="1:1" x14ac:dyDescent="0.25">
      <c r="A436" s="535"/>
    </row>
    <row r="437" spans="1:1" x14ac:dyDescent="0.25">
      <c r="A437" s="535"/>
    </row>
    <row r="438" spans="1:1" x14ac:dyDescent="0.25">
      <c r="A438" s="535"/>
    </row>
    <row r="439" spans="1:1" x14ac:dyDescent="0.25">
      <c r="A439" s="535"/>
    </row>
    <row r="440" spans="1:1" x14ac:dyDescent="0.25">
      <c r="A440" s="535"/>
    </row>
    <row r="441" spans="1:1" x14ac:dyDescent="0.25">
      <c r="A441" s="535"/>
    </row>
    <row r="442" spans="1:1" x14ac:dyDescent="0.25">
      <c r="A442" s="535"/>
    </row>
    <row r="443" spans="1:1" x14ac:dyDescent="0.25">
      <c r="A443" s="535"/>
    </row>
    <row r="444" spans="1:1" x14ac:dyDescent="0.25">
      <c r="A444" s="535"/>
    </row>
    <row r="445" spans="1:1" x14ac:dyDescent="0.25">
      <c r="A445" s="535"/>
    </row>
    <row r="446" spans="1:1" x14ac:dyDescent="0.25">
      <c r="A446" s="535"/>
    </row>
    <row r="447" spans="1:1" x14ac:dyDescent="0.25">
      <c r="A447" s="535"/>
    </row>
    <row r="448" spans="1:1" x14ac:dyDescent="0.25">
      <c r="A448" s="535"/>
    </row>
    <row r="449" spans="1:1" x14ac:dyDescent="0.25">
      <c r="A449" s="535"/>
    </row>
    <row r="450" spans="1:1" x14ac:dyDescent="0.25">
      <c r="A450" s="535"/>
    </row>
    <row r="451" spans="1:1" x14ac:dyDescent="0.25">
      <c r="A451" s="535"/>
    </row>
    <row r="452" spans="1:1" x14ac:dyDescent="0.25">
      <c r="A452" s="535"/>
    </row>
    <row r="453" spans="1:1" x14ac:dyDescent="0.25">
      <c r="A453" s="535"/>
    </row>
    <row r="454" spans="1:1" x14ac:dyDescent="0.25">
      <c r="A454" s="535"/>
    </row>
    <row r="455" spans="1:1" x14ac:dyDescent="0.25">
      <c r="A455" s="535"/>
    </row>
    <row r="456" spans="1:1" x14ac:dyDescent="0.25">
      <c r="A456" s="535"/>
    </row>
    <row r="457" spans="1:1" x14ac:dyDescent="0.25">
      <c r="A457" s="535"/>
    </row>
    <row r="458" spans="1:1" x14ac:dyDescent="0.25">
      <c r="A458" s="535"/>
    </row>
    <row r="459" spans="1:1" x14ac:dyDescent="0.25">
      <c r="A459" s="535"/>
    </row>
    <row r="460" spans="1:1" x14ac:dyDescent="0.25">
      <c r="A460" s="535"/>
    </row>
    <row r="461" spans="1:1" x14ac:dyDescent="0.25">
      <c r="A461" s="535"/>
    </row>
    <row r="462" spans="1:1" x14ac:dyDescent="0.25">
      <c r="A462" s="535"/>
    </row>
    <row r="463" spans="1:1" x14ac:dyDescent="0.25">
      <c r="A463" s="535"/>
    </row>
    <row r="464" spans="1:1" x14ac:dyDescent="0.25">
      <c r="A464" s="535"/>
    </row>
    <row r="465" spans="1:1" x14ac:dyDescent="0.25">
      <c r="A465" s="535"/>
    </row>
    <row r="466" spans="1:1" x14ac:dyDescent="0.25">
      <c r="A466" s="535"/>
    </row>
    <row r="467" spans="1:1" x14ac:dyDescent="0.25">
      <c r="A467" s="535"/>
    </row>
  </sheetData>
  <sheetProtection algorithmName="SHA-512" hashValue="D55CtA6Q07O/6eVaM91LRfBGGT9QLBl7E03yJxbK/PXhJJeo7ZJNs8eAggBQOMihR64c3pvAZjZYWk1EV5MdfQ==" saltValue="cEroD2vaJRUPKeNGhfsp3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7"/>
  <sheetViews>
    <sheetView topLeftCell="A45" workbookViewId="0">
      <selection activeCell="H84" sqref="H84"/>
    </sheetView>
  </sheetViews>
  <sheetFormatPr defaultRowHeight="15" x14ac:dyDescent="0.25"/>
  <cols>
    <col min="1" max="1" width="28.5703125" style="1" customWidth="1"/>
    <col min="2" max="9" width="9.140625" style="1"/>
    <col min="10" max="10" width="30.140625" style="1" customWidth="1"/>
    <col min="11" max="16384" width="9.140625" style="1"/>
  </cols>
  <sheetData>
    <row r="1" spans="1:9" ht="15.75" thickBot="1" x14ac:dyDescent="0.3">
      <c r="A1" s="530" t="s">
        <v>905</v>
      </c>
      <c r="B1" s="528">
        <v>50254</v>
      </c>
      <c r="C1" s="532"/>
      <c r="D1" s="529"/>
      <c r="E1" s="529"/>
      <c r="F1" s="527"/>
      <c r="G1" s="531">
        <v>100</v>
      </c>
      <c r="H1" s="527"/>
      <c r="I1" s="531" t="s">
        <v>733</v>
      </c>
    </row>
    <row r="2" spans="1:9" ht="15" customHeight="1" thickBot="1" x14ac:dyDescent="0.3">
      <c r="A2" s="530" t="s">
        <v>906</v>
      </c>
      <c r="B2" s="528">
        <v>50255</v>
      </c>
      <c r="C2" s="532"/>
      <c r="D2" s="525"/>
      <c r="E2" s="529"/>
      <c r="F2" s="527"/>
      <c r="G2" s="531">
        <v>200</v>
      </c>
      <c r="H2" s="527"/>
      <c r="I2" s="531" t="s">
        <v>734</v>
      </c>
    </row>
    <row r="3" spans="1:9" ht="15" customHeight="1" thickBot="1" x14ac:dyDescent="0.3">
      <c r="A3" s="530" t="s">
        <v>907</v>
      </c>
      <c r="B3" s="528">
        <v>50256</v>
      </c>
      <c r="C3" s="532"/>
      <c r="D3" s="525"/>
      <c r="E3" s="529"/>
      <c r="F3" s="527"/>
      <c r="G3" s="531">
        <v>300</v>
      </c>
      <c r="H3" s="527"/>
      <c r="I3" s="531" t="s">
        <v>735</v>
      </c>
    </row>
    <row r="4" spans="1:9" ht="15.75" thickBot="1" x14ac:dyDescent="0.3">
      <c r="A4" s="530" t="s">
        <v>908</v>
      </c>
      <c r="B4" s="528">
        <v>50558</v>
      </c>
      <c r="C4" s="532"/>
      <c r="D4" s="525"/>
      <c r="E4" s="529"/>
      <c r="F4" s="527"/>
      <c r="G4" s="531">
        <v>400</v>
      </c>
      <c r="H4" s="527"/>
      <c r="I4" s="527"/>
    </row>
    <row r="5" spans="1:9" ht="15.75" thickBot="1" x14ac:dyDescent="0.3">
      <c r="A5" s="530" t="s">
        <v>909</v>
      </c>
      <c r="B5" s="528">
        <v>50566</v>
      </c>
      <c r="C5" s="532"/>
      <c r="D5" s="525"/>
      <c r="E5" s="529"/>
      <c r="F5" s="527"/>
      <c r="G5" s="531">
        <v>500</v>
      </c>
      <c r="H5" s="527"/>
      <c r="I5" s="527"/>
    </row>
    <row r="6" spans="1:9" ht="15.75" thickBot="1" x14ac:dyDescent="0.3">
      <c r="A6" s="530" t="s">
        <v>910</v>
      </c>
      <c r="B6" s="528">
        <v>50562</v>
      </c>
      <c r="C6" s="532"/>
      <c r="D6" s="525"/>
      <c r="E6" s="529"/>
      <c r="F6" s="527"/>
      <c r="G6" s="527"/>
      <c r="H6" s="527"/>
      <c r="I6" s="527"/>
    </row>
    <row r="7" spans="1:9" ht="15.75" thickBot="1" x14ac:dyDescent="0.3">
      <c r="A7" s="530" t="s">
        <v>911</v>
      </c>
      <c r="B7" s="528">
        <v>50257</v>
      </c>
      <c r="C7" s="532"/>
      <c r="D7" s="525"/>
      <c r="E7" s="529"/>
      <c r="F7" s="527"/>
      <c r="G7" s="527"/>
      <c r="H7" s="527"/>
      <c r="I7" s="527"/>
    </row>
    <row r="8" spans="1:9" ht="15.75" thickBot="1" x14ac:dyDescent="0.3">
      <c r="A8" s="530" t="s">
        <v>912</v>
      </c>
      <c r="B8" s="528">
        <v>50555</v>
      </c>
      <c r="C8" s="532"/>
      <c r="D8" s="525"/>
      <c r="E8" s="529"/>
      <c r="F8" s="527"/>
      <c r="G8" s="527"/>
      <c r="H8" s="527"/>
      <c r="I8" s="527"/>
    </row>
    <row r="9" spans="1:9" ht="15.75" thickBot="1" x14ac:dyDescent="0.3">
      <c r="A9" s="530" t="s">
        <v>913</v>
      </c>
      <c r="B9" s="528">
        <v>50445</v>
      </c>
      <c r="C9" s="532"/>
      <c r="D9" s="525"/>
      <c r="E9" s="529"/>
      <c r="F9" s="527"/>
      <c r="G9" s="527"/>
      <c r="H9" s="527"/>
      <c r="I9" s="527"/>
    </row>
    <row r="10" spans="1:9" ht="15.75" thickBot="1" x14ac:dyDescent="0.3">
      <c r="A10" s="530" t="s">
        <v>914</v>
      </c>
      <c r="B10" s="528">
        <v>50452</v>
      </c>
      <c r="C10" s="532"/>
      <c r="D10" s="525"/>
      <c r="E10" s="529"/>
      <c r="F10" s="527"/>
      <c r="G10" s="527"/>
      <c r="H10" s="527"/>
      <c r="I10" s="527"/>
    </row>
    <row r="11" spans="1:9" ht="15.75" thickBot="1" x14ac:dyDescent="0.3">
      <c r="A11" s="530" t="s">
        <v>915</v>
      </c>
      <c r="B11" s="528">
        <v>50563</v>
      </c>
      <c r="C11" s="532"/>
      <c r="D11" s="525"/>
      <c r="E11" s="529"/>
      <c r="F11" s="527"/>
      <c r="G11" s="527"/>
      <c r="H11" s="527"/>
      <c r="I11" s="527"/>
    </row>
    <row r="12" spans="1:9" ht="15.75" thickBot="1" x14ac:dyDescent="0.3">
      <c r="A12" s="530" t="s">
        <v>916</v>
      </c>
      <c r="B12" s="528">
        <v>50258</v>
      </c>
      <c r="C12" s="532"/>
      <c r="D12" s="525"/>
      <c r="E12" s="529"/>
      <c r="F12" s="527"/>
      <c r="G12" s="527"/>
      <c r="H12" s="527"/>
      <c r="I12" s="527"/>
    </row>
    <row r="13" spans="1:9" ht="15.75" thickBot="1" x14ac:dyDescent="0.3">
      <c r="A13" s="530" t="s">
        <v>917</v>
      </c>
      <c r="B13" s="528">
        <v>50523</v>
      </c>
      <c r="C13" s="532"/>
      <c r="D13" s="525"/>
      <c r="E13" s="529"/>
      <c r="F13" s="527"/>
      <c r="G13" s="527"/>
      <c r="H13" s="527"/>
      <c r="I13" s="527"/>
    </row>
    <row r="14" spans="1:9" ht="15.75" thickBot="1" x14ac:dyDescent="0.3">
      <c r="A14" s="530" t="s">
        <v>918</v>
      </c>
      <c r="B14" s="528">
        <v>50259</v>
      </c>
      <c r="C14" s="532"/>
      <c r="D14" s="525"/>
      <c r="E14" s="529"/>
      <c r="F14" s="527"/>
      <c r="G14" s="527"/>
      <c r="H14" s="527"/>
      <c r="I14" s="527"/>
    </row>
    <row r="15" spans="1:9" ht="15.75" thickBot="1" x14ac:dyDescent="0.3">
      <c r="A15" s="530" t="s">
        <v>919</v>
      </c>
      <c r="B15" s="528">
        <v>50260</v>
      </c>
      <c r="C15" s="532"/>
      <c r="D15" s="525"/>
      <c r="E15" s="529"/>
      <c r="F15" s="527"/>
      <c r="G15" s="527"/>
      <c r="H15" s="527"/>
      <c r="I15" s="527"/>
    </row>
    <row r="16" spans="1:9" ht="15.75" thickBot="1" x14ac:dyDescent="0.3">
      <c r="A16" s="530" t="s">
        <v>920</v>
      </c>
      <c r="B16" s="528">
        <v>50487</v>
      </c>
      <c r="C16" s="532"/>
      <c r="D16" s="525"/>
      <c r="E16" s="529"/>
      <c r="F16" s="527"/>
      <c r="G16" s="527"/>
      <c r="H16" s="527"/>
      <c r="I16" s="527"/>
    </row>
    <row r="17" spans="1:13" ht="15.75" thickBot="1" x14ac:dyDescent="0.3">
      <c r="A17" s="530" t="s">
        <v>921</v>
      </c>
      <c r="B17" s="528">
        <v>50261</v>
      </c>
      <c r="C17" s="532"/>
      <c r="D17" s="525"/>
      <c r="E17" s="529"/>
      <c r="J17"/>
      <c r="K17"/>
      <c r="L17"/>
      <c r="M17"/>
    </row>
    <row r="18" spans="1:13" ht="15.75" thickBot="1" x14ac:dyDescent="0.3">
      <c r="A18" s="530" t="s">
        <v>922</v>
      </c>
      <c r="B18" s="528">
        <v>50262</v>
      </c>
      <c r="C18" s="532"/>
      <c r="D18" s="525"/>
      <c r="E18" s="529"/>
      <c r="J18"/>
      <c r="K18"/>
      <c r="L18"/>
      <c r="M18"/>
    </row>
    <row r="19" spans="1:13" ht="15.75" thickBot="1" x14ac:dyDescent="0.3">
      <c r="A19" s="530" t="s">
        <v>923</v>
      </c>
      <c r="B19" s="528">
        <v>50263</v>
      </c>
      <c r="C19" s="532"/>
      <c r="D19" s="525"/>
      <c r="E19" s="529"/>
      <c r="J19"/>
      <c r="K19"/>
      <c r="L19"/>
      <c r="M19"/>
    </row>
    <row r="20" spans="1:13" ht="15.75" thickBot="1" x14ac:dyDescent="0.3">
      <c r="A20" s="530" t="s">
        <v>924</v>
      </c>
      <c r="B20" s="528">
        <v>50264</v>
      </c>
      <c r="C20" s="532"/>
      <c r="D20" s="525"/>
      <c r="E20" s="529"/>
      <c r="J20"/>
      <c r="K20"/>
      <c r="L20"/>
      <c r="M20"/>
    </row>
    <row r="21" spans="1:13" ht="15.75" thickBot="1" x14ac:dyDescent="0.3">
      <c r="A21" s="530" t="s">
        <v>925</v>
      </c>
      <c r="B21" s="528">
        <v>50265</v>
      </c>
      <c r="C21" s="532"/>
      <c r="D21" s="525"/>
      <c r="E21" s="529"/>
      <c r="J21"/>
      <c r="K21"/>
      <c r="L21"/>
      <c r="M21"/>
    </row>
    <row r="22" spans="1:13" ht="15.75" thickBot="1" x14ac:dyDescent="0.3">
      <c r="A22" s="530" t="s">
        <v>926</v>
      </c>
      <c r="B22" s="528">
        <v>50266</v>
      </c>
      <c r="C22" s="532"/>
      <c r="D22" s="525"/>
      <c r="E22" s="529"/>
      <c r="J22"/>
      <c r="K22"/>
      <c r="L22"/>
      <c r="M22"/>
    </row>
    <row r="23" spans="1:13" ht="15.75" thickBot="1" x14ac:dyDescent="0.3">
      <c r="A23" s="530" t="s">
        <v>927</v>
      </c>
      <c r="B23" s="528">
        <v>50267</v>
      </c>
      <c r="C23" s="532"/>
      <c r="D23" s="525"/>
      <c r="E23" s="529"/>
    </row>
    <row r="24" spans="1:13" ht="15.75" thickBot="1" x14ac:dyDescent="0.3">
      <c r="A24" s="530" t="s">
        <v>928</v>
      </c>
      <c r="B24" s="528">
        <v>50268</v>
      </c>
      <c r="C24" s="532"/>
      <c r="D24" s="525"/>
      <c r="E24" s="529"/>
    </row>
    <row r="25" spans="1:13" ht="15.75" thickBot="1" x14ac:dyDescent="0.3">
      <c r="A25" s="530" t="s">
        <v>929</v>
      </c>
      <c r="B25" s="528">
        <v>50269</v>
      </c>
      <c r="C25" s="532"/>
      <c r="D25" s="525"/>
      <c r="E25" s="529"/>
    </row>
    <row r="26" spans="1:13" ht="15.75" thickBot="1" x14ac:dyDescent="0.3">
      <c r="A26" s="530" t="s">
        <v>930</v>
      </c>
      <c r="B26" s="528">
        <v>50270</v>
      </c>
      <c r="C26" s="532"/>
      <c r="D26" s="525"/>
      <c r="E26" s="529"/>
    </row>
    <row r="27" spans="1:13" ht="15.75" thickBot="1" x14ac:dyDescent="0.3">
      <c r="A27" s="530" t="s">
        <v>931</v>
      </c>
      <c r="B27" s="528">
        <v>50271</v>
      </c>
      <c r="C27" s="532"/>
      <c r="D27" s="525"/>
      <c r="E27" s="529"/>
    </row>
    <row r="28" spans="1:13" ht="15.75" thickBot="1" x14ac:dyDescent="0.3">
      <c r="A28" s="530" t="s">
        <v>932</v>
      </c>
      <c r="B28" s="528">
        <v>50272</v>
      </c>
      <c r="C28" s="532"/>
      <c r="D28" s="525"/>
      <c r="E28" s="529"/>
    </row>
    <row r="29" spans="1:13" ht="15.75" thickBot="1" x14ac:dyDescent="0.3">
      <c r="A29" s="530" t="s">
        <v>933</v>
      </c>
      <c r="B29" s="528">
        <v>50273</v>
      </c>
      <c r="C29" s="532"/>
      <c r="D29" s="525"/>
      <c r="E29" s="529"/>
    </row>
    <row r="30" spans="1:13" ht="15.75" thickBot="1" x14ac:dyDescent="0.3">
      <c r="A30" s="530" t="s">
        <v>934</v>
      </c>
      <c r="B30" s="528">
        <v>50274</v>
      </c>
      <c r="C30" s="532"/>
      <c r="D30" s="525"/>
      <c r="E30" s="529"/>
    </row>
    <row r="31" spans="1:13" ht="15.75" thickBot="1" x14ac:dyDescent="0.3">
      <c r="A31" s="530" t="s">
        <v>935</v>
      </c>
      <c r="B31" s="528">
        <v>50480</v>
      </c>
      <c r="C31" s="532"/>
      <c r="D31" s="525"/>
      <c r="E31" s="529"/>
    </row>
    <row r="32" spans="1:13" ht="15.75" thickBot="1" x14ac:dyDescent="0.3">
      <c r="A32" s="530" t="s">
        <v>936</v>
      </c>
      <c r="B32" s="528">
        <v>50275</v>
      </c>
      <c r="C32" s="532"/>
      <c r="D32" s="525"/>
      <c r="E32" s="529"/>
    </row>
    <row r="33" spans="1:5" ht="15.75" thickBot="1" x14ac:dyDescent="0.3">
      <c r="A33" s="530" t="s">
        <v>937</v>
      </c>
      <c r="B33" s="528">
        <v>50277</v>
      </c>
      <c r="C33" s="532"/>
      <c r="D33" s="525"/>
      <c r="E33" s="529"/>
    </row>
    <row r="34" spans="1:5" ht="15.75" thickBot="1" x14ac:dyDescent="0.3">
      <c r="A34" s="530" t="s">
        <v>938</v>
      </c>
      <c r="B34" s="528">
        <v>50276</v>
      </c>
      <c r="C34" s="532"/>
      <c r="D34" s="525"/>
      <c r="E34" s="529"/>
    </row>
    <row r="35" spans="1:5" ht="15.75" thickBot="1" x14ac:dyDescent="0.3">
      <c r="A35" s="530" t="s">
        <v>939</v>
      </c>
      <c r="B35" s="528">
        <v>50278</v>
      </c>
      <c r="C35" s="532"/>
      <c r="D35" s="525"/>
      <c r="E35" s="529"/>
    </row>
    <row r="36" spans="1:5" ht="15.75" thickBot="1" x14ac:dyDescent="0.3">
      <c r="A36" s="530" t="s">
        <v>940</v>
      </c>
      <c r="B36" s="528">
        <v>50279</v>
      </c>
      <c r="C36" s="532"/>
      <c r="D36" s="525"/>
      <c r="E36" s="529"/>
    </row>
    <row r="37" spans="1:5" ht="15.75" thickBot="1" x14ac:dyDescent="0.3">
      <c r="A37" s="530" t="s">
        <v>941</v>
      </c>
      <c r="B37" s="528">
        <v>50280</v>
      </c>
      <c r="C37" s="532"/>
      <c r="D37" s="525"/>
      <c r="E37" s="529"/>
    </row>
    <row r="38" spans="1:5" ht="15.75" thickBot="1" x14ac:dyDescent="0.3">
      <c r="A38" s="530" t="s">
        <v>942</v>
      </c>
      <c r="B38" s="528">
        <v>50281</v>
      </c>
      <c r="C38" s="532"/>
      <c r="D38" s="525"/>
      <c r="E38" s="529"/>
    </row>
    <row r="39" spans="1:5" ht="15.75" thickBot="1" x14ac:dyDescent="0.3">
      <c r="A39" s="530" t="s">
        <v>943</v>
      </c>
      <c r="B39" s="528">
        <v>50478</v>
      </c>
      <c r="C39" s="532"/>
      <c r="D39" s="525"/>
      <c r="E39" s="529"/>
    </row>
    <row r="40" spans="1:5" ht="15.75" thickBot="1" x14ac:dyDescent="0.3">
      <c r="A40" s="530" t="s">
        <v>944</v>
      </c>
      <c r="B40" s="528">
        <v>50524</v>
      </c>
      <c r="C40" s="532"/>
      <c r="D40" s="525"/>
      <c r="E40" s="529"/>
    </row>
    <row r="41" spans="1:5" ht="15.75" thickBot="1" x14ac:dyDescent="0.3">
      <c r="A41" s="530" t="s">
        <v>945</v>
      </c>
      <c r="B41" s="528">
        <v>50282</v>
      </c>
      <c r="C41" s="532"/>
      <c r="D41" s="525"/>
      <c r="E41" s="529"/>
    </row>
    <row r="42" spans="1:5" ht="15.75" thickBot="1" x14ac:dyDescent="0.3">
      <c r="A42" s="530" t="s">
        <v>946</v>
      </c>
      <c r="B42" s="528">
        <v>50525</v>
      </c>
      <c r="C42" s="532"/>
      <c r="D42" s="525"/>
      <c r="E42" s="529"/>
    </row>
    <row r="43" spans="1:5" ht="15.75" thickBot="1" x14ac:dyDescent="0.3">
      <c r="A43" s="530" t="s">
        <v>947</v>
      </c>
      <c r="B43" s="528">
        <v>50283</v>
      </c>
      <c r="C43" s="532"/>
      <c r="D43" s="525"/>
      <c r="E43" s="529"/>
    </row>
    <row r="44" spans="1:5" ht="15.75" thickBot="1" x14ac:dyDescent="0.3">
      <c r="A44" s="530" t="s">
        <v>948</v>
      </c>
      <c r="B44" s="528">
        <v>50285</v>
      </c>
      <c r="C44" s="532"/>
      <c r="D44" s="525"/>
      <c r="E44" s="529"/>
    </row>
    <row r="45" spans="1:5" ht="15.75" thickBot="1" x14ac:dyDescent="0.3">
      <c r="A45" s="530" t="s">
        <v>949</v>
      </c>
      <c r="B45" s="528">
        <v>50553</v>
      </c>
      <c r="C45" s="532"/>
      <c r="D45" s="525"/>
      <c r="E45" s="529"/>
    </row>
    <row r="46" spans="1:5" ht="15.75" thickBot="1" x14ac:dyDescent="0.3">
      <c r="A46" s="530" t="s">
        <v>950</v>
      </c>
      <c r="B46" s="528">
        <v>50548</v>
      </c>
      <c r="C46" s="532"/>
      <c r="D46" s="525"/>
      <c r="E46" s="529"/>
    </row>
    <row r="47" spans="1:5" ht="15.75" thickBot="1" x14ac:dyDescent="0.3">
      <c r="A47" s="530" t="s">
        <v>951</v>
      </c>
      <c r="B47" s="528">
        <v>50284</v>
      </c>
      <c r="C47" s="532"/>
      <c r="D47" s="525"/>
      <c r="E47" s="529"/>
    </row>
    <row r="48" spans="1:5" ht="15.75" thickBot="1" x14ac:dyDescent="0.3">
      <c r="A48" s="530" t="s">
        <v>952</v>
      </c>
      <c r="B48" s="528">
        <v>50286</v>
      </c>
      <c r="C48" s="532"/>
      <c r="D48" s="525"/>
      <c r="E48" s="529"/>
    </row>
    <row r="49" spans="1:5" ht="15.75" thickBot="1" x14ac:dyDescent="0.3">
      <c r="A49" s="530" t="s">
        <v>953</v>
      </c>
      <c r="B49" s="528">
        <v>50287</v>
      </c>
      <c r="C49" s="532"/>
      <c r="D49" s="525"/>
      <c r="E49" s="529"/>
    </row>
    <row r="50" spans="1:5" ht="15.75" thickBot="1" x14ac:dyDescent="0.3">
      <c r="A50" s="530" t="s">
        <v>954</v>
      </c>
      <c r="B50" s="528">
        <v>50288</v>
      </c>
      <c r="C50" s="532"/>
      <c r="D50" s="525"/>
      <c r="E50" s="529"/>
    </row>
    <row r="51" spans="1:5" ht="15.75" thickBot="1" x14ac:dyDescent="0.3">
      <c r="A51" s="530" t="s">
        <v>955</v>
      </c>
      <c r="B51" s="528">
        <v>50290</v>
      </c>
      <c r="C51" s="532"/>
      <c r="D51" s="525"/>
      <c r="E51" s="529"/>
    </row>
    <row r="52" spans="1:5" ht="15.75" thickBot="1" x14ac:dyDescent="0.3">
      <c r="A52" s="530" t="s">
        <v>956</v>
      </c>
      <c r="B52" s="528">
        <v>50564</v>
      </c>
      <c r="C52" s="532"/>
      <c r="D52" s="525"/>
      <c r="E52" s="529"/>
    </row>
    <row r="53" spans="1:5" ht="15.75" thickBot="1" x14ac:dyDescent="0.3">
      <c r="A53" s="530" t="s">
        <v>957</v>
      </c>
      <c r="B53" s="528">
        <v>50289</v>
      </c>
      <c r="C53" s="532"/>
      <c r="D53" s="525"/>
      <c r="E53" s="529"/>
    </row>
    <row r="54" spans="1:5" ht="15.75" thickBot="1" x14ac:dyDescent="0.3">
      <c r="A54" s="530" t="s">
        <v>958</v>
      </c>
      <c r="B54" s="528">
        <v>50291</v>
      </c>
      <c r="C54" s="532"/>
      <c r="D54" s="525"/>
      <c r="E54" s="529"/>
    </row>
    <row r="55" spans="1:5" ht="15.75" thickBot="1" x14ac:dyDescent="0.3">
      <c r="A55" s="530" t="s">
        <v>959</v>
      </c>
      <c r="B55" s="528">
        <v>50292</v>
      </c>
      <c r="C55" s="532"/>
      <c r="D55" s="525"/>
      <c r="E55" s="529"/>
    </row>
    <row r="56" spans="1:5" ht="15.75" thickBot="1" x14ac:dyDescent="0.3">
      <c r="A56" s="530" t="s">
        <v>960</v>
      </c>
      <c r="B56" s="528">
        <v>50293</v>
      </c>
      <c r="C56" s="532"/>
      <c r="D56" s="525"/>
      <c r="E56" s="529"/>
    </row>
    <row r="57" spans="1:5" ht="15.75" thickBot="1" x14ac:dyDescent="0.3">
      <c r="A57" s="530" t="s">
        <v>961</v>
      </c>
      <c r="B57" s="528">
        <v>50463</v>
      </c>
      <c r="C57" s="532"/>
      <c r="D57" s="525"/>
      <c r="E57" s="529"/>
    </row>
    <row r="58" spans="1:5" ht="15.75" thickBot="1" x14ac:dyDescent="0.3">
      <c r="A58" s="530" t="s">
        <v>962</v>
      </c>
      <c r="B58" s="528">
        <v>50294</v>
      </c>
      <c r="C58" s="532"/>
      <c r="D58" s="525"/>
      <c r="E58" s="529"/>
    </row>
    <row r="59" spans="1:5" ht="15.75" thickBot="1" x14ac:dyDescent="0.3">
      <c r="A59" s="530" t="s">
        <v>963</v>
      </c>
      <c r="B59" s="528">
        <v>50538</v>
      </c>
      <c r="C59" s="532"/>
      <c r="D59" s="525"/>
      <c r="E59" s="529"/>
    </row>
    <row r="60" spans="1:5" ht="15.75" thickBot="1" x14ac:dyDescent="0.3">
      <c r="A60" s="530" t="s">
        <v>964</v>
      </c>
      <c r="B60" s="528">
        <v>50295</v>
      </c>
      <c r="C60" s="532"/>
      <c r="D60" s="525"/>
      <c r="E60" s="529"/>
    </row>
    <row r="61" spans="1:5" ht="15.75" thickBot="1" x14ac:dyDescent="0.3">
      <c r="A61" s="530" t="s">
        <v>965</v>
      </c>
      <c r="B61" s="528">
        <v>50296</v>
      </c>
      <c r="C61" s="532"/>
      <c r="D61" s="525"/>
      <c r="E61" s="529"/>
    </row>
    <row r="62" spans="1:5" ht="15.75" thickBot="1" x14ac:dyDescent="0.3">
      <c r="A62" s="530" t="s">
        <v>966</v>
      </c>
      <c r="B62" s="528">
        <v>50297</v>
      </c>
      <c r="C62" s="532"/>
      <c r="D62" s="525"/>
      <c r="E62" s="529"/>
    </row>
    <row r="63" spans="1:5" ht="15.75" thickBot="1" x14ac:dyDescent="0.3">
      <c r="A63" s="530" t="s">
        <v>967</v>
      </c>
      <c r="B63" s="528">
        <v>50449</v>
      </c>
      <c r="C63" s="532"/>
      <c r="D63" s="525"/>
      <c r="E63" s="529"/>
    </row>
    <row r="64" spans="1:5" ht="15.75" thickBot="1" x14ac:dyDescent="0.3">
      <c r="A64" s="530" t="s">
        <v>968</v>
      </c>
      <c r="B64" s="528">
        <v>50300</v>
      </c>
      <c r="C64" s="532"/>
      <c r="D64" s="525"/>
      <c r="E64" s="529"/>
    </row>
    <row r="65" spans="1:5" ht="15.75" thickBot="1" x14ac:dyDescent="0.3">
      <c r="A65" s="530" t="s">
        <v>969</v>
      </c>
      <c r="B65" s="528">
        <v>50298</v>
      </c>
      <c r="C65" s="532"/>
      <c r="D65" s="525"/>
      <c r="E65" s="529"/>
    </row>
    <row r="66" spans="1:5" ht="15.75" thickBot="1" x14ac:dyDescent="0.3">
      <c r="A66" s="530" t="s">
        <v>970</v>
      </c>
      <c r="B66" s="528">
        <v>50299</v>
      </c>
      <c r="C66" s="532"/>
      <c r="D66" s="525"/>
      <c r="E66" s="529"/>
    </row>
    <row r="67" spans="1:5" ht="15.75" thickBot="1" x14ac:dyDescent="0.3">
      <c r="A67" s="530" t="s">
        <v>971</v>
      </c>
      <c r="B67" s="528">
        <v>50301</v>
      </c>
      <c r="C67" s="532"/>
      <c r="D67" s="525"/>
      <c r="E67" s="529"/>
    </row>
    <row r="68" spans="1:5" ht="15.75" thickBot="1" x14ac:dyDescent="0.3">
      <c r="A68" s="530" t="s">
        <v>972</v>
      </c>
      <c r="B68" s="528">
        <v>50302</v>
      </c>
      <c r="C68" s="527"/>
      <c r="D68" s="527"/>
      <c r="E68" s="527"/>
    </row>
    <row r="69" spans="1:5" ht="15.75" thickBot="1" x14ac:dyDescent="0.3">
      <c r="A69" s="530" t="s">
        <v>973</v>
      </c>
      <c r="B69" s="528">
        <v>50303</v>
      </c>
      <c r="C69" s="527"/>
      <c r="D69" s="527"/>
      <c r="E69" s="527"/>
    </row>
    <row r="70" spans="1:5" ht="15.75" thickBot="1" x14ac:dyDescent="0.3">
      <c r="A70" s="530" t="s">
        <v>974</v>
      </c>
      <c r="B70" s="528">
        <v>50304</v>
      </c>
      <c r="C70" s="527"/>
      <c r="D70" s="527"/>
      <c r="E70" s="527"/>
    </row>
    <row r="71" spans="1:5" ht="15.75" thickBot="1" x14ac:dyDescent="0.3">
      <c r="A71" s="530" t="s">
        <v>975</v>
      </c>
      <c r="B71" s="528">
        <v>50540</v>
      </c>
      <c r="C71" s="527"/>
      <c r="D71" s="527"/>
      <c r="E71" s="527"/>
    </row>
    <row r="72" spans="1:5" ht="15.75" thickBot="1" x14ac:dyDescent="0.3">
      <c r="A72" s="530" t="s">
        <v>976</v>
      </c>
      <c r="B72" s="528">
        <v>50305</v>
      </c>
      <c r="C72" s="527"/>
      <c r="D72" s="527"/>
      <c r="E72" s="527"/>
    </row>
    <row r="73" spans="1:5" ht="15.75" thickBot="1" x14ac:dyDescent="0.3">
      <c r="A73" s="530" t="s">
        <v>977</v>
      </c>
      <c r="B73" s="528">
        <v>50306</v>
      </c>
      <c r="C73" s="527"/>
      <c r="D73" s="527"/>
      <c r="E73" s="527"/>
    </row>
    <row r="74" spans="1:5" ht="15.75" thickBot="1" x14ac:dyDescent="0.3">
      <c r="A74" s="530" t="s">
        <v>978</v>
      </c>
      <c r="B74" s="528">
        <v>50479</v>
      </c>
      <c r="C74" s="527"/>
      <c r="D74" s="527"/>
      <c r="E74" s="527"/>
    </row>
    <row r="75" spans="1:5" ht="15.75" thickBot="1" x14ac:dyDescent="0.3">
      <c r="A75" s="530" t="s">
        <v>979</v>
      </c>
      <c r="B75" s="528">
        <v>50307</v>
      </c>
      <c r="C75" s="527"/>
      <c r="D75" s="527"/>
      <c r="E75" s="527"/>
    </row>
    <row r="76" spans="1:5" ht="15.75" thickBot="1" x14ac:dyDescent="0.3">
      <c r="A76" s="530" t="s">
        <v>980</v>
      </c>
      <c r="B76" s="528">
        <v>50308</v>
      </c>
      <c r="C76" s="527"/>
      <c r="D76" s="527"/>
      <c r="E76" s="527"/>
    </row>
    <row r="77" spans="1:5" ht="15.75" thickBot="1" x14ac:dyDescent="0.3">
      <c r="A77" s="530" t="s">
        <v>981</v>
      </c>
      <c r="B77" s="528">
        <v>50309</v>
      </c>
      <c r="C77" s="527"/>
      <c r="D77" s="527"/>
      <c r="E77" s="527"/>
    </row>
    <row r="78" spans="1:5" ht="15.75" thickBot="1" x14ac:dyDescent="0.3">
      <c r="A78" s="530" t="s">
        <v>982</v>
      </c>
      <c r="B78" s="528">
        <v>50310</v>
      </c>
      <c r="C78" s="527"/>
      <c r="D78" s="527"/>
      <c r="E78" s="527"/>
    </row>
    <row r="79" spans="1:5" ht="15.75" thickBot="1" x14ac:dyDescent="0.3">
      <c r="A79" s="530" t="s">
        <v>983</v>
      </c>
      <c r="B79" s="528">
        <v>50311</v>
      </c>
      <c r="C79" s="527"/>
      <c r="D79" s="527"/>
      <c r="E79" s="527"/>
    </row>
    <row r="80" spans="1:5"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sheetData>
  <sheetProtection algorithmName="SHA-512" hashValue="fyzmqNxOFWTcpMSnc49Ov/E1CaGuw+eWyaByNm9bOblnsu97Kbb01N39H6yxKLVBktfqc3GnIADVtMfwwcCDFg==" saltValue="+YzOMdSo8nsiMQzACKduh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DE6B1DBF4D8840B7EB4ABAA788F1E7" ma:contentTypeVersion="1" ma:contentTypeDescription="Create a new document." ma:contentTypeScope="" ma:versionID="efeaea188b7cb24963ac672785fa5ed1">
  <xsd:schema xmlns:xsd="http://www.w3.org/2001/XMLSchema" xmlns:xs="http://www.w3.org/2001/XMLSchema" xmlns:p="http://schemas.microsoft.com/office/2006/metadata/properties" xmlns:ns2="d4ea4015-5b02-447c-9074-d5807a41497e" targetNamespace="http://schemas.microsoft.com/office/2006/metadata/properties" ma:root="true" ma:fieldsID="26357a8f2741f71438dd457ebc97f38f" ns2:_="">
    <xsd:import namespace="d4ea4015-5b02-447c-9074-d5807a4149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94ABFD13-DE69-4D17-A1CF-660831469E2E}"/>
</file>

<file path=customXml/itemProps2.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3.xml><?xml version="1.0" encoding="utf-8"?>
<ds:datastoreItem xmlns:ds="http://schemas.openxmlformats.org/officeDocument/2006/customXml" ds:itemID="{1843076E-D01F-4418-A018-8509E507A11D}">
  <ds:schemaRef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8EC7731D-B588-4F49-9156-D57697413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Collection Worksheet</vt:lpstr>
      <vt:lpstr>IMPORT</vt:lpstr>
      <vt:lpstr>RSS</vt:lpstr>
      <vt:lpstr>2018 Data</vt:lpstr>
      <vt:lpstr>Unit Names</vt:lpstr>
      <vt:lpstr>'Collection Worksheet'!Print_Area</vt:lpstr>
      <vt:lpstr>'Collection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Rita Baker</cp:lastModifiedBy>
  <cp:lastPrinted>2019-07-11T14:39:48Z</cp:lastPrinted>
  <dcterms:created xsi:type="dcterms:W3CDTF">2011-03-11T21:05:05Z</dcterms:created>
  <dcterms:modified xsi:type="dcterms:W3CDTF">2019-08-05T14:33:36Z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2019 Review Year</vt:lpwstr>
  </property>
  <property fmtid="{D5CDD505-2E9C-101B-9397-08002B2CF9AE}" pid="6" name="tabIndex">
    <vt:lpwstr/>
  </property>
  <property fmtid="{D5CDD505-2E9C-101B-9397-08002B2CF9AE}" pid="7" name="workpaperIndex">
    <vt:lpwstr/>
  </property>
  <property fmtid="{D5CDD505-2E9C-101B-9397-08002B2CF9AE}" pid="8" name="ContentTypeId">
    <vt:lpwstr>0x01010074DE6B1DBF4D8840B7EB4ABAA788F1E7</vt:lpwstr>
  </property>
</Properties>
</file>