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Pfx Engagement\WM\WorkPapers\{A34AC44B-D9B7-4037-828D-4BECEB300FA9}\{8AD589E5-FC1B-4C7B-9432-4759D81E13DE}\"/>
    </mc:Choice>
  </mc:AlternateContent>
  <xr:revisionPtr revIDLastSave="0" documentId="13_ncr:1_{832FFD4A-FFB5-481E-9128-4A2A40EE4100}" xr6:coauthVersionLast="41" xr6:coauthVersionMax="41" xr10:uidLastSave="{00000000-0000-0000-0000-000000000000}"/>
  <bookViews>
    <workbookView xWindow="28680" yWindow="-120" windowWidth="29040" windowHeight="17640" activeTab="1" xr2:uid="{00000000-000D-0000-FFFF-FFFF00000000}"/>
  </bookViews>
  <sheets>
    <sheet name="Instructions " sheetId="8" r:id="rId1"/>
    <sheet name="Collection Worksheet" sheetId="1" r:id="rId2"/>
    <sheet name="IMPORT" sheetId="28" state="hidden" r:id="rId3"/>
    <sheet name="RSS" sheetId="30" r:id="rId4"/>
    <sheet name="2018 Data" sheetId="36" state="hidden" r:id="rId5"/>
    <sheet name="Unit Names" sheetId="29" state="hidden" r:id="rId6"/>
  </sheets>
  <externalReferences>
    <externalReference r:id="rId7"/>
  </externalReferences>
  <definedNames>
    <definedName name="Audit_Dtl">[1]Database!$AC$3:$AP$413</definedName>
    <definedName name="_xlnm.Print_Area" localSheetId="1">'Collection Worksheet'!$A$7:$D$229</definedName>
    <definedName name="_xlnm.Print_Titles" localSheetId="1">'Collection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2" i="1" l="1"/>
  <c r="F166" i="1"/>
  <c r="F160" i="1"/>
  <c r="F153" i="1"/>
  <c r="X178" i="28"/>
  <c r="X179" i="28"/>
  <c r="X180" i="28"/>
  <c r="X185" i="28"/>
  <c r="R147" i="28"/>
  <c r="R178" i="28"/>
  <c r="R179" i="28"/>
  <c r="R180" i="28"/>
  <c r="R181" i="28"/>
  <c r="R182" i="28"/>
  <c r="R183" i="28"/>
  <c r="R184" i="28"/>
  <c r="R185" i="28"/>
  <c r="L184" i="28"/>
  <c r="X184" i="28" s="1"/>
  <c r="L183" i="28"/>
  <c r="X183" i="28" s="1"/>
  <c r="L182" i="28"/>
  <c r="X182" i="28" s="1"/>
  <c r="L181" i="28"/>
  <c r="X181" i="28" s="1"/>
  <c r="G230" i="1"/>
  <c r="E232" i="1"/>
  <c r="E229" i="1"/>
  <c r="E228" i="1"/>
  <c r="E227" i="1"/>
  <c r="E226" i="1"/>
  <c r="E225" i="1"/>
  <c r="E224" i="1"/>
  <c r="E223" i="1"/>
  <c r="E222" i="1"/>
  <c r="E221" i="1"/>
  <c r="E218" i="1"/>
  <c r="E216" i="1"/>
  <c r="E214" i="1"/>
  <c r="E212" i="1"/>
  <c r="E211" i="1"/>
  <c r="E210" i="1"/>
  <c r="E207" i="1"/>
  <c r="E206" i="1"/>
  <c r="E205" i="1"/>
  <c r="E204" i="1"/>
  <c r="E203" i="1"/>
  <c r="E202" i="1"/>
  <c r="E201" i="1"/>
  <c r="E200" i="1"/>
  <c r="E199" i="1"/>
  <c r="E198" i="1"/>
  <c r="E197" i="1"/>
  <c r="E196" i="1"/>
  <c r="E195" i="1"/>
  <c r="E194" i="1"/>
  <c r="E192" i="1"/>
  <c r="E191" i="1"/>
  <c r="E190" i="1"/>
  <c r="E189" i="1"/>
  <c r="E183" i="1"/>
  <c r="E182" i="1"/>
  <c r="E181" i="1"/>
  <c r="E180" i="1"/>
  <c r="E178" i="1"/>
  <c r="E177" i="1"/>
  <c r="E176" i="1"/>
  <c r="E171" i="1"/>
  <c r="E170" i="1"/>
  <c r="E169" i="1"/>
  <c r="E168" i="1"/>
  <c r="E165" i="1"/>
  <c r="E164" i="1"/>
  <c r="E163" i="1"/>
  <c r="E162" i="1"/>
  <c r="E159" i="1"/>
  <c r="E158" i="1"/>
  <c r="E157" i="1"/>
  <c r="E156" i="1"/>
  <c r="E152" i="1"/>
  <c r="E151" i="1"/>
  <c r="E147" i="1"/>
  <c r="E146" i="1"/>
  <c r="E142" i="1"/>
  <c r="E140" i="1"/>
  <c r="E138" i="1"/>
  <c r="E137" i="1"/>
  <c r="E136" i="1"/>
  <c r="E134" i="1"/>
  <c r="E133" i="1"/>
  <c r="E132" i="1"/>
  <c r="E127" i="1"/>
  <c r="E126" i="1"/>
  <c r="E125" i="1"/>
  <c r="E124" i="1"/>
  <c r="E123" i="1"/>
  <c r="E122" i="1"/>
  <c r="E121" i="1"/>
  <c r="E120" i="1"/>
  <c r="E119" i="1"/>
  <c r="E118" i="1"/>
  <c r="E117" i="1"/>
  <c r="E116" i="1"/>
  <c r="E115" i="1"/>
  <c r="E113" i="1"/>
  <c r="E112" i="1"/>
  <c r="E111" i="1"/>
  <c r="E110" i="1"/>
  <c r="E109" i="1"/>
  <c r="E108" i="1"/>
  <c r="E107" i="1"/>
  <c r="E106" i="1"/>
  <c r="E105" i="1"/>
  <c r="E104" i="1"/>
  <c r="E103" i="1"/>
  <c r="E102" i="1"/>
  <c r="E101" i="1"/>
  <c r="E100" i="1"/>
  <c r="E95" i="1"/>
  <c r="E94" i="1"/>
  <c r="E93" i="1"/>
  <c r="E92" i="1"/>
  <c r="E91" i="1"/>
  <c r="E90" i="1"/>
  <c r="E89" i="1"/>
  <c r="E88" i="1"/>
  <c r="E87" i="1"/>
  <c r="E86" i="1"/>
  <c r="E85" i="1"/>
  <c r="E84" i="1"/>
  <c r="E82" i="1"/>
  <c r="E81" i="1"/>
  <c r="E80" i="1"/>
  <c r="E79" i="1"/>
  <c r="E78" i="1"/>
  <c r="E77" i="1"/>
  <c r="E76" i="1"/>
  <c r="E75" i="1"/>
  <c r="E74" i="1"/>
  <c r="E73" i="1"/>
  <c r="E72" i="1"/>
  <c r="E71" i="1"/>
  <c r="E70" i="1"/>
  <c r="E66" i="1"/>
  <c r="E64" i="1"/>
  <c r="E62" i="1"/>
  <c r="E61" i="1"/>
  <c r="E60" i="1"/>
  <c r="E59" i="1"/>
  <c r="E58" i="1"/>
  <c r="E57" i="1"/>
  <c r="E56" i="1"/>
  <c r="E55" i="1"/>
  <c r="E54" i="1"/>
  <c r="E53" i="1"/>
  <c r="E52" i="1"/>
  <c r="E50" i="1"/>
  <c r="E49" i="1"/>
  <c r="E48" i="1"/>
  <c r="E47" i="1"/>
  <c r="E46" i="1"/>
  <c r="E45" i="1"/>
  <c r="E44" i="1"/>
  <c r="E43" i="1"/>
  <c r="E42" i="1"/>
  <c r="E41" i="1"/>
  <c r="E40" i="1"/>
  <c r="E39" i="1"/>
  <c r="E38" i="1"/>
  <c r="E36" i="1"/>
  <c r="E35" i="1"/>
  <c r="E33" i="1"/>
  <c r="E32" i="1"/>
  <c r="E31" i="1"/>
  <c r="E30" i="1"/>
  <c r="E29" i="1"/>
  <c r="E28" i="1"/>
  <c r="E27" i="1"/>
  <c r="E26" i="1"/>
  <c r="E25" i="1"/>
  <c r="E24" i="1"/>
  <c r="E23" i="1"/>
  <c r="E22" i="1"/>
  <c r="E20" i="1"/>
  <c r="E19" i="1"/>
  <c r="E17" i="1"/>
  <c r="E16" i="1"/>
  <c r="E15" i="1"/>
  <c r="E14" i="1"/>
  <c r="E11" i="1"/>
  <c r="E10" i="1"/>
  <c r="E8" i="1"/>
  <c r="E7" i="1"/>
  <c r="F290" i="36"/>
  <c r="G290" i="36"/>
  <c r="H290" i="36"/>
  <c r="I290" i="36"/>
  <c r="J290" i="36"/>
  <c r="K290" i="36"/>
  <c r="L290" i="36"/>
  <c r="M290" i="36"/>
  <c r="N290" i="36"/>
  <c r="O290" i="36"/>
  <c r="P290" i="36"/>
  <c r="Q290" i="36"/>
  <c r="R290" i="36"/>
  <c r="S290" i="36"/>
  <c r="T290" i="36"/>
  <c r="U290" i="36"/>
  <c r="V290" i="36"/>
  <c r="W290" i="36"/>
  <c r="X290" i="36"/>
  <c r="Y290" i="36"/>
  <c r="Z290" i="36"/>
  <c r="AA290" i="36"/>
  <c r="AB290" i="36"/>
  <c r="AC290" i="36"/>
  <c r="AD290" i="36"/>
  <c r="AE290" i="36"/>
  <c r="AF290" i="36"/>
  <c r="AG290" i="36"/>
  <c r="AH290" i="36"/>
  <c r="AI290" i="36"/>
  <c r="AJ290" i="36"/>
  <c r="AK290" i="36"/>
  <c r="AL290" i="36"/>
  <c r="AM290" i="36"/>
  <c r="AN290" i="36"/>
  <c r="AO290" i="36"/>
  <c r="AP290" i="36"/>
  <c r="AQ290" i="36"/>
  <c r="AR290" i="36"/>
  <c r="AS290" i="36"/>
  <c r="AT290" i="36"/>
  <c r="AU290" i="36"/>
  <c r="AV290" i="36"/>
  <c r="AW290" i="36"/>
  <c r="AX290" i="36"/>
  <c r="AY290" i="36"/>
  <c r="AZ290" i="36"/>
  <c r="BA290" i="36"/>
  <c r="BB290" i="36"/>
  <c r="BC290" i="36"/>
  <c r="BD290" i="36"/>
  <c r="BE290" i="36"/>
  <c r="BF290" i="36"/>
  <c r="BG290" i="36"/>
  <c r="BH290" i="36"/>
  <c r="BI290" i="36"/>
  <c r="BJ290" i="36"/>
  <c r="BK290" i="36"/>
  <c r="BL290" i="36"/>
  <c r="BM290" i="36"/>
  <c r="BN290" i="36"/>
  <c r="BO290" i="36"/>
  <c r="BP290" i="36"/>
  <c r="BQ290" i="36"/>
  <c r="BR290" i="36"/>
  <c r="BS290" i="36"/>
  <c r="BT290" i="36"/>
  <c r="BU290" i="36"/>
  <c r="BV290" i="36"/>
  <c r="BW290" i="36"/>
  <c r="BX290" i="36"/>
  <c r="BY290" i="36"/>
  <c r="BZ290" i="36"/>
  <c r="CA290" i="36"/>
  <c r="CB290" i="36"/>
  <c r="CC290" i="36"/>
  <c r="CD290" i="36"/>
  <c r="CE290" i="36"/>
  <c r="CF290" i="36"/>
  <c r="CG290" i="36"/>
  <c r="CH290" i="36"/>
  <c r="CI290" i="36"/>
  <c r="CJ290" i="36"/>
  <c r="CK290" i="36"/>
  <c r="CL290" i="36"/>
  <c r="CM290" i="36"/>
  <c r="CN290" i="36"/>
  <c r="CO290" i="36"/>
  <c r="CP290" i="36"/>
  <c r="CQ290" i="36"/>
  <c r="E290" i="36"/>
  <c r="F282" i="36"/>
  <c r="G282" i="36"/>
  <c r="H282" i="36"/>
  <c r="I282" i="36"/>
  <c r="J282" i="36"/>
  <c r="K282" i="36"/>
  <c r="L282" i="36"/>
  <c r="M282" i="36"/>
  <c r="N282" i="36"/>
  <c r="O282" i="36"/>
  <c r="P282" i="36"/>
  <c r="Q282" i="36"/>
  <c r="R282" i="36"/>
  <c r="S282" i="36"/>
  <c r="T282" i="36"/>
  <c r="U282" i="36"/>
  <c r="V282" i="36"/>
  <c r="W282" i="36"/>
  <c r="X282" i="36"/>
  <c r="Y282" i="36"/>
  <c r="Z282" i="36"/>
  <c r="AA282" i="36"/>
  <c r="AB282" i="36"/>
  <c r="AC282" i="36"/>
  <c r="AD282" i="36"/>
  <c r="AE282" i="36"/>
  <c r="AF282" i="36"/>
  <c r="AG282" i="36"/>
  <c r="AH282" i="36"/>
  <c r="AI282" i="36"/>
  <c r="AJ282" i="36"/>
  <c r="AK282" i="36"/>
  <c r="AL282" i="36"/>
  <c r="AM282" i="36"/>
  <c r="AN282" i="36"/>
  <c r="AO282" i="36"/>
  <c r="AP282" i="36"/>
  <c r="AQ282" i="36"/>
  <c r="AR282" i="36"/>
  <c r="AS282" i="36"/>
  <c r="AT282" i="36"/>
  <c r="AU282" i="36"/>
  <c r="AV282" i="36"/>
  <c r="AW282" i="36"/>
  <c r="AX282" i="36"/>
  <c r="AY282" i="36"/>
  <c r="AZ282" i="36"/>
  <c r="E9" i="1" s="1"/>
  <c r="BA282" i="36"/>
  <c r="BB282" i="36"/>
  <c r="BC282" i="36"/>
  <c r="BD282" i="36"/>
  <c r="BE282" i="36"/>
  <c r="BF282" i="36"/>
  <c r="BG282" i="36"/>
  <c r="BH282" i="36"/>
  <c r="BI282" i="36"/>
  <c r="BJ282" i="36"/>
  <c r="BK282" i="36"/>
  <c r="BL282" i="36"/>
  <c r="BM282" i="36"/>
  <c r="BN282" i="36"/>
  <c r="BO282" i="36"/>
  <c r="BP282" i="36"/>
  <c r="BQ282" i="36"/>
  <c r="BR282" i="36"/>
  <c r="BS282" i="36"/>
  <c r="BT282" i="36"/>
  <c r="BU282" i="36"/>
  <c r="BV282" i="36"/>
  <c r="BW282" i="36"/>
  <c r="BX282" i="36"/>
  <c r="BY282" i="36"/>
  <c r="BZ282" i="36"/>
  <c r="CA282" i="36"/>
  <c r="CB282" i="36"/>
  <c r="CC282" i="36"/>
  <c r="CD282" i="36"/>
  <c r="CE282" i="36"/>
  <c r="CF282" i="36"/>
  <c r="CG282" i="36"/>
  <c r="CH282" i="36"/>
  <c r="CI282" i="36"/>
  <c r="CJ282" i="36"/>
  <c r="CK282" i="36"/>
  <c r="CL282" i="36"/>
  <c r="CM282" i="36"/>
  <c r="CN282" i="36"/>
  <c r="CO282" i="36"/>
  <c r="CP282" i="36"/>
  <c r="CQ282" i="36"/>
  <c r="F283" i="36"/>
  <c r="G283" i="36"/>
  <c r="H283" i="36"/>
  <c r="I283" i="36"/>
  <c r="J283" i="36"/>
  <c r="K283" i="36"/>
  <c r="L283" i="36"/>
  <c r="M283" i="36"/>
  <c r="N283" i="36"/>
  <c r="O283" i="36"/>
  <c r="P283" i="36"/>
  <c r="Q283" i="36"/>
  <c r="R283" i="36"/>
  <c r="S283" i="36"/>
  <c r="T283" i="36"/>
  <c r="U283" i="36"/>
  <c r="V283" i="36"/>
  <c r="W283" i="36"/>
  <c r="X283" i="36"/>
  <c r="Y283" i="36"/>
  <c r="Z283" i="36"/>
  <c r="AA283" i="36"/>
  <c r="AB283" i="36"/>
  <c r="AC283" i="36"/>
  <c r="AD283" i="36"/>
  <c r="AE283" i="36"/>
  <c r="AF283" i="36"/>
  <c r="AG283" i="36"/>
  <c r="AH283" i="36"/>
  <c r="AI283" i="36"/>
  <c r="AJ283" i="36"/>
  <c r="AK283" i="36"/>
  <c r="AL283" i="36"/>
  <c r="AM283" i="36"/>
  <c r="AN283" i="36"/>
  <c r="AO283" i="36"/>
  <c r="AP283" i="36"/>
  <c r="AQ283" i="36"/>
  <c r="AR283" i="36"/>
  <c r="AS283" i="36"/>
  <c r="AT283" i="36"/>
  <c r="AU283" i="36"/>
  <c r="AV283" i="36"/>
  <c r="AW283" i="36"/>
  <c r="AX283" i="36"/>
  <c r="AY283" i="36"/>
  <c r="AZ283" i="36"/>
  <c r="BA283" i="36"/>
  <c r="BB283" i="36"/>
  <c r="BC283" i="36"/>
  <c r="BD283" i="36"/>
  <c r="BE283" i="36"/>
  <c r="BF283" i="36"/>
  <c r="BG283" i="36"/>
  <c r="BH283" i="36"/>
  <c r="BI283" i="36"/>
  <c r="BJ283" i="36"/>
  <c r="BK283" i="36"/>
  <c r="BL283" i="36"/>
  <c r="BM283" i="36"/>
  <c r="BN283" i="36"/>
  <c r="BO283" i="36"/>
  <c r="BP283" i="36"/>
  <c r="BQ283" i="36"/>
  <c r="BR283" i="36"/>
  <c r="BS283" i="36"/>
  <c r="BT283" i="36"/>
  <c r="BU283" i="36"/>
  <c r="BV283" i="36"/>
  <c r="BW283" i="36"/>
  <c r="BX283" i="36"/>
  <c r="BY283" i="36"/>
  <c r="BZ283" i="36"/>
  <c r="CA283" i="36"/>
  <c r="CB283" i="36"/>
  <c r="CC283" i="36"/>
  <c r="CD283" i="36"/>
  <c r="CE283" i="36"/>
  <c r="CF283" i="36"/>
  <c r="CG283" i="36"/>
  <c r="CH283" i="36"/>
  <c r="CI283" i="36"/>
  <c r="CJ283" i="36"/>
  <c r="CK283" i="36"/>
  <c r="CL283" i="36"/>
  <c r="CM283" i="36"/>
  <c r="CN283" i="36"/>
  <c r="CO283" i="36"/>
  <c r="CP283" i="36"/>
  <c r="CQ283" i="36"/>
  <c r="F284" i="36"/>
  <c r="G284" i="36"/>
  <c r="H284" i="36"/>
  <c r="I284" i="36"/>
  <c r="J284" i="36"/>
  <c r="K284" i="36"/>
  <c r="L284" i="36"/>
  <c r="M284" i="36"/>
  <c r="N284" i="36"/>
  <c r="O284" i="36"/>
  <c r="P284" i="36"/>
  <c r="Q284" i="36"/>
  <c r="R284" i="36"/>
  <c r="S284" i="36"/>
  <c r="T284" i="36"/>
  <c r="U284" i="36"/>
  <c r="V284" i="36"/>
  <c r="W284" i="36"/>
  <c r="X284" i="36"/>
  <c r="Y284" i="36"/>
  <c r="Z284" i="36"/>
  <c r="AA284" i="36"/>
  <c r="AB284" i="36"/>
  <c r="AC284" i="36"/>
  <c r="AD284" i="36"/>
  <c r="AE284" i="36"/>
  <c r="AF284" i="36"/>
  <c r="AG284" i="36"/>
  <c r="AH284" i="36"/>
  <c r="AI284" i="36"/>
  <c r="AJ284" i="36"/>
  <c r="AK284" i="36"/>
  <c r="AL284" i="36"/>
  <c r="AM284" i="36"/>
  <c r="AN284" i="36"/>
  <c r="AO284" i="36"/>
  <c r="AP284" i="36"/>
  <c r="AQ284" i="36"/>
  <c r="AR284" i="36"/>
  <c r="AS284" i="36"/>
  <c r="AT284" i="36"/>
  <c r="AU284" i="36"/>
  <c r="AV284" i="36"/>
  <c r="AW284" i="36"/>
  <c r="AX284" i="36"/>
  <c r="AY284" i="36"/>
  <c r="AZ284" i="36"/>
  <c r="E13" i="1" s="1"/>
  <c r="BA284" i="36"/>
  <c r="BB284" i="36"/>
  <c r="BC284" i="36"/>
  <c r="BD284" i="36"/>
  <c r="BE284" i="36"/>
  <c r="BF284" i="36"/>
  <c r="BG284" i="36"/>
  <c r="BH284" i="36"/>
  <c r="BI284" i="36"/>
  <c r="BJ284" i="36"/>
  <c r="BK284" i="36"/>
  <c r="BL284" i="36"/>
  <c r="BM284" i="36"/>
  <c r="BN284" i="36"/>
  <c r="BO284" i="36"/>
  <c r="BP284" i="36"/>
  <c r="BQ284" i="36"/>
  <c r="BR284" i="36"/>
  <c r="BS284" i="36"/>
  <c r="BT284" i="36"/>
  <c r="BU284" i="36"/>
  <c r="BV284" i="36"/>
  <c r="BW284" i="36"/>
  <c r="BX284" i="36"/>
  <c r="BY284" i="36"/>
  <c r="BZ284" i="36"/>
  <c r="CA284" i="36"/>
  <c r="CB284" i="36"/>
  <c r="CC284" i="36"/>
  <c r="CD284" i="36"/>
  <c r="CE284" i="36"/>
  <c r="CF284" i="36"/>
  <c r="CG284" i="36"/>
  <c r="CH284" i="36"/>
  <c r="CI284" i="36"/>
  <c r="CJ284" i="36"/>
  <c r="CK284" i="36"/>
  <c r="CL284" i="36"/>
  <c r="CM284" i="36"/>
  <c r="CN284" i="36"/>
  <c r="CO284" i="36"/>
  <c r="CP284" i="36"/>
  <c r="CQ284" i="36"/>
  <c r="E284" i="36"/>
  <c r="E283" i="36"/>
  <c r="E282" i="36"/>
  <c r="F286" i="36"/>
  <c r="G286" i="36"/>
  <c r="H286" i="36"/>
  <c r="I286" i="36"/>
  <c r="J286" i="36"/>
  <c r="K286" i="36"/>
  <c r="L286" i="36"/>
  <c r="M286" i="36"/>
  <c r="N286" i="36"/>
  <c r="O286" i="36"/>
  <c r="P286" i="36"/>
  <c r="Q286" i="36"/>
  <c r="R286" i="36"/>
  <c r="S286" i="36"/>
  <c r="T286" i="36"/>
  <c r="U286" i="36"/>
  <c r="V286" i="36"/>
  <c r="W286" i="36"/>
  <c r="X286" i="36"/>
  <c r="Y286" i="36"/>
  <c r="Z286" i="36"/>
  <c r="AA286" i="36"/>
  <c r="AB286" i="36"/>
  <c r="AC286" i="36"/>
  <c r="AD286" i="36"/>
  <c r="AE286" i="36"/>
  <c r="AF286" i="36"/>
  <c r="AG286" i="36"/>
  <c r="AH286" i="36"/>
  <c r="AI286" i="36"/>
  <c r="AJ286" i="36"/>
  <c r="AK286" i="36"/>
  <c r="AL286" i="36"/>
  <c r="AM286" i="36"/>
  <c r="AN286" i="36"/>
  <c r="AO286" i="36"/>
  <c r="AP286" i="36"/>
  <c r="AQ286" i="36"/>
  <c r="AR286" i="36"/>
  <c r="AS286" i="36"/>
  <c r="AT286" i="36"/>
  <c r="AU286" i="36"/>
  <c r="AV286" i="36"/>
  <c r="AW286" i="36"/>
  <c r="AX286" i="36"/>
  <c r="AY286" i="36"/>
  <c r="AZ286" i="36"/>
  <c r="BA286" i="36"/>
  <c r="BB286" i="36"/>
  <c r="BC286" i="36"/>
  <c r="BD286" i="36"/>
  <c r="BE286" i="36"/>
  <c r="BF286" i="36"/>
  <c r="BG286" i="36"/>
  <c r="BH286" i="36"/>
  <c r="BI286" i="36"/>
  <c r="BJ286" i="36"/>
  <c r="BK286" i="36"/>
  <c r="BL286" i="36"/>
  <c r="BM286" i="36"/>
  <c r="BN286" i="36"/>
  <c r="BO286" i="36"/>
  <c r="BP286" i="36"/>
  <c r="BQ286" i="36"/>
  <c r="BR286" i="36"/>
  <c r="BS286" i="36"/>
  <c r="BT286" i="36"/>
  <c r="BU286" i="36"/>
  <c r="BV286" i="36"/>
  <c r="BW286" i="36"/>
  <c r="BX286" i="36"/>
  <c r="BY286" i="36"/>
  <c r="BZ286" i="36"/>
  <c r="CA286" i="36"/>
  <c r="CB286" i="36"/>
  <c r="CC286" i="36"/>
  <c r="CD286" i="36"/>
  <c r="CE286" i="36"/>
  <c r="CF286" i="36"/>
  <c r="CG286" i="36"/>
  <c r="CH286" i="36"/>
  <c r="CI286" i="36"/>
  <c r="CJ286" i="36"/>
  <c r="CK286" i="36"/>
  <c r="CL286" i="36"/>
  <c r="CM286" i="36"/>
  <c r="CN286" i="36"/>
  <c r="CO286" i="36"/>
  <c r="CP286" i="36"/>
  <c r="CQ286" i="36"/>
  <c r="E286" i="36"/>
  <c r="F173" i="1" l="1"/>
  <c r="E12" i="1"/>
  <c r="D3" i="1"/>
  <c r="G71" i="1"/>
  <c r="F287" i="36"/>
  <c r="F288" i="36" s="1"/>
  <c r="F294" i="36" s="1"/>
  <c r="G287" i="36"/>
  <c r="G288" i="36" s="1"/>
  <c r="G294" i="36" s="1"/>
  <c r="H287" i="36"/>
  <c r="H288" i="36" s="1"/>
  <c r="H294" i="36" s="1"/>
  <c r="I287" i="36"/>
  <c r="I288" i="36" s="1"/>
  <c r="I294" i="36" s="1"/>
  <c r="J287" i="36"/>
  <c r="J288" i="36" s="1"/>
  <c r="J294" i="36" s="1"/>
  <c r="K287" i="36"/>
  <c r="K288" i="36" s="1"/>
  <c r="K294" i="36" s="1"/>
  <c r="L287" i="36"/>
  <c r="L288" i="36" s="1"/>
  <c r="L294" i="36" s="1"/>
  <c r="M287" i="36"/>
  <c r="M288" i="36" s="1"/>
  <c r="M294" i="36" s="1"/>
  <c r="N287" i="36"/>
  <c r="N288" i="36" s="1"/>
  <c r="N294" i="36" s="1"/>
  <c r="O287" i="36"/>
  <c r="O288" i="36" s="1"/>
  <c r="O294" i="36" s="1"/>
  <c r="P287" i="36"/>
  <c r="P288" i="36" s="1"/>
  <c r="P294" i="36" s="1"/>
  <c r="Q287" i="36"/>
  <c r="Q288" i="36" s="1"/>
  <c r="Q294" i="36" s="1"/>
  <c r="R287" i="36"/>
  <c r="R288" i="36" s="1"/>
  <c r="R294" i="36" s="1"/>
  <c r="S287" i="36"/>
  <c r="S288" i="36" s="1"/>
  <c r="S294" i="36" s="1"/>
  <c r="T287" i="36"/>
  <c r="T288" i="36" s="1"/>
  <c r="T294" i="36" s="1"/>
  <c r="U287" i="36"/>
  <c r="U288" i="36" s="1"/>
  <c r="U294" i="36" s="1"/>
  <c r="V287" i="36"/>
  <c r="V288" i="36" s="1"/>
  <c r="V294" i="36" s="1"/>
  <c r="W287" i="36"/>
  <c r="W288" i="36" s="1"/>
  <c r="W294" i="36" s="1"/>
  <c r="X287" i="36"/>
  <c r="X288" i="36" s="1"/>
  <c r="X294" i="36" s="1"/>
  <c r="Y287" i="36"/>
  <c r="Y288" i="36" s="1"/>
  <c r="Y294" i="36" s="1"/>
  <c r="Z287" i="36"/>
  <c r="Z288" i="36" s="1"/>
  <c r="Z294" i="36" s="1"/>
  <c r="AA287" i="36"/>
  <c r="AA288" i="36" s="1"/>
  <c r="AA294" i="36" s="1"/>
  <c r="AB287" i="36"/>
  <c r="AB288" i="36" s="1"/>
  <c r="AB294" i="36" s="1"/>
  <c r="AC287" i="36"/>
  <c r="AC288" i="36" s="1"/>
  <c r="AC294" i="36" s="1"/>
  <c r="AD287" i="36"/>
  <c r="AD288" i="36" s="1"/>
  <c r="AD294" i="36" s="1"/>
  <c r="AE287" i="36"/>
  <c r="AE288" i="36" s="1"/>
  <c r="AE294" i="36" s="1"/>
  <c r="AF287" i="36"/>
  <c r="AF288" i="36" s="1"/>
  <c r="AF294" i="36" s="1"/>
  <c r="AG287" i="36"/>
  <c r="AG288" i="36" s="1"/>
  <c r="AG294" i="36" s="1"/>
  <c r="AH287" i="36"/>
  <c r="AH288" i="36" s="1"/>
  <c r="AH294" i="36" s="1"/>
  <c r="AI287" i="36"/>
  <c r="AI288" i="36" s="1"/>
  <c r="AI294" i="36" s="1"/>
  <c r="AJ287" i="36"/>
  <c r="AJ288" i="36" s="1"/>
  <c r="AJ294" i="36" s="1"/>
  <c r="AK287" i="36"/>
  <c r="AK288" i="36" s="1"/>
  <c r="AK294" i="36" s="1"/>
  <c r="AL287" i="36"/>
  <c r="AL288" i="36" s="1"/>
  <c r="AL294" i="36" s="1"/>
  <c r="AM287" i="36"/>
  <c r="AM288" i="36" s="1"/>
  <c r="AM294" i="36" s="1"/>
  <c r="AN287" i="36"/>
  <c r="AN288" i="36" s="1"/>
  <c r="AN294" i="36" s="1"/>
  <c r="AO287" i="36"/>
  <c r="AO288" i="36" s="1"/>
  <c r="AO294" i="36" s="1"/>
  <c r="AP287" i="36"/>
  <c r="AP288" i="36" s="1"/>
  <c r="AP294" i="36" s="1"/>
  <c r="AQ287" i="36"/>
  <c r="AQ288" i="36" s="1"/>
  <c r="AQ294" i="36" s="1"/>
  <c r="AR287" i="36"/>
  <c r="AR288" i="36" s="1"/>
  <c r="AR294" i="36" s="1"/>
  <c r="AS287" i="36"/>
  <c r="AS288" i="36" s="1"/>
  <c r="AS294" i="36" s="1"/>
  <c r="AT287" i="36"/>
  <c r="AT288" i="36" s="1"/>
  <c r="AT294" i="36" s="1"/>
  <c r="AU287" i="36"/>
  <c r="AU288" i="36" s="1"/>
  <c r="AU294" i="36" s="1"/>
  <c r="AV287" i="36"/>
  <c r="AV288" i="36" s="1"/>
  <c r="AV294" i="36" s="1"/>
  <c r="AW287" i="36"/>
  <c r="AW288" i="36" s="1"/>
  <c r="AW294" i="36" s="1"/>
  <c r="AX287" i="36"/>
  <c r="AX288" i="36" s="1"/>
  <c r="AX294" i="36" s="1"/>
  <c r="AY287" i="36"/>
  <c r="AY288" i="36" s="1"/>
  <c r="AY294" i="36" s="1"/>
  <c r="AZ287" i="36"/>
  <c r="AZ288" i="36" s="1"/>
  <c r="AZ294" i="36" s="1"/>
  <c r="BA287" i="36"/>
  <c r="BA288" i="36" s="1"/>
  <c r="BA294" i="36" s="1"/>
  <c r="BB287" i="36"/>
  <c r="BB288" i="36" s="1"/>
  <c r="BB294" i="36" s="1"/>
  <c r="BC287" i="36"/>
  <c r="BC288" i="36" s="1"/>
  <c r="BC294" i="36" s="1"/>
  <c r="BD287" i="36"/>
  <c r="BD288" i="36" s="1"/>
  <c r="BD294" i="36" s="1"/>
  <c r="BE287" i="36"/>
  <c r="BE288" i="36" s="1"/>
  <c r="BE294" i="36" s="1"/>
  <c r="BF287" i="36"/>
  <c r="BF288" i="36" s="1"/>
  <c r="BF294" i="36" s="1"/>
  <c r="BG287" i="36"/>
  <c r="BG288" i="36" s="1"/>
  <c r="BG294" i="36" s="1"/>
  <c r="BH287" i="36"/>
  <c r="BH288" i="36" s="1"/>
  <c r="BH294" i="36" s="1"/>
  <c r="BI287" i="36"/>
  <c r="BI288" i="36" s="1"/>
  <c r="BI294" i="36" s="1"/>
  <c r="BJ287" i="36"/>
  <c r="BJ288" i="36" s="1"/>
  <c r="BJ294" i="36" s="1"/>
  <c r="BK287" i="36"/>
  <c r="BK288" i="36" s="1"/>
  <c r="BK294" i="36" s="1"/>
  <c r="BL287" i="36"/>
  <c r="BL288" i="36" s="1"/>
  <c r="BL294" i="36" s="1"/>
  <c r="BM287" i="36"/>
  <c r="BM288" i="36" s="1"/>
  <c r="BM294" i="36" s="1"/>
  <c r="BN287" i="36"/>
  <c r="BN288" i="36" s="1"/>
  <c r="BN294" i="36" s="1"/>
  <c r="BO287" i="36"/>
  <c r="BO288" i="36" s="1"/>
  <c r="BO294" i="36" s="1"/>
  <c r="BP287" i="36"/>
  <c r="BP288" i="36" s="1"/>
  <c r="BP294" i="36" s="1"/>
  <c r="BQ287" i="36"/>
  <c r="BQ288" i="36" s="1"/>
  <c r="BQ294" i="36" s="1"/>
  <c r="BR287" i="36"/>
  <c r="BR288" i="36" s="1"/>
  <c r="BR294" i="36" s="1"/>
  <c r="BS287" i="36"/>
  <c r="BS288" i="36" s="1"/>
  <c r="BS294" i="36" s="1"/>
  <c r="BT287" i="36"/>
  <c r="BT288" i="36" s="1"/>
  <c r="BT294" i="36" s="1"/>
  <c r="BU287" i="36"/>
  <c r="BU288" i="36" s="1"/>
  <c r="BU294" i="36" s="1"/>
  <c r="BV287" i="36"/>
  <c r="BV288" i="36" s="1"/>
  <c r="BV294" i="36" s="1"/>
  <c r="BW287" i="36"/>
  <c r="BW288" i="36" s="1"/>
  <c r="BW294" i="36" s="1"/>
  <c r="BX287" i="36"/>
  <c r="BX288" i="36" s="1"/>
  <c r="BX294" i="36" s="1"/>
  <c r="BY287" i="36"/>
  <c r="BY288" i="36" s="1"/>
  <c r="BY294" i="36" s="1"/>
  <c r="BZ287" i="36"/>
  <c r="BZ288" i="36" s="1"/>
  <c r="BZ294" i="36" s="1"/>
  <c r="CA287" i="36"/>
  <c r="CA288" i="36" s="1"/>
  <c r="CA294" i="36" s="1"/>
  <c r="CB287" i="36"/>
  <c r="CB288" i="36" s="1"/>
  <c r="CB294" i="36" s="1"/>
  <c r="CC287" i="36"/>
  <c r="CC288" i="36" s="1"/>
  <c r="CC294" i="36" s="1"/>
  <c r="CD287" i="36"/>
  <c r="CD288" i="36" s="1"/>
  <c r="CD294" i="36" s="1"/>
  <c r="CE287" i="36"/>
  <c r="CE288" i="36" s="1"/>
  <c r="CE294" i="36" s="1"/>
  <c r="CF287" i="36"/>
  <c r="CF288" i="36" s="1"/>
  <c r="CF294" i="36" s="1"/>
  <c r="CG287" i="36"/>
  <c r="CG288" i="36" s="1"/>
  <c r="CG294" i="36" s="1"/>
  <c r="CH287" i="36"/>
  <c r="CH288" i="36" s="1"/>
  <c r="CH294" i="36" s="1"/>
  <c r="CI287" i="36"/>
  <c r="CI288" i="36" s="1"/>
  <c r="CI294" i="36" s="1"/>
  <c r="CJ287" i="36"/>
  <c r="CJ288" i="36" s="1"/>
  <c r="CJ294" i="36" s="1"/>
  <c r="CK287" i="36"/>
  <c r="CK288" i="36" s="1"/>
  <c r="CK294" i="36" s="1"/>
  <c r="CL287" i="36"/>
  <c r="CL288" i="36" s="1"/>
  <c r="CL294" i="36" s="1"/>
  <c r="CM287" i="36"/>
  <c r="CM288" i="36" s="1"/>
  <c r="CM294" i="36" s="1"/>
  <c r="CN287" i="36"/>
  <c r="CN288" i="36" s="1"/>
  <c r="CN294" i="36" s="1"/>
  <c r="CO287" i="36"/>
  <c r="CO288" i="36" s="1"/>
  <c r="CO294" i="36" s="1"/>
  <c r="CP287" i="36"/>
  <c r="CP288" i="36" s="1"/>
  <c r="CP294" i="36" s="1"/>
  <c r="CQ287" i="36"/>
  <c r="CQ288" i="36" s="1"/>
  <c r="CQ294" i="36" s="1"/>
  <c r="E287" i="36"/>
  <c r="E288" i="36" s="1"/>
  <c r="E294" i="36" s="1"/>
  <c r="C147" i="28" l="1"/>
  <c r="E176" i="28"/>
  <c r="C176" i="28"/>
  <c r="A176" i="28"/>
  <c r="R176" i="28" s="1"/>
  <c r="L176" i="28" l="1"/>
  <c r="X176" i="28" s="1"/>
  <c r="G229" i="1"/>
  <c r="G228" i="1"/>
  <c r="E147" i="28"/>
  <c r="E142" i="28"/>
  <c r="L142" i="28" s="1"/>
  <c r="E187" i="28"/>
  <c r="C187" i="28"/>
  <c r="A187" i="28"/>
  <c r="E137" i="28"/>
  <c r="G124" i="1"/>
  <c r="G121" i="1"/>
  <c r="G30" i="1"/>
  <c r="X142" i="28" l="1"/>
  <c r="A142" i="28"/>
  <c r="R142" i="28" s="1"/>
  <c r="B142" i="28"/>
  <c r="C142" i="28"/>
  <c r="A141" i="28"/>
  <c r="R141" i="28" s="1"/>
  <c r="E141" i="28"/>
  <c r="C141" i="28"/>
  <c r="B141" i="28"/>
  <c r="L141" i="28" l="1"/>
  <c r="X141" i="28" s="1"/>
  <c r="G187" i="1"/>
  <c r="E149" i="28" l="1"/>
  <c r="L147" i="28" l="1"/>
  <c r="B146" i="28"/>
  <c r="C146" i="28"/>
  <c r="A146" i="28"/>
  <c r="R146" i="28" s="1"/>
  <c r="O82" i="28"/>
  <c r="H111" i="1"/>
  <c r="H64" i="1"/>
  <c r="O28" i="28"/>
  <c r="O27" i="28"/>
  <c r="O14" i="28"/>
  <c r="O13" i="28"/>
  <c r="E5" i="28"/>
  <c r="G189" i="1"/>
  <c r="H145" i="28"/>
  <c r="H144" i="28"/>
  <c r="H153" i="28"/>
  <c r="H152" i="28"/>
  <c r="H150" i="28"/>
  <c r="H149" i="28"/>
  <c r="H159" i="28"/>
  <c r="H158" i="28"/>
  <c r="H191" i="1"/>
  <c r="H206" i="1"/>
  <c r="H203" i="1"/>
  <c r="H200" i="1"/>
  <c r="H197" i="1"/>
  <c r="G190" i="1"/>
  <c r="H190" i="1"/>
  <c r="H192" i="1"/>
  <c r="G192" i="1" s="1"/>
  <c r="G191" i="1"/>
  <c r="H207" i="1"/>
  <c r="G207" i="1" s="1"/>
  <c r="G206" i="1"/>
  <c r="H205" i="1"/>
  <c r="G205" i="1"/>
  <c r="H204" i="1"/>
  <c r="G204" i="1" s="1"/>
  <c r="G203" i="1"/>
  <c r="H202" i="1"/>
  <c r="G202" i="1"/>
  <c r="H201" i="1"/>
  <c r="G201" i="1" s="1"/>
  <c r="G200" i="1"/>
  <c r="H199" i="1"/>
  <c r="G199" i="1"/>
  <c r="H198" i="1"/>
  <c r="G198" i="1" s="1"/>
  <c r="G197" i="1"/>
  <c r="G196" i="1"/>
  <c r="H196" i="1"/>
  <c r="H177" i="28"/>
  <c r="E177" i="28"/>
  <c r="C177" i="28"/>
  <c r="A177" i="28"/>
  <c r="R177" i="28" s="1"/>
  <c r="G232" i="1"/>
  <c r="E154" i="28"/>
  <c r="E160" i="28"/>
  <c r="E157" i="28"/>
  <c r="E151" i="28"/>
  <c r="C151" i="28"/>
  <c r="E146" i="28"/>
  <c r="A151" i="28"/>
  <c r="R151" i="28" s="1"/>
  <c r="B151" i="28"/>
  <c r="A152" i="28"/>
  <c r="R152" i="28" s="1"/>
  <c r="B152" i="28"/>
  <c r="C152" i="28"/>
  <c r="A153" i="28"/>
  <c r="R153" i="28" s="1"/>
  <c r="B153" i="28"/>
  <c r="C153" i="28"/>
  <c r="A154" i="28"/>
  <c r="R154" i="28" s="1"/>
  <c r="B154" i="28"/>
  <c r="C154" i="28"/>
  <c r="A155" i="28"/>
  <c r="R155" i="28" s="1"/>
  <c r="B155" i="28"/>
  <c r="C155" i="28"/>
  <c r="A156" i="28"/>
  <c r="R156" i="28" s="1"/>
  <c r="B156" i="28"/>
  <c r="C156" i="28"/>
  <c r="A157" i="28"/>
  <c r="R157" i="28" s="1"/>
  <c r="B157" i="28"/>
  <c r="C157" i="28"/>
  <c r="A158" i="28"/>
  <c r="R158" i="28" s="1"/>
  <c r="B158" i="28"/>
  <c r="C158" i="28"/>
  <c r="A159" i="28"/>
  <c r="R159" i="28" s="1"/>
  <c r="B159" i="28"/>
  <c r="C159" i="28"/>
  <c r="A160" i="28"/>
  <c r="R160" i="28" s="1"/>
  <c r="B160" i="28"/>
  <c r="C160" i="28"/>
  <c r="E158" i="28"/>
  <c r="E159" i="28"/>
  <c r="G36" i="1"/>
  <c r="G13" i="1"/>
  <c r="H31" i="28"/>
  <c r="H30" i="28"/>
  <c r="C31" i="28"/>
  <c r="C30" i="28"/>
  <c r="G11" i="1"/>
  <c r="E171" i="28"/>
  <c r="E172" i="28"/>
  <c r="E173" i="28"/>
  <c r="E168" i="28"/>
  <c r="E169" i="28"/>
  <c r="E170" i="28"/>
  <c r="E167" i="28"/>
  <c r="A78" i="28"/>
  <c r="R78" i="28" s="1"/>
  <c r="A73" i="28"/>
  <c r="R73" i="28" s="1"/>
  <c r="A65" i="28"/>
  <c r="R65" i="28" s="1"/>
  <c r="A61" i="28"/>
  <c r="R61" i="28" s="1"/>
  <c r="A34" i="28"/>
  <c r="R34" i="28" s="1"/>
  <c r="A33" i="28"/>
  <c r="R33" i="28" s="1"/>
  <c r="E35" i="28"/>
  <c r="E33" i="28"/>
  <c r="E32" i="28"/>
  <c r="G79" i="1"/>
  <c r="G110" i="1"/>
  <c r="G95" i="1"/>
  <c r="G88" i="1"/>
  <c r="G126" i="1"/>
  <c r="G82" i="1"/>
  <c r="G75" i="1"/>
  <c r="G62" i="1"/>
  <c r="G49" i="1"/>
  <c r="G17" i="1"/>
  <c r="N168" i="28"/>
  <c r="C10" i="28"/>
  <c r="G41" i="1"/>
  <c r="E34" i="28"/>
  <c r="G116" i="1"/>
  <c r="G101" i="1"/>
  <c r="G93" i="1"/>
  <c r="G89" i="1"/>
  <c r="G76" i="1"/>
  <c r="G40" i="1"/>
  <c r="G33" i="1"/>
  <c r="A58" i="28"/>
  <c r="R58" i="28" s="1"/>
  <c r="C58" i="28"/>
  <c r="E58" i="28"/>
  <c r="H58" i="28"/>
  <c r="A31" i="28"/>
  <c r="R31" i="28" s="1"/>
  <c r="B31" i="28"/>
  <c r="E31" i="28"/>
  <c r="E30" i="28"/>
  <c r="B30" i="28"/>
  <c r="A30" i="28"/>
  <c r="R30" i="28" s="1"/>
  <c r="G227" i="1"/>
  <c r="G226" i="1"/>
  <c r="G225" i="1"/>
  <c r="G224" i="1"/>
  <c r="G223" i="1"/>
  <c r="G222" i="1"/>
  <c r="G221" i="1"/>
  <c r="E186" i="28"/>
  <c r="C186" i="28"/>
  <c r="B186" i="28"/>
  <c r="A186" i="28"/>
  <c r="E80" i="28"/>
  <c r="H62" i="1"/>
  <c r="E78" i="28"/>
  <c r="B78" i="28"/>
  <c r="C78" i="28"/>
  <c r="E73" i="28"/>
  <c r="B73" i="28"/>
  <c r="C73" i="28"/>
  <c r="E65" i="28"/>
  <c r="B65" i="28"/>
  <c r="C65" i="28"/>
  <c r="E61" i="28"/>
  <c r="B61" i="28"/>
  <c r="C61" i="28"/>
  <c r="B34" i="28"/>
  <c r="C34" i="28"/>
  <c r="H95" i="1"/>
  <c r="G31" i="1"/>
  <c r="G78" i="1"/>
  <c r="E75" i="28"/>
  <c r="H82" i="1"/>
  <c r="G85" i="1"/>
  <c r="G84" i="1"/>
  <c r="H31" i="1"/>
  <c r="H174" i="28"/>
  <c r="H175" i="28"/>
  <c r="H166" i="28"/>
  <c r="H165" i="28"/>
  <c r="H164" i="28"/>
  <c r="H162" i="28"/>
  <c r="H163" i="28"/>
  <c r="H161" i="28"/>
  <c r="H148" i="28"/>
  <c r="H155" i="28"/>
  <c r="H156" i="28"/>
  <c r="H143" i="28"/>
  <c r="H138" i="28"/>
  <c r="H139" i="28"/>
  <c r="H140" i="28"/>
  <c r="H137" i="28"/>
  <c r="H135" i="28"/>
  <c r="H136" i="28"/>
  <c r="H134" i="28"/>
  <c r="H131" i="28"/>
  <c r="H132" i="28"/>
  <c r="H133" i="28"/>
  <c r="H130" i="28"/>
  <c r="H127" i="28"/>
  <c r="H128" i="28"/>
  <c r="H129" i="28"/>
  <c r="H126" i="28"/>
  <c r="H125" i="28"/>
  <c r="H124" i="28"/>
  <c r="H123" i="28"/>
  <c r="H122" i="28"/>
  <c r="H121" i="28"/>
  <c r="H120" i="28"/>
  <c r="H119" i="28"/>
  <c r="H118" i="28"/>
  <c r="H117" i="28"/>
  <c r="H116" i="28"/>
  <c r="H114" i="28"/>
  <c r="H115" i="28"/>
  <c r="H113" i="28"/>
  <c r="H111" i="28"/>
  <c r="H112" i="28"/>
  <c r="H110" i="28"/>
  <c r="H98" i="28"/>
  <c r="H99" i="28"/>
  <c r="H100" i="28"/>
  <c r="H101" i="28"/>
  <c r="H102" i="28"/>
  <c r="H103" i="28"/>
  <c r="H104" i="28"/>
  <c r="H105" i="28"/>
  <c r="H106" i="28"/>
  <c r="H107" i="28"/>
  <c r="H108" i="28"/>
  <c r="H109" i="28"/>
  <c r="H97" i="28"/>
  <c r="H84" i="28"/>
  <c r="H85" i="28"/>
  <c r="H86" i="28"/>
  <c r="H87" i="28"/>
  <c r="H88" i="28"/>
  <c r="H89" i="28"/>
  <c r="H90" i="28"/>
  <c r="H91" i="28"/>
  <c r="H92" i="28"/>
  <c r="H93" i="28"/>
  <c r="H94" i="28"/>
  <c r="H95" i="28"/>
  <c r="H96" i="28"/>
  <c r="H83" i="28"/>
  <c r="H72" i="28"/>
  <c r="H74" i="28"/>
  <c r="H75" i="28"/>
  <c r="H76" i="28"/>
  <c r="H77" i="28"/>
  <c r="H79" i="28"/>
  <c r="H80" i="28"/>
  <c r="H81" i="28"/>
  <c r="H82" i="28"/>
  <c r="H71" i="28"/>
  <c r="H60" i="28"/>
  <c r="H62" i="28"/>
  <c r="H63" i="28"/>
  <c r="H64" i="28"/>
  <c r="H66" i="28"/>
  <c r="H67" i="28"/>
  <c r="H68" i="28"/>
  <c r="H69" i="28"/>
  <c r="H70" i="28"/>
  <c r="H59" i="28"/>
  <c r="H57" i="28"/>
  <c r="H46" i="28"/>
  <c r="H47" i="28"/>
  <c r="H48" i="28"/>
  <c r="H49" i="28"/>
  <c r="H50" i="28"/>
  <c r="H51" i="28"/>
  <c r="H52" i="28"/>
  <c r="H53" i="28"/>
  <c r="H54" i="28"/>
  <c r="H55" i="28"/>
  <c r="H56" i="28"/>
  <c r="H45" i="28"/>
  <c r="H33" i="28"/>
  <c r="H35" i="28"/>
  <c r="H36" i="28"/>
  <c r="H37" i="28"/>
  <c r="H38" i="28"/>
  <c r="H39" i="28"/>
  <c r="H40" i="28"/>
  <c r="H41" i="28"/>
  <c r="H42" i="28"/>
  <c r="H43" i="28"/>
  <c r="H44" i="28"/>
  <c r="H32" i="28"/>
  <c r="H19" i="28"/>
  <c r="H20" i="28"/>
  <c r="H21" i="28"/>
  <c r="H22" i="28"/>
  <c r="H23" i="28"/>
  <c r="H24" i="28"/>
  <c r="H25" i="28"/>
  <c r="H26" i="28"/>
  <c r="H27" i="28"/>
  <c r="H28" i="28"/>
  <c r="H29" i="28"/>
  <c r="H18" i="28"/>
  <c r="H17" i="28"/>
  <c r="H16" i="28"/>
  <c r="H6" i="28"/>
  <c r="H7" i="28"/>
  <c r="H8" i="28"/>
  <c r="H9" i="28"/>
  <c r="H10" i="28"/>
  <c r="H11" i="28"/>
  <c r="H12" i="28"/>
  <c r="H13" i="28"/>
  <c r="H14" i="28"/>
  <c r="H15" i="28"/>
  <c r="H5" i="28"/>
  <c r="A168" i="28"/>
  <c r="R168" i="28" s="1"/>
  <c r="B168" i="28"/>
  <c r="C168" i="28"/>
  <c r="A169" i="28"/>
  <c r="R169" i="28" s="1"/>
  <c r="B169" i="28"/>
  <c r="C169" i="28"/>
  <c r="A170" i="28"/>
  <c r="R170" i="28" s="1"/>
  <c r="B170" i="28"/>
  <c r="C170" i="28"/>
  <c r="A171" i="28"/>
  <c r="R171" i="28" s="1"/>
  <c r="B171" i="28"/>
  <c r="C171" i="28"/>
  <c r="A172" i="28"/>
  <c r="R172" i="28" s="1"/>
  <c r="B172" i="28"/>
  <c r="C172" i="28"/>
  <c r="A173" i="28"/>
  <c r="R173" i="28" s="1"/>
  <c r="B173" i="28"/>
  <c r="C173" i="28"/>
  <c r="A174" i="28"/>
  <c r="R174" i="28" s="1"/>
  <c r="B174" i="28"/>
  <c r="C174" i="28"/>
  <c r="E174" i="28"/>
  <c r="A175" i="28"/>
  <c r="R175" i="28" s="1"/>
  <c r="B175" i="28"/>
  <c r="C175" i="28"/>
  <c r="E175" i="28"/>
  <c r="A167" i="28"/>
  <c r="R167" i="28" s="1"/>
  <c r="B167" i="28"/>
  <c r="C167" i="28"/>
  <c r="A135" i="28"/>
  <c r="R135" i="28" s="1"/>
  <c r="B135" i="28"/>
  <c r="C135" i="28"/>
  <c r="E135" i="28"/>
  <c r="A136" i="28"/>
  <c r="R136" i="28" s="1"/>
  <c r="B136" i="28"/>
  <c r="C136" i="28"/>
  <c r="E136" i="28"/>
  <c r="E134" i="28"/>
  <c r="C134" i="28"/>
  <c r="B134" i="28"/>
  <c r="A134" i="28"/>
  <c r="R134" i="28" s="1"/>
  <c r="A131" i="28"/>
  <c r="R131" i="28" s="1"/>
  <c r="B131" i="28"/>
  <c r="C131" i="28"/>
  <c r="E131" i="28"/>
  <c r="A132" i="28"/>
  <c r="R132" i="28" s="1"/>
  <c r="B132" i="28"/>
  <c r="C132" i="28"/>
  <c r="E132" i="28"/>
  <c r="A133" i="28"/>
  <c r="R133" i="28" s="1"/>
  <c r="B133" i="28"/>
  <c r="C133" i="28"/>
  <c r="E133" i="28"/>
  <c r="E130" i="28"/>
  <c r="C130" i="28"/>
  <c r="B130" i="28"/>
  <c r="A130" i="28"/>
  <c r="R130" i="28" s="1"/>
  <c r="A127" i="28"/>
  <c r="R127" i="28" s="1"/>
  <c r="B127" i="28"/>
  <c r="C127" i="28"/>
  <c r="E127" i="28"/>
  <c r="A128" i="28"/>
  <c r="R128" i="28" s="1"/>
  <c r="B128" i="28"/>
  <c r="C128" i="28"/>
  <c r="E128" i="28"/>
  <c r="A129" i="28"/>
  <c r="R129" i="28" s="1"/>
  <c r="B129" i="28"/>
  <c r="C129" i="28"/>
  <c r="E129" i="28"/>
  <c r="E126" i="28"/>
  <c r="C126" i="28"/>
  <c r="B126" i="28"/>
  <c r="A126" i="28"/>
  <c r="R126" i="28" s="1"/>
  <c r="A125" i="28"/>
  <c r="R125" i="28" s="1"/>
  <c r="B125" i="28"/>
  <c r="C125" i="28"/>
  <c r="E125" i="28"/>
  <c r="A123" i="28"/>
  <c r="R123" i="28" s="1"/>
  <c r="B123" i="28"/>
  <c r="C123" i="28"/>
  <c r="E123" i="28"/>
  <c r="A124" i="28"/>
  <c r="R124" i="28" s="1"/>
  <c r="B124" i="28"/>
  <c r="C124" i="28"/>
  <c r="E124" i="28"/>
  <c r="E122" i="28"/>
  <c r="C122" i="28"/>
  <c r="B122" i="28"/>
  <c r="A122" i="28"/>
  <c r="R122" i="28" s="1"/>
  <c r="A121" i="28"/>
  <c r="R121" i="28" s="1"/>
  <c r="B121" i="28"/>
  <c r="C121" i="28"/>
  <c r="E121" i="28"/>
  <c r="E120" i="28"/>
  <c r="C120" i="28"/>
  <c r="B120" i="28"/>
  <c r="A120" i="28"/>
  <c r="R120" i="28" s="1"/>
  <c r="A119" i="28"/>
  <c r="R119" i="28" s="1"/>
  <c r="B119" i="28"/>
  <c r="C119" i="28"/>
  <c r="E119" i="28"/>
  <c r="E118" i="28"/>
  <c r="C118" i="28"/>
  <c r="B118" i="28"/>
  <c r="A118" i="28"/>
  <c r="R118" i="28" s="1"/>
  <c r="A29" i="28"/>
  <c r="R29" i="28" s="1"/>
  <c r="B29" i="28"/>
  <c r="C29" i="28"/>
  <c r="E29" i="28"/>
  <c r="A8" i="28"/>
  <c r="R8" i="28" s="1"/>
  <c r="B8" i="28"/>
  <c r="C8" i="28"/>
  <c r="E8" i="28"/>
  <c r="A9" i="28"/>
  <c r="R9" i="28" s="1"/>
  <c r="B9" i="28"/>
  <c r="C9" i="28"/>
  <c r="H126" i="1"/>
  <c r="H49" i="1"/>
  <c r="H17" i="1"/>
  <c r="G10" i="1"/>
  <c r="A145" i="28"/>
  <c r="R145" i="28" s="1"/>
  <c r="B145" i="28"/>
  <c r="C145" i="28"/>
  <c r="E145" i="28"/>
  <c r="H4" i="30"/>
  <c r="F4" i="30"/>
  <c r="E153" i="28"/>
  <c r="L149" i="28"/>
  <c r="X149" i="28" s="1"/>
  <c r="E113" i="28"/>
  <c r="G125" i="1"/>
  <c r="E106" i="28"/>
  <c r="E102" i="28"/>
  <c r="E97" i="28"/>
  <c r="E92" i="28"/>
  <c r="E87" i="28"/>
  <c r="E83" i="28"/>
  <c r="G92" i="1"/>
  <c r="E62" i="28"/>
  <c r="E54" i="28"/>
  <c r="E50" i="28"/>
  <c r="E41" i="28"/>
  <c r="G44" i="1"/>
  <c r="E27" i="28"/>
  <c r="E26" i="28"/>
  <c r="G27" i="1"/>
  <c r="B166" i="28"/>
  <c r="B165" i="28"/>
  <c r="B164" i="28"/>
  <c r="B163" i="28"/>
  <c r="B162" i="28"/>
  <c r="B161" i="28"/>
  <c r="B144" i="28"/>
  <c r="B150" i="28"/>
  <c r="B149" i="28"/>
  <c r="B148" i="28"/>
  <c r="B143" i="28"/>
  <c r="B140" i="28"/>
  <c r="B139" i="28"/>
  <c r="B138" i="28"/>
  <c r="B137" i="28"/>
  <c r="B117" i="28"/>
  <c r="B116" i="28"/>
  <c r="B115" i="28"/>
  <c r="B114" i="28"/>
  <c r="B113" i="28"/>
  <c r="B112" i="28"/>
  <c r="B111" i="28"/>
  <c r="B110" i="28"/>
  <c r="B10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7" i="28"/>
  <c r="B76" i="28"/>
  <c r="B75" i="28"/>
  <c r="B74" i="28"/>
  <c r="B72" i="28"/>
  <c r="B71" i="28"/>
  <c r="B70" i="28"/>
  <c r="B69" i="28"/>
  <c r="B68" i="28"/>
  <c r="B67" i="28"/>
  <c r="B66" i="28"/>
  <c r="B64" i="28"/>
  <c r="B63" i="28"/>
  <c r="B62" i="28"/>
  <c r="B60" i="28"/>
  <c r="B59" i="28"/>
  <c r="B57" i="28"/>
  <c r="B56" i="28"/>
  <c r="B55" i="28"/>
  <c r="B54" i="28"/>
  <c r="B53" i="28"/>
  <c r="B52" i="28"/>
  <c r="B51" i="28"/>
  <c r="B50" i="28"/>
  <c r="B49" i="28"/>
  <c r="B48" i="28"/>
  <c r="B47" i="28"/>
  <c r="B46" i="28"/>
  <c r="B45" i="28"/>
  <c r="B44" i="28"/>
  <c r="B43" i="28"/>
  <c r="B42" i="28"/>
  <c r="B41" i="28"/>
  <c r="B40" i="28"/>
  <c r="B39" i="28"/>
  <c r="B38" i="28"/>
  <c r="B37" i="28"/>
  <c r="B36" i="28"/>
  <c r="B35" i="28"/>
  <c r="B33" i="28"/>
  <c r="B32" i="28"/>
  <c r="B28" i="28"/>
  <c r="B27" i="28"/>
  <c r="B26" i="28"/>
  <c r="B25" i="28"/>
  <c r="B24" i="28"/>
  <c r="B23" i="28"/>
  <c r="B22" i="28"/>
  <c r="B21" i="28"/>
  <c r="B20" i="28"/>
  <c r="B19" i="28"/>
  <c r="B18" i="28"/>
  <c r="B17" i="28"/>
  <c r="B16" i="28"/>
  <c r="B15" i="28"/>
  <c r="B14" i="28"/>
  <c r="B13" i="28"/>
  <c r="B12" i="28"/>
  <c r="B11" i="28"/>
  <c r="B10" i="28"/>
  <c r="B7" i="28"/>
  <c r="B6" i="28"/>
  <c r="B5" i="28"/>
  <c r="A140" i="28"/>
  <c r="R140" i="28" s="1"/>
  <c r="E144" i="28"/>
  <c r="A144" i="28"/>
  <c r="R144" i="28" s="1"/>
  <c r="C144" i="28"/>
  <c r="E143" i="28"/>
  <c r="C143" i="28"/>
  <c r="A143" i="28"/>
  <c r="R143" i="28" s="1"/>
  <c r="C52" i="28"/>
  <c r="C53" i="28"/>
  <c r="C54" i="28"/>
  <c r="A52" i="28"/>
  <c r="R52" i="28" s="1"/>
  <c r="A53" i="28"/>
  <c r="R53" i="28" s="1"/>
  <c r="A54" i="28"/>
  <c r="R54" i="28" s="1"/>
  <c r="G60" i="1"/>
  <c r="E148" i="28"/>
  <c r="A148" i="28"/>
  <c r="R148" i="28" s="1"/>
  <c r="C148" i="28"/>
  <c r="G195" i="1"/>
  <c r="G142" i="1"/>
  <c r="G39" i="1"/>
  <c r="G38" i="1"/>
  <c r="G20" i="1"/>
  <c r="G19" i="1"/>
  <c r="G12" i="1"/>
  <c r="G8" i="1"/>
  <c r="G7" i="1"/>
  <c r="E166" i="28"/>
  <c r="E165" i="28"/>
  <c r="E44" i="28"/>
  <c r="G140" i="1"/>
  <c r="E116" i="28"/>
  <c r="C116" i="28"/>
  <c r="A116" i="28"/>
  <c r="R116" i="28" s="1"/>
  <c r="A115" i="28"/>
  <c r="R115" i="28" s="1"/>
  <c r="E117" i="28"/>
  <c r="C166" i="28"/>
  <c r="A166" i="28"/>
  <c r="R166" i="28" s="1"/>
  <c r="C165" i="28"/>
  <c r="A165" i="28"/>
  <c r="R165" i="28" s="1"/>
  <c r="C44" i="28"/>
  <c r="A44" i="28"/>
  <c r="R44" i="28" s="1"/>
  <c r="C164" i="28"/>
  <c r="A164" i="28"/>
  <c r="R164" i="28" s="1"/>
  <c r="A162" i="28"/>
  <c r="R162" i="28" s="1"/>
  <c r="C162" i="28"/>
  <c r="A163" i="28"/>
  <c r="R163" i="28" s="1"/>
  <c r="C163" i="28"/>
  <c r="C161" i="28"/>
  <c r="A161" i="28"/>
  <c r="R161" i="28" s="1"/>
  <c r="C150" i="28"/>
  <c r="A150" i="28"/>
  <c r="R150" i="28" s="1"/>
  <c r="C149" i="28"/>
  <c r="A149" i="28"/>
  <c r="R149" i="28" s="1"/>
  <c r="A138" i="28"/>
  <c r="R138" i="28" s="1"/>
  <c r="C138" i="28"/>
  <c r="A139" i="28"/>
  <c r="R139" i="28" s="1"/>
  <c r="C139" i="28"/>
  <c r="C140" i="28"/>
  <c r="C117" i="28"/>
  <c r="A117" i="28"/>
  <c r="R117" i="28" s="1"/>
  <c r="C137" i="28"/>
  <c r="A137" i="28"/>
  <c r="R137" i="28" s="1"/>
  <c r="A114" i="28"/>
  <c r="R114" i="28" s="1"/>
  <c r="C114" i="28"/>
  <c r="C115" i="28"/>
  <c r="C113" i="28"/>
  <c r="A113" i="28"/>
  <c r="R113" i="28" s="1"/>
  <c r="A112" i="28"/>
  <c r="R112" i="28" s="1"/>
  <c r="C112" i="28"/>
  <c r="A111" i="28"/>
  <c r="R111" i="28" s="1"/>
  <c r="C111" i="28"/>
  <c r="C110" i="28"/>
  <c r="A110" i="28"/>
  <c r="R110" i="28" s="1"/>
  <c r="A109" i="28"/>
  <c r="R109" i="28" s="1"/>
  <c r="A98" i="28"/>
  <c r="R98" i="28" s="1"/>
  <c r="A99" i="28"/>
  <c r="R99" i="28" s="1"/>
  <c r="A100" i="28"/>
  <c r="R100" i="28" s="1"/>
  <c r="A101" i="28"/>
  <c r="R101" i="28" s="1"/>
  <c r="A102" i="28"/>
  <c r="R102" i="28" s="1"/>
  <c r="A103" i="28"/>
  <c r="R103" i="28" s="1"/>
  <c r="A104" i="28"/>
  <c r="R104" i="28" s="1"/>
  <c r="A105" i="28"/>
  <c r="R105" i="28" s="1"/>
  <c r="A106" i="28"/>
  <c r="R106" i="28" s="1"/>
  <c r="A107" i="28"/>
  <c r="R107" i="28" s="1"/>
  <c r="A108" i="28"/>
  <c r="R108" i="28" s="1"/>
  <c r="A97" i="28"/>
  <c r="R97" i="28" s="1"/>
  <c r="A84" i="28"/>
  <c r="R84" i="28" s="1"/>
  <c r="A85" i="28"/>
  <c r="R85" i="28" s="1"/>
  <c r="A86" i="28"/>
  <c r="R86" i="28" s="1"/>
  <c r="A87" i="28"/>
  <c r="R87" i="28" s="1"/>
  <c r="A88" i="28"/>
  <c r="R88" i="28" s="1"/>
  <c r="A89" i="28"/>
  <c r="R89" i="28" s="1"/>
  <c r="A90" i="28"/>
  <c r="R90" i="28" s="1"/>
  <c r="A91" i="28"/>
  <c r="R91" i="28" s="1"/>
  <c r="A92" i="28"/>
  <c r="R92" i="28" s="1"/>
  <c r="A93" i="28"/>
  <c r="R93" i="28" s="1"/>
  <c r="A94" i="28"/>
  <c r="R94" i="28" s="1"/>
  <c r="A95" i="28"/>
  <c r="R95" i="28" s="1"/>
  <c r="A96" i="28"/>
  <c r="R96" i="28" s="1"/>
  <c r="A83" i="28"/>
  <c r="R83" i="28" s="1"/>
  <c r="A72" i="28"/>
  <c r="R72" i="28" s="1"/>
  <c r="A74" i="28"/>
  <c r="R74" i="28" s="1"/>
  <c r="A75" i="28"/>
  <c r="R75" i="28" s="1"/>
  <c r="A76" i="28"/>
  <c r="R76" i="28" s="1"/>
  <c r="A77" i="28"/>
  <c r="R77" i="28" s="1"/>
  <c r="A79" i="28"/>
  <c r="R79" i="28" s="1"/>
  <c r="A80" i="28"/>
  <c r="R80" i="28" s="1"/>
  <c r="A81" i="28"/>
  <c r="R81" i="28" s="1"/>
  <c r="A82" i="28"/>
  <c r="R82" i="28" s="1"/>
  <c r="A71" i="28"/>
  <c r="R71" i="28" s="1"/>
  <c r="A60" i="28"/>
  <c r="R60" i="28" s="1"/>
  <c r="A62" i="28"/>
  <c r="R62" i="28" s="1"/>
  <c r="A63" i="28"/>
  <c r="R63" i="28" s="1"/>
  <c r="A64" i="28"/>
  <c r="R64" i="28" s="1"/>
  <c r="A66" i="28"/>
  <c r="R66" i="28" s="1"/>
  <c r="A67" i="28"/>
  <c r="R67" i="28" s="1"/>
  <c r="A68" i="28"/>
  <c r="R68" i="28" s="1"/>
  <c r="A69" i="28"/>
  <c r="R69" i="28" s="1"/>
  <c r="A70" i="28"/>
  <c r="R70" i="28" s="1"/>
  <c r="A59" i="28"/>
  <c r="R59" i="28" s="1"/>
  <c r="A57" i="28"/>
  <c r="R57" i="28" s="1"/>
  <c r="A46" i="28"/>
  <c r="R46" i="28" s="1"/>
  <c r="A47" i="28"/>
  <c r="R47" i="28" s="1"/>
  <c r="A48" i="28"/>
  <c r="R48" i="28" s="1"/>
  <c r="A49" i="28"/>
  <c r="R49" i="28" s="1"/>
  <c r="A50" i="28"/>
  <c r="R50" i="28" s="1"/>
  <c r="A51" i="28"/>
  <c r="R51" i="28" s="1"/>
  <c r="A55" i="28"/>
  <c r="R55" i="28" s="1"/>
  <c r="A56" i="28"/>
  <c r="R56" i="28" s="1"/>
  <c r="A45" i="28"/>
  <c r="R45" i="28" s="1"/>
  <c r="A35" i="28"/>
  <c r="R35" i="28" s="1"/>
  <c r="A36" i="28"/>
  <c r="R36" i="28" s="1"/>
  <c r="A37" i="28"/>
  <c r="R37" i="28" s="1"/>
  <c r="A38" i="28"/>
  <c r="R38" i="28" s="1"/>
  <c r="A39" i="28"/>
  <c r="R39" i="28" s="1"/>
  <c r="A40" i="28"/>
  <c r="R40" i="28" s="1"/>
  <c r="A41" i="28"/>
  <c r="R41" i="28" s="1"/>
  <c r="A42" i="28"/>
  <c r="R42" i="28" s="1"/>
  <c r="A43" i="28"/>
  <c r="R43" i="28" s="1"/>
  <c r="A32" i="28"/>
  <c r="R32" i="28" s="1"/>
  <c r="A23" i="28"/>
  <c r="R23" i="28" s="1"/>
  <c r="A24" i="28"/>
  <c r="R24" i="28" s="1"/>
  <c r="A25" i="28"/>
  <c r="R25" i="28" s="1"/>
  <c r="A26" i="28"/>
  <c r="R26" i="28" s="1"/>
  <c r="A27" i="28"/>
  <c r="R27" i="28" s="1"/>
  <c r="A28" i="28"/>
  <c r="R28" i="28" s="1"/>
  <c r="A19" i="28"/>
  <c r="R19" i="28" s="1"/>
  <c r="A20" i="28"/>
  <c r="R20" i="28" s="1"/>
  <c r="A21" i="28"/>
  <c r="R21" i="28" s="1"/>
  <c r="A22" i="28"/>
  <c r="R22" i="28" s="1"/>
  <c r="A18" i="28"/>
  <c r="R18" i="28" s="1"/>
  <c r="A17" i="28"/>
  <c r="R17" i="28" s="1"/>
  <c r="A16" i="28"/>
  <c r="R16" i="28" s="1"/>
  <c r="A6" i="28"/>
  <c r="R6" i="28" s="1"/>
  <c r="A7" i="28"/>
  <c r="R7" i="28" s="1"/>
  <c r="A10" i="28"/>
  <c r="R10" i="28" s="1"/>
  <c r="A11" i="28"/>
  <c r="R11" i="28" s="1"/>
  <c r="A12" i="28"/>
  <c r="R12" i="28" s="1"/>
  <c r="A13" i="28"/>
  <c r="R13" i="28" s="1"/>
  <c r="A14" i="28"/>
  <c r="R14" i="28" s="1"/>
  <c r="A15" i="28"/>
  <c r="R15" i="28" s="1"/>
  <c r="A5" i="28"/>
  <c r="R5" i="28" s="1"/>
  <c r="E95" i="28"/>
  <c r="E96" i="28"/>
  <c r="C95" i="28"/>
  <c r="C96" i="28"/>
  <c r="C57" i="28"/>
  <c r="E56" i="28"/>
  <c r="E55" i="28"/>
  <c r="E53" i="28"/>
  <c r="E52" i="28"/>
  <c r="C55" i="28"/>
  <c r="C56" i="28"/>
  <c r="C51" i="28"/>
  <c r="C48" i="28"/>
  <c r="G214" i="1"/>
  <c r="G48" i="1"/>
  <c r="G47" i="1"/>
  <c r="C6" i="28"/>
  <c r="C7" i="28"/>
  <c r="C11" i="28"/>
  <c r="C12" i="28"/>
  <c r="C13" i="28"/>
  <c r="C14" i="28"/>
  <c r="C15" i="28"/>
  <c r="C16" i="28"/>
  <c r="C17" i="28"/>
  <c r="C18" i="28"/>
  <c r="C19" i="28"/>
  <c r="C20" i="28"/>
  <c r="C21" i="28"/>
  <c r="C22" i="28"/>
  <c r="C23" i="28"/>
  <c r="C24" i="28"/>
  <c r="C25" i="28"/>
  <c r="C26" i="28"/>
  <c r="C27" i="28"/>
  <c r="C28" i="28"/>
  <c r="C32" i="28"/>
  <c r="C33" i="28"/>
  <c r="C35" i="28"/>
  <c r="C36" i="28"/>
  <c r="C37" i="28"/>
  <c r="C38" i="28"/>
  <c r="C39" i="28"/>
  <c r="C40" i="28"/>
  <c r="C41" i="28"/>
  <c r="C42" i="28"/>
  <c r="C43" i="28"/>
  <c r="C45" i="28"/>
  <c r="C46" i="28"/>
  <c r="C47" i="28"/>
  <c r="C49" i="28"/>
  <c r="C50" i="28"/>
  <c r="C59" i="28"/>
  <c r="C60" i="28"/>
  <c r="C62" i="28"/>
  <c r="C63" i="28"/>
  <c r="C64" i="28"/>
  <c r="C66" i="28"/>
  <c r="C67" i="28"/>
  <c r="C68" i="28"/>
  <c r="C69" i="28"/>
  <c r="C70" i="28"/>
  <c r="C71" i="28"/>
  <c r="C72" i="28"/>
  <c r="C74" i="28"/>
  <c r="C75" i="28"/>
  <c r="C76" i="28"/>
  <c r="C77" i="28"/>
  <c r="C79" i="28"/>
  <c r="C80" i="28"/>
  <c r="C81" i="28"/>
  <c r="C82" i="28"/>
  <c r="C83" i="28"/>
  <c r="C84" i="28"/>
  <c r="C85" i="28"/>
  <c r="C86" i="28"/>
  <c r="C87" i="28"/>
  <c r="C88" i="28"/>
  <c r="C89" i="28"/>
  <c r="C90" i="28"/>
  <c r="C91" i="28"/>
  <c r="C92" i="28"/>
  <c r="C93" i="28"/>
  <c r="C94" i="28"/>
  <c r="C97" i="28"/>
  <c r="C98" i="28"/>
  <c r="C99" i="28"/>
  <c r="C100" i="28"/>
  <c r="C101" i="28"/>
  <c r="C102" i="28"/>
  <c r="C103" i="28"/>
  <c r="C104" i="28"/>
  <c r="C105" i="28"/>
  <c r="C106" i="28"/>
  <c r="C107" i="28"/>
  <c r="C108" i="28"/>
  <c r="C109" i="28"/>
  <c r="C5" i="28"/>
  <c r="G28" i="1"/>
  <c r="E162" i="28"/>
  <c r="G24" i="1"/>
  <c r="G171" i="1"/>
  <c r="G170" i="1"/>
  <c r="G169" i="1"/>
  <c r="G168" i="1"/>
  <c r="G212" i="1"/>
  <c r="G211" i="1"/>
  <c r="G46" i="1"/>
  <c r="G25" i="1"/>
  <c r="E164" i="28"/>
  <c r="E163" i="28"/>
  <c r="E161" i="28"/>
  <c r="E156" i="28"/>
  <c r="E155" i="28"/>
  <c r="E152" i="28"/>
  <c r="E150" i="28"/>
  <c r="E140" i="28"/>
  <c r="E139" i="28"/>
  <c r="E138" i="28"/>
  <c r="L137" i="28"/>
  <c r="E115" i="28"/>
  <c r="E114" i="28"/>
  <c r="E112" i="28"/>
  <c r="E111" i="28"/>
  <c r="E110" i="28"/>
  <c r="E109" i="28"/>
  <c r="E108" i="28"/>
  <c r="E107" i="28"/>
  <c r="E105" i="28"/>
  <c r="E104" i="28"/>
  <c r="E103" i="28"/>
  <c r="E101" i="28"/>
  <c r="E100" i="28"/>
  <c r="E99" i="28"/>
  <c r="E94" i="28"/>
  <c r="E93" i="28"/>
  <c r="E90" i="28"/>
  <c r="E89" i="28"/>
  <c r="E88" i="28"/>
  <c r="E86" i="28"/>
  <c r="E85" i="28"/>
  <c r="E84" i="28"/>
  <c r="E82" i="28"/>
  <c r="E81" i="28"/>
  <c r="E77" i="28"/>
  <c r="E72" i="28"/>
  <c r="E71" i="28"/>
  <c r="E70" i="28"/>
  <c r="E69" i="28"/>
  <c r="E68" i="28"/>
  <c r="E66" i="28"/>
  <c r="E64" i="28"/>
  <c r="E63" i="28"/>
  <c r="E60" i="28"/>
  <c r="E59" i="28"/>
  <c r="E57" i="28"/>
  <c r="E51" i="28"/>
  <c r="E49" i="28"/>
  <c r="E48" i="28"/>
  <c r="E47" i="28"/>
  <c r="E45" i="28"/>
  <c r="E43" i="28"/>
  <c r="E42" i="28"/>
  <c r="E40" i="28"/>
  <c r="E39" i="28"/>
  <c r="E38" i="28"/>
  <c r="E36" i="28"/>
  <c r="E28" i="28"/>
  <c r="E25" i="28"/>
  <c r="E24" i="28"/>
  <c r="E21" i="28"/>
  <c r="E20" i="28"/>
  <c r="E19" i="28"/>
  <c r="E18" i="28"/>
  <c r="E17" i="28"/>
  <c r="E16" i="28"/>
  <c r="E6" i="28"/>
  <c r="E7" i="28"/>
  <c r="E10" i="28"/>
  <c r="E11" i="28"/>
  <c r="E12" i="28"/>
  <c r="E13" i="28"/>
  <c r="E14" i="28"/>
  <c r="E15" i="28"/>
  <c r="G102" i="1"/>
  <c r="G123" i="1"/>
  <c r="G107" i="1"/>
  <c r="G178" i="1"/>
  <c r="G165" i="1"/>
  <c r="G164" i="1"/>
  <c r="G163" i="1"/>
  <c r="G162" i="1"/>
  <c r="G147" i="1"/>
  <c r="G210" i="1"/>
  <c r="G183" i="1"/>
  <c r="G182" i="1"/>
  <c r="G181" i="1"/>
  <c r="G180" i="1"/>
  <c r="G138" i="1"/>
  <c r="G137" i="1"/>
  <c r="G134" i="1"/>
  <c r="G133" i="1"/>
  <c r="G122" i="1"/>
  <c r="G120" i="1"/>
  <c r="G119" i="1"/>
  <c r="G118" i="1"/>
  <c r="G117" i="1"/>
  <c r="G109" i="1"/>
  <c r="G106" i="1"/>
  <c r="G103" i="1"/>
  <c r="G90" i="1"/>
  <c r="G66" i="1"/>
  <c r="G55" i="1"/>
  <c r="G54" i="1"/>
  <c r="G45" i="1"/>
  <c r="G42" i="1"/>
  <c r="G29" i="1"/>
  <c r="G23" i="1"/>
  <c r="G22" i="1"/>
  <c r="G14" i="1"/>
  <c r="D2" i="28"/>
  <c r="E2" i="28" s="1"/>
  <c r="G104" i="1"/>
  <c r="E79" i="28"/>
  <c r="E67" i="28"/>
  <c r="G80" i="1"/>
  <c r="G57" i="1"/>
  <c r="E46" i="28"/>
  <c r="E37" i="28"/>
  <c r="G43" i="1"/>
  <c r="E23" i="28"/>
  <c r="G26" i="1"/>
  <c r="E22" i="28"/>
  <c r="E76" i="28"/>
  <c r="H110" i="1"/>
  <c r="E91" i="28"/>
  <c r="G108" i="1"/>
  <c r="E98" i="28"/>
  <c r="G87" i="1"/>
  <c r="E74" i="28"/>
  <c r="G7" i="28"/>
  <c r="E9" i="28"/>
  <c r="P198" i="1"/>
  <c r="G9" i="1"/>
  <c r="C2" i="28"/>
  <c r="B4" i="30"/>
  <c r="G59" i="28"/>
  <c r="L28" i="28" l="1"/>
  <c r="X28" i="28" s="1"/>
  <c r="L81" i="28"/>
  <c r="X81" i="28" s="1"/>
  <c r="L91" i="28"/>
  <c r="F91" i="28" s="1"/>
  <c r="L24" i="28"/>
  <c r="F24" i="28" s="1"/>
  <c r="L43" i="28"/>
  <c r="X43" i="28" s="1"/>
  <c r="L60" i="28"/>
  <c r="F60" i="28" s="1"/>
  <c r="L72" i="28"/>
  <c r="F72" i="28" s="1"/>
  <c r="L89" i="28"/>
  <c r="F89" i="28" s="1"/>
  <c r="L104" i="28"/>
  <c r="F104" i="28" s="1"/>
  <c r="L114" i="28"/>
  <c r="F114" i="28" s="1"/>
  <c r="L155" i="28"/>
  <c r="F155" i="28" s="1"/>
  <c r="L96" i="28"/>
  <c r="X96" i="28" s="1"/>
  <c r="L165" i="28"/>
  <c r="X165" i="28" s="1"/>
  <c r="L62" i="28"/>
  <c r="X62" i="28" s="1"/>
  <c r="L175" i="28"/>
  <c r="X175" i="28" s="1"/>
  <c r="L73" i="28"/>
  <c r="X73" i="28" s="1"/>
  <c r="L58" i="28"/>
  <c r="X58" i="28" s="1"/>
  <c r="L32" i="28"/>
  <c r="X32" i="28" s="1"/>
  <c r="L158" i="28"/>
  <c r="X158" i="28" s="1"/>
  <c r="L151" i="28"/>
  <c r="X151" i="28" s="1"/>
  <c r="L64" i="28"/>
  <c r="X64" i="28" s="1"/>
  <c r="L107" i="28"/>
  <c r="F107" i="28" s="1"/>
  <c r="L162" i="28"/>
  <c r="F162" i="28" s="1"/>
  <c r="L102" i="28"/>
  <c r="F102" i="28" s="1"/>
  <c r="F9" i="28"/>
  <c r="L76" i="28"/>
  <c r="L6" i="28"/>
  <c r="F6" i="28" s="1"/>
  <c r="L25" i="28"/>
  <c r="F25" i="28" s="1"/>
  <c r="L45" i="28"/>
  <c r="X45" i="28" s="1"/>
  <c r="L63" i="28"/>
  <c r="X63" i="28" s="1"/>
  <c r="L77" i="28"/>
  <c r="F77" i="28" s="1"/>
  <c r="L90" i="28"/>
  <c r="F90" i="28" s="1"/>
  <c r="L105" i="28"/>
  <c r="F105" i="28" s="1"/>
  <c r="L115" i="28"/>
  <c r="F115" i="28" s="1"/>
  <c r="L156" i="28"/>
  <c r="H157" i="28" s="1"/>
  <c r="L52" i="28"/>
  <c r="F52" i="28" s="1"/>
  <c r="L95" i="28"/>
  <c r="X95" i="28" s="1"/>
  <c r="L117" i="28"/>
  <c r="F117" i="28" s="1"/>
  <c r="L166" i="28"/>
  <c r="X166" i="28" s="1"/>
  <c r="L113" i="28"/>
  <c r="X113" i="28" s="1"/>
  <c r="L8" i="28"/>
  <c r="F8" i="28" s="1"/>
  <c r="L123" i="28"/>
  <c r="X123" i="28" s="1"/>
  <c r="L128" i="28"/>
  <c r="X128" i="28" s="1"/>
  <c r="L132" i="28"/>
  <c r="X132" i="28" s="1"/>
  <c r="L135" i="28"/>
  <c r="X135" i="28" s="1"/>
  <c r="L33" i="28"/>
  <c r="F8" i="30" s="1"/>
  <c r="L167" i="28"/>
  <c r="L157" i="28"/>
  <c r="X157" i="28" s="1"/>
  <c r="L67" i="28"/>
  <c r="F67" i="28" s="1"/>
  <c r="L15" i="28"/>
  <c r="X15" i="28" s="1"/>
  <c r="F137" i="28"/>
  <c r="X137" i="28"/>
  <c r="L161" i="28"/>
  <c r="F161" i="28" s="1"/>
  <c r="L53" i="28"/>
  <c r="F53" i="28" s="1"/>
  <c r="F144" i="28"/>
  <c r="L26" i="28"/>
  <c r="X26" i="28" s="1"/>
  <c r="L83" i="28"/>
  <c r="X83" i="28" s="1"/>
  <c r="L75" i="28"/>
  <c r="X75" i="28" s="1"/>
  <c r="L170" i="28"/>
  <c r="F170" i="28" s="1"/>
  <c r="L79" i="28"/>
  <c r="F79" i="28" s="1"/>
  <c r="L14" i="28"/>
  <c r="X14" i="28" s="1"/>
  <c r="L17" i="28"/>
  <c r="F17" i="28" s="1"/>
  <c r="L36" i="28"/>
  <c r="F36" i="28" s="1"/>
  <c r="L48" i="28"/>
  <c r="F48" i="28" s="1"/>
  <c r="L66" i="28"/>
  <c r="X66" i="28" s="1"/>
  <c r="L82" i="28"/>
  <c r="X82" i="28" s="1"/>
  <c r="L94" i="28"/>
  <c r="X94" i="28" s="1"/>
  <c r="L108" i="28"/>
  <c r="X108" i="28" s="1"/>
  <c r="L138" i="28"/>
  <c r="F138" i="28" s="1"/>
  <c r="L163" i="28"/>
  <c r="F163" i="28" s="1"/>
  <c r="L55" i="28"/>
  <c r="X55" i="28" s="1"/>
  <c r="L27" i="28"/>
  <c r="X27" i="28" s="1"/>
  <c r="L87" i="28"/>
  <c r="F87" i="28" s="1"/>
  <c r="L153" i="28"/>
  <c r="X153" i="28" s="1"/>
  <c r="L78" i="28"/>
  <c r="X78" i="28" s="1"/>
  <c r="L30" i="28"/>
  <c r="X30" i="28" s="1"/>
  <c r="L169" i="28"/>
  <c r="F169" i="28" s="1"/>
  <c r="L154" i="28"/>
  <c r="X154" i="28" s="1"/>
  <c r="L5" i="28"/>
  <c r="X5" i="28" s="1"/>
  <c r="L47" i="28"/>
  <c r="F47" i="28" s="1"/>
  <c r="L93" i="28"/>
  <c r="X93" i="28" s="1"/>
  <c r="L61" i="28"/>
  <c r="X61" i="28" s="1"/>
  <c r="L34" i="28"/>
  <c r="X34" i="28" s="1"/>
  <c r="L160" i="28"/>
  <c r="X160" i="28" s="1"/>
  <c r="L74" i="28"/>
  <c r="F74" i="28" s="1"/>
  <c r="L23" i="28"/>
  <c r="F23" i="28" s="1"/>
  <c r="L13" i="28"/>
  <c r="X13" i="28" s="1"/>
  <c r="L18" i="28"/>
  <c r="F18" i="28" s="1"/>
  <c r="L38" i="28"/>
  <c r="X38" i="28" s="1"/>
  <c r="L49" i="28"/>
  <c r="X49" i="28" s="1"/>
  <c r="L68" i="28"/>
  <c r="L84" i="28"/>
  <c r="X84" i="28" s="1"/>
  <c r="L99" i="28"/>
  <c r="F99" i="28" s="1"/>
  <c r="L109" i="28"/>
  <c r="X109" i="28" s="1"/>
  <c r="L139" i="28"/>
  <c r="F139" i="28" s="1"/>
  <c r="L164" i="28"/>
  <c r="F164" i="28" s="1"/>
  <c r="L56" i="28"/>
  <c r="X56" i="28" s="1"/>
  <c r="L92" i="28"/>
  <c r="F92" i="28" s="1"/>
  <c r="L118" i="28"/>
  <c r="X118" i="28" s="1"/>
  <c r="L120" i="28"/>
  <c r="X120" i="28" s="1"/>
  <c r="L122" i="28"/>
  <c r="X122" i="28" s="1"/>
  <c r="L126" i="28"/>
  <c r="X126" i="28" s="1"/>
  <c r="L130" i="28"/>
  <c r="X130" i="28" s="1"/>
  <c r="L134" i="28"/>
  <c r="X134" i="28" s="1"/>
  <c r="L174" i="28"/>
  <c r="X174" i="28" s="1"/>
  <c r="L31" i="28"/>
  <c r="F31" i="28" s="1"/>
  <c r="L168" i="28"/>
  <c r="X168" i="28" s="1"/>
  <c r="L35" i="28"/>
  <c r="X35" i="28" s="1"/>
  <c r="L98" i="28"/>
  <c r="X98" i="28" s="1"/>
  <c r="L12" i="28"/>
  <c r="F12" i="28" s="1"/>
  <c r="L19" i="28"/>
  <c r="F19" i="28" s="1"/>
  <c r="L39" i="28"/>
  <c r="F39" i="28" s="1"/>
  <c r="L51" i="28"/>
  <c r="X51" i="28" s="1"/>
  <c r="L69" i="28"/>
  <c r="X69" i="28" s="1"/>
  <c r="L85" i="28"/>
  <c r="F85" i="28" s="1"/>
  <c r="L100" i="28"/>
  <c r="F100" i="28" s="1"/>
  <c r="L110" i="28"/>
  <c r="X110" i="28" s="1"/>
  <c r="L140" i="28"/>
  <c r="F140" i="28" s="1"/>
  <c r="L116" i="28"/>
  <c r="F116" i="28" s="1"/>
  <c r="L148" i="28"/>
  <c r="F148" i="28" s="1"/>
  <c r="L41" i="28"/>
  <c r="F17" i="30" s="1"/>
  <c r="L97" i="28"/>
  <c r="X97" i="28" s="1"/>
  <c r="L29" i="28"/>
  <c r="F29" i="28" s="1"/>
  <c r="L119" i="28"/>
  <c r="X119" i="28" s="1"/>
  <c r="L121" i="28"/>
  <c r="X121" i="28" s="1"/>
  <c r="L124" i="28"/>
  <c r="X124" i="28" s="1"/>
  <c r="L125" i="28"/>
  <c r="X125" i="28" s="1"/>
  <c r="L129" i="28"/>
  <c r="X129" i="28" s="1"/>
  <c r="L127" i="28"/>
  <c r="X127" i="28" s="1"/>
  <c r="L133" i="28"/>
  <c r="X133" i="28" s="1"/>
  <c r="L131" i="28"/>
  <c r="X131" i="28" s="1"/>
  <c r="L136" i="28"/>
  <c r="X136" i="28" s="1"/>
  <c r="L65" i="28"/>
  <c r="X65" i="28" s="1"/>
  <c r="L80" i="28"/>
  <c r="F80" i="28" s="1"/>
  <c r="L173" i="28"/>
  <c r="L172" i="28"/>
  <c r="L146" i="28"/>
  <c r="X146" i="28" s="1"/>
  <c r="F147" i="28"/>
  <c r="X147" i="28"/>
  <c r="L22" i="28"/>
  <c r="F22" i="28" s="1"/>
  <c r="L16" i="28"/>
  <c r="F16" i="28" s="1"/>
  <c r="L37" i="28"/>
  <c r="X37" i="28" s="1"/>
  <c r="L20" i="28"/>
  <c r="F20" i="28" s="1"/>
  <c r="L40" i="28"/>
  <c r="F40" i="28" s="1"/>
  <c r="L57" i="28"/>
  <c r="F57" i="28" s="1"/>
  <c r="L70" i="28"/>
  <c r="X70" i="28" s="1"/>
  <c r="L86" i="28"/>
  <c r="F86" i="28" s="1"/>
  <c r="L101" i="28"/>
  <c r="F101" i="28" s="1"/>
  <c r="L111" i="28"/>
  <c r="F111" i="28" s="1"/>
  <c r="L150" i="28"/>
  <c r="F150" i="28" s="1"/>
  <c r="L50" i="28"/>
  <c r="X50" i="28" s="1"/>
  <c r="L145" i="28"/>
  <c r="F145" i="28" s="1"/>
  <c r="L46" i="28"/>
  <c r="L21" i="28"/>
  <c r="F21" i="28" s="1"/>
  <c r="L42" i="28"/>
  <c r="F42" i="28" s="1"/>
  <c r="L59" i="28"/>
  <c r="F59" i="28" s="1"/>
  <c r="L71" i="28"/>
  <c r="F71" i="28" s="1"/>
  <c r="L88" i="28"/>
  <c r="X88" i="28" s="1"/>
  <c r="L103" i="28"/>
  <c r="L112" i="28"/>
  <c r="F112" i="28" s="1"/>
  <c r="L152" i="28"/>
  <c r="F152" i="28" s="1"/>
  <c r="L44" i="28"/>
  <c r="F44" i="28" s="1"/>
  <c r="L143" i="28"/>
  <c r="X143" i="28" s="1"/>
  <c r="L54" i="28"/>
  <c r="X54" i="28" s="1"/>
  <c r="L106" i="28"/>
  <c r="X106" i="28" s="1"/>
  <c r="L171" i="28"/>
  <c r="L159" i="28"/>
  <c r="F159" i="28" s="1"/>
  <c r="L177" i="28"/>
  <c r="X177" i="28" s="1"/>
  <c r="W159" i="28"/>
  <c r="W12" i="28"/>
  <c r="W22" i="28"/>
  <c r="W24" i="28"/>
  <c r="W38" i="28"/>
  <c r="W50" i="28"/>
  <c r="W69" i="28"/>
  <c r="W71" i="28"/>
  <c r="W74" i="28"/>
  <c r="W91" i="28"/>
  <c r="W97" i="28"/>
  <c r="W101" i="28"/>
  <c r="W111" i="28"/>
  <c r="W137" i="28"/>
  <c r="W138" i="28"/>
  <c r="W161" i="28"/>
  <c r="W167" i="28"/>
  <c r="W78" i="28"/>
  <c r="W151" i="28"/>
  <c r="W11" i="28"/>
  <c r="W21" i="28"/>
  <c r="W23" i="28"/>
  <c r="W37" i="28"/>
  <c r="W49" i="28"/>
  <c r="W68" i="28"/>
  <c r="W82" i="28"/>
  <c r="W72" i="28"/>
  <c r="W90" i="28"/>
  <c r="W108" i="28"/>
  <c r="W100" i="28"/>
  <c r="W148" i="28"/>
  <c r="W164" i="28"/>
  <c r="W54" i="28"/>
  <c r="W165" i="28"/>
  <c r="W172" i="28"/>
  <c r="W30" i="28"/>
  <c r="W10" i="28"/>
  <c r="W20" i="28"/>
  <c r="W32" i="28"/>
  <c r="W36" i="28"/>
  <c r="W48" i="28"/>
  <c r="W67" i="28"/>
  <c r="W81" i="28"/>
  <c r="W83" i="28"/>
  <c r="W89" i="28"/>
  <c r="W107" i="28"/>
  <c r="W99" i="28"/>
  <c r="W112" i="28"/>
  <c r="W117" i="28"/>
  <c r="W53" i="28"/>
  <c r="W9" i="28"/>
  <c r="W29" i="28"/>
  <c r="W119" i="28"/>
  <c r="W121" i="28"/>
  <c r="W124" i="28"/>
  <c r="W125" i="28"/>
  <c r="W129" i="28"/>
  <c r="W127" i="28"/>
  <c r="W133" i="28"/>
  <c r="W131" i="28"/>
  <c r="W136" i="28"/>
  <c r="W169" i="28"/>
  <c r="W58" i="28"/>
  <c r="W153" i="28"/>
  <c r="W7" i="28"/>
  <c r="W19" i="28"/>
  <c r="W43" i="28"/>
  <c r="W35" i="28"/>
  <c r="W47" i="28"/>
  <c r="W66" i="28"/>
  <c r="W80" i="28"/>
  <c r="W96" i="28"/>
  <c r="W88" i="28"/>
  <c r="W106" i="28"/>
  <c r="W98" i="28"/>
  <c r="W113" i="28"/>
  <c r="W162" i="28"/>
  <c r="W52" i="28"/>
  <c r="W142" i="28"/>
  <c r="W143" i="28"/>
  <c r="W118" i="28"/>
  <c r="W120" i="28"/>
  <c r="W122" i="28"/>
  <c r="W126" i="28"/>
  <c r="W130" i="28"/>
  <c r="W134" i="28"/>
  <c r="W166" i="28"/>
  <c r="W33" i="28"/>
  <c r="W150" i="28"/>
  <c r="W5" i="28"/>
  <c r="W6" i="28"/>
  <c r="W28" i="28"/>
  <c r="W42" i="28"/>
  <c r="W45" i="28"/>
  <c r="W46" i="28"/>
  <c r="W64" i="28"/>
  <c r="W79" i="28"/>
  <c r="W95" i="28"/>
  <c r="W87" i="28"/>
  <c r="W105" i="28"/>
  <c r="W109" i="28"/>
  <c r="W115" i="28"/>
  <c r="W171" i="28"/>
  <c r="W34" i="28"/>
  <c r="W15" i="28"/>
  <c r="W16" i="28"/>
  <c r="W27" i="28"/>
  <c r="W41" i="28"/>
  <c r="W56" i="28"/>
  <c r="W57" i="28"/>
  <c r="W63" i="28"/>
  <c r="W77" i="28"/>
  <c r="W94" i="28"/>
  <c r="W86" i="28"/>
  <c r="W104" i="28"/>
  <c r="W110" i="28"/>
  <c r="W160" i="28"/>
  <c r="W44" i="28"/>
  <c r="W116" i="28"/>
  <c r="W140" i="28"/>
  <c r="W173" i="28"/>
  <c r="W168" i="28"/>
  <c r="W61" i="28"/>
  <c r="W14" i="28"/>
  <c r="W17" i="28"/>
  <c r="W26" i="28"/>
  <c r="W40" i="28"/>
  <c r="W55" i="28"/>
  <c r="W59" i="28"/>
  <c r="W62" i="28"/>
  <c r="W76" i="28"/>
  <c r="W93" i="28"/>
  <c r="W85" i="28"/>
  <c r="W103" i="28"/>
  <c r="W139" i="28"/>
  <c r="W145" i="28"/>
  <c r="W8" i="28"/>
  <c r="W123" i="28"/>
  <c r="W128" i="28"/>
  <c r="W132" i="28"/>
  <c r="W135" i="28"/>
  <c r="W31" i="28"/>
  <c r="W65" i="28"/>
  <c r="W13" i="28"/>
  <c r="W18" i="28"/>
  <c r="W25" i="28"/>
  <c r="W39" i="28"/>
  <c r="W51" i="28"/>
  <c r="W70" i="28"/>
  <c r="W60" i="28"/>
  <c r="W75" i="28"/>
  <c r="W92" i="28"/>
  <c r="W84" i="28"/>
  <c r="W102" i="28"/>
  <c r="W114" i="28"/>
  <c r="W163" i="28"/>
  <c r="W141" i="28"/>
  <c r="W170" i="28"/>
  <c r="W73" i="28"/>
  <c r="W154" i="28"/>
  <c r="O70" i="28"/>
  <c r="E160" i="1"/>
  <c r="E172" i="1"/>
  <c r="E153" i="1"/>
  <c r="E166" i="1"/>
  <c r="L9" i="28"/>
  <c r="X9" i="28" s="1"/>
  <c r="G32" i="1"/>
  <c r="G111" i="1"/>
  <c r="H32" i="1"/>
  <c r="L10" i="28"/>
  <c r="F10" i="28" s="1"/>
  <c r="L144" i="28"/>
  <c r="O15" i="28"/>
  <c r="H127" i="1"/>
  <c r="G127" i="1"/>
  <c r="O43" i="28"/>
  <c r="G64" i="1"/>
  <c r="L7" i="28"/>
  <c r="F7" i="28" s="1"/>
  <c r="F66" i="28"/>
  <c r="F143" i="28"/>
  <c r="L11" i="28"/>
  <c r="X11" i="28" s="1"/>
  <c r="F63" i="28"/>
  <c r="F11" i="30"/>
  <c r="H11" i="30" s="1"/>
  <c r="F38" i="28"/>
  <c r="F84" i="28"/>
  <c r="F27" i="28"/>
  <c r="F28" i="30"/>
  <c r="H28" i="30" s="1"/>
  <c r="F50" i="28"/>
  <c r="F32" i="28"/>
  <c r="Q35" i="28"/>
  <c r="G35" i="28" s="1"/>
  <c r="F7" i="30"/>
  <c r="Q64" i="28"/>
  <c r="G64" i="28" s="1"/>
  <c r="F33" i="28"/>
  <c r="G43" i="28"/>
  <c r="Q43" i="28" s="1"/>
  <c r="F9" i="30"/>
  <c r="H9" i="30" s="1"/>
  <c r="F14" i="30"/>
  <c r="G27" i="28"/>
  <c r="Q27" i="28" s="1"/>
  <c r="H160" i="28"/>
  <c r="F158" i="28"/>
  <c r="F149" i="28"/>
  <c r="X172" i="28" l="1"/>
  <c r="X173" i="28"/>
  <c r="X171" i="28"/>
  <c r="H172" i="28"/>
  <c r="F172" i="28" s="1"/>
  <c r="Q68" i="28"/>
  <c r="G68" i="28" s="1"/>
  <c r="F29" i="30"/>
  <c r="F37" i="28"/>
  <c r="F28" i="28"/>
  <c r="X16" i="28"/>
  <c r="G56" i="28"/>
  <c r="Q56" i="28" s="1"/>
  <c r="F108" i="28"/>
  <c r="X167" i="28"/>
  <c r="F167" i="28"/>
  <c r="F156" i="28"/>
  <c r="F41" i="28"/>
  <c r="F109" i="28"/>
  <c r="H146" i="28"/>
  <c r="Q144" i="28" s="1"/>
  <c r="F10" i="30"/>
  <c r="H10" i="30" s="1"/>
  <c r="X52" i="28"/>
  <c r="F51" i="28"/>
  <c r="F93" i="28"/>
  <c r="X39" i="28"/>
  <c r="F55" i="28"/>
  <c r="X20" i="28"/>
  <c r="X138" i="28"/>
  <c r="X24" i="28"/>
  <c r="X77" i="28"/>
  <c r="X102" i="28"/>
  <c r="X47" i="28"/>
  <c r="X72" i="28"/>
  <c r="X101" i="28"/>
  <c r="X145" i="28"/>
  <c r="X74" i="28"/>
  <c r="X48" i="28"/>
  <c r="X89" i="28"/>
  <c r="X91" i="28"/>
  <c r="G82" i="28"/>
  <c r="X150" i="28"/>
  <c r="X164" i="28"/>
  <c r="X161" i="28"/>
  <c r="H173" i="28"/>
  <c r="Q171" i="28" s="1"/>
  <c r="G173" i="28" s="1"/>
  <c r="F26" i="30"/>
  <c r="H26" i="30" s="1"/>
  <c r="F43" i="28"/>
  <c r="Q75" i="28"/>
  <c r="G75" i="28" s="1"/>
  <c r="Q63" i="28"/>
  <c r="G63" i="28" s="1"/>
  <c r="X71" i="28"/>
  <c r="X86" i="28"/>
  <c r="X41" i="28"/>
  <c r="X100" i="28"/>
  <c r="X87" i="28"/>
  <c r="X156" i="28"/>
  <c r="X7" i="28"/>
  <c r="H171" i="28"/>
  <c r="F171" i="28" s="1"/>
  <c r="Q155" i="28"/>
  <c r="F82" i="28"/>
  <c r="H154" i="28"/>
  <c r="F154" i="28" s="1"/>
  <c r="F75" i="28"/>
  <c r="F97" i="28"/>
  <c r="X152" i="28"/>
  <c r="X59" i="28"/>
  <c r="X148" i="28"/>
  <c r="X99" i="28"/>
  <c r="X18" i="28"/>
  <c r="X169" i="28"/>
  <c r="X25" i="28"/>
  <c r="X162" i="28"/>
  <c r="Q98" i="28"/>
  <c r="G98" i="28" s="1"/>
  <c r="D1" i="28"/>
  <c r="F20" i="30"/>
  <c r="G55" i="28"/>
  <c r="Q55" i="28" s="1"/>
  <c r="G70" i="28"/>
  <c r="Q70" i="28" s="1"/>
  <c r="X112" i="28"/>
  <c r="X79" i="28"/>
  <c r="X90" i="28"/>
  <c r="X6" i="28"/>
  <c r="X155" i="28"/>
  <c r="F168" i="28"/>
  <c r="F70" i="28"/>
  <c r="F68" i="28"/>
  <c r="Q82" i="28"/>
  <c r="X40" i="28"/>
  <c r="G93" i="28"/>
  <c r="Q93" i="28" s="1"/>
  <c r="F49" i="28"/>
  <c r="Q84" i="28"/>
  <c r="G84" i="28" s="1"/>
  <c r="F94" i="28"/>
  <c r="X46" i="28"/>
  <c r="X111" i="28"/>
  <c r="X57" i="28"/>
  <c r="H151" i="28"/>
  <c r="F151" i="28" s="1"/>
  <c r="F5" i="28"/>
  <c r="F153" i="28"/>
  <c r="G109" i="28"/>
  <c r="Q109" i="28" s="1"/>
  <c r="F35" i="28"/>
  <c r="X159" i="28"/>
  <c r="X103" i="28"/>
  <c r="X42" i="28"/>
  <c r="X22" i="28"/>
  <c r="X29" i="28"/>
  <c r="X116" i="28"/>
  <c r="X85" i="28"/>
  <c r="X19" i="28"/>
  <c r="X139" i="28"/>
  <c r="X68" i="28"/>
  <c r="X36" i="28"/>
  <c r="X170" i="28"/>
  <c r="X144" i="28"/>
  <c r="X33" i="28"/>
  <c r="X117" i="28"/>
  <c r="X115" i="28"/>
  <c r="X76" i="28"/>
  <c r="X107" i="28"/>
  <c r="X114" i="28"/>
  <c r="X60" i="28"/>
  <c r="G108" i="28"/>
  <c r="Q108" i="28" s="1"/>
  <c r="F98" i="28"/>
  <c r="F64" i="28"/>
  <c r="X44" i="28"/>
  <c r="X21" i="28"/>
  <c r="X80" i="28"/>
  <c r="X140" i="28"/>
  <c r="X12" i="28"/>
  <c r="X31" i="28"/>
  <c r="X92" i="28"/>
  <c r="X23" i="28"/>
  <c r="X163" i="28"/>
  <c r="X17" i="28"/>
  <c r="X53" i="28"/>
  <c r="X67" i="28"/>
  <c r="X8" i="28"/>
  <c r="X105" i="28"/>
  <c r="X104" i="28"/>
  <c r="X10" i="28"/>
  <c r="G94" i="28"/>
  <c r="Q94" i="28" s="1"/>
  <c r="E173" i="1"/>
  <c r="F15" i="28"/>
  <c r="G28" i="28"/>
  <c r="Q28" i="28" s="1"/>
  <c r="F56" i="28"/>
  <c r="F157" i="28"/>
  <c r="G15" i="28"/>
  <c r="Q15" i="28" s="1"/>
  <c r="F11" i="28"/>
  <c r="F146" i="28"/>
  <c r="H29" i="30"/>
  <c r="H7" i="30"/>
  <c r="Q158" i="28"/>
  <c r="F160" i="28"/>
  <c r="Q170" i="28" l="1"/>
  <c r="G172" i="28" s="1"/>
  <c r="F173" i="28"/>
  <c r="H30" i="30"/>
  <c r="Q169" i="28"/>
  <c r="G171" i="28" s="1"/>
  <c r="F12" i="30"/>
  <c r="H12" i="30"/>
  <c r="H32" i="30" s="1"/>
  <c r="Q149" i="28"/>
  <c r="F30" i="30"/>
  <c r="Q152" i="28"/>
  <c r="J186" i="28" s="1"/>
  <c r="L186" i="28"/>
  <c r="F32" i="30" l="1"/>
  <c r="F15" i="30"/>
  <c r="F18" i="30" s="1"/>
  <c r="F21" i="30" s="1"/>
  <c r="C21" i="30" l="1"/>
  <c r="C22" i="30"/>
</calcChain>
</file>

<file path=xl/sharedStrings.xml><?xml version="1.0" encoding="utf-8"?>
<sst xmlns="http://schemas.openxmlformats.org/spreadsheetml/2006/main" count="1930" uniqueCount="1007">
  <si>
    <t xml:space="preserve">Unit Number:      </t>
  </si>
  <si>
    <t>Description of Requested Amount from Audited Financial Statements</t>
  </si>
  <si>
    <t xml:space="preserve">  Statement of Cash Flows</t>
  </si>
  <si>
    <t>Capital Assets for Governmental Activities</t>
  </si>
  <si>
    <t>Buildings</t>
  </si>
  <si>
    <t>Plant / distributions systems / water lines</t>
  </si>
  <si>
    <t>Infrastructure(other infrastructure)</t>
  </si>
  <si>
    <t xml:space="preserve">Electric Fund </t>
  </si>
  <si>
    <r>
      <t xml:space="preserve">Total Assets </t>
    </r>
    <r>
      <rPr>
        <b/>
        <sz val="11"/>
        <color indexed="8"/>
        <rFont val="Calibri"/>
        <family val="2"/>
      </rPr>
      <t>being depreciated</t>
    </r>
    <r>
      <rPr>
        <sz val="11"/>
        <color theme="1"/>
        <rFont val="Calibri"/>
        <family val="2"/>
        <scheme val="minor"/>
      </rPr>
      <t xml:space="preserve"> for Governmental Activities:</t>
    </r>
  </si>
  <si>
    <t>Construction in progress</t>
  </si>
  <si>
    <t>Capital Assets for Electric Fund</t>
  </si>
  <si>
    <t>Gross value:</t>
  </si>
  <si>
    <t>Notes to the Financial Statements -Summary Changes in Long-Term Liability</t>
  </si>
  <si>
    <t>Error Messages</t>
  </si>
  <si>
    <t>Statement of Revenue, Expenditures and Changes in Fund Balance - Governmental Funds
 - All Governmental Funds</t>
  </si>
  <si>
    <t>Unit Data Input Worksheet - Municipality</t>
  </si>
  <si>
    <t xml:space="preserve">     not necessarily the statistical section.</t>
  </si>
  <si>
    <t>Notes</t>
  </si>
  <si>
    <t>Buildings annual depreciation</t>
  </si>
  <si>
    <t>Building accumulated depreciation</t>
  </si>
  <si>
    <t>Plant / distributions systems / water lines annual depreciation</t>
  </si>
  <si>
    <t>Plant / distributions systems / water lines accumulated depreciation</t>
  </si>
  <si>
    <t>Infrastructure(other infrastructure) annual depreciation</t>
  </si>
  <si>
    <t>Infrastructure(other infrastructure) accumulated depreciation</t>
  </si>
  <si>
    <t>Total Assets Gross value of assets being depreciated for Electric Fund</t>
  </si>
  <si>
    <t>Total accumulated depreciation for Electric Fund assets</t>
  </si>
  <si>
    <t>receiving operating revenues or paying operating expenditures. Eliminate internal balances within this activity group.</t>
  </si>
  <si>
    <t>receiving operating revenues or paying operating expenditures. Eliminate transfers within this activity group.</t>
  </si>
  <si>
    <t xml:space="preserve">receiving operating revenues or paying operating expenditures. </t>
  </si>
  <si>
    <t xml:space="preserve">and wastewater funds into one activity for purposes of this worksheet.  Exclude stormwater funds.  Only fill out this section if </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</si>
  <si>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</si>
  <si>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</si>
  <si>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Notes to the Financial Statements -Transfer Note</t>
  </si>
  <si>
    <t>Notes to the Financial Statements -Fund Balance Note</t>
  </si>
  <si>
    <t>Notes to the Financial Statements - Capital Asset Information</t>
  </si>
  <si>
    <t>Water and Sewer Operations - If unit maintains separate funds please combine all water, sewer,</t>
  </si>
  <si>
    <r>
      <t xml:space="preserve">Assets </t>
    </r>
    <r>
      <rPr>
        <b/>
        <sz val="11"/>
        <color indexed="8"/>
        <rFont val="Calibri"/>
        <family val="2"/>
      </rPr>
      <t>not being depreciated</t>
    </r>
    <r>
      <rPr>
        <sz val="11"/>
        <color theme="1"/>
        <rFont val="Calibri"/>
        <family val="2"/>
        <scheme val="minor"/>
      </rPr>
      <t xml:space="preserve"> for Water and Sewer Activities:</t>
    </r>
  </si>
  <si>
    <r>
      <t xml:space="preserve">Assets </t>
    </r>
    <r>
      <rPr>
        <b/>
        <sz val="11"/>
        <color indexed="8"/>
        <rFont val="Calibri"/>
        <family val="2"/>
      </rPr>
      <t>being depreciated</t>
    </r>
    <r>
      <rPr>
        <sz val="11"/>
        <color theme="1"/>
        <rFont val="Calibri"/>
        <family val="2"/>
        <scheme val="minor"/>
      </rPr>
      <t xml:space="preserve"> for Water and Sewer Activities:</t>
    </r>
  </si>
  <si>
    <r>
      <t xml:space="preserve">Total Gross Value Assets </t>
    </r>
    <r>
      <rPr>
        <b/>
        <sz val="11"/>
        <color indexed="8"/>
        <rFont val="Calibri"/>
        <family val="2"/>
      </rPr>
      <t>being depreciated</t>
    </r>
    <r>
      <rPr>
        <sz val="11"/>
        <color theme="1"/>
        <rFont val="Calibri"/>
        <family val="2"/>
        <scheme val="minor"/>
      </rPr>
      <t xml:space="preserve"> for Water and Sewer Activities</t>
    </r>
  </si>
  <si>
    <t>Upload Amounts</t>
  </si>
  <si>
    <t xml:space="preserve"> </t>
  </si>
  <si>
    <t>Accumulated depreciation:</t>
  </si>
  <si>
    <t>Total Accumulated depreciation</t>
  </si>
  <si>
    <t>Total Annual depreciation</t>
  </si>
  <si>
    <t>Total Net Water and Sewer Capital Assets</t>
  </si>
  <si>
    <t xml:space="preserve">Fiscal Year </t>
  </si>
  <si>
    <t>Unit Data Input Worksheet</t>
  </si>
  <si>
    <t>Purpose of Unit Data Input Worksheet</t>
  </si>
  <si>
    <t>Every year numbers are taken from City and County audited financial statements and used to produce various management tools for units of Government.  Links to these sites are listed at the end of these instructions.  In order for these tools to be updated timely, your audited statements and accompanying Unit Data Input worksheet must be received in this office by October 31st, of each year for local governments with a fiscal year ended June 30th.  Each year a unit of government will be asked to complete a Unit Data Input Worksheet that will be uploaded into a database that supports each of the websites listed below as well as provides information to the North Carolina legislature, North Carolina Budget and the Governor’s office.  The North Carolina League of Municipalities and North Carolina Association of County Commissioners also use this information to advocate before the executive, legislative and judicial branches of state government on behalf of local governments.</t>
  </si>
  <si>
    <t>Water Sewer Dashboard</t>
  </si>
  <si>
    <t>NC County and Municipal Financial Information</t>
  </si>
  <si>
    <t xml:space="preserve">http://www.nctreasurer.com/lgc/units/unitlistjs.htm </t>
  </si>
  <si>
    <t>Instructions</t>
  </si>
  <si>
    <r>
      <t xml:space="preserve">This worksheet must be completed using your audited financial statements and submitted with the audit report to the Local Government Commission.  This worksheet is designed so that each unit should be able to complete in less than an hour, if they have a completed audit report.  However, units can always choose to outsource this worksheet.  The worksheet must be </t>
    </r>
    <r>
      <rPr>
        <b/>
        <sz val="12"/>
        <color indexed="8"/>
        <rFont val="Century Schoolbook"/>
        <family val="1"/>
      </rPr>
      <t>submitted with the unit’s audit report</t>
    </r>
    <r>
      <rPr>
        <sz val="12"/>
        <color indexed="8"/>
        <rFont val="Century Schoolbook"/>
        <family val="1"/>
      </rPr>
      <t>.</t>
    </r>
  </si>
  <si>
    <t xml:space="preserve">The Worksheet does contain edits that will display error messages if these edit tests are not passed.  Please make sure that your worksheet is error free.  </t>
  </si>
  <si>
    <t>RSS</t>
  </si>
  <si>
    <t>All other depreciable capital assets</t>
  </si>
  <si>
    <t>All other depreciable capital assets annual depreciation</t>
  </si>
  <si>
    <t>All other depreciable capital assets accumulated depreciation</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</si>
  <si>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</si>
  <si>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</si>
  <si>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</si>
  <si>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</si>
  <si>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</si>
  <si>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</si>
  <si>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</si>
  <si>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</si>
  <si>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Annual depreciation expense:</t>
  </si>
  <si>
    <t>Errors</t>
  </si>
  <si>
    <t>Other Financial Information</t>
  </si>
  <si>
    <t>Yes</t>
  </si>
  <si>
    <t>No</t>
  </si>
  <si>
    <t>Property Tax Increase for Year Audited</t>
  </si>
  <si>
    <t>Property Tax Increase for budget year after fiscal year being reported</t>
  </si>
  <si>
    <t>Cash &amp; Tax Memo</t>
  </si>
  <si>
    <t>Dashboard</t>
  </si>
  <si>
    <t>Water Sewer Memo</t>
  </si>
  <si>
    <t>Electric Memo</t>
  </si>
  <si>
    <t>Review Summary</t>
  </si>
  <si>
    <t>Error Detection</t>
  </si>
  <si>
    <t>Water Sewer Memo,
Dashboard,
Water Sewer Dashboard</t>
  </si>
  <si>
    <t>Water Sewer Memo, Water Sewer Dashboard</t>
  </si>
  <si>
    <t>Electric Memo,
Dashboard</t>
  </si>
  <si>
    <t>Water Sewer Memo, Water Sewer Dashboard, Dashboard</t>
  </si>
  <si>
    <t>Electrical Memo</t>
  </si>
  <si>
    <t>Dashboard,
Electric Memo</t>
  </si>
  <si>
    <t>Cash &amp; Tax Memo,
Dashboard</t>
  </si>
  <si>
    <t>Dashboard,
Water Sewer Memo</t>
  </si>
  <si>
    <t>Review Summary - FBA</t>
  </si>
  <si>
    <t>General Info used to evaluate health of unit</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</si>
  <si>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</si>
  <si>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</si>
  <si>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</si>
  <si>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</si>
  <si>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</si>
  <si>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</si>
  <si>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</si>
  <si>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</si>
  <si>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</si>
  <si>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</si>
  <si>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</si>
  <si>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</si>
  <si>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</si>
  <si>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</si>
  <si>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</si>
  <si>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</si>
  <si>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</si>
  <si>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</si>
  <si>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</si>
  <si>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</si>
  <si>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</si>
  <si>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</si>
  <si>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</si>
  <si>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</si>
  <si>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</si>
  <si>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 xml:space="preserve">    Issuance of Capital Leases &amp; Installment Purchases ……………...………….</t>
  </si>
  <si>
    <t>Total Expenditures (As Adjusted) ………………………………...…………………….</t>
  </si>
  <si>
    <t xml:space="preserve">    Fund Balance Available  as % of Expenditures …………………………..........</t>
  </si>
  <si>
    <t xml:space="preserve"> Restricted Cash</t>
  </si>
  <si>
    <t>WS - Change in Net Position</t>
  </si>
  <si>
    <t>Electric - Change in Net Position</t>
  </si>
  <si>
    <t>WS - Total Net Position</t>
  </si>
  <si>
    <t>Gov - Net Investment in Capital Assets</t>
  </si>
  <si>
    <t>Gov - Restricted Net Position</t>
  </si>
  <si>
    <t>Gov - Unrestricted Net Position</t>
  </si>
  <si>
    <t>Electric - Unrestricted Net Position</t>
  </si>
  <si>
    <t>Electric - Total Net Position</t>
  </si>
  <si>
    <t>Gov - Any Adj. to Beginning Net Position</t>
  </si>
  <si>
    <t>WS - Any Adj. to Beginning Net Position</t>
  </si>
  <si>
    <t>Electric - Any Adj. to Beginning Net Position</t>
  </si>
  <si>
    <t>How Data is used</t>
  </si>
  <si>
    <t>Statutory Calculation of Fund Balance Available for Appropriation At June 30 for the General Fund
Restricted - Stabilization by State Statute</t>
  </si>
  <si>
    <t>WS - Total Assets and deferred outflows</t>
  </si>
  <si>
    <t>Electric - Total Assets and deferred outflows</t>
  </si>
  <si>
    <t>Gov - Total Assets and deferred outflows</t>
  </si>
  <si>
    <t>Gov - Total Liabilities and total deferred inflows</t>
  </si>
  <si>
    <t>Gov - Unearned Revenues included in Select Current Liabilities</t>
  </si>
  <si>
    <t>Gen Fund - Total Assets and deferred outflows</t>
  </si>
  <si>
    <t>Gen  Fund - Current  Liabilities</t>
  </si>
  <si>
    <t>Gen Fund - deferred inflows derived from Cash Receipts</t>
  </si>
  <si>
    <t>Gen Fund - Deferred inflows Not from Cash Receipts</t>
  </si>
  <si>
    <t xml:space="preserve">WS - Total Current Assets </t>
  </si>
  <si>
    <t xml:space="preserve">WS - Select Current Liabilities </t>
  </si>
  <si>
    <t>WS - Total Liabilities and deferred inflows</t>
  </si>
  <si>
    <t xml:space="preserve">Electric - Total Current Assets </t>
  </si>
  <si>
    <t>Electric - Select Current Liabilities</t>
  </si>
  <si>
    <t>Electric - Unearned Revenues included in Select Current Liabilities</t>
  </si>
  <si>
    <t>Electric - Total Liabilities and deferred inflows</t>
  </si>
  <si>
    <t>New Questions  -  Please read and answer if applicable</t>
  </si>
  <si>
    <t>LGC USE</t>
  </si>
  <si>
    <t>Government Wide Statements - Net Position Statement - Governmental Activities Column</t>
  </si>
  <si>
    <t>Statement</t>
  </si>
  <si>
    <t>Net Position-Governmental Activities</t>
  </si>
  <si>
    <r>
      <t xml:space="preserve"> </t>
    </r>
    <r>
      <rPr>
        <u/>
        <sz val="11"/>
        <color indexed="8"/>
        <rFont val="Calibri"/>
        <family val="2"/>
      </rPr>
      <t>All restricted Cash and investments</t>
    </r>
  </si>
  <si>
    <t>Total Assets and deferred outflows</t>
  </si>
  <si>
    <t>Total Liabilities and total deferred inflows</t>
  </si>
  <si>
    <t xml:space="preserve"> Total Net investment in capital assets</t>
  </si>
  <si>
    <t xml:space="preserve"> Total Net Position, Restricted</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</si>
  <si>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</si>
  <si>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</si>
  <si>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</si>
  <si>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</si>
  <si>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t>Government Wide Statements - Statement of Activities  - Governmental Activities Column</t>
  </si>
  <si>
    <t xml:space="preserve">Total Interest expense on Long-Term Debt </t>
  </si>
  <si>
    <t>Total Expenses</t>
  </si>
  <si>
    <t xml:space="preserve">Charges for services </t>
  </si>
  <si>
    <t>Operating grants and contributions</t>
  </si>
  <si>
    <t>Capital grants and contributions</t>
  </si>
  <si>
    <t>Total Transfers in</t>
  </si>
  <si>
    <t>Total Transfers out</t>
  </si>
  <si>
    <t>Statement of Activities - Governmental</t>
  </si>
  <si>
    <r>
      <t>Total Transfers in</t>
    </r>
    <r>
      <rPr>
        <sz val="11"/>
        <color theme="1"/>
        <rFont val="Calibri"/>
        <family val="2"/>
        <scheme val="minor"/>
      </rPr>
      <t xml:space="preserve">    </t>
    </r>
    <r>
      <rPr>
        <sz val="11"/>
        <color indexed="60"/>
        <rFont val="Calibri"/>
        <family val="2"/>
      </rPr>
      <t>(Preference is that transfers-in  are not netted against transfers-out)</t>
    </r>
  </si>
  <si>
    <r>
      <t>Total Transfers out</t>
    </r>
    <r>
      <rPr>
        <sz val="11"/>
        <color theme="1"/>
        <rFont val="Calibri"/>
        <family val="2"/>
        <scheme val="minor"/>
      </rPr>
      <t xml:space="preserve">    </t>
    </r>
    <r>
      <rPr>
        <sz val="11"/>
        <color indexed="60"/>
        <rFont val="Calibri"/>
        <family val="2"/>
      </rPr>
      <t>(Preference is that transfers-in  are not netted against transfers-out)</t>
    </r>
  </si>
  <si>
    <t>Fund Statements - General Fund Balance Sheet</t>
  </si>
  <si>
    <t>All restricted cash and investments</t>
  </si>
  <si>
    <t xml:space="preserve">Fund balance, Restricted for Stabilization by State Statute </t>
  </si>
  <si>
    <t>Fund balance, Nonspendable-  inventory/prepaids/etc.</t>
  </si>
  <si>
    <t>General Fund-Balance Sheet</t>
  </si>
  <si>
    <r>
      <rPr>
        <u/>
        <sz val="11"/>
        <color indexed="8"/>
        <rFont val="Calibri"/>
        <family val="2"/>
      </rPr>
      <t>Total Intergovernmental revenue</t>
    </r>
    <r>
      <rPr>
        <sz val="11"/>
        <color theme="1"/>
        <rFont val="Calibri"/>
        <family val="2"/>
        <scheme val="minor"/>
      </rPr>
      <t xml:space="preserve"> 
</t>
    </r>
    <r>
      <rPr>
        <b/>
        <sz val="11"/>
        <color indexed="8"/>
        <rFont val="Calibri"/>
        <family val="2"/>
      </rPr>
      <t>Include</t>
    </r>
    <r>
      <rPr>
        <sz val="11"/>
        <color indexed="8"/>
        <rFont val="Calibri"/>
        <family val="2"/>
      </rPr>
      <t xml:space="preserve"> restricted and unrestricted revenues</t>
    </r>
  </si>
  <si>
    <t>Total revenues</t>
  </si>
  <si>
    <r>
      <rPr>
        <u/>
        <sz val="11"/>
        <rFont val="Calibri"/>
        <family val="2"/>
      </rPr>
      <t>Total Proceeds from all long-term debt issuances</t>
    </r>
    <r>
      <rPr>
        <sz val="11"/>
        <rFont val="Calibri"/>
        <family val="2"/>
      </rPr>
      <t xml:space="preserve"> 
</t>
    </r>
    <r>
      <rPr>
        <b/>
        <sz val="11"/>
        <rFont val="Calibri"/>
        <family val="2"/>
      </rPr>
      <t xml:space="preserve">Exclude </t>
    </r>
    <r>
      <rPr>
        <sz val="11"/>
        <rFont val="Calibri"/>
        <family val="2"/>
      </rPr>
      <t>proceeds from refundings</t>
    </r>
  </si>
  <si>
    <r>
      <rPr>
        <u/>
        <sz val="11"/>
        <color indexed="8"/>
        <rFont val="Calibri"/>
        <family val="2"/>
      </rPr>
      <t>Change in fund balance</t>
    </r>
    <r>
      <rPr>
        <sz val="11"/>
        <color theme="1"/>
        <rFont val="Calibri"/>
        <family val="2"/>
        <scheme val="minor"/>
      </rPr>
      <t xml:space="preserve"> - </t>
    </r>
    <r>
      <rPr>
        <sz val="11"/>
        <color indexed="60"/>
        <rFont val="Calibri"/>
        <family val="2"/>
      </rPr>
      <t>(Increase in Fund balance is recorded as a positive and a decrease in fund balance is recorded as a negative)</t>
    </r>
  </si>
  <si>
    <t xml:space="preserve">    General Fund Only - Statement of Revenue, Expenditures and Changes in Fund Balance </t>
  </si>
  <si>
    <t>General Fund-Rev, Exp. Change in Fund Balance</t>
  </si>
  <si>
    <r>
      <rPr>
        <u/>
        <sz val="11"/>
        <color indexed="8"/>
        <rFont val="Calibri"/>
        <family val="2"/>
      </rPr>
      <t>General fund deferred inflows derived from cash receipts</t>
    </r>
    <r>
      <rPr>
        <sz val="11"/>
        <color indexed="8"/>
        <rFont val="Calibri"/>
        <family val="2"/>
      </rPr>
      <t xml:space="preserve">. 
</t>
    </r>
    <r>
      <rPr>
        <sz val="11"/>
        <color indexed="60"/>
        <rFont val="Calibri"/>
        <family val="2"/>
      </rPr>
      <t xml:space="preserve"> Prepaid taxes is a common item listed.  Deferred inflows on the face of the statements can include cash and non-cash.  You may have to refer to the note disclosure where the cash and non-cash is broken out.</t>
    </r>
  </si>
  <si>
    <r>
      <rPr>
        <u/>
        <sz val="11"/>
        <color indexed="8"/>
        <rFont val="Calibri"/>
        <family val="2"/>
      </rPr>
      <t>Total Deferred inflows not derived from cash receipts.</t>
    </r>
    <r>
      <rPr>
        <sz val="11"/>
        <color indexed="8"/>
        <rFont val="Calibri"/>
        <family val="2"/>
      </rPr>
      <t xml:space="preserve">  </t>
    </r>
    <r>
      <rPr>
        <sz val="11"/>
        <color indexed="60"/>
        <rFont val="Calibri"/>
        <family val="2"/>
      </rPr>
      <t>Deferred inflows on the face of the statements can include cash and non-cash.  You may have to refer to the note disclosure where the cash and non-cash is broken out.</t>
    </r>
  </si>
  <si>
    <r>
      <rPr>
        <u/>
        <sz val="11"/>
        <color indexed="8"/>
        <rFont val="Calibri"/>
        <family val="2"/>
      </rPr>
      <t>Fund balance, Restricted for Streets</t>
    </r>
    <r>
      <rPr>
        <sz val="11"/>
        <color theme="1"/>
        <rFont val="Calibri"/>
        <family val="2"/>
        <scheme val="minor"/>
      </rPr>
      <t xml:space="preserve"> (unspent Powell Bill balance).  </t>
    </r>
    <r>
      <rPr>
        <sz val="11"/>
        <color indexed="60"/>
        <rFont val="Calibri"/>
        <family val="2"/>
      </rPr>
      <t>You may have to refer to the note disclosure where restricted fund balance is described.</t>
    </r>
  </si>
  <si>
    <r>
      <rPr>
        <u/>
        <sz val="11"/>
        <rFont val="Calibri"/>
        <family val="2"/>
      </rPr>
      <t>Total expenditures</t>
    </r>
    <r>
      <rPr>
        <sz val="11"/>
        <rFont val="Calibri"/>
        <family val="2"/>
      </rPr>
      <t xml:space="preserve">  
</t>
    </r>
    <r>
      <rPr>
        <b/>
        <sz val="11"/>
        <rFont val="Calibri"/>
        <family val="2"/>
      </rPr>
      <t>Exclude</t>
    </r>
    <r>
      <rPr>
        <sz val="11"/>
        <rFont val="Calibri"/>
        <family val="2"/>
      </rPr>
      <t xml:space="preserve"> expenditures in the "other financing sources (uses)" section.
</t>
    </r>
  </si>
  <si>
    <r>
      <rPr>
        <b/>
        <sz val="11"/>
        <color indexed="8"/>
        <rFont val="Century Schoolbook"/>
        <family val="1"/>
      </rPr>
      <t>Statement of Net Position - Water and Sewer Operations</t>
    </r>
    <r>
      <rPr>
        <sz val="11"/>
        <color indexed="8"/>
        <rFont val="Century Schoolbook"/>
        <family val="1"/>
      </rPr>
      <t xml:space="preserve"> - If unit maintains separate funds please combine all water, sewer,</t>
    </r>
  </si>
  <si>
    <r>
      <rPr>
        <u/>
        <sz val="11"/>
        <color indexed="8"/>
        <rFont val="Calibri"/>
        <family val="2"/>
      </rPr>
      <t>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and/or restricted investments.</t>
    </r>
  </si>
  <si>
    <r>
      <rPr>
        <u/>
        <sz val="11"/>
        <color indexed="8"/>
        <rFont val="Calibri"/>
        <family val="2"/>
      </rPr>
      <t>Customer accounts receivable</t>
    </r>
    <r>
      <rPr>
        <sz val="11"/>
        <color theme="1"/>
        <rFont val="Calibri"/>
        <family val="2"/>
        <scheme val="minor"/>
      </rPr>
      <t xml:space="preserve"> (net of allowance accounts). 
</t>
    </r>
    <r>
      <rPr>
        <b/>
        <sz val="11"/>
        <color indexed="8"/>
        <rFont val="Calibri"/>
        <family val="2"/>
      </rPr>
      <t>Include</t>
    </r>
    <r>
      <rPr>
        <sz val="11"/>
        <color theme="1"/>
        <rFont val="Calibri"/>
        <family val="2"/>
        <scheme val="minor"/>
      </rPr>
      <t xml:space="preserve"> both billed and unbilled amounts.</t>
    </r>
  </si>
  <si>
    <t>Total Liabilities and deferred inflows</t>
  </si>
  <si>
    <t>Total Net position</t>
  </si>
  <si>
    <t xml:space="preserve">Statement of Net Position - Electric Fund </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</si>
  <si>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any restricted cash and investments.</t>
    </r>
  </si>
  <si>
    <r>
      <rPr>
        <u/>
        <sz val="11"/>
        <color indexed="8"/>
        <rFont val="Calibri"/>
        <family val="2"/>
      </rPr>
      <t>Customer accounts receivable</t>
    </r>
    <r>
      <rPr>
        <sz val="11"/>
        <color theme="1"/>
        <rFont val="Calibri"/>
        <family val="2"/>
        <scheme val="minor"/>
      </rPr>
      <t xml:space="preserve"> (net of allowance accounts)
</t>
    </r>
    <r>
      <rPr>
        <b/>
        <sz val="11"/>
        <color indexed="8"/>
        <rFont val="Calibri"/>
        <family val="2"/>
      </rPr>
      <t>Include</t>
    </r>
    <r>
      <rPr>
        <sz val="11"/>
        <color theme="1"/>
        <rFont val="Calibri"/>
        <family val="2"/>
        <scheme val="minor"/>
      </rPr>
      <t xml:space="preserve"> billed and unbilled amounts </t>
    </r>
  </si>
  <si>
    <t>Amount of inventories and prepaids</t>
  </si>
  <si>
    <t>Total liabilities and total deferred inflows</t>
  </si>
  <si>
    <r>
      <rPr>
        <u/>
        <sz val="11"/>
        <color indexed="8"/>
        <rFont val="Calibri"/>
        <family val="2"/>
      </rPr>
      <t>Total net position, unrestricted</t>
    </r>
    <r>
      <rPr>
        <sz val="11"/>
        <color theme="1"/>
        <rFont val="Calibri"/>
        <family val="2"/>
        <scheme val="minor"/>
      </rPr>
      <t xml:space="preserve"> - </t>
    </r>
    <r>
      <rPr>
        <sz val="11"/>
        <color indexed="60"/>
        <rFont val="Calibri"/>
        <family val="2"/>
      </rPr>
      <t>Amount of negative unrestricted net position should be entered as a negative amount and the amount of positive unrestricted net position should be entered as a positive amount.</t>
    </r>
  </si>
  <si>
    <t>Total net position</t>
  </si>
  <si>
    <r>
      <rPr>
        <b/>
        <sz val="9"/>
        <color indexed="8"/>
        <rFont val="Century Schoolbook"/>
        <family val="1"/>
      </rPr>
      <t>Water Sewer</t>
    </r>
    <r>
      <rPr>
        <sz val="9"/>
        <color indexed="8"/>
        <rFont val="Century Schoolbook"/>
        <family val="1"/>
      </rPr>
      <t xml:space="preserve"> Revenue, Expenses &amp; Changes in Fund Net Position</t>
    </r>
  </si>
  <si>
    <r>
      <rPr>
        <b/>
        <sz val="9"/>
        <color indexed="8"/>
        <rFont val="Century Schoolbook"/>
        <family val="1"/>
      </rPr>
      <t>Electric Fund</t>
    </r>
    <r>
      <rPr>
        <sz val="9"/>
        <color indexed="8"/>
        <rFont val="Century Schoolbook"/>
        <family val="1"/>
      </rPr>
      <t xml:space="preserve"> Net Position Statement</t>
    </r>
  </si>
  <si>
    <r>
      <rPr>
        <b/>
        <sz val="9"/>
        <color indexed="8"/>
        <rFont val="Century Schoolbook"/>
        <family val="1"/>
      </rPr>
      <t>Water Sewe</t>
    </r>
    <r>
      <rPr>
        <sz val="9"/>
        <color indexed="8"/>
        <rFont val="Century Schoolbook"/>
        <family val="1"/>
      </rPr>
      <t>r Net Position Statement</t>
    </r>
  </si>
  <si>
    <t>Total Operating revenues</t>
  </si>
  <si>
    <t>Depreciation and amortization expense</t>
  </si>
  <si>
    <t>Total Operating expenses</t>
  </si>
  <si>
    <t>Interest expense</t>
  </si>
  <si>
    <r>
      <rPr>
        <u/>
        <sz val="11"/>
        <color indexed="8"/>
        <rFont val="Calibri"/>
        <family val="2"/>
      </rPr>
      <t xml:space="preserve">Total all non-operating </t>
    </r>
    <r>
      <rPr>
        <u/>
        <sz val="11"/>
        <color indexed="8"/>
        <rFont val="Calibri"/>
        <family val="2"/>
      </rPr>
      <t>revenues</t>
    </r>
    <r>
      <rPr>
        <sz val="11"/>
        <color indexed="10"/>
        <rFont val="Calibri"/>
        <family val="2"/>
      </rPr>
      <t xml:space="preserve">  
</t>
    </r>
    <r>
      <rPr>
        <b/>
        <sz val="11"/>
        <color indexed="8"/>
        <rFont val="Calibri"/>
        <family val="2"/>
      </rPr>
      <t>Exclude</t>
    </r>
    <r>
      <rPr>
        <sz val="11"/>
        <color indexed="8"/>
        <rFont val="Calibri"/>
        <family val="2"/>
      </rPr>
      <t xml:space="preserve"> Capital contributions.</t>
    </r>
  </si>
  <si>
    <r>
      <rPr>
        <u/>
        <sz val="11"/>
        <color indexed="8"/>
        <rFont val="Calibri"/>
        <family val="2"/>
      </rPr>
      <t>Capital contributions</t>
    </r>
    <r>
      <rPr>
        <sz val="11"/>
        <color theme="1"/>
        <rFont val="Calibri"/>
        <family val="2"/>
        <scheme val="minor"/>
      </rPr>
      <t>.</t>
    </r>
    <r>
      <rPr>
        <sz val="11"/>
        <color indexed="60"/>
        <rFont val="Calibri"/>
        <family val="2"/>
      </rPr>
      <t xml:space="preserve"> Only include positive capital contributions.  </t>
    </r>
    <r>
      <rPr>
        <sz val="11"/>
        <color indexed="60"/>
        <rFont val="Calibri"/>
        <family val="2"/>
      </rPr>
      <t>Negative capital contributions should be included with 'Total all non-operating expenses.'</t>
    </r>
  </si>
  <si>
    <r>
      <rPr>
        <u/>
        <sz val="11"/>
        <color indexed="8"/>
        <rFont val="Calibri"/>
        <family val="2"/>
      </rPr>
      <t>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</si>
  <si>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r>
      <rPr>
        <u/>
        <sz val="11"/>
        <color indexed="8"/>
        <rFont val="Calibri"/>
        <family val="2"/>
      </rPr>
      <t>Did unit raise Water Sewer rates during the audited fiscal period</t>
    </r>
    <r>
      <rPr>
        <sz val="11"/>
        <color theme="1"/>
        <rFont val="Calibri"/>
        <family val="2"/>
        <scheme val="minor"/>
      </rPr>
      <t>? -</t>
    </r>
    <r>
      <rPr>
        <sz val="11"/>
        <color indexed="60"/>
        <rFont val="Calibri"/>
        <family val="2"/>
      </rPr>
      <t xml:space="preserve"> answer Yes or No</t>
    </r>
  </si>
  <si>
    <r>
      <rPr>
        <u/>
        <sz val="11"/>
        <color indexed="8"/>
        <rFont val="Calibri"/>
        <family val="2"/>
      </rPr>
      <t>Did unit raise Water Sewer rates during the budget year following the audited fiscal year</t>
    </r>
    <r>
      <rPr>
        <sz val="11"/>
        <color theme="1"/>
        <rFont val="Calibri"/>
        <family val="2"/>
        <scheme val="minor"/>
      </rPr>
      <t xml:space="preserve">? - </t>
    </r>
    <r>
      <rPr>
        <sz val="11"/>
        <color indexed="60"/>
        <rFont val="Calibri"/>
        <family val="2"/>
      </rPr>
      <t>answer Yes or No</t>
    </r>
  </si>
  <si>
    <r>
      <rPr>
        <u/>
        <sz val="11"/>
        <color indexed="8"/>
        <rFont val="Calibri"/>
        <family val="2"/>
      </rPr>
      <t>Increases or (decreases) to beginning water sewer net position due to rounding, prior period adjustments and restatements</t>
    </r>
    <r>
      <rPr>
        <sz val="11"/>
        <color theme="1"/>
        <rFont val="Calibri"/>
        <family val="2"/>
        <scheme val="minor"/>
      </rPr>
      <t xml:space="preserve">.  </t>
    </r>
    <r>
      <rPr>
        <sz val="11"/>
        <color indexed="60"/>
        <rFont val="Calibri"/>
        <family val="2"/>
      </rPr>
      <t>Increase amounts to beginning net position should be entered as a positive amount and (decreases) should be entered as a negative amount.</t>
    </r>
  </si>
  <si>
    <r>
      <rPr>
        <b/>
        <sz val="9"/>
        <color indexed="8"/>
        <rFont val="Century Schoolbook"/>
        <family val="1"/>
      </rPr>
      <t>Electric Fund</t>
    </r>
    <r>
      <rPr>
        <sz val="9"/>
        <color indexed="8"/>
        <rFont val="Century Schoolbook"/>
        <family val="1"/>
      </rPr>
      <t xml:space="preserve"> Revenue, Expenses &amp; Changes in Fund Net Position</t>
    </r>
  </si>
  <si>
    <t>Charges for services</t>
  </si>
  <si>
    <t>Electrical power purchases</t>
  </si>
  <si>
    <r>
      <rPr>
        <u/>
        <sz val="11"/>
        <color indexed="8"/>
        <rFont val="Calibri"/>
        <family val="2"/>
      </rPr>
      <t>Capi</t>
    </r>
    <r>
      <rPr>
        <u/>
        <sz val="11"/>
        <rFont val="Calibri"/>
        <family val="2"/>
      </rPr>
      <t>tal Contributions</t>
    </r>
    <r>
      <rPr>
        <sz val="11"/>
        <rFont val="Calibri"/>
        <family val="2"/>
      </rPr>
      <t xml:space="preserve">.  
</t>
    </r>
    <r>
      <rPr>
        <b/>
        <sz val="11"/>
        <rFont val="Calibri"/>
        <family val="2"/>
      </rPr>
      <t xml:space="preserve">Include </t>
    </r>
    <r>
      <rPr>
        <sz val="11"/>
        <rFont val="Calibri"/>
        <family val="2"/>
      </rPr>
      <t>only positive capital Contributions.</t>
    </r>
    <r>
      <rPr>
        <b/>
        <sz val="11"/>
        <rFont val="Calibri"/>
        <family val="2"/>
      </rPr>
      <t xml:space="preserve">  </t>
    </r>
    <r>
      <rPr>
        <sz val="11"/>
        <color indexed="60"/>
        <rFont val="Calibri"/>
        <family val="2"/>
      </rPr>
      <t>Negative capital contributions should be included with 'Total all non-operating expenses.'</t>
    </r>
  </si>
  <si>
    <r>
      <rPr>
        <u/>
        <sz val="11"/>
        <color indexed="8"/>
        <rFont val="Calibri"/>
        <family val="2"/>
      </rPr>
      <t>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</si>
  <si>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r>
      <rPr>
        <u/>
        <sz val="11"/>
        <color indexed="8"/>
        <rFont val="Calibri"/>
        <family val="2"/>
      </rPr>
      <t>Total Transfers In</t>
    </r>
    <r>
      <rPr>
        <sz val="11"/>
        <color theme="1"/>
        <rFont val="Calibri"/>
        <family val="2"/>
        <scheme val="minor"/>
      </rPr>
      <t xml:space="preserve"> (From all Funds)</t>
    </r>
  </si>
  <si>
    <r>
      <rPr>
        <u/>
        <sz val="11"/>
        <color indexed="8"/>
        <rFont val="Calibri"/>
        <family val="2"/>
      </rPr>
      <t>Total Transfers Out</t>
    </r>
    <r>
      <rPr>
        <sz val="11"/>
        <color theme="1"/>
        <rFont val="Calibri"/>
        <family val="2"/>
        <scheme val="minor"/>
      </rPr>
      <t xml:space="preserve"> (To all funds)</t>
    </r>
  </si>
  <si>
    <r>
      <rPr>
        <u/>
        <sz val="11"/>
        <color indexed="8"/>
        <rFont val="Calibri"/>
        <family val="2"/>
      </rPr>
      <t>Increases or (decreases) to beginning electric net position due to rounding, prior period adjustments and restatements</t>
    </r>
    <r>
      <rPr>
        <sz val="11"/>
        <color indexed="60"/>
        <rFont val="Calibri"/>
        <family val="2"/>
      </rPr>
      <t>.  Increase amounts to beginning net position should be entered as a positive amount and (decreases) should be entered as a negative amount.</t>
    </r>
  </si>
  <si>
    <r>
      <rPr>
        <b/>
        <sz val="11"/>
        <color indexed="8"/>
        <rFont val="Century Schoolbook"/>
        <family val="1"/>
      </rPr>
      <t>Water and Sewer Operations</t>
    </r>
    <r>
      <rPr>
        <sz val="11"/>
        <color indexed="8"/>
        <rFont val="Century Schoolbook"/>
        <family val="1"/>
      </rPr>
      <t xml:space="preserve"> - If unit maintains separate funds please combine all water, sewer,</t>
    </r>
  </si>
  <si>
    <r>
      <t xml:space="preserve">and wastewater funds into one activity for purposes of this worksheet.  </t>
    </r>
    <r>
      <rPr>
        <b/>
        <sz val="11"/>
        <color indexed="8"/>
        <rFont val="Century Schoolbook"/>
        <family val="1"/>
      </rPr>
      <t>Exclude stormwater funds</t>
    </r>
    <r>
      <rPr>
        <sz val="11"/>
        <color indexed="8"/>
        <rFont val="Century Schoolbook"/>
        <family val="1"/>
      </rPr>
      <t xml:space="preserve">.  Only fill out this section if </t>
    </r>
  </si>
  <si>
    <r>
      <t xml:space="preserve">Water Sewer </t>
    </r>
    <r>
      <rPr>
        <sz val="9"/>
        <color indexed="8"/>
        <rFont val="Century Schoolbook"/>
        <family val="1"/>
      </rPr>
      <t>Cash Flow Statement</t>
    </r>
  </si>
  <si>
    <r>
      <rPr>
        <u/>
        <sz val="11"/>
        <color indexed="8"/>
        <rFont val="Calibri"/>
        <family val="2"/>
      </rPr>
      <t>Total Capital outlay</t>
    </r>
    <r>
      <rPr>
        <sz val="11"/>
        <color theme="1"/>
        <rFont val="Calibri"/>
        <family val="2"/>
        <scheme val="minor"/>
      </rPr>
      <t xml:space="preserve">. 
</t>
    </r>
    <r>
      <rPr>
        <b/>
        <sz val="11"/>
        <color indexed="8"/>
        <rFont val="Calibri"/>
        <family val="2"/>
      </rPr>
      <t>Include</t>
    </r>
    <r>
      <rPr>
        <sz val="11"/>
        <color theme="1"/>
        <rFont val="Calibri"/>
        <family val="2"/>
        <scheme val="minor"/>
      </rPr>
      <t xml:space="preserve"> acquisition and construction of capital assets.</t>
    </r>
  </si>
  <si>
    <r>
      <rPr>
        <u/>
        <sz val="11"/>
        <color indexed="8"/>
        <rFont val="Calibri"/>
        <family val="2"/>
      </rPr>
      <t>Principal paid on long-term debt</t>
    </r>
    <r>
      <rPr>
        <sz val="11"/>
        <color theme="1"/>
        <rFont val="Calibri"/>
        <family val="2"/>
        <scheme val="minor"/>
      </rPr>
      <t xml:space="preserve">.  </t>
    </r>
    <r>
      <rPr>
        <sz val="11"/>
        <color indexed="60"/>
        <rFont val="Calibri"/>
        <family val="2"/>
      </rPr>
      <t>Amount should be reduced by principal payments for debt refunding.</t>
    </r>
  </si>
  <si>
    <r>
      <t xml:space="preserve">Electric Fund </t>
    </r>
    <r>
      <rPr>
        <sz val="9"/>
        <color indexed="8"/>
        <rFont val="Century Schoolbook"/>
        <family val="1"/>
      </rPr>
      <t>Cash Flow Statement</t>
    </r>
  </si>
  <si>
    <r>
      <rPr>
        <u/>
        <sz val="11"/>
        <color indexed="8"/>
        <rFont val="Calibri"/>
        <family val="2"/>
      </rPr>
      <t>Total Capital outlay.</t>
    </r>
    <r>
      <rPr>
        <sz val="11"/>
        <color theme="1"/>
        <rFont val="Calibri"/>
        <family val="2"/>
        <scheme val="minor"/>
      </rPr>
      <t xml:space="preserve">  
</t>
    </r>
    <r>
      <rPr>
        <b/>
        <sz val="11"/>
        <color indexed="8"/>
        <rFont val="Calibri"/>
        <family val="2"/>
      </rPr>
      <t>Include</t>
    </r>
    <r>
      <rPr>
        <sz val="11"/>
        <color theme="1"/>
        <rFont val="Calibri"/>
        <family val="2"/>
        <scheme val="minor"/>
      </rPr>
      <t xml:space="preserve"> acquisition and construction of capital assets.</t>
    </r>
  </si>
  <si>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</si>
  <si>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</si>
  <si>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Cash and Investment Note</t>
  </si>
  <si>
    <r>
      <rPr>
        <u/>
        <sz val="11"/>
        <color indexed="8"/>
        <rFont val="Calibri"/>
        <family val="2"/>
      </rPr>
      <t xml:space="preserve">Decreases made (principal paid) on Long-Term Debt in current fiscal year.  Reduce for </t>
    </r>
    <r>
      <rPr>
        <b/>
        <u/>
        <sz val="11"/>
        <color indexed="8"/>
        <rFont val="Calibri"/>
        <family val="2"/>
      </rPr>
      <t>debt refunding</t>
    </r>
    <r>
      <rPr>
        <u/>
        <sz val="11"/>
        <color indexed="8"/>
        <rFont val="Calibri"/>
        <family val="2"/>
      </rPr>
      <t>.</t>
    </r>
  </si>
  <si>
    <t>OPEB Note</t>
  </si>
  <si>
    <r>
      <rPr>
        <u/>
        <sz val="11"/>
        <color indexed="8"/>
        <rFont val="Calibri"/>
        <family val="2"/>
      </rPr>
      <t>Amount of Transfers from the General Fund to the Debt Service Fund</t>
    </r>
    <r>
      <rPr>
        <sz val="11"/>
        <color theme="1"/>
        <rFont val="Calibri"/>
        <family val="2"/>
        <scheme val="minor"/>
      </rPr>
      <t xml:space="preserve"> </t>
    </r>
    <r>
      <rPr>
        <sz val="11"/>
        <color indexed="60"/>
        <rFont val="Calibri"/>
        <family val="2"/>
      </rPr>
      <t>(Enter as positive)</t>
    </r>
  </si>
  <si>
    <r>
      <rPr>
        <u/>
        <sz val="11"/>
        <color indexed="8"/>
        <rFont val="Calibri"/>
        <family val="2"/>
      </rPr>
      <t>Amount of Transfers from the General Fund to the Electric Fund</t>
    </r>
    <r>
      <rPr>
        <sz val="11"/>
        <color theme="1"/>
        <rFont val="Calibri"/>
        <family val="2"/>
        <scheme val="minor"/>
      </rPr>
      <t xml:space="preserve">  </t>
    </r>
    <r>
      <rPr>
        <sz val="11"/>
        <color indexed="60"/>
        <rFont val="Calibri"/>
        <family val="2"/>
      </rPr>
      <t>(Enter as positive)</t>
    </r>
  </si>
  <si>
    <t>Transfer Note</t>
  </si>
  <si>
    <r>
      <rPr>
        <u/>
        <sz val="11"/>
        <color indexed="8"/>
        <rFont val="Calibri"/>
        <family val="2"/>
      </rPr>
      <t>General Fund -  Total Encumbrances.</t>
    </r>
    <r>
      <rPr>
        <sz val="11"/>
        <color theme="1"/>
        <rFont val="Calibri"/>
        <family val="2"/>
        <scheme val="minor"/>
      </rPr>
      <t xml:space="preserve">  </t>
    </r>
    <r>
      <rPr>
        <sz val="11"/>
        <color indexed="60"/>
        <rFont val="Calibri"/>
        <family val="2"/>
      </rPr>
      <t>You will probably have to refer to the note disclosure where the amount of encumbrances is listed.</t>
    </r>
  </si>
  <si>
    <t>Fund Balance Note</t>
  </si>
  <si>
    <t>Amount of the Water Sewer Fund Balance appropriated in next year's budget?</t>
  </si>
  <si>
    <t>Amount of the General Fund Balance appropriated in next year's budget.</t>
  </si>
  <si>
    <r>
      <rPr>
        <b/>
        <sz val="9"/>
        <color indexed="8"/>
        <rFont val="Century Schoolbook"/>
        <family val="1"/>
      </rPr>
      <t>General Fund</t>
    </r>
    <r>
      <rPr>
        <sz val="9"/>
        <color indexed="8"/>
        <rFont val="Century Schoolbook"/>
        <family val="1"/>
      </rPr>
      <t xml:space="preserve"> - Budget Actual Statement</t>
    </r>
  </si>
  <si>
    <r>
      <rPr>
        <b/>
        <sz val="9"/>
        <color indexed="8"/>
        <rFont val="Century Schoolbook"/>
        <family val="1"/>
      </rPr>
      <t>Water Sewer</t>
    </r>
    <r>
      <rPr>
        <sz val="9"/>
        <color indexed="8"/>
        <rFont val="Century Schoolbook"/>
        <family val="1"/>
      </rPr>
      <t xml:space="preserve"> - Budget Actual Statement</t>
    </r>
  </si>
  <si>
    <r>
      <t xml:space="preserve">Analysis of Current Tax Levy Schedule - Unit-Wide - </t>
    </r>
    <r>
      <rPr>
        <b/>
        <sz val="11"/>
        <color indexed="60"/>
        <rFont val="Century Schoolbook"/>
        <family val="1"/>
      </rPr>
      <t xml:space="preserve">Pull percentages from this LGC-required schedule, </t>
    </r>
  </si>
  <si>
    <t>Analysis of Current Tax Levy Schedule</t>
  </si>
  <si>
    <r>
      <rPr>
        <u/>
        <sz val="11"/>
        <color indexed="8"/>
        <rFont val="Calibri"/>
        <family val="2"/>
      </rPr>
      <t>Gross value.</t>
    </r>
    <r>
      <rPr>
        <sz val="11"/>
        <color theme="1"/>
        <rFont val="Calibri"/>
        <family val="2"/>
        <scheme val="minor"/>
      </rPr>
      <t xml:space="preserve"> </t>
    </r>
    <r>
      <rPr>
        <b/>
        <sz val="11"/>
        <color indexed="8"/>
        <rFont val="Calibri"/>
        <family val="2"/>
      </rPr>
      <t xml:space="preserve"> 
Exclude</t>
    </r>
    <r>
      <rPr>
        <sz val="11"/>
        <color theme="1"/>
        <rFont val="Calibri"/>
        <family val="2"/>
        <scheme val="minor"/>
      </rPr>
      <t xml:space="preserve"> non-depreciable.</t>
    </r>
  </si>
  <si>
    <t>Accumulated depreciation</t>
  </si>
  <si>
    <t>Gov.-Capital Assets Schedule in the Notes</t>
  </si>
  <si>
    <r>
      <rPr>
        <u/>
        <sz val="11"/>
        <color indexed="8"/>
        <rFont val="Calibri"/>
        <family val="2"/>
      </rPr>
      <t>Land and all other non depreciable capital assets</t>
    </r>
    <r>
      <rPr>
        <sz val="11"/>
        <color theme="1"/>
        <rFont val="Calibri"/>
        <family val="2"/>
        <scheme val="minor"/>
      </rPr>
      <t xml:space="preserve"> 
</t>
    </r>
    <r>
      <rPr>
        <b/>
        <sz val="11"/>
        <color indexed="8"/>
        <rFont val="Calibri"/>
        <family val="2"/>
      </rPr>
      <t>Exclude</t>
    </r>
    <r>
      <rPr>
        <sz val="11"/>
        <color theme="1"/>
        <rFont val="Calibri"/>
        <family val="2"/>
        <scheme val="minor"/>
      </rPr>
      <t xml:space="preserve"> construction in progress</t>
    </r>
  </si>
  <si>
    <r>
      <t>Total Assets not being depreciated for</t>
    </r>
    <r>
      <rPr>
        <b/>
        <u/>
        <sz val="11"/>
        <color indexed="8"/>
        <rFont val="Calibri"/>
        <family val="2"/>
      </rPr>
      <t xml:space="preserve"> Water and Sewer</t>
    </r>
    <r>
      <rPr>
        <u/>
        <sz val="11"/>
        <color indexed="8"/>
        <rFont val="Calibri"/>
        <family val="2"/>
      </rPr>
      <t xml:space="preserve"> Activities</t>
    </r>
  </si>
  <si>
    <r>
      <t xml:space="preserve">Total Assets Gross value </t>
    </r>
    <r>
      <rPr>
        <b/>
        <u/>
        <sz val="11"/>
        <color indexed="8"/>
        <rFont val="Calibri"/>
        <family val="2"/>
      </rPr>
      <t>not being depreciated</t>
    </r>
    <r>
      <rPr>
        <u/>
        <sz val="11"/>
        <color indexed="8"/>
        <rFont val="Calibri"/>
        <family val="2"/>
      </rPr>
      <t xml:space="preserve"> for Electric Fund</t>
    </r>
  </si>
  <si>
    <t>WS-Capital Assets Schedule in the Notes</t>
  </si>
  <si>
    <t>WS Capital Assets Schedule-Gross Value</t>
  </si>
  <si>
    <t>WS Capital Assets Schedule-Annual Depreciation</t>
  </si>
  <si>
    <t>WS Capital Assets Schedule-Accumulated Depreciation</t>
  </si>
  <si>
    <t>Electric Assets</t>
  </si>
  <si>
    <t>Electric Accumulated Depreciation</t>
  </si>
  <si>
    <t>Budget Actual Statement for Water Sewer Fund-Modified Accrual Basis</t>
  </si>
  <si>
    <r>
      <rPr>
        <u/>
        <sz val="11"/>
        <rFont val="Calibri"/>
        <family val="2"/>
      </rPr>
      <t>Please enter the Net Current year's levy</t>
    </r>
    <r>
      <rPr>
        <sz val="11"/>
        <rFont val="Calibri"/>
        <family val="2"/>
      </rPr>
      <t xml:space="preserve"> -- </t>
    </r>
    <r>
      <rPr>
        <sz val="11"/>
        <color indexed="60"/>
        <rFont val="Calibri"/>
        <family val="2"/>
      </rPr>
      <t>(after adjusting for discoveries and abatements)</t>
    </r>
    <r>
      <rPr>
        <sz val="11"/>
        <rFont val="Calibri"/>
        <family val="2"/>
      </rPr>
      <t xml:space="preserve">
</t>
    </r>
    <r>
      <rPr>
        <b/>
        <sz val="11"/>
        <rFont val="Calibri"/>
        <family val="2"/>
      </rPr>
      <t>Exclude</t>
    </r>
    <r>
      <rPr>
        <sz val="11"/>
        <rFont val="Calibri"/>
        <family val="2"/>
      </rPr>
      <t xml:space="preserve"> motor vehicles and Supplemental Taxes</t>
    </r>
  </si>
  <si>
    <r>
      <rPr>
        <u/>
        <sz val="11"/>
        <rFont val="Calibri"/>
        <family val="2"/>
      </rPr>
      <t>Please enter the Net Current year's levy -- Motor vehicles</t>
    </r>
    <r>
      <rPr>
        <sz val="11"/>
        <rFont val="Calibri"/>
        <family val="2"/>
      </rPr>
      <t xml:space="preserve"> (only) </t>
    </r>
    <r>
      <rPr>
        <sz val="11"/>
        <color indexed="60"/>
        <rFont val="Calibri"/>
        <family val="2"/>
      </rPr>
      <t xml:space="preserve">(after adjusting for discoveries and abatements)
</t>
    </r>
    <r>
      <rPr>
        <b/>
        <sz val="11"/>
        <color indexed="8"/>
        <rFont val="Calibri"/>
        <family val="2"/>
      </rPr>
      <t xml:space="preserve">Exclude </t>
    </r>
    <r>
      <rPr>
        <sz val="11"/>
        <color indexed="8"/>
        <rFont val="Calibri"/>
        <family val="2"/>
      </rPr>
      <t>supplemental taxes</t>
    </r>
  </si>
  <si>
    <r>
      <t xml:space="preserve">Uncollected Taxes - Curr Year's Levy Exclude Motor Vehicles
</t>
    </r>
    <r>
      <rPr>
        <b/>
        <sz val="11"/>
        <rFont val="Calibri"/>
        <family val="2"/>
      </rPr>
      <t>Exclude</t>
    </r>
    <r>
      <rPr>
        <sz val="11"/>
        <rFont val="Calibri"/>
        <family val="2"/>
      </rPr>
      <t xml:space="preserve"> supplemental taxes</t>
    </r>
  </si>
  <si>
    <r>
      <t xml:space="preserve">Uncollected Taxes - Curr Year's Levy Motor Vehicles
</t>
    </r>
    <r>
      <rPr>
        <b/>
        <sz val="11"/>
        <rFont val="Calibri"/>
        <family val="2"/>
      </rPr>
      <t>Exclude</t>
    </r>
    <r>
      <rPr>
        <sz val="11"/>
        <rFont val="Calibri"/>
        <family val="2"/>
      </rPr>
      <t xml:space="preserve"> supplemental taxes</t>
    </r>
  </si>
  <si>
    <r>
      <rPr>
        <u/>
        <sz val="11"/>
        <color indexed="8"/>
        <rFont val="Calibri"/>
        <family val="2"/>
      </rPr>
      <t>Property Tax Increase for Year Audited</t>
    </r>
    <r>
      <rPr>
        <sz val="11"/>
        <color theme="1"/>
        <rFont val="Calibri"/>
        <family val="2"/>
        <scheme val="minor"/>
      </rPr>
      <t xml:space="preserve">- </t>
    </r>
    <r>
      <rPr>
        <sz val="11"/>
        <color indexed="60"/>
        <rFont val="Calibri"/>
        <family val="2"/>
      </rPr>
      <t xml:space="preserve">enter amount of  increase in cents per $100 - leave blank if no increase 
</t>
    </r>
    <r>
      <rPr>
        <b/>
        <sz val="11"/>
        <color indexed="8"/>
        <rFont val="Calibri"/>
        <family val="2"/>
      </rPr>
      <t>Exclude</t>
    </r>
    <r>
      <rPr>
        <sz val="11"/>
        <color indexed="8"/>
        <rFont val="Calibri"/>
        <family val="2"/>
      </rPr>
      <t xml:space="preserve"> supplemental taxes</t>
    </r>
  </si>
  <si>
    <r>
      <rPr>
        <u/>
        <sz val="11"/>
        <color indexed="8"/>
        <rFont val="Calibri"/>
        <family val="2"/>
      </rPr>
      <t>Property Tax Increase for budget year after fiscal year being reported</t>
    </r>
    <r>
      <rPr>
        <sz val="11"/>
        <color theme="1"/>
        <rFont val="Calibri"/>
        <family val="2"/>
        <scheme val="minor"/>
      </rPr>
      <t xml:space="preserve"> - </t>
    </r>
    <r>
      <rPr>
        <sz val="11"/>
        <color indexed="60"/>
        <rFont val="Calibri"/>
        <family val="2"/>
      </rPr>
      <t xml:space="preserve">enter amount of increase in cents per $100- leave blank if no increase
</t>
    </r>
    <r>
      <rPr>
        <b/>
        <sz val="11"/>
        <color indexed="8"/>
        <rFont val="Calibri"/>
        <family val="2"/>
      </rPr>
      <t>Exclude</t>
    </r>
    <r>
      <rPr>
        <sz val="11"/>
        <color indexed="8"/>
        <rFont val="Calibri"/>
        <family val="2"/>
      </rPr>
      <t xml:space="preserve"> supplemental taxes</t>
    </r>
  </si>
  <si>
    <r>
      <t xml:space="preserve">Capital Assets for Water and Sewer Activity </t>
    </r>
    <r>
      <rPr>
        <sz val="9"/>
        <color indexed="60"/>
        <rFont val="Calibri"/>
        <family val="2"/>
      </rPr>
      <t>(If unit maintains separate funds please combine all water, sewer and wastewater funds into one activity for purposes of this worksheet)</t>
    </r>
    <r>
      <rPr>
        <b/>
        <sz val="9"/>
        <color indexed="8"/>
        <rFont val="Calibri"/>
        <family val="2"/>
      </rPr>
      <t xml:space="preserve">
Exclude </t>
    </r>
    <r>
      <rPr>
        <sz val="9"/>
        <color indexed="8"/>
        <rFont val="Calibri"/>
        <family val="2"/>
      </rPr>
      <t>Stormwater funds</t>
    </r>
  </si>
  <si>
    <t>Liabilities……………………………………………………………….………………………….</t>
  </si>
  <si>
    <r>
      <rPr>
        <u/>
        <sz val="11"/>
        <color indexed="8"/>
        <rFont val="Calibri"/>
        <family val="2"/>
      </rPr>
      <t>Total Special and Extraordinary items</t>
    </r>
    <r>
      <rPr>
        <sz val="11"/>
        <color theme="1"/>
        <rFont val="Calibri"/>
        <family val="2"/>
        <scheme val="minor"/>
      </rPr>
      <t xml:space="preserve">.   </t>
    </r>
    <r>
      <rPr>
        <sz val="11"/>
        <color indexed="60"/>
        <rFont val="Calibri"/>
        <family val="2"/>
      </rPr>
      <t xml:space="preserve"> (Amounts that increase net position are recorded as positive and amounts that decrease net position are recorded as negative)</t>
    </r>
  </si>
  <si>
    <r>
      <rPr>
        <u/>
        <sz val="11"/>
        <color indexed="8"/>
        <rFont val="Calibri"/>
        <family val="2"/>
      </rPr>
      <t>Total 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</si>
  <si>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t>Statement of Revenues, Expenses, and Changes in Fund Net Position</t>
  </si>
  <si>
    <t>Gov - Restricted Cash &amp; Investments</t>
  </si>
  <si>
    <t>GA-Total Unrestricted Cash &amp; Investments</t>
  </si>
  <si>
    <t xml:space="preserve">Gov - Select Current Liabilities </t>
  </si>
  <si>
    <t>Bus - Unrestricted Cash &amp; Investments</t>
  </si>
  <si>
    <t>Bus - Restricted Cash &amp; Investments</t>
  </si>
  <si>
    <t>Gov - Interest Exp on LT Debt</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</si>
  <si>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</si>
  <si>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</si>
  <si>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</si>
  <si>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</si>
  <si>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</si>
  <si>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</si>
  <si>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</si>
  <si>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</si>
  <si>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</si>
  <si>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</si>
  <si>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</si>
  <si>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Liabilities from Restricted Assets</t>
  </si>
  <si>
    <t>Gen Fund - RSS</t>
  </si>
  <si>
    <t>Gen Fund - Nonspendable</t>
  </si>
  <si>
    <t>Gen Fund - Powell Bill in FB</t>
  </si>
  <si>
    <t>Gen Fund - Total Fund Balance per report</t>
  </si>
  <si>
    <t>Gen Fund - Intergov Rev</t>
  </si>
  <si>
    <t>Gen Fund - Total Revenue</t>
  </si>
  <si>
    <t>Gen Fund - Debt Annual P &amp; I</t>
  </si>
  <si>
    <t xml:space="preserve">Gen Fund - Total Expenditures </t>
  </si>
  <si>
    <t>Gen Fund - Transfers In</t>
  </si>
  <si>
    <t>Gen Fund - Transfers Out</t>
  </si>
  <si>
    <t xml:space="preserve">Gen Fund - Proceeds from LTD </t>
  </si>
  <si>
    <t>Gen Fund - Other items</t>
  </si>
  <si>
    <t>Gen Fund - Positive debt refund</t>
  </si>
  <si>
    <t>Gen fund - Negative debt refund</t>
  </si>
  <si>
    <t>Gen Fund - Change in Fund Balance</t>
  </si>
  <si>
    <t>Gen Fund - Any Adj. to Beginning Net Assets</t>
  </si>
  <si>
    <t>Gov - Debt P &amp; I</t>
  </si>
  <si>
    <t>WS - Unrestricted Cash &amp; Investments</t>
  </si>
  <si>
    <t>WS - Customer AR Net</t>
  </si>
  <si>
    <t>WS - Inventories &amp; Prepaids in Curr Assets</t>
  </si>
  <si>
    <t>WS - Unearned revenue</t>
  </si>
  <si>
    <t>WS - Unrestricted Net Position</t>
  </si>
  <si>
    <t>Electric - Unrestricted Cash &amp; Investments</t>
  </si>
  <si>
    <t>Electric - Customer AR Net</t>
  </si>
  <si>
    <t>Electric - Inventories &amp; Prepaids in Curr Assets</t>
  </si>
  <si>
    <t>WS - Charges for Services</t>
  </si>
  <si>
    <t>WS - Total Operating Revenue</t>
  </si>
  <si>
    <t>WS - Depreciation &amp; Amortization Exp.</t>
  </si>
  <si>
    <t>WS - Total Operating Expenses</t>
  </si>
  <si>
    <t>WS - Interest Expense</t>
  </si>
  <si>
    <t>WS - Total Non-Operating Revenues</t>
  </si>
  <si>
    <t>WS - Total Non-Operating Expenses</t>
  </si>
  <si>
    <t>WS - Capital Contributions</t>
  </si>
  <si>
    <t>WS - Total Transfer In</t>
  </si>
  <si>
    <t>WS - Total Transfer Out</t>
  </si>
  <si>
    <t>Electric - Charges for Services</t>
  </si>
  <si>
    <t>Electric - Total Operating Revenues</t>
  </si>
  <si>
    <t>Electric - Electrical Power Purchases</t>
  </si>
  <si>
    <t>Electric - Depreciation and Amortization Exp.</t>
  </si>
  <si>
    <t>Electric - Total Operating Expenses</t>
  </si>
  <si>
    <t>Electric - Interest Expense</t>
  </si>
  <si>
    <t>Electric - Total Non-Operating Revenues</t>
  </si>
  <si>
    <t>Electric - Total Non-Operating Expenses</t>
  </si>
  <si>
    <t>Electric - Capital Contributions</t>
  </si>
  <si>
    <t>Electric - Total Transfers In</t>
  </si>
  <si>
    <t>WS - Cash Flow from Operating Activities</t>
  </si>
  <si>
    <t>WS - Principal Paid - Cash Flow</t>
  </si>
  <si>
    <t>WS - Capital Outlay - Cashflow</t>
  </si>
  <si>
    <t>Electric - Cash Flow from Operating Activities</t>
  </si>
  <si>
    <t>Electric - Capital Outlay - Cash Flow</t>
  </si>
  <si>
    <t>Electric - Principal Paid - Cash Flow</t>
  </si>
  <si>
    <t>Fiduciary - Cash and Investments</t>
  </si>
  <si>
    <t>Cash and Investment - Bond Proceeds - all Funds</t>
  </si>
  <si>
    <t>Gov - Debt Liability</t>
  </si>
  <si>
    <t>Gov - Principal Paid</t>
  </si>
  <si>
    <t>Electric - Debt Liability</t>
  </si>
  <si>
    <t>Transfer from General to Debt Fund</t>
  </si>
  <si>
    <t>Transfer from General Fund to Electric</t>
  </si>
  <si>
    <t>Transfer from Electric to General Fund</t>
  </si>
  <si>
    <t>Gen Fund - Encumbrances</t>
  </si>
  <si>
    <t>Amt of the WS Fund Balance approp. in next year's budget</t>
  </si>
  <si>
    <t>Amt of the GF Fund Bal. approp. in next year's budget</t>
  </si>
  <si>
    <t>Tax Collection Rate - Unit Wide</t>
  </si>
  <si>
    <t>Tax collection Rate - Excluding Vehicles</t>
  </si>
  <si>
    <t>Tax Collection Rate - Vehicles</t>
  </si>
  <si>
    <t>Current year's levy -- Excluding motor vehicles</t>
  </si>
  <si>
    <t>Current year's levy -- Motor vehicles (only)</t>
  </si>
  <si>
    <t>Uncollected Taxes - Curr Year's Levy Exclude Motor Vehicles</t>
  </si>
  <si>
    <t>Uncollected Taxes - Curr Year's Levy Motor Vehicles</t>
  </si>
  <si>
    <t>GA-Total Depreciable capital assets, gross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</si>
  <si>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</si>
  <si>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</si>
  <si>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</si>
  <si>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</si>
  <si>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</si>
  <si>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</si>
  <si>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</si>
  <si>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</si>
  <si>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</si>
  <si>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</si>
  <si>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</si>
  <si>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</si>
  <si>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</si>
  <si>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Units with Electric Operations have $.07, $.08, $.09</t>
  </si>
  <si>
    <t>Units with Water Sewer Operations have $.01</t>
  </si>
  <si>
    <t>CCH Unit Type</t>
  </si>
  <si>
    <t>CCH Unit Code</t>
  </si>
  <si>
    <t>Were WS rates raised in next year's budget</t>
  </si>
  <si>
    <t>Were WS rates raised during the audited fiscal period</t>
  </si>
  <si>
    <t>Prior Year Amts.</t>
  </si>
  <si>
    <t>Select Your Unit's Name from the drop down box in cell D2</t>
  </si>
  <si>
    <r>
      <t xml:space="preserve">Long-Term Liability Note - </t>
    </r>
    <r>
      <rPr>
        <b/>
        <sz val="11"/>
        <color indexed="8"/>
        <rFont val="Century Schoolbook"/>
        <family val="1"/>
      </rPr>
      <t>Water Sewer Activities</t>
    </r>
  </si>
  <si>
    <r>
      <t>Long-Term Liability Note -</t>
    </r>
    <r>
      <rPr>
        <b/>
        <sz val="9"/>
        <color indexed="8"/>
        <rFont val="Century Schoolbook"/>
        <family val="1"/>
      </rPr>
      <t xml:space="preserve"> </t>
    </r>
    <r>
      <rPr>
        <b/>
        <sz val="11"/>
        <color indexed="8"/>
        <rFont val="Century Schoolbook"/>
        <family val="1"/>
      </rPr>
      <t>Electric Activities</t>
    </r>
  </si>
  <si>
    <t>Dashboard,
Water Sewer Dashboard</t>
  </si>
  <si>
    <t>Water Sewer Memo,
Water Sewer Dashboard</t>
  </si>
  <si>
    <r>
      <rPr>
        <u/>
        <sz val="11"/>
        <color indexed="8"/>
        <rFont val="Calibri"/>
        <family val="2"/>
      </rPr>
      <t xml:space="preserve"> 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cash held by a third party. </t>
    </r>
  </si>
  <si>
    <r>
      <t xml:space="preserve">All unrestricted cash and investments.  
</t>
    </r>
    <r>
      <rPr>
        <b/>
        <sz val="11"/>
        <color indexed="8"/>
        <rFont val="Calibri"/>
        <family val="2"/>
      </rPr>
      <t>Exclude</t>
    </r>
    <r>
      <rPr>
        <sz val="11"/>
        <color indexed="8"/>
        <rFont val="Calibri"/>
        <family val="2"/>
      </rPr>
      <t xml:space="preserve"> restricted cash and cash held by a third party. </t>
    </r>
  </si>
  <si>
    <r>
      <t xml:space="preserve">Total Transfers in   </t>
    </r>
    <r>
      <rPr>
        <sz val="11"/>
        <color indexed="60"/>
        <rFont val="Calibri"/>
        <family val="2"/>
      </rPr>
      <t xml:space="preserve"> (Preference is that transfers-in  are not netted against transfers-out)</t>
    </r>
  </si>
  <si>
    <r>
      <t xml:space="preserve">Total Transfers out   </t>
    </r>
    <r>
      <rPr>
        <sz val="11"/>
        <color theme="1"/>
        <rFont val="Calibri"/>
        <family val="2"/>
        <scheme val="minor"/>
      </rPr>
      <t xml:space="preserve"> </t>
    </r>
    <r>
      <rPr>
        <sz val="11"/>
        <color indexed="60"/>
        <rFont val="Calibri"/>
        <family val="2"/>
      </rPr>
      <t>(Preference is that transfers-in  are not netted against transfers-out)</t>
    </r>
  </si>
  <si>
    <r>
      <rPr>
        <u/>
        <sz val="11"/>
        <color indexed="8"/>
        <rFont val="Calibri"/>
        <family val="2"/>
      </rPr>
      <t xml:space="preserve">Total all the non-operating </t>
    </r>
    <r>
      <rPr>
        <u/>
        <sz val="11"/>
        <color indexed="8"/>
        <rFont val="Calibri"/>
        <family val="2"/>
      </rPr>
      <t>revenues</t>
    </r>
    <r>
      <rPr>
        <u/>
        <sz val="11"/>
        <color indexed="8"/>
        <rFont val="Calibri"/>
        <family val="2"/>
      </rPr>
      <t xml:space="preserve"> </t>
    </r>
    <r>
      <rPr>
        <u/>
        <sz val="11"/>
        <color indexed="8"/>
        <rFont val="Calibri"/>
        <family val="2"/>
      </rPr>
      <t xml:space="preserve"> </t>
    </r>
    <r>
      <rPr>
        <sz val="11"/>
        <color indexed="8"/>
        <rFont val="Calibri"/>
        <family val="2"/>
      </rPr>
      <t xml:space="preserve">
</t>
    </r>
    <r>
      <rPr>
        <b/>
        <sz val="11"/>
        <color indexed="8"/>
        <rFont val="Calibri"/>
        <family val="2"/>
      </rPr>
      <t>Exclude</t>
    </r>
    <r>
      <rPr>
        <sz val="11"/>
        <color indexed="8"/>
        <rFont val="Calibri"/>
        <family val="2"/>
      </rPr>
      <t xml:space="preserve"> Capital Contributions.</t>
    </r>
  </si>
  <si>
    <r>
      <rPr>
        <u/>
        <sz val="11"/>
        <color indexed="8"/>
        <rFont val="Calibri"/>
        <family val="2"/>
      </rPr>
      <t>Total current and non-current portion of Debt</t>
    </r>
    <r>
      <rPr>
        <sz val="11"/>
        <color theme="1"/>
        <rFont val="Calibri"/>
        <family val="2"/>
        <scheme val="minor"/>
      </rPr>
      <t xml:space="preserve">. 
</t>
    </r>
    <r>
      <rPr>
        <b/>
        <sz val="11"/>
        <color indexed="8"/>
        <rFont val="Calibri"/>
        <family val="2"/>
      </rPr>
      <t xml:space="preserve">Include:  </t>
    </r>
    <r>
      <rPr>
        <sz val="11"/>
        <color indexed="8"/>
        <rFont val="Calibri"/>
        <family val="2"/>
      </rPr>
      <t>Bonds, b</t>
    </r>
    <r>
      <rPr>
        <sz val="11"/>
        <color theme="1"/>
        <rFont val="Calibri"/>
        <family val="2"/>
        <scheme val="minor"/>
      </rPr>
      <t>ond anticipation notes, 
                 Capital leases,
                 Premiums and discounts,
                 Installment purchases.</t>
    </r>
    <r>
      <rPr>
        <b/>
        <sz val="11"/>
        <color indexed="8"/>
        <rFont val="Calibri"/>
        <family val="2"/>
      </rPr>
      <t xml:space="preserve"> 
Exclude:</t>
    </r>
    <r>
      <rPr>
        <sz val="11"/>
        <color theme="1"/>
        <rFont val="Calibri"/>
        <family val="2"/>
        <scheme val="minor"/>
      </rPr>
      <t xml:space="preserve"> Compensated absences, 
                 Pensions, 
                 Other post-employment benefits (OPEB), 
                 Debt </t>
    </r>
    <r>
      <rPr>
        <u/>
        <sz val="11"/>
        <color indexed="8"/>
        <rFont val="Calibri"/>
        <family val="2"/>
      </rPr>
      <t>within</t>
    </r>
    <r>
      <rPr>
        <sz val="11"/>
        <color theme="1"/>
        <rFont val="Calibri"/>
        <family val="2"/>
        <scheme val="minor"/>
      </rPr>
      <t xml:space="preserve"> the primary government, 
                 Amounts due to participants from internal 
                       service funds, 
                 Landfill closure/postclosure liability, 
                 Any other debt not directly related to
                       long-term contracts.</t>
    </r>
  </si>
  <si>
    <r>
      <rPr>
        <u/>
        <sz val="11"/>
        <color indexed="8"/>
        <rFont val="Calibri"/>
        <family val="2"/>
      </rPr>
      <t>Total current and non-current portion of Debt</t>
    </r>
    <r>
      <rPr>
        <sz val="11"/>
        <color theme="1"/>
        <rFont val="Calibri"/>
        <family val="2"/>
        <scheme val="minor"/>
      </rPr>
      <t xml:space="preserve">. 
</t>
    </r>
    <r>
      <rPr>
        <b/>
        <sz val="11"/>
        <color indexed="8"/>
        <rFont val="Calibri"/>
        <family val="2"/>
      </rPr>
      <t xml:space="preserve">Include:  </t>
    </r>
    <r>
      <rPr>
        <sz val="11"/>
        <color indexed="8"/>
        <rFont val="Calibri"/>
        <family val="2"/>
      </rPr>
      <t>Bonds, b</t>
    </r>
    <r>
      <rPr>
        <sz val="11"/>
        <color theme="1"/>
        <rFont val="Calibri"/>
        <family val="2"/>
        <scheme val="minor"/>
      </rPr>
      <t>ond anticipation notes, 
                 Capital leases,
                 Premiums and discounts,
                 Installment purchases.</t>
    </r>
    <r>
      <rPr>
        <b/>
        <sz val="11"/>
        <color indexed="8"/>
        <rFont val="Calibri"/>
        <family val="2"/>
      </rPr>
      <t xml:space="preserve"> 
Exclude:</t>
    </r>
    <r>
      <rPr>
        <sz val="11"/>
        <color theme="1"/>
        <rFont val="Calibri"/>
        <family val="2"/>
        <scheme val="minor"/>
      </rPr>
      <t xml:space="preserve"> Compensated absences, 
                 Pensions, 
                 Other post-employment benefits (OPEB), 
                 Debt </t>
    </r>
    <r>
      <rPr>
        <u/>
        <sz val="11"/>
        <color indexed="8"/>
        <rFont val="Calibri"/>
        <family val="2"/>
      </rPr>
      <t>within</t>
    </r>
    <r>
      <rPr>
        <sz val="11"/>
        <color theme="1"/>
        <rFont val="Calibri"/>
        <family val="2"/>
        <scheme val="minor"/>
      </rPr>
      <t xml:space="preserve"> the primary government, 
                 Amounts due to participants from internal 
                         service funds, 
                 Landfill closure/postclosure liability, 
                 Any other debt not directly related to 
                        long-term contracts.</t>
    </r>
  </si>
  <si>
    <r>
      <rPr>
        <u/>
        <sz val="11"/>
        <color indexed="8"/>
        <rFont val="Calibri"/>
        <family val="2"/>
      </rPr>
      <t>Total current and non-current portion of Debt</t>
    </r>
    <r>
      <rPr>
        <sz val="11"/>
        <color theme="1"/>
        <rFont val="Calibri"/>
        <family val="2"/>
        <scheme val="minor"/>
      </rPr>
      <t xml:space="preserve">. 
</t>
    </r>
    <r>
      <rPr>
        <b/>
        <sz val="11"/>
        <color indexed="8"/>
        <rFont val="Calibri"/>
        <family val="2"/>
      </rPr>
      <t xml:space="preserve">Include:  </t>
    </r>
    <r>
      <rPr>
        <sz val="11"/>
        <color indexed="8"/>
        <rFont val="Calibri"/>
        <family val="2"/>
      </rPr>
      <t>Bonds, b</t>
    </r>
    <r>
      <rPr>
        <sz val="11"/>
        <color theme="1"/>
        <rFont val="Calibri"/>
        <family val="2"/>
        <scheme val="minor"/>
      </rPr>
      <t>ond anticipation notes, 
                 Capital leases,
                 Premiums and discounts,
                 Installment purchases.</t>
    </r>
    <r>
      <rPr>
        <b/>
        <sz val="11"/>
        <color indexed="8"/>
        <rFont val="Calibri"/>
        <family val="2"/>
      </rPr>
      <t xml:space="preserve"> 
Exclude:</t>
    </r>
    <r>
      <rPr>
        <sz val="11"/>
        <color theme="1"/>
        <rFont val="Calibri"/>
        <family val="2"/>
        <scheme val="minor"/>
      </rPr>
      <t xml:space="preserve"> Compensated absences, 
                 Pensions, 
                 Other post-employment benefits (OPEB), 
                 Debt </t>
    </r>
    <r>
      <rPr>
        <u/>
        <sz val="11"/>
        <color indexed="8"/>
        <rFont val="Calibri"/>
        <family val="2"/>
      </rPr>
      <t>within</t>
    </r>
    <r>
      <rPr>
        <sz val="11"/>
        <color theme="1"/>
        <rFont val="Calibri"/>
        <family val="2"/>
        <scheme val="minor"/>
      </rPr>
      <t xml:space="preserve"> the primary government, 
                 Amounts due to participants from internal 
                      service funds, 
                 Landfill closure/postclosure liability, 
                 Any other debt not directly related to 
                     long-term contracts.</t>
    </r>
  </si>
  <si>
    <t>Notes to the Financial Statements - Law Enforcement Officers' Special Separation Allowance Note</t>
  </si>
  <si>
    <t>LEO Note</t>
  </si>
  <si>
    <r>
      <rPr>
        <u/>
        <sz val="11"/>
        <color indexed="8"/>
        <rFont val="Calibri"/>
        <family val="2"/>
      </rPr>
      <t>Debt service expenditures from all governmental funds</t>
    </r>
    <r>
      <rPr>
        <sz val="11"/>
        <color theme="1"/>
        <rFont val="Calibri"/>
        <family val="2"/>
        <scheme val="minor"/>
      </rPr>
      <t>.  Include principal, interest paid, and debt issuance costs on long-term debt.</t>
    </r>
  </si>
  <si>
    <r>
      <rPr>
        <u/>
        <sz val="11"/>
        <color indexed="8"/>
        <rFont val="Calibri"/>
        <family val="2"/>
      </rPr>
      <t>Debt service expenditures</t>
    </r>
    <r>
      <rPr>
        <sz val="11"/>
        <color theme="1"/>
        <rFont val="Calibri"/>
        <family val="2"/>
        <scheme val="minor"/>
      </rPr>
      <t xml:space="preserve">. 
</t>
    </r>
    <r>
      <rPr>
        <b/>
        <sz val="11"/>
        <color indexed="8"/>
        <rFont val="Calibri"/>
        <family val="2"/>
      </rPr>
      <t>Include</t>
    </r>
    <r>
      <rPr>
        <sz val="11"/>
        <color theme="1"/>
        <rFont val="Calibri"/>
        <family val="2"/>
        <scheme val="minor"/>
      </rPr>
      <t xml:space="preserve"> principal, interest paid, and bond/debt issuance costs on long-term debt</t>
    </r>
  </si>
  <si>
    <t>Notes to the Financial Statements -Cash and Investments - Bond/Debt Proceeds</t>
  </si>
  <si>
    <t>995</t>
  </si>
  <si>
    <t>996</t>
  </si>
  <si>
    <t>998</t>
  </si>
  <si>
    <t>999</t>
  </si>
  <si>
    <r>
      <rPr>
        <u/>
        <sz val="11"/>
        <color indexed="8"/>
        <rFont val="Calibri"/>
        <family val="2"/>
      </rPr>
      <t xml:space="preserve">Total General revenues
</t>
    </r>
    <r>
      <rPr>
        <b/>
        <u/>
        <sz val="11"/>
        <color indexed="8"/>
        <rFont val="Calibri"/>
        <family val="2"/>
      </rPr>
      <t>E</t>
    </r>
    <r>
      <rPr>
        <b/>
        <sz val="11"/>
        <color indexed="8"/>
        <rFont val="Calibri"/>
        <family val="2"/>
      </rPr>
      <t>xclude:</t>
    </r>
    <r>
      <rPr>
        <sz val="11"/>
        <color indexed="8"/>
        <rFont val="Calibri"/>
        <family val="2"/>
      </rPr>
      <t xml:space="preserve"> transfers-in or out,
                 special items,
                 extraordinary amounts</t>
    </r>
  </si>
  <si>
    <r>
      <rPr>
        <u/>
        <sz val="11"/>
        <color indexed="8"/>
        <rFont val="Calibri"/>
        <family val="2"/>
      </rPr>
      <t>Any adjustment to beginning net position including rounding, prior period adjustments and restatements</t>
    </r>
    <r>
      <rPr>
        <sz val="11"/>
        <color theme="1"/>
        <rFont val="Calibri"/>
        <family val="2"/>
        <scheme val="minor"/>
      </rPr>
      <t xml:space="preserve">.  </t>
    </r>
    <r>
      <rPr>
        <sz val="11"/>
        <color indexed="60"/>
        <rFont val="Calibri"/>
        <family val="2"/>
      </rPr>
      <t xml:space="preserve"> (Increases to net position are positive; decreases to net position are negative)</t>
    </r>
  </si>
  <si>
    <r>
      <rPr>
        <u/>
        <sz val="11"/>
        <color indexed="8"/>
        <rFont val="Calibri"/>
        <family val="2"/>
      </rPr>
      <t>Total Liabilities payable from restricted assets</t>
    </r>
    <r>
      <rPr>
        <sz val="11"/>
        <color theme="1"/>
        <rFont val="Calibri"/>
        <family val="2"/>
        <scheme val="minor"/>
      </rPr>
      <t xml:space="preserve"> </t>
    </r>
    <r>
      <rPr>
        <sz val="11"/>
        <color indexed="60"/>
        <rFont val="Calibri"/>
        <family val="2"/>
      </rPr>
      <t>(only complete if this is listed in your financial statements for the general fund and the auditor has listed the cash to be used to pay the liabilities as restricted)</t>
    </r>
  </si>
  <si>
    <r>
      <rPr>
        <u/>
        <sz val="11"/>
        <color indexed="8"/>
        <rFont val="Calibri"/>
        <family val="2"/>
      </rPr>
      <t>Total Fund balance</t>
    </r>
    <r>
      <rPr>
        <sz val="11"/>
        <color theme="1"/>
        <rFont val="Calibri"/>
        <family val="2"/>
        <scheme val="minor"/>
      </rPr>
      <t xml:space="preserve"> </t>
    </r>
    <r>
      <rPr>
        <sz val="11"/>
        <color indexed="60"/>
        <rFont val="Calibri"/>
        <family val="2"/>
      </rPr>
      <t>(enter fund deficits as negative)</t>
    </r>
  </si>
  <si>
    <t>Amount of Inventories and Prepaid expenses in current assets</t>
  </si>
  <si>
    <r>
      <rPr>
        <u/>
        <sz val="11"/>
        <color indexed="8"/>
        <rFont val="Calibri"/>
        <family val="2"/>
      </rPr>
      <t>Total Net position, Unrestricted</t>
    </r>
    <r>
      <rPr>
        <sz val="11"/>
        <color theme="1"/>
        <rFont val="Calibri"/>
        <family val="2"/>
        <scheme val="minor"/>
      </rPr>
      <t xml:space="preserve"> - </t>
    </r>
    <r>
      <rPr>
        <sz val="11"/>
        <color indexed="60"/>
        <rFont val="Calibri"/>
        <family val="2"/>
      </rPr>
      <t>enter negative unrestricted net position as a negative</t>
    </r>
  </si>
  <si>
    <t>Unearned revenue (arising from cash receipts) that were included in Current Liabilities above</t>
  </si>
  <si>
    <t>Unearned revenue (arising from cash receipts) that were included in Current Liabilities in the question above</t>
  </si>
  <si>
    <r>
      <rPr>
        <u/>
        <sz val="11"/>
        <color indexed="8"/>
        <rFont val="Calibri"/>
        <family val="2"/>
      </rPr>
      <t>Total all non-operating expenses</t>
    </r>
    <r>
      <rPr>
        <sz val="11"/>
        <color theme="1"/>
        <rFont val="Calibri"/>
        <family val="2"/>
        <scheme val="minor"/>
      </rPr>
      <t xml:space="preserve">. </t>
    </r>
    <r>
      <rPr>
        <sz val="11"/>
        <color indexed="60"/>
        <rFont val="Calibri"/>
        <family val="2"/>
      </rPr>
      <t xml:space="preserve"> 
</t>
    </r>
    <r>
      <rPr>
        <b/>
        <sz val="11"/>
        <color indexed="8"/>
        <rFont val="Calibri"/>
        <family val="2"/>
      </rPr>
      <t>Include</t>
    </r>
    <r>
      <rPr>
        <sz val="11"/>
        <color indexed="8"/>
        <rFont val="Calibri"/>
        <family val="2"/>
      </rPr>
      <t xml:space="preserve"> any </t>
    </r>
    <r>
      <rPr>
        <b/>
        <sz val="11"/>
        <color indexed="8"/>
        <rFont val="Calibri"/>
        <family val="2"/>
      </rPr>
      <t>negative</t>
    </r>
    <r>
      <rPr>
        <sz val="11"/>
        <color indexed="8"/>
        <rFont val="Calibri"/>
        <family val="2"/>
      </rPr>
      <t xml:space="preserve"> special, extraordinary, or capital contribution.</t>
    </r>
  </si>
  <si>
    <r>
      <rPr>
        <u/>
        <sz val="11"/>
        <color indexed="8"/>
        <rFont val="Calibri"/>
        <family val="2"/>
      </rPr>
      <t>Total all non-operating expenses</t>
    </r>
    <r>
      <rPr>
        <sz val="11"/>
        <color theme="1"/>
        <rFont val="Calibri"/>
        <family val="2"/>
        <scheme val="minor"/>
      </rPr>
      <t xml:space="preserve">. </t>
    </r>
    <r>
      <rPr>
        <sz val="11"/>
        <color indexed="60"/>
        <rFont val="Calibri"/>
        <family val="2"/>
      </rPr>
      <t xml:space="preserve"> 
</t>
    </r>
    <r>
      <rPr>
        <b/>
        <sz val="11"/>
        <color indexed="8"/>
        <rFont val="Calibri"/>
        <family val="2"/>
      </rPr>
      <t>Include</t>
    </r>
    <r>
      <rPr>
        <sz val="11"/>
        <color indexed="8"/>
        <rFont val="Calibri"/>
        <family val="2"/>
      </rPr>
      <t xml:space="preserve"> </t>
    </r>
    <r>
      <rPr>
        <b/>
        <sz val="11"/>
        <color indexed="8"/>
        <rFont val="Calibri"/>
        <family val="2"/>
      </rPr>
      <t>negative</t>
    </r>
    <r>
      <rPr>
        <sz val="11"/>
        <color indexed="8"/>
        <rFont val="Calibri"/>
        <family val="2"/>
      </rPr>
      <t xml:space="preserve"> special, extraordinary, or capital contribution.</t>
    </r>
  </si>
  <si>
    <r>
      <rPr>
        <u/>
        <sz val="11"/>
        <color indexed="8"/>
        <rFont val="Calibri"/>
        <family val="2"/>
      </rPr>
      <t xml:space="preserve">Total Cash flow from </t>
    </r>
    <r>
      <rPr>
        <b/>
        <u/>
        <sz val="11"/>
        <color indexed="8"/>
        <rFont val="Calibri"/>
        <family val="2"/>
      </rPr>
      <t>operating</t>
    </r>
    <r>
      <rPr>
        <u/>
        <sz val="11"/>
        <color indexed="8"/>
        <rFont val="Calibri"/>
        <family val="2"/>
      </rPr>
      <t xml:space="preserve"> activities</t>
    </r>
    <r>
      <rPr>
        <sz val="11"/>
        <color theme="1"/>
        <rFont val="Calibri"/>
        <family val="2"/>
        <scheme val="minor"/>
      </rPr>
      <t xml:space="preserve">  - </t>
    </r>
    <r>
      <rPr>
        <sz val="11"/>
        <color indexed="60"/>
        <rFont val="Calibri"/>
        <family val="2"/>
      </rPr>
      <t>(Enter negative cash flows as negative)</t>
    </r>
  </si>
  <si>
    <r>
      <rPr>
        <u/>
        <sz val="11"/>
        <color indexed="8"/>
        <rFont val="Calibri"/>
        <family val="2"/>
      </rPr>
      <t xml:space="preserve">Cash flow from </t>
    </r>
    <r>
      <rPr>
        <b/>
        <u/>
        <sz val="11"/>
        <color indexed="8"/>
        <rFont val="Calibri"/>
        <family val="2"/>
      </rPr>
      <t>operating</t>
    </r>
    <r>
      <rPr>
        <u/>
        <sz val="11"/>
        <color indexed="8"/>
        <rFont val="Calibri"/>
        <family val="2"/>
      </rPr>
      <t xml:space="preserve"> activities</t>
    </r>
    <r>
      <rPr>
        <sz val="11"/>
        <color theme="1"/>
        <rFont val="Calibri"/>
        <family val="2"/>
        <scheme val="minor"/>
      </rPr>
      <t xml:space="preserve"> - </t>
    </r>
    <r>
      <rPr>
        <sz val="11"/>
        <color indexed="60"/>
        <rFont val="Calibri"/>
        <family val="2"/>
      </rPr>
      <t>(enter negative cash flows as negative)</t>
    </r>
  </si>
  <si>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</si>
  <si>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Debt Refunding - Net refunding proceeds against debt payoff and if negative place results on this line.</t>
  </si>
  <si>
    <t xml:space="preserve">All other items on this statement that were not included in total revenues, total expenditures, transfers in or out, or proceeds from long-term debt above.  </t>
  </si>
  <si>
    <t>Debt Refunding - Net refunding proceeds against debt payoff and if positive place results on this line.</t>
  </si>
  <si>
    <t>Electric - Total Transfers Out(to all funds)</t>
  </si>
  <si>
    <t>Fund Statements - all Governmental Funds</t>
  </si>
  <si>
    <t>Information</t>
  </si>
  <si>
    <t>If your unit is not on the Drop Down list in cell D2 please select the blank space at the top of the drop down list in cell D2 and enter your units name here and complete the worksheet</t>
  </si>
  <si>
    <t xml:space="preserve">OPEB 
1-implicit rate only  
2-no benefit 
3-benfit 
4- state health plan  </t>
  </si>
  <si>
    <r>
      <rPr>
        <u/>
        <sz val="11"/>
        <color indexed="8"/>
        <rFont val="Calibri"/>
        <family val="2"/>
      </rPr>
      <t>Amount of Transfers from the Electric Fund to the General Fund</t>
    </r>
    <r>
      <rPr>
        <sz val="11"/>
        <color theme="1"/>
        <rFont val="Calibri"/>
        <family val="2"/>
        <scheme val="minor"/>
      </rPr>
      <t xml:space="preserve">  </t>
    </r>
    <r>
      <rPr>
        <sz val="11"/>
        <color indexed="60"/>
        <rFont val="Calibri"/>
        <family val="2"/>
      </rPr>
      <t xml:space="preserve">(Enter as positive)
</t>
    </r>
    <r>
      <rPr>
        <b/>
        <sz val="11"/>
        <rFont val="Calibri"/>
        <family val="2"/>
      </rPr>
      <t>Include</t>
    </r>
    <r>
      <rPr>
        <sz val="11"/>
        <rFont val="Calibri"/>
        <family val="2"/>
      </rPr>
      <t>:  Payment in Lieu of Taxes (PILOT)</t>
    </r>
  </si>
  <si>
    <t>Pension Notes</t>
  </si>
  <si>
    <r>
      <rPr>
        <u/>
        <sz val="11"/>
        <color indexed="8"/>
        <rFont val="Calibri"/>
        <family val="2"/>
      </rPr>
      <t>Charges for services</t>
    </r>
    <r>
      <rPr>
        <sz val="11"/>
        <color theme="1"/>
        <rFont val="Calibri"/>
        <family val="2"/>
        <scheme val="minor"/>
      </rPr>
      <t xml:space="preserve">. 
</t>
    </r>
    <r>
      <rPr>
        <b/>
        <sz val="11"/>
        <color indexed="8"/>
        <rFont val="Calibri"/>
        <family val="2"/>
      </rPr>
      <t>Exclude</t>
    </r>
    <r>
      <rPr>
        <sz val="11"/>
        <color theme="1"/>
        <rFont val="Calibri"/>
        <family val="2"/>
        <scheme val="minor"/>
      </rPr>
      <t xml:space="preserve"> tap, capacity fees and other misc. income .</t>
    </r>
  </si>
  <si>
    <t>Note this number is adjusted for any negative internal balances</t>
  </si>
  <si>
    <t>Formula Results</t>
  </si>
  <si>
    <r>
      <t xml:space="preserve">Tax collection rate- Total Levy UNIT-WIDE
</t>
    </r>
    <r>
      <rPr>
        <b/>
        <sz val="11"/>
        <color indexed="8"/>
        <rFont val="Calibri"/>
        <family val="2"/>
      </rPr>
      <t>Exclude</t>
    </r>
    <r>
      <rPr>
        <sz val="11"/>
        <color theme="1"/>
        <rFont val="Calibri"/>
        <family val="2"/>
        <scheme val="minor"/>
      </rPr>
      <t xml:space="preserve"> supplemental taxes
(</t>
    </r>
    <r>
      <rPr>
        <sz val="11"/>
        <color indexed="60"/>
        <rFont val="Calibri"/>
        <family val="2"/>
      </rPr>
      <t>Enter as a percentage with two decimal places)</t>
    </r>
  </si>
  <si>
    <r>
      <rPr>
        <u/>
        <sz val="11"/>
        <rFont val="Calibri"/>
        <family val="2"/>
      </rPr>
      <t>Tax collection rate - Excluding Registered motor vehicles</t>
    </r>
    <r>
      <rPr>
        <u/>
        <sz val="11"/>
        <color indexed="60"/>
        <rFont val="Calibri"/>
        <family val="2"/>
      </rPr>
      <t xml:space="preserve">
</t>
    </r>
    <r>
      <rPr>
        <b/>
        <sz val="11"/>
        <rFont val="Calibri"/>
        <family val="2"/>
      </rPr>
      <t>Exclude</t>
    </r>
    <r>
      <rPr>
        <sz val="11"/>
        <rFont val="Calibri"/>
        <family val="2"/>
      </rPr>
      <t xml:space="preserve"> supplemental taxes</t>
    </r>
    <r>
      <rPr>
        <sz val="11"/>
        <color indexed="60"/>
        <rFont val="Calibri"/>
        <family val="2"/>
      </rPr>
      <t xml:space="preserve">
(Enter as a percentage with two decimal places)</t>
    </r>
  </si>
  <si>
    <r>
      <t xml:space="preserve">Tax collection rate - Registered motor vehicles
</t>
    </r>
    <r>
      <rPr>
        <b/>
        <sz val="11"/>
        <color indexed="8"/>
        <rFont val="Calibri"/>
        <family val="2"/>
      </rPr>
      <t>Exclude</t>
    </r>
    <r>
      <rPr>
        <sz val="11"/>
        <color theme="1"/>
        <rFont val="Calibri"/>
        <family val="2"/>
        <scheme val="minor"/>
      </rPr>
      <t xml:space="preserve"> supplemental taxes
</t>
    </r>
    <r>
      <rPr>
        <sz val="11"/>
        <color indexed="60"/>
        <rFont val="Calibri"/>
        <family val="2"/>
      </rPr>
      <t>(Enter as a percentage with two decimal places)</t>
    </r>
  </si>
  <si>
    <t>If unit does not answer you do not have to pursue</t>
  </si>
  <si>
    <t>GW-positive internal balance</t>
  </si>
  <si>
    <t>GW-negative internal balance</t>
  </si>
  <si>
    <t>Gov Acc Dep - Capital Assets</t>
  </si>
  <si>
    <t xml:space="preserve">WS Cap Asset - Land &amp; other Non-Construction </t>
  </si>
  <si>
    <t>WS Cap Asset - Construction in Progress</t>
  </si>
  <si>
    <t>Electric Cap Asset - Gross Value of Depreciable Capital Assets</t>
  </si>
  <si>
    <t>Electric Acc Dep - Capital Assets</t>
  </si>
  <si>
    <t>WS-EF- Total LT Debt (ST &amp;LT; normal exclusions)</t>
  </si>
  <si>
    <t>WS-revenues and other financing sources over expenditures and other uses-excl. transfers, capital Cont.</t>
  </si>
  <si>
    <t>If unit did not answer you do not need to pursue.</t>
  </si>
  <si>
    <t>Error Amounts</t>
  </si>
  <si>
    <t>Error Count</t>
  </si>
  <si>
    <t xml:space="preserve">Review Summary </t>
  </si>
  <si>
    <t>Review Summary; Electric Memo</t>
  </si>
  <si>
    <r>
      <rPr>
        <u/>
        <sz val="11"/>
        <color indexed="8"/>
        <rFont val="Calibri"/>
        <family val="2"/>
      </rPr>
      <t>Cash and Investment</t>
    </r>
    <r>
      <rPr>
        <sz val="11"/>
        <color indexed="8"/>
        <rFont val="Calibri"/>
        <family val="2"/>
      </rPr>
      <t xml:space="preserve"> - </t>
    </r>
    <r>
      <rPr>
        <sz val="11"/>
        <color indexed="60"/>
        <rFont val="Calibri"/>
        <family val="2"/>
      </rPr>
      <t>Please list the book value of any unspent debt proceeds (bonds, installment, etc.) in any funds as of June 30.  This information may be on the face of your statements or in the notes</t>
    </r>
  </si>
  <si>
    <r>
      <rPr>
        <u/>
        <sz val="11"/>
        <color indexed="8"/>
        <rFont val="Calibri"/>
        <family val="2"/>
      </rPr>
      <t>Total Current assets</t>
    </r>
    <r>
      <rPr>
        <sz val="11"/>
        <color indexed="8"/>
        <rFont val="Calibri"/>
        <family val="2"/>
      </rPr>
      <t xml:space="preserve">.  
</t>
    </r>
    <r>
      <rPr>
        <b/>
        <sz val="11"/>
        <rFont val="Calibri"/>
        <family val="2"/>
      </rPr>
      <t>Include</t>
    </r>
    <r>
      <rPr>
        <sz val="11"/>
        <rFont val="Calibri"/>
        <family val="2"/>
      </rPr>
      <t xml:space="preserve"> amounts of prepaids and inventory.  
</t>
    </r>
    <r>
      <rPr>
        <b/>
        <sz val="11"/>
        <rFont val="Calibri"/>
        <family val="2"/>
      </rPr>
      <t>Exclude</t>
    </r>
    <r>
      <rPr>
        <sz val="11"/>
        <rFont val="Calibri"/>
        <family val="2"/>
      </rPr>
      <t xml:space="preserve"> any current assets identified as restricted.
</t>
    </r>
    <r>
      <rPr>
        <b/>
        <sz val="12"/>
        <color indexed="17"/>
        <rFont val="Calibri"/>
        <family val="2"/>
      </rPr>
      <t>Exclude "Advance To:-portion of interfund loans with repayment longer than 12 months</t>
    </r>
  </si>
  <si>
    <r>
      <rPr>
        <u/>
        <sz val="11"/>
        <color indexed="8"/>
        <rFont val="Calibri"/>
        <family val="2"/>
      </rPr>
      <t xml:space="preserve">Unearned revenues that were included in current liabilities in your audit report or entered in acct # 336 above. </t>
    </r>
    <r>
      <rPr>
        <sz val="11"/>
        <color theme="1"/>
        <rFont val="Calibri"/>
        <family val="2"/>
        <scheme val="minor"/>
      </rPr>
      <t xml:space="preserve">
</t>
    </r>
    <r>
      <rPr>
        <b/>
        <sz val="11"/>
        <color indexed="8"/>
        <rFont val="Calibri"/>
        <family val="2"/>
      </rPr>
      <t xml:space="preserve">Exclude - </t>
    </r>
    <r>
      <rPr>
        <sz val="11"/>
        <color theme="1"/>
        <rFont val="Calibri"/>
        <family val="2"/>
        <scheme val="minor"/>
      </rPr>
      <t>unearned revenues that are listed in deferred inflows.</t>
    </r>
  </si>
  <si>
    <t>Errors :  The cell to the left indicates the number of error messages on the data input tab</t>
  </si>
  <si>
    <t>Accounts used to calculate the RSS are shaded in Green</t>
  </si>
  <si>
    <r>
      <rPr>
        <u/>
        <sz val="11"/>
        <color indexed="8"/>
        <rFont val="Calibri"/>
        <family val="2"/>
      </rPr>
      <t>Current Liabilities</t>
    </r>
    <r>
      <rPr>
        <sz val="11"/>
        <color theme="1"/>
        <rFont val="Calibri"/>
        <family val="2"/>
        <scheme val="minor"/>
      </rPr>
      <t xml:space="preserve"> 
</t>
    </r>
    <r>
      <rPr>
        <b/>
        <sz val="11"/>
        <color indexed="8"/>
        <rFont val="Calibri"/>
        <family val="2"/>
      </rPr>
      <t>Exclude</t>
    </r>
    <r>
      <rPr>
        <sz val="11"/>
        <color indexed="60"/>
        <rFont val="Calibri"/>
        <family val="2"/>
      </rPr>
      <t xml:space="preserve"> </t>
    </r>
    <r>
      <rPr>
        <sz val="11"/>
        <color indexed="8"/>
        <rFont val="Calibri"/>
        <family val="2"/>
      </rPr>
      <t xml:space="preserve">all deferred inflows. 
</t>
    </r>
    <r>
      <rPr>
        <b/>
        <sz val="11"/>
        <color indexed="8"/>
        <rFont val="Calibri"/>
        <family val="2"/>
      </rPr>
      <t>Include</t>
    </r>
    <r>
      <rPr>
        <sz val="11"/>
        <color indexed="8"/>
        <rFont val="Calibri"/>
        <family val="2"/>
      </rPr>
      <t xml:space="preserve"> advance from(long-term portion of interfund loans)</t>
    </r>
  </si>
  <si>
    <t>Advance To: Interfund loan receivable-portion of repayment plan longer than 12 months</t>
  </si>
  <si>
    <r>
      <rPr>
        <u/>
        <sz val="11"/>
        <rFont val="Calibri"/>
        <family val="2"/>
      </rPr>
      <t>Water Sewer - Advance To:</t>
    </r>
    <r>
      <rPr>
        <sz val="11"/>
        <rFont val="Calibri"/>
        <family val="2"/>
      </rPr>
      <t xml:space="preserve">
Interfund loan receivable-portion of repayment plan longer than 12 months</t>
    </r>
  </si>
  <si>
    <r>
      <rPr>
        <u/>
        <sz val="11"/>
        <rFont val="Calibri"/>
        <family val="2"/>
      </rPr>
      <t xml:space="preserve">Water Sewer - Advance From: 
</t>
    </r>
    <r>
      <rPr>
        <sz val="11"/>
        <rFont val="Calibri"/>
        <family val="2"/>
      </rPr>
      <t>Interfund loan Payable-portion of repayment plan longer than 12 months</t>
    </r>
  </si>
  <si>
    <r>
      <rPr>
        <u/>
        <sz val="11"/>
        <rFont val="Calibri"/>
        <family val="2"/>
      </rPr>
      <t>Electric Fund - AdvanceTo:</t>
    </r>
    <r>
      <rPr>
        <sz val="11"/>
        <rFont val="Calibri"/>
        <family val="2"/>
      </rPr>
      <t xml:space="preserve">
Interfund loan receivable-portion of repayment plan longer than 12 months</t>
    </r>
  </si>
  <si>
    <r>
      <rPr>
        <u/>
        <sz val="11"/>
        <rFont val="Calibri"/>
        <family val="2"/>
      </rPr>
      <t>Electric Fund - Advance From:</t>
    </r>
    <r>
      <rPr>
        <sz val="11"/>
        <rFont val="Calibri"/>
        <family val="2"/>
      </rPr>
      <t xml:space="preserve">
Interfund loans payable-portion of repayment plan longer than 12 months</t>
    </r>
  </si>
  <si>
    <t>GF-Advance To - Asset</t>
  </si>
  <si>
    <t>WS -  Advance To - Asset</t>
  </si>
  <si>
    <t>WS - Advance From - Liability</t>
  </si>
  <si>
    <t>EF - Advance To - Asset</t>
  </si>
  <si>
    <t>EF - Advance from - Liability</t>
  </si>
  <si>
    <t>Fiscal Review</t>
  </si>
  <si>
    <t>Capital</t>
  </si>
  <si>
    <t>Operations</t>
  </si>
  <si>
    <t>If you have any questions please call 919-814-4299.</t>
  </si>
  <si>
    <t>Government Wide Statements - Statement of Activities  - Business Type Activities Column</t>
  </si>
  <si>
    <t>Reporting</t>
  </si>
  <si>
    <t>Statement of Activities - Business Activities</t>
  </si>
  <si>
    <t>Total Expenses - Exclude Transfers</t>
  </si>
  <si>
    <r>
      <rPr>
        <u/>
        <sz val="11"/>
        <color indexed="8"/>
        <rFont val="Calibri"/>
        <family val="2"/>
      </rPr>
      <t xml:space="preserve">Total Change in net position Business Type </t>
    </r>
    <r>
      <rPr>
        <sz val="11"/>
        <color theme="1"/>
        <rFont val="Calibri"/>
        <family val="2"/>
        <scheme val="minor"/>
      </rPr>
      <t xml:space="preserve">
</t>
    </r>
    <r>
      <rPr>
        <sz val="11"/>
        <color indexed="60"/>
        <rFont val="Calibri"/>
        <family val="2"/>
      </rPr>
      <t>(Increase in net position is recorded as a positive and a decrease in net position is recorded as a negative)</t>
    </r>
  </si>
  <si>
    <t>Business Type - Total Expenses</t>
  </si>
  <si>
    <t>Business Type - Change in Net Position</t>
  </si>
  <si>
    <t>Reviewer if you need to change what the unit entered, do so directly in cell to the right.  Enter "1" to the right if the unit has defined benefit other than the ones adm.   Leave blank if the unit does not answer</t>
  </si>
  <si>
    <t>Indicate if your water/sewer system:
50 - Became Operational
51 - Ceased Operations
52 - No Change</t>
  </si>
  <si>
    <t>50 - Became Operational</t>
  </si>
  <si>
    <t>51 - Ceased Operations</t>
  </si>
  <si>
    <t>Status of Water Sewer</t>
  </si>
  <si>
    <t>Statement of Activities                               (all governmental and business funds)</t>
  </si>
  <si>
    <r>
      <t xml:space="preserve">Amount of interest income and investment income recognized as revenue in your audit report for all governmental and proprietary funds.  </t>
    </r>
    <r>
      <rPr>
        <sz val="11"/>
        <color indexed="60"/>
        <rFont val="Calibri"/>
        <family val="2"/>
      </rPr>
      <t xml:space="preserve">In the past we have asked you to adjust this number, but this year we would like the number as it appears on your Statement of Activities </t>
    </r>
    <r>
      <rPr>
        <u/>
        <sz val="11"/>
        <color indexed="60"/>
        <rFont val="Calibri"/>
        <family val="2"/>
      </rPr>
      <t>without</t>
    </r>
    <r>
      <rPr>
        <sz val="11"/>
        <color indexed="60"/>
        <rFont val="Calibri"/>
        <family val="2"/>
      </rPr>
      <t xml:space="preserve"> adjustment.</t>
    </r>
  </si>
  <si>
    <r>
      <t xml:space="preserve">Record any </t>
    </r>
    <r>
      <rPr>
        <b/>
        <u/>
        <sz val="11"/>
        <color indexed="8"/>
        <rFont val="Calibri"/>
        <family val="2"/>
      </rPr>
      <t>positive</t>
    </r>
    <r>
      <rPr>
        <u/>
        <sz val="11"/>
        <color indexed="8"/>
        <rFont val="Calibri"/>
        <family val="2"/>
      </rPr>
      <t xml:space="preserve"> Internal balances on the net position statements that appear in the Asset Section of the Net Position Statement
</t>
    </r>
  </si>
  <si>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</si>
  <si>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t>Only for Review Summary</t>
  </si>
  <si>
    <t>County and Municipality Fiscal Analysis</t>
  </si>
  <si>
    <t>https://www.nctreasurer.com/slg/lfm/financial-analysis/Pages/Analysis-by-Population.aspx</t>
  </si>
  <si>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Cell G71 will contain the message “Water Sewer Section must be completed” if the Water Sewer Sections is specific to your unit. The Water Sewer Questions are only for Water Sewer Funds that are operating as a proprietary fund.  Also, please note that all numbers on the financial statements will not be entered on this worksheet, as we are only requesting information used in the communications described above. </t>
  </si>
  <si>
    <r>
      <t>Record any</t>
    </r>
    <r>
      <rPr>
        <b/>
        <u/>
        <sz val="11"/>
        <color indexed="8"/>
        <rFont val="Calibri"/>
        <family val="2"/>
      </rPr>
      <t xml:space="preserve"> negative</t>
    </r>
    <r>
      <rPr>
        <u/>
        <sz val="11"/>
        <color indexed="8"/>
        <rFont val="Calibri"/>
        <family val="2"/>
      </rPr>
      <t xml:space="preserve"> Internal balances on the net position statements that appear in the Asset Section of the Net Position Statement.
</t>
    </r>
    <r>
      <rPr>
        <b/>
        <sz val="11"/>
        <color indexed="60"/>
        <rFont val="Calibri"/>
        <family val="2"/>
      </rPr>
      <t xml:space="preserve">
Enter as a positive</t>
    </r>
    <r>
      <rPr>
        <u/>
        <sz val="11"/>
        <color indexed="8"/>
        <rFont val="Calibri"/>
        <family val="2"/>
      </rPr>
      <t xml:space="preserve">
</t>
    </r>
  </si>
  <si>
    <r>
      <t xml:space="preserve">Long-Term Liability Note - </t>
    </r>
    <r>
      <rPr>
        <b/>
        <sz val="10"/>
        <color indexed="8"/>
        <rFont val="Century Schoolbook"/>
        <family val="1"/>
      </rPr>
      <t>Governmental Activities</t>
    </r>
  </si>
  <si>
    <t>Interest income from statement of activities</t>
  </si>
  <si>
    <r>
      <rPr>
        <u/>
        <sz val="11"/>
        <color indexed="8"/>
        <rFont val="Calibri"/>
        <family val="2"/>
      </rPr>
      <t>Current liabilities</t>
    </r>
    <r>
      <rPr>
        <sz val="11"/>
        <color indexed="8"/>
        <rFont val="Calibri"/>
        <family val="2"/>
      </rPr>
      <t xml:space="preserve">
</t>
    </r>
    <r>
      <rPr>
        <b/>
        <sz val="11"/>
        <color indexed="8"/>
        <rFont val="Calibri"/>
        <family val="2"/>
      </rPr>
      <t>Include:</t>
    </r>
    <r>
      <rPr>
        <sz val="11"/>
        <color indexed="8"/>
        <rFont val="Calibri"/>
        <family val="2"/>
      </rPr>
      <t xml:space="preserve">   Current liabilities and current portion of long-term debt. 
</t>
    </r>
    <r>
      <rPr>
        <b/>
        <sz val="11"/>
        <color indexed="8"/>
        <rFont val="Calibri"/>
        <family val="2"/>
      </rPr>
      <t>Exclude</t>
    </r>
    <r>
      <rPr>
        <sz val="11"/>
        <color indexed="8"/>
        <rFont val="Calibri"/>
        <family val="2"/>
      </rPr>
      <t xml:space="preserve">:   Bond Anticipation Notes
                  Compensated  Absences
                  Pension liabilities
                  Liabilities payable from restricted assets
                  Other post employment liabilities (OPEB)
                  Deferred inflows.
</t>
    </r>
  </si>
  <si>
    <t>Long-Term Liability Note - Governmental Activities</t>
  </si>
  <si>
    <r>
      <rPr>
        <u/>
        <sz val="11"/>
        <color indexed="8"/>
        <rFont val="Calibri"/>
        <family val="2"/>
      </rPr>
      <t>Any adjustment to beginning fund balance including rounding, prior period adjustments and restatements.</t>
    </r>
    <r>
      <rPr>
        <sz val="11"/>
        <color theme="1"/>
        <rFont val="Calibri"/>
        <family val="2"/>
        <scheme val="minor"/>
      </rPr>
      <t xml:space="preserve">  </t>
    </r>
    <r>
      <rPr>
        <sz val="11"/>
        <color indexed="60"/>
        <rFont val="Calibri"/>
        <family val="2"/>
      </rPr>
      <t xml:space="preserve"> (Amounts that increase fund balance are recorded as positive and amounts that decrease fund balance are recorded as negative)</t>
    </r>
  </si>
  <si>
    <t>Amount the unit paid out in benefits under LEO special separation allowance to retired law enforcement officers this fiscal year if you report under GASB 68 or GASB 73.</t>
  </si>
  <si>
    <t>The total LEO pension liability if you report under GASB 68 or GASB 73.</t>
  </si>
  <si>
    <t>598</t>
  </si>
  <si>
    <t>Total LEO pension liability under GASB 68 or 73</t>
  </si>
  <si>
    <t>Unit paid to Officers under LEO under 68 or 73</t>
  </si>
  <si>
    <t>LEO Plan fiduciary net position</t>
  </si>
  <si>
    <t>https://efc.sog.unc.edu/reslib/item/north-carolina-water-and-wastewater-rates-dashboard#</t>
  </si>
  <si>
    <r>
      <t xml:space="preserve">The worksheet is organized based on how your audit report is laid out.  Titles on this worksheet appear in highlighted colors and correspond to various exhibits, statements, notes and schedules where the requested amounts should be found.  We have also provided the previous year of data in column E so that you can reference last years amounts to aid your completion of the worksheet.  </t>
    </r>
    <r>
      <rPr>
        <b/>
        <sz val="12"/>
        <color indexed="8"/>
        <rFont val="Century Schoolbook"/>
        <family val="1"/>
      </rPr>
      <t>Please record your numbers in the shaded column F.  Please enter All numbers as positive</t>
    </r>
    <r>
      <rPr>
        <sz val="12"/>
        <color indexed="8"/>
        <rFont val="Century Schoolbook"/>
        <family val="1"/>
      </rPr>
      <t xml:space="preserve"> unless specifically stated otherwise in the description of the amount requested.  </t>
    </r>
  </si>
  <si>
    <r>
      <t>Total Net Position, Unrestricted -</t>
    </r>
    <r>
      <rPr>
        <u/>
        <sz val="11"/>
        <color indexed="60"/>
        <rFont val="Calibri"/>
        <family val="2"/>
      </rPr>
      <t xml:space="preserve"> enter negative unrestricted net position as a negative)</t>
    </r>
  </si>
  <si>
    <r>
      <rPr>
        <u/>
        <sz val="11"/>
        <color indexed="8"/>
        <rFont val="Calibri"/>
        <family val="2"/>
      </rPr>
      <t>Total Current assets</t>
    </r>
    <r>
      <rPr>
        <sz val="11"/>
        <color indexed="8"/>
        <rFont val="Calibri"/>
        <family val="2"/>
      </rPr>
      <t xml:space="preserve">.  
</t>
    </r>
    <r>
      <rPr>
        <b/>
        <sz val="11"/>
        <rFont val="Calibri"/>
        <family val="2"/>
      </rPr>
      <t>Exclude</t>
    </r>
    <r>
      <rPr>
        <sz val="11"/>
        <rFont val="Calibri"/>
        <family val="2"/>
      </rPr>
      <t xml:space="preserve"> any current assets identified as restricted.
</t>
    </r>
    <r>
      <rPr>
        <b/>
        <sz val="12"/>
        <color indexed="17"/>
        <rFont val="Calibri"/>
        <family val="2"/>
      </rPr>
      <t>Exclude "Advance To": portion of interfund loan with repayment longer than 12 months.</t>
    </r>
  </si>
  <si>
    <r>
      <rPr>
        <u/>
        <sz val="11"/>
        <rFont val="Calibri"/>
        <family val="2"/>
      </rPr>
      <t>Current liabilities</t>
    </r>
    <r>
      <rPr>
        <sz val="11"/>
        <rFont val="Calibri"/>
        <family val="2"/>
      </rPr>
      <t xml:space="preserve">.  
</t>
    </r>
    <r>
      <rPr>
        <b/>
        <sz val="11"/>
        <rFont val="Calibri"/>
        <family val="2"/>
      </rPr>
      <t xml:space="preserve">Include:  </t>
    </r>
    <r>
      <rPr>
        <sz val="11"/>
        <rFont val="Calibri"/>
        <family val="2"/>
      </rPr>
      <t xml:space="preserve"> Current liabilities and current portions of long-term debt
</t>
    </r>
    <r>
      <rPr>
        <b/>
        <sz val="11"/>
        <rFont val="Calibri"/>
        <family val="2"/>
      </rPr>
      <t xml:space="preserve">Exclude:  </t>
    </r>
    <r>
      <rPr>
        <b/>
        <sz val="12"/>
        <color indexed="17"/>
        <rFont val="Calibri"/>
        <family val="2"/>
      </rPr>
      <t xml:space="preserve">"Advance From"-portion of interfund loans with repayment longer than 12 months,
                   Bond anticipation notes, </t>
    </r>
    <r>
      <rPr>
        <sz val="11"/>
        <rFont val="Calibri"/>
        <family val="2"/>
      </rPr>
      <t xml:space="preserve">
                   Compensated absences, 
                   Pension liabilities, 
                   Other post-employment liabilities (OPEB), 
                   Closure/postclosure liabilities, 
                   Payables from restricted assets
                   Deferred inflows.</t>
    </r>
  </si>
  <si>
    <r>
      <rPr>
        <u/>
        <sz val="11"/>
        <rFont val="Calibri"/>
        <family val="2"/>
      </rPr>
      <t>Current liabilities</t>
    </r>
    <r>
      <rPr>
        <sz val="11"/>
        <rFont val="Calibri"/>
        <family val="2"/>
      </rPr>
      <t xml:space="preserve">.  
</t>
    </r>
    <r>
      <rPr>
        <b/>
        <sz val="11"/>
        <rFont val="Calibri"/>
        <family val="2"/>
      </rPr>
      <t xml:space="preserve">Include:  </t>
    </r>
    <r>
      <rPr>
        <sz val="11"/>
        <rFont val="Calibri"/>
        <family val="2"/>
      </rPr>
      <t xml:space="preserve"> Current portions of long-term debt
</t>
    </r>
    <r>
      <rPr>
        <b/>
        <sz val="11"/>
        <rFont val="Calibri"/>
        <family val="2"/>
      </rPr>
      <t xml:space="preserve">Exclude:  </t>
    </r>
    <r>
      <rPr>
        <b/>
        <sz val="12"/>
        <color indexed="17"/>
        <rFont val="Calibri"/>
        <family val="2"/>
      </rPr>
      <t>"Advance From"-portion of interfund loans with repayment longer than 12 months,</t>
    </r>
    <r>
      <rPr>
        <sz val="11"/>
        <rFont val="Calibri"/>
        <family val="2"/>
      </rPr>
      <t xml:space="preserve">
                   Bond anticipation notes, 
                   Compensated absences, 
                   Pension liabilities, 
                   Other post-employment liabilities (OPEB), 
                   Closure/postclosure liabilities, 
                   Payables from restricted assets
                   Deferred inflows.</t>
    </r>
  </si>
  <si>
    <t>If you have LEO pension assets and are reporting under GASB 68 please enter "Plan Fiduciary Net Position" which can be found on your RSI schedules and the Notes.</t>
  </si>
  <si>
    <t>Health benefits - total OPEB liability</t>
  </si>
  <si>
    <t>Health benefits- OPEB plan fiduciary net position</t>
  </si>
  <si>
    <t>Vision benefits - total OPEB liability</t>
  </si>
  <si>
    <t>Vision benefits - OPEB plan fiduciary net position</t>
  </si>
  <si>
    <t>Dental benefits - OPEB plan fiduciary net position</t>
  </si>
  <si>
    <t>Other benefits - total OPEB liability</t>
  </si>
  <si>
    <t>Other benefits - OPEB plan fiduciary net position</t>
  </si>
  <si>
    <t>603</t>
  </si>
  <si>
    <t xml:space="preserve">For Internal Control Uses Only:
1) NO IC Issues
2) Immaterial IC Issues
3) Unit Visit needed, no UL
4) Unit Letter for IC
5) Consider placing/remaining on Unit Assistance List
6) Consider taking off Unit Assistance List
7) Communication to DPI
</t>
  </si>
  <si>
    <t>605</t>
  </si>
  <si>
    <t>OPEB
 Note or RSI</t>
  </si>
  <si>
    <t>Financial opinion - enter "1" for clean Opinion or "2" for other than clean opinion</t>
  </si>
  <si>
    <t>Vision benefits - What is the plan’s fiduciary net position as a percentage of the total OPEB liability?  Please enter as percentage value; for example, 83.5% should be entered as 83.5.  If assets have not been set aside in a trust, please enter 0.0</t>
  </si>
  <si>
    <t>Dental benefits - What is the plan’s fiduciary net position as a percentage of the total OPEB liability?  Please enter as percentage value; for example, 83.5% should be entered as 83.5.  If assets have not been set aside in a trust, please enter 0.0</t>
  </si>
  <si>
    <t>Other benefits  - What is the plan’s fiduciary net position as a percentage of the total OPEB liability?  Please enter as percentage value; for example, 83.5% should be entered as 83.5.  If assets have not been set aside in a trust, please enter 0.0</t>
  </si>
  <si>
    <t>Health benefits - What is the plan’s fiduciary net position as a percentage of the total OPEB liability?  Please enter as percentage value; for example, 83.5% should be entered as 83.5.  If assets have not been set aside in a trust, please enter 0.0</t>
  </si>
  <si>
    <t>Dental benefits - total OPEB liability</t>
  </si>
  <si>
    <t>Notes or formulas</t>
  </si>
  <si>
    <t>OPEB
RSI</t>
  </si>
  <si>
    <t>LEO
RSI</t>
  </si>
  <si>
    <t>If you appropriated General Fund Balance in your 2018 budget and your "change in fund balance": (row 62 above) is negative, please select from the drop down box in column F either "operations" or "capital", whichever best describes what the fund balance was used for.  If you select "Capital" please briefly describe in column G to the right the capital items.</t>
  </si>
  <si>
    <t>Do you expect to issue debt requiring LGC approval within 12 months from the date that the audit is submitted - select "1" for year and "2" for no</t>
  </si>
  <si>
    <t>Do you expect to issue debt requiring LGC approval within 12 months from the date that the audit is submitted - select "1" for yes and "2" for no</t>
  </si>
  <si>
    <t>Debt Issued within next 12 months</t>
  </si>
  <si>
    <t>Health benefits - total OPEB liability
If you do not provide benefit, please enter 0</t>
  </si>
  <si>
    <t>Health benefits- OPEB plan fiduciary net position
If no fiduciary net position, enter 0</t>
  </si>
  <si>
    <t>Health benefits - plan's fiduary net postion as a % of total OPEB liability</t>
  </si>
  <si>
    <t>Vision benefits - plan's fiduary net postion as a % of total OPEB liability</t>
  </si>
  <si>
    <t>Dental benefits - plan's fiduary net postion as a % of total OPEB liability</t>
  </si>
  <si>
    <t>Other benefits - plan's fiduary net postion as a % of total OPEB liability</t>
  </si>
  <si>
    <t>LEOSSA – What is the plan’s fiduciary net position as a percentage of the total pension liability?  Please enter as percentage value; for example, 83.5% should be entered as 83.5.  If assets have not been set aside in a trust, please enter 0.0</t>
  </si>
  <si>
    <t>LEO - plan's fiduary net position as a % of total pension liability</t>
  </si>
  <si>
    <t>FS., OPEB  note or RSI</t>
  </si>
  <si>
    <t>FS., Pension note or RSI</t>
  </si>
  <si>
    <t>Notes to the Financial Statements - Pension Note</t>
  </si>
  <si>
    <t>Net OPEB Liabilty</t>
  </si>
  <si>
    <t>Unit was issued:
1) No UL
2) No UL but visit is needed
3) UL with response
4) SUL requiring written response
5) Communication to DPI</t>
  </si>
  <si>
    <r>
      <rPr>
        <u/>
        <sz val="11"/>
        <color indexed="8"/>
        <rFont val="Calibri"/>
        <family val="2"/>
      </rPr>
      <t xml:space="preserve">Amount of Water Sewer revenues and other financing sources over expenditures and other uses
</t>
    </r>
    <r>
      <rPr>
        <b/>
        <u/>
        <sz val="11"/>
        <color indexed="8"/>
        <rFont val="Calibri"/>
        <family val="2"/>
      </rPr>
      <t xml:space="preserve">Exclude:  All transfers and capital contributions
Exclude:  Capital Projects
</t>
    </r>
    <r>
      <rPr>
        <sz val="11"/>
        <color indexed="60"/>
        <rFont val="Calibri"/>
        <family val="2"/>
      </rPr>
      <t>This schedule is usually found behind the notes and should be entered as a positive or negative as indicated on your audit report</t>
    </r>
  </si>
  <si>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</si>
  <si>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See prior year's audited financial statements</t>
  </si>
  <si>
    <t>FS., OPEB note or RSI</t>
  </si>
  <si>
    <t>Internal</t>
  </si>
  <si>
    <t>Does the County collect real estate property taxes on your behalf? Select "1" for "yes and "2" for "No"</t>
  </si>
  <si>
    <r>
      <t xml:space="preserve">Unit's share of RBHF Net OPEB Liability ($s)
- unit of government is a participating employer in the </t>
    </r>
    <r>
      <rPr>
        <b/>
        <sz val="11"/>
        <color theme="1"/>
        <rFont val="Calibri"/>
        <family val="2"/>
        <scheme val="minor"/>
      </rPr>
      <t>State's RHBF</t>
    </r>
    <r>
      <rPr>
        <sz val="11"/>
        <color theme="1"/>
        <rFont val="Calibri"/>
        <family val="2"/>
        <scheme val="minor"/>
      </rPr>
      <t xml:space="preserve"> (Retiree Health Benefit Fund)</t>
    </r>
  </si>
  <si>
    <t>Not collected for Year 2018</t>
  </si>
  <si>
    <t>Please provide the name of any additional agencies included in the above net pension liability</t>
  </si>
  <si>
    <t>Not loaded to CCH</t>
  </si>
  <si>
    <t>County collects real estate property on your behalf</t>
  </si>
  <si>
    <t>Review
 Summary</t>
  </si>
  <si>
    <t>52 - No Chang</t>
  </si>
  <si>
    <t>Staley</t>
  </si>
  <si>
    <t>Stallings</t>
  </si>
  <si>
    <t>Stanfield</t>
  </si>
  <si>
    <t>Stanley</t>
  </si>
  <si>
    <t>Stantonsburg</t>
  </si>
  <si>
    <t>Star</t>
  </si>
  <si>
    <t>Statesville</t>
  </si>
  <si>
    <t>Stedman</t>
  </si>
  <si>
    <t>Stem</t>
  </si>
  <si>
    <t>Stokesdale</t>
  </si>
  <si>
    <t>Stoneville</t>
  </si>
  <si>
    <t>Stonewall</t>
  </si>
  <si>
    <t>Stovall</t>
  </si>
  <si>
    <t>Sugar Mountain</t>
  </si>
  <si>
    <t>Summerfield</t>
  </si>
  <si>
    <t>Sunset Beach</t>
  </si>
  <si>
    <t>Surf City</t>
  </si>
  <si>
    <t>Swansboro</t>
  </si>
  <si>
    <t>Swepsonville</t>
  </si>
  <si>
    <t>Sylva</t>
  </si>
  <si>
    <t>Tabor City</t>
  </si>
  <si>
    <t>Tar Heel</t>
  </si>
  <si>
    <t>Tarboro</t>
  </si>
  <si>
    <t>Taylorsville</t>
  </si>
  <si>
    <t>Taylortown</t>
  </si>
  <si>
    <t>Teachey</t>
  </si>
  <si>
    <t>Thomasville</t>
  </si>
  <si>
    <t>Tobaccoville</t>
  </si>
  <si>
    <t>Topsail Beach</t>
  </si>
  <si>
    <t>Trent Woods</t>
  </si>
  <si>
    <t>Trenton</t>
  </si>
  <si>
    <t>Trinity</t>
  </si>
  <si>
    <t>Troutman</t>
  </si>
  <si>
    <t>Troy</t>
  </si>
  <si>
    <t>Tryon</t>
  </si>
  <si>
    <t>Turkey</t>
  </si>
  <si>
    <t>Unionville</t>
  </si>
  <si>
    <t>Valdese</t>
  </si>
  <si>
    <t>Vanceboro</t>
  </si>
  <si>
    <t>Vandemere</t>
  </si>
  <si>
    <t>Varnamtown</t>
  </si>
  <si>
    <t>Vass</t>
  </si>
  <si>
    <t>Waco</t>
  </si>
  <si>
    <t>Wade</t>
  </si>
  <si>
    <t>Wadesboro</t>
  </si>
  <si>
    <t>Wagram</t>
  </si>
  <si>
    <t>Wake Forest</t>
  </si>
  <si>
    <t>Walkertown</t>
  </si>
  <si>
    <t>Wallace</t>
  </si>
  <si>
    <t>Wallburg</t>
  </si>
  <si>
    <t>Walnut Cove</t>
  </si>
  <si>
    <t>Walnut Creek</t>
  </si>
  <si>
    <t>Walstonburg</t>
  </si>
  <si>
    <t>Warrenton</t>
  </si>
  <si>
    <t>Warsaw</t>
  </si>
  <si>
    <t>Washington</t>
  </si>
  <si>
    <t>Washington Park</t>
  </si>
  <si>
    <t>Watha</t>
  </si>
  <si>
    <t>Waxhaw</t>
  </si>
  <si>
    <t>Waynesville</t>
  </si>
  <si>
    <t>Weaverville</t>
  </si>
  <si>
    <t>Webster</t>
  </si>
  <si>
    <t>Weddington</t>
  </si>
  <si>
    <t>Weldon</t>
  </si>
  <si>
    <t>Wendell</t>
  </si>
  <si>
    <t>Wentworth</t>
  </si>
  <si>
    <t>Wesley Chapel</t>
  </si>
  <si>
    <t>West Jefferson</t>
  </si>
  <si>
    <t>Whispering Pines</t>
  </si>
  <si>
    <t>Whitakers</t>
  </si>
  <si>
    <t>White Lake</t>
  </si>
  <si>
    <t>Whiteville</t>
  </si>
  <si>
    <t>Whitsett</t>
  </si>
  <si>
    <t>Wilkesboro</t>
  </si>
  <si>
    <t>Williamston</t>
  </si>
  <si>
    <t>Wilmington</t>
  </si>
  <si>
    <t>Wilson</t>
  </si>
  <si>
    <t>Wilson's Mills</t>
  </si>
  <si>
    <t>Windsor</t>
  </si>
  <si>
    <t>Winfall</t>
  </si>
  <si>
    <t>Wingate</t>
  </si>
  <si>
    <t>Winston-Salem</t>
  </si>
  <si>
    <t>Winterville</t>
  </si>
  <si>
    <t>Winton</t>
  </si>
  <si>
    <t>Woodfin</t>
  </si>
  <si>
    <t>Woodland</t>
  </si>
  <si>
    <t>Wrightsville Beach</t>
  </si>
  <si>
    <t>Yadkinville</t>
  </si>
  <si>
    <t>Yanceyville</t>
  </si>
  <si>
    <t>Youngsville</t>
  </si>
  <si>
    <t>Zebulon</t>
  </si>
  <si>
    <t>Data Import 2018</t>
  </si>
  <si>
    <t>used on upload template</t>
  </si>
  <si>
    <t>Unit Number</t>
  </si>
  <si>
    <t>Gen Fund - Current Liabilities</t>
  </si>
  <si>
    <t>CCH 4</t>
  </si>
  <si>
    <t>CCH 5</t>
  </si>
  <si>
    <t>CCH 6</t>
  </si>
  <si>
    <t>CCH 7</t>
  </si>
  <si>
    <t>CCH 9</t>
  </si>
  <si>
    <t>GF- Powell Bill in FBA</t>
  </si>
  <si>
    <t>CCH 11</t>
  </si>
  <si>
    <t>C-EF- Current Assets (unrestricted, excl. inventory and prepaids)</t>
  </si>
  <si>
    <t>CCH 12</t>
  </si>
  <si>
    <t>C-EF Current Assets (unrestricted, incl. inventory and prepaids)</t>
  </si>
  <si>
    <t>CCH 13</t>
  </si>
  <si>
    <t>C-EF- Current liabilities (Inc. Def Rev, Excl. BANs &amp; Comp Abs)</t>
  </si>
  <si>
    <t>CCH 14</t>
  </si>
  <si>
    <t>CCH 16</t>
  </si>
  <si>
    <t>CCH 17</t>
  </si>
  <si>
    <t>GF- Total expenditures</t>
  </si>
  <si>
    <t>CCH 19</t>
  </si>
  <si>
    <t>CCH 20</t>
  </si>
  <si>
    <t>GF- Proceeds from all LT debt issuance (COPs, IPs, Notes, CLs, etc.)</t>
  </si>
  <si>
    <t>CCH 21</t>
  </si>
  <si>
    <t>CCH 22</t>
  </si>
  <si>
    <t>CCH 23</t>
  </si>
  <si>
    <t>C-EF- Change in Net Assets</t>
  </si>
  <si>
    <t>CCH 31</t>
  </si>
  <si>
    <t xml:space="preserve">Combined Totals of all Proprietary Funds - Depreciation &amp; Amortization Expense </t>
  </si>
  <si>
    <t>CCH 32</t>
  </si>
  <si>
    <t>Combined Totals of all Proprietary Funds - Cash Flow from Operating</t>
  </si>
  <si>
    <t>CCH 33</t>
  </si>
  <si>
    <t>Hospital-EF- Unrestricted Cash &amp; Invest</t>
  </si>
  <si>
    <t>CCH 34</t>
  </si>
  <si>
    <t>Hospital-EF - Patient A/Rec, net</t>
  </si>
  <si>
    <t>CCH 35</t>
  </si>
  <si>
    <t>Hospital-EF- Total Gross Capital Assets (BS), w/o acc. dep.</t>
  </si>
  <si>
    <t>CCH 36</t>
  </si>
  <si>
    <t xml:space="preserve">Hospital-EF- Total LT Debt (non current portion only) (BS) </t>
  </si>
  <si>
    <t>CCH 37</t>
  </si>
  <si>
    <t xml:space="preserve">Hospital-EF- Unrestricted Fund Equity/Net Assets </t>
  </si>
  <si>
    <t>CCH 38</t>
  </si>
  <si>
    <t>Hospital-EF- Principal Paid on LTD (SCF)</t>
  </si>
  <si>
    <t>CCH 39</t>
  </si>
  <si>
    <t>Hospital-EF- Net Patient Revenue (IS)</t>
  </si>
  <si>
    <t>CCH 40</t>
  </si>
  <si>
    <t>Hospital-EF- Interest expenses (IS)</t>
  </si>
  <si>
    <t>CCH 41</t>
  </si>
  <si>
    <t>WS-EF- Current Assets (unrestricted, excl. inventory and prepaids)</t>
  </si>
  <si>
    <t>CCH 43</t>
  </si>
  <si>
    <t>WS - Total Current Assets</t>
  </si>
  <si>
    <t>CCH 44</t>
  </si>
  <si>
    <t>WS - Select Current Liabilities</t>
  </si>
  <si>
    <t>CCH 45</t>
  </si>
  <si>
    <t>E-EF- Current Assets (unrestricted, excl. inventory and prepaids)</t>
  </si>
  <si>
    <t>CCH 46</t>
  </si>
  <si>
    <t>Electric - Total Current Assets</t>
  </si>
  <si>
    <t>CCH 47</t>
  </si>
  <si>
    <t>CCH 48</t>
  </si>
  <si>
    <t>CCH 49</t>
  </si>
  <si>
    <t>CCH 50</t>
  </si>
  <si>
    <t>CCH 51</t>
  </si>
  <si>
    <t>CCH 52</t>
  </si>
  <si>
    <t>CCH 53</t>
  </si>
  <si>
    <t>E-EF- Net Transfers In(Out)- with GF only</t>
  </si>
  <si>
    <t>CCH 54</t>
  </si>
  <si>
    <t>CCH 55</t>
  </si>
  <si>
    <t>CCH 61</t>
  </si>
  <si>
    <t>CCH 80</t>
  </si>
  <si>
    <t>CCH 81</t>
  </si>
  <si>
    <t>CCH 82</t>
  </si>
  <si>
    <t>CCH 83</t>
  </si>
  <si>
    <t>CCH 84</t>
  </si>
  <si>
    <t>CCH 85</t>
  </si>
  <si>
    <t>CCH 88</t>
  </si>
  <si>
    <t>CCH 89</t>
  </si>
  <si>
    <t>CCH 90</t>
  </si>
  <si>
    <t>CCH 91</t>
  </si>
  <si>
    <t>E-EF- Gross Capital Assets</t>
  </si>
  <si>
    <t>CCH 92</t>
  </si>
  <si>
    <t>CCH 93</t>
  </si>
  <si>
    <t>CCH 94</t>
  </si>
  <si>
    <t>CCH 97</t>
  </si>
  <si>
    <t>CCH 98</t>
  </si>
  <si>
    <t>CCH 99</t>
  </si>
  <si>
    <t>CCH 100</t>
  </si>
  <si>
    <t>CCH 101</t>
  </si>
  <si>
    <t>CCH 102</t>
  </si>
  <si>
    <t>CCH 103</t>
  </si>
  <si>
    <t>Hospital-EF- Capital Outlays</t>
  </si>
  <si>
    <t>CCH 104</t>
  </si>
  <si>
    <t>Hospital-EF - Total Operating Revenues</t>
  </si>
  <si>
    <t>CCH 107</t>
  </si>
  <si>
    <t xml:space="preserve">Hospital-EF- Total Operating Expenses. May include Interest Exp. </t>
  </si>
  <si>
    <t>CCH 108</t>
  </si>
  <si>
    <t xml:space="preserve">Counties Only- Local Current Expense to BOEs </t>
  </si>
  <si>
    <t>CCH 147</t>
  </si>
  <si>
    <t xml:space="preserve">Counties Only- Capital Outlay Contribution to BOEs </t>
  </si>
  <si>
    <t>CCH 148</t>
  </si>
  <si>
    <t xml:space="preserve">BOE Only-- Local Current Exp. Revenue from County. </t>
  </si>
  <si>
    <t>CCH 149</t>
  </si>
  <si>
    <t xml:space="preserve">BOE- Only-- Capital outlay revenue from county (GF, SRF, CPF) </t>
  </si>
  <si>
    <t>CCH 150</t>
  </si>
  <si>
    <t>CCH 171</t>
  </si>
  <si>
    <t>CCH 191</t>
  </si>
  <si>
    <t>CCH 192</t>
  </si>
  <si>
    <t>Combined Totals of all Proprietary Funds - Capital Contributions</t>
  </si>
  <si>
    <t>CCH 193</t>
  </si>
  <si>
    <t>Hospital-EF- Capital contributions (only positive)</t>
  </si>
  <si>
    <t>CCH 194</t>
  </si>
  <si>
    <t>GF- Total cash &amp; investments (restricted &amp; unrestricted)</t>
  </si>
  <si>
    <t>CCH 231</t>
  </si>
  <si>
    <t>All cash and investments (unit-wide, w/ fiduciary fds, &amp; restricted cash)</t>
  </si>
  <si>
    <t>CCH 251</t>
  </si>
  <si>
    <t>CCH 252</t>
  </si>
  <si>
    <t>CCH 253</t>
  </si>
  <si>
    <t>CCH 254</t>
  </si>
  <si>
    <t>CCH 255</t>
  </si>
  <si>
    <t>BOE Only- Timber Receipts Revenue</t>
  </si>
  <si>
    <t>CCH 274</t>
  </si>
  <si>
    <t>Hospital-EF- Change in Net Assets</t>
  </si>
  <si>
    <t>CCH 294</t>
  </si>
  <si>
    <t>Public Housing Authority- HUD Capital grants amount (SCF, don't include operating grants)</t>
  </si>
  <si>
    <t>CCH 314</t>
  </si>
  <si>
    <t>Public Housing Authority- Amount paid for capital asset acquisition (SCF)</t>
  </si>
  <si>
    <t>CCH 315</t>
  </si>
  <si>
    <t>Public Housing Authority - Operating income (loss)</t>
  </si>
  <si>
    <t>CCH 316</t>
  </si>
  <si>
    <t>OPEB- Net OPEB obligation, ending</t>
  </si>
  <si>
    <t>CCH 320</t>
  </si>
  <si>
    <t>OPEB- Annual Expenses</t>
  </si>
  <si>
    <t>CCH 321</t>
  </si>
  <si>
    <t>OPEB- UAAL</t>
  </si>
  <si>
    <t>CCH 322</t>
  </si>
  <si>
    <t>OPEB- Actuarial Value of Assets</t>
  </si>
  <si>
    <t>CCH 323</t>
  </si>
  <si>
    <t>OPEB- ARC</t>
  </si>
  <si>
    <t>CCH 324</t>
  </si>
  <si>
    <t>OPEB- UAAL % of Payroll</t>
  </si>
  <si>
    <t>CCH 325</t>
  </si>
  <si>
    <t>#VALUE!</t>
  </si>
  <si>
    <t>CCH 326</t>
  </si>
  <si>
    <t>WS Cap Asset - Land &amp; other Non-Construction</t>
  </si>
  <si>
    <t>CCH 327</t>
  </si>
  <si>
    <t>CCH 328</t>
  </si>
  <si>
    <t>WS-EF- Accumulated Infrastructure Deprec Expense</t>
  </si>
  <si>
    <t>CCH 330</t>
  </si>
  <si>
    <t>CCH 331</t>
  </si>
  <si>
    <t>CCH 332</t>
  </si>
  <si>
    <t>CCH 333</t>
  </si>
  <si>
    <t>CCH 334</t>
  </si>
  <si>
    <t>CCH 335</t>
  </si>
  <si>
    <t>Gov - Select Current Liabilities</t>
  </si>
  <si>
    <t>CCH 336</t>
  </si>
  <si>
    <t>CCH 337</t>
  </si>
  <si>
    <t>CCH 338</t>
  </si>
  <si>
    <t>CCH 339</t>
  </si>
  <si>
    <t>GA- Total Program revenues (SOA)</t>
  </si>
  <si>
    <t>CCH 340</t>
  </si>
  <si>
    <t>CCH 341</t>
  </si>
  <si>
    <t>GA- Total Net transfers in(out) (SOA)</t>
  </si>
  <si>
    <t>CCH 342</t>
  </si>
  <si>
    <t>CCH 343</t>
  </si>
  <si>
    <t>CCH 344</t>
  </si>
  <si>
    <t>WS-EF- Total depreciable capital assets, gross</t>
  </si>
  <si>
    <t>CCH 346</t>
  </si>
  <si>
    <t>WS-EF- Total Accum Deprec on all capital assets.</t>
  </si>
  <si>
    <t>CCH 347</t>
  </si>
  <si>
    <t>CCH 349</t>
  </si>
  <si>
    <t>CCH 350</t>
  </si>
  <si>
    <t>CCH 351</t>
  </si>
  <si>
    <t>CCH 352</t>
  </si>
  <si>
    <t>CCH 353</t>
  </si>
  <si>
    <t>CCH 354</t>
  </si>
  <si>
    <t>CCH 357</t>
  </si>
  <si>
    <t>CCH 359</t>
  </si>
  <si>
    <t>CCH 360</t>
  </si>
  <si>
    <t>CCH 361</t>
  </si>
  <si>
    <t>CCH 362</t>
  </si>
  <si>
    <t>CCH 363</t>
  </si>
  <si>
    <t>CCH 364</t>
  </si>
  <si>
    <t>CCH 365</t>
  </si>
  <si>
    <t>CCH 366</t>
  </si>
  <si>
    <t>GF- Restricted cash &amp; investments</t>
  </si>
  <si>
    <t>CCH 367</t>
  </si>
  <si>
    <t>CCH 368</t>
  </si>
  <si>
    <t>CCH 369</t>
  </si>
  <si>
    <t>CCH 370</t>
  </si>
  <si>
    <t>CCH 371</t>
  </si>
  <si>
    <t>CCH 373</t>
  </si>
  <si>
    <t>CCH 375</t>
  </si>
  <si>
    <t>CCH 376</t>
  </si>
  <si>
    <t>CCH 377</t>
  </si>
  <si>
    <t>CCH 378</t>
  </si>
  <si>
    <t>CCH 379</t>
  </si>
  <si>
    <t>CCH 380</t>
  </si>
  <si>
    <t>CCH 381</t>
  </si>
  <si>
    <t>CCH 382</t>
  </si>
  <si>
    <t>CCH 383</t>
  </si>
  <si>
    <t>CCH 384</t>
  </si>
  <si>
    <t>CCH 385</t>
  </si>
  <si>
    <t>CCH 386</t>
  </si>
  <si>
    <t>CCH 387</t>
  </si>
  <si>
    <t>CCH 388</t>
  </si>
  <si>
    <t>CCH 389</t>
  </si>
  <si>
    <t>CCH 391</t>
  </si>
  <si>
    <t>CCH 500</t>
  </si>
  <si>
    <t>Gov - Internal Balance</t>
  </si>
  <si>
    <t>CCH 501</t>
  </si>
  <si>
    <t>CCH 502</t>
  </si>
  <si>
    <t>CCH 503</t>
  </si>
  <si>
    <t>CCH 504</t>
  </si>
  <si>
    <t>CCH 505</t>
  </si>
  <si>
    <t>CCH 506</t>
  </si>
  <si>
    <t>CCH 507</t>
  </si>
  <si>
    <t>CCH 508</t>
  </si>
  <si>
    <t>CCH 509</t>
  </si>
  <si>
    <t>CCH 510</t>
  </si>
  <si>
    <t>CCH 511</t>
  </si>
  <si>
    <t>CCH 512</t>
  </si>
  <si>
    <t>CCH 513</t>
  </si>
  <si>
    <t>CCH 514</t>
  </si>
  <si>
    <t>CCH 515</t>
  </si>
  <si>
    <t>CCH 516</t>
  </si>
  <si>
    <t>CCH 517</t>
  </si>
  <si>
    <t>CCH 518</t>
  </si>
  <si>
    <t>CCH 519</t>
  </si>
  <si>
    <t>CCH 520</t>
  </si>
  <si>
    <t>CCH 521</t>
  </si>
  <si>
    <t>CCH 522</t>
  </si>
  <si>
    <t>CCH 523</t>
  </si>
  <si>
    <t>CCH 524</t>
  </si>
  <si>
    <t>CCH 525</t>
  </si>
  <si>
    <t>CCH 526</t>
  </si>
  <si>
    <t>CCH 527</t>
  </si>
  <si>
    <t>CCH 528</t>
  </si>
  <si>
    <t>CCH 529</t>
  </si>
  <si>
    <t>CCH 530</t>
  </si>
  <si>
    <t>CCH 531</t>
  </si>
  <si>
    <t>Gen Fund - Total Expenditures</t>
  </si>
  <si>
    <t>CCH 532</t>
  </si>
  <si>
    <t>Gen Fund - Proceeds from LTD</t>
  </si>
  <si>
    <t>CCH 533</t>
  </si>
  <si>
    <t>Comb-Proprietary Funds- Inventories &amp; Prepaids in Curr Assets</t>
  </si>
  <si>
    <t>CCH 534</t>
  </si>
  <si>
    <t>CCH 535</t>
  </si>
  <si>
    <t>CCH 536</t>
  </si>
  <si>
    <t>Did unit raise Water Sewer rates during the audited fiscal period? - answer Yes or No</t>
  </si>
  <si>
    <t>CCH 537</t>
  </si>
  <si>
    <t>Did unit raise Water Sewer rates during the budget year following the audited fiscal year? - answer Yes or No</t>
  </si>
  <si>
    <t>CCH 538</t>
  </si>
  <si>
    <t>Amount employer expends for any retiree health care premiums or retiree health care cost.</t>
  </si>
  <si>
    <t>CCH 539</t>
  </si>
  <si>
    <t>Amount of the General Fund Balance appropriated in next year's budget</t>
  </si>
  <si>
    <t>CCH 540</t>
  </si>
  <si>
    <t>Amount of Water Sewer revenues and other financing sources over expenditures and other uses</t>
  </si>
  <si>
    <t>CCH 541</t>
  </si>
  <si>
    <t>Amount of the Water Sewer Fund Balance appropriated in next year's budget</t>
  </si>
  <si>
    <t>CCH 542</t>
  </si>
  <si>
    <t>Amount of interest income and investment income recognized as revenue in your audit report for all governmental and proprietary funds.</t>
  </si>
  <si>
    <t>CCH 543</t>
  </si>
  <si>
    <t>CCH 544</t>
  </si>
  <si>
    <t>CCH 545</t>
  </si>
  <si>
    <t>Supplemental School Tax</t>
  </si>
  <si>
    <t>CCH 546</t>
  </si>
  <si>
    <r>
      <t xml:space="preserve">Indicate if the </t>
    </r>
    <r>
      <rPr>
        <b/>
        <sz val="11"/>
        <color indexed="8"/>
        <rFont val="Calibri"/>
        <family val="2"/>
      </rPr>
      <t xml:space="preserve">Unit </t>
    </r>
    <r>
      <rPr>
        <sz val="11"/>
        <color indexed="8"/>
        <rFont val="Calibri"/>
        <family val="2"/>
      </rPr>
      <t xml:space="preserve">does not pay any portion of the retiree's cost other than implicit rate subsidy (1), does not have a plan (2),  has an OPEB plan for which the </t>
    </r>
    <r>
      <rPr>
        <b/>
        <sz val="11"/>
        <color indexed="8"/>
        <rFont val="Calibri"/>
        <family val="2"/>
      </rPr>
      <t>unit</t>
    </r>
    <r>
      <rPr>
        <sz val="11"/>
        <color indexed="8"/>
        <rFont val="Calibri"/>
        <family val="2"/>
      </rPr>
      <t xml:space="preserve"> pays at least a portion of retiree’s health care cost (3) or is part of the State Health System (4).  </t>
    </r>
  </si>
  <si>
    <t>CCH 547</t>
  </si>
  <si>
    <t>Unit paid to Officers under LEO</t>
  </si>
  <si>
    <t>CCH 548</t>
  </si>
  <si>
    <t>The Unfunded actuarially accrued liability for the unit's Leo benefit.</t>
  </si>
  <si>
    <t>CCH 549</t>
  </si>
  <si>
    <t>Debt Service payments made from Bond investments</t>
  </si>
  <si>
    <t>CCH 550</t>
  </si>
  <si>
    <t>Internal Control-
1) no IC issues 
2)Immaterial 
3) Unit letter for IC 
4) Unit visit for IC</t>
  </si>
  <si>
    <t>CCH 551</t>
  </si>
  <si>
    <t>Law Enforcement Officers - Actuarial value of Assets</t>
  </si>
  <si>
    <t>CCH 552</t>
  </si>
  <si>
    <t>not currently used</t>
  </si>
  <si>
    <t>CCH 553</t>
  </si>
  <si>
    <r>
      <rPr>
        <b/>
        <sz val="11"/>
        <color indexed="8"/>
        <rFont val="Calibri"/>
        <family val="2"/>
      </rPr>
      <t>Single Audit Only</t>
    </r>
    <r>
      <rPr>
        <sz val="11"/>
        <color indexed="8"/>
        <rFont val="Century Schoolbook"/>
        <family val="2"/>
      </rPr>
      <t xml:space="preserve"> - total amount of federal awards and grants expended as found on SEFSA</t>
    </r>
  </si>
  <si>
    <t>CCH 554</t>
  </si>
  <si>
    <r>
      <rPr>
        <b/>
        <sz val="11"/>
        <color indexed="8"/>
        <rFont val="Calibri"/>
        <family val="2"/>
      </rPr>
      <t>Single Audit Only</t>
    </r>
    <r>
      <rPr>
        <sz val="11"/>
        <color indexed="8"/>
        <rFont val="Century Schoolbook"/>
        <family val="2"/>
      </rPr>
      <t xml:space="preserve"> - Total amount of federal awards and grants that were audited as major as found on SEFSA</t>
    </r>
  </si>
  <si>
    <t>CCH 555</t>
  </si>
  <si>
    <r>
      <rPr>
        <b/>
        <sz val="11"/>
        <color indexed="8"/>
        <rFont val="Calibri"/>
        <family val="2"/>
      </rPr>
      <t>Single Audit Only</t>
    </r>
    <r>
      <rPr>
        <sz val="11"/>
        <color indexed="8"/>
        <rFont val="Century Schoolbook"/>
        <family val="2"/>
      </rPr>
      <t xml:space="preserve"> - total amount of state awards and grants expended as found on SEFSA</t>
    </r>
  </si>
  <si>
    <t>CCH 556</t>
  </si>
  <si>
    <r>
      <rPr>
        <b/>
        <sz val="11"/>
        <color indexed="8"/>
        <rFont val="Calibri"/>
        <family val="2"/>
      </rPr>
      <t>Single Audit Only</t>
    </r>
    <r>
      <rPr>
        <sz val="11"/>
        <color indexed="8"/>
        <rFont val="Century Schoolbook"/>
        <family val="2"/>
      </rPr>
      <t xml:space="preserve"> - Total amount of state awards and grants that were audited as major as found on SEFSA</t>
    </r>
  </si>
  <si>
    <t>CCH 557</t>
  </si>
  <si>
    <t>CCH 558</t>
  </si>
  <si>
    <t>CCH 559</t>
  </si>
  <si>
    <t>CCH 560</t>
  </si>
  <si>
    <t>CCH 561</t>
  </si>
  <si>
    <t>CCH 562</t>
  </si>
  <si>
    <t>CCH 563</t>
  </si>
  <si>
    <t>CCH 564</t>
  </si>
  <si>
    <t>CCH 565</t>
  </si>
  <si>
    <t>CCH 566</t>
  </si>
  <si>
    <t>CCH 567</t>
  </si>
  <si>
    <t>CCH 568</t>
  </si>
  <si>
    <t>CCH 569</t>
  </si>
  <si>
    <t>CCH 570</t>
  </si>
  <si>
    <t>CCH 571</t>
  </si>
  <si>
    <t>CCH 572</t>
  </si>
  <si>
    <t>CCH 573</t>
  </si>
  <si>
    <t>CCH 574</t>
  </si>
  <si>
    <t>CCH 575</t>
  </si>
  <si>
    <t>CCH 576</t>
  </si>
  <si>
    <t>Yes  or "1" indicates unit has defined benefit other than the ones adm. By the state</t>
  </si>
  <si>
    <t>CCH 577</t>
  </si>
  <si>
    <t>WS-Advance From - Liability</t>
  </si>
  <si>
    <t>CCH 578</t>
  </si>
  <si>
    <t>WS-Advance To - Asset</t>
  </si>
  <si>
    <t>CCH 579</t>
  </si>
  <si>
    <t>EF-Advance From - Liability</t>
  </si>
  <si>
    <t>CCH 580</t>
  </si>
  <si>
    <t>EF-Advance To - Asset</t>
  </si>
  <si>
    <t>CCH 581</t>
  </si>
  <si>
    <t>TDA- Government Wide current and long-term debt</t>
  </si>
  <si>
    <t>CCH 582</t>
  </si>
  <si>
    <t>Bus- Total Expenses</t>
  </si>
  <si>
    <t>CCH 583</t>
  </si>
  <si>
    <t>Bus-Total Revenues</t>
  </si>
  <si>
    <t>CCH 584</t>
  </si>
  <si>
    <t>County only-timber receipts sent to the schools</t>
  </si>
  <si>
    <t>CCH 585</t>
  </si>
  <si>
    <t>GF - Advance from</t>
  </si>
  <si>
    <t>CCH 586</t>
  </si>
  <si>
    <t>Local Curr Exp trx to Fund 8</t>
  </si>
  <si>
    <t>CCH 587</t>
  </si>
  <si>
    <t>Capital Outlay trx to Fund 8</t>
  </si>
  <si>
    <t>CCH 588</t>
  </si>
  <si>
    <t>County-supplemental school tax reported in Agency fund</t>
  </si>
  <si>
    <t>CCH 589</t>
  </si>
  <si>
    <t xml:space="preserve">This is a description question that is retained on the data input tab - This information is not uploaded to CCH or our data base </t>
  </si>
  <si>
    <t>CCH 590</t>
  </si>
  <si>
    <t>CCH 992</t>
  </si>
  <si>
    <t>Hospital - No Budget required</t>
  </si>
  <si>
    <t>CCH 993</t>
  </si>
  <si>
    <t>Hospital - No Contract required</t>
  </si>
  <si>
    <t>CCH 994</t>
  </si>
  <si>
    <t>Units with Electric Operations have. 07,. 08,. 09</t>
  </si>
  <si>
    <t>CCH 995</t>
  </si>
  <si>
    <t>Units with Water Sewer Operations have. 01</t>
  </si>
  <si>
    <t>CCH 996</t>
  </si>
  <si>
    <t>CCH 998</t>
  </si>
  <si>
    <t>CCH 999</t>
  </si>
  <si>
    <t/>
  </si>
  <si>
    <t>LGC Records indicate that your unit has an operational Water and/or Sewer system and needs to complete the Water Sewer Questions</t>
  </si>
  <si>
    <t>Unit Contact Question</t>
  </si>
  <si>
    <t>Interest income from statement of activitites</t>
  </si>
  <si>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</si>
  <si>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</si>
  <si>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If you have LEO pension assets and are reporting under GASB 68 please enter "Plan Fiduciary Net Position" which can be found on your RSI schedules.</t>
  </si>
  <si>
    <t>Unit was issued:
1) No UL
2) No UL but visit is needed
3) UL with response
4) UL no response required
5) SUL requiring written response
6) Communication to DPI</t>
  </si>
  <si>
    <t>Compliance opinion - enter "1" for clean Opinion or "2" for other than clean opinion</t>
  </si>
  <si>
    <t>Health benefits - plan’s fiduciary net position as a percentage of the total OPEB liability </t>
  </si>
  <si>
    <t>Vision benefits -  plan’s fiduciary net position as a percentage of the total OPEB liability </t>
  </si>
  <si>
    <t>Dental benefits - plan’s fiduciary net position as a percentage of the total OPEB liability</t>
  </si>
  <si>
    <t>Other benefits  - plan’s fiduciary net position as a percentage of the total OPEB liability</t>
  </si>
  <si>
    <t>Net OPEB Liability</t>
  </si>
  <si>
    <t>CCH385-CCH576</t>
  </si>
  <si>
    <t>CCH336-CCH576</t>
  </si>
  <si>
    <t>CCH338-CCH576</t>
  </si>
  <si>
    <t>Version Date 7/31/2019</t>
  </si>
  <si>
    <t>Net Pension Liability</t>
  </si>
  <si>
    <t>Financial opinion - enter "1" for Unmodified Opinion or "2" for other than unmodified opinion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</si>
</sst>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0"/>
    <numFmt numFmtId="169" formatCode="0_);\(0\)"/>
    <numFmt numFmtId="170" formatCode="0.00_);\(0.00\)"/>
    <numFmt numFmtId="171" formatCode="0.0_);\(0.0\)"/>
    <numFmt numFmtId="172" formatCode="_(* #,##0.0000_);_(* \(#,##0.0000\);_(* &quot;-&quot;??_);_(@_)"/>
    <numFmt numFmtId="173" formatCode="#,##0.0000_);[Red]\(#,##0.0000\)"/>
    <numFmt numFmtId="174" formatCode="#,##0.0_);\(#,##0.0\)"/>
    <numFmt numFmtId="175" formatCode="_(* ###0_);_(* \(###0\);_(* &quot;-&quot;??_);_(@_)"/>
    <numFmt numFmtId="176" formatCode="#,##0.0000_);\(#,##0.0000\)"/>
    <numFmt numFmtId="177" formatCode="_(* #,##0.00_);_(* \(#,##0.00\);_(* &quot;-&quot;_);_(@_)"/>
    <numFmt numFmtId="178" formatCode="0.00_);[Red]\(0.00\)"/>
  </numFmts>
  <fonts count="132"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b/>
      <sz val="9"/>
      <color indexed="8"/>
      <name val="Calibri"/>
      <family val="2"/>
    </font>
    <font>
      <u/>
      <sz val="11"/>
      <color indexed="8"/>
      <name val="Calibri"/>
      <family val="2"/>
    </font>
    <font>
      <sz val="11"/>
      <name val="Calibri"/>
      <family val="2"/>
    </font>
    <font>
      <b/>
      <sz val="11"/>
      <name val="Calibri"/>
      <family val="2"/>
    </font>
    <font>
      <sz val="11"/>
      <name val="Century Schoolbook"/>
      <family val="1"/>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name val="Century Schoolbook"/>
      <family val="1"/>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sz val="11"/>
      <color indexed="8"/>
      <name val="Century Schoolbook"/>
      <family val="1"/>
    </font>
    <font>
      <b/>
      <sz val="11"/>
      <color indexed="8"/>
      <name val="Century Schoolbook"/>
      <family val="1"/>
    </font>
    <font>
      <sz val="9"/>
      <color indexed="8"/>
      <name val="Century Schoolbook"/>
      <family val="1"/>
    </font>
    <font>
      <sz val="9"/>
      <color indexed="8"/>
      <name val="Calibri"/>
      <family val="2"/>
    </font>
    <font>
      <b/>
      <sz val="11"/>
      <name val="Century Schoolbook"/>
      <family val="1"/>
    </font>
    <font>
      <b/>
      <u/>
      <sz val="11"/>
      <color indexed="8"/>
      <name val="Calibri"/>
      <family val="2"/>
    </font>
    <font>
      <u/>
      <sz val="11"/>
      <name val="Calibri"/>
      <family val="2"/>
    </font>
    <font>
      <b/>
      <sz val="9"/>
      <color indexed="8"/>
      <name val="Century Schoolbook"/>
      <family val="1"/>
    </font>
    <font>
      <sz val="9"/>
      <name val="Century Schoolbook"/>
      <family val="1"/>
    </font>
    <font>
      <b/>
      <sz val="11"/>
      <color indexed="60"/>
      <name val="Century Schoolbook"/>
      <family val="1"/>
    </font>
    <font>
      <b/>
      <sz val="10"/>
      <color indexed="8"/>
      <name val="Century Schoolbook"/>
      <family val="1"/>
    </font>
    <font>
      <sz val="9"/>
      <color indexed="60"/>
      <name val="Calibri"/>
      <family val="2"/>
    </font>
    <font>
      <sz val="8"/>
      <name val="Arial"/>
      <family val="2"/>
    </font>
    <font>
      <sz val="10"/>
      <name val="Arial"/>
      <family val="2"/>
    </font>
    <font>
      <sz val="12"/>
      <name val="Garamond"/>
      <family val="1"/>
    </font>
    <font>
      <u/>
      <sz val="11"/>
      <color indexed="60"/>
      <name val="Calibri"/>
      <family val="2"/>
    </font>
    <font>
      <b/>
      <sz val="12"/>
      <color indexed="17"/>
      <name val="Calibri"/>
      <family val="2"/>
    </font>
    <font>
      <sz val="8"/>
      <name val="Arial"/>
      <family val="2"/>
    </font>
    <font>
      <sz val="10"/>
      <name val="Arial"/>
      <family val="2"/>
    </font>
    <font>
      <sz val="12"/>
      <name val="Garamond"/>
      <family val="1"/>
    </font>
    <font>
      <sz val="11"/>
      <color indexed="8"/>
      <name val="Century Schoolbook"/>
      <family val="2"/>
    </font>
    <font>
      <b/>
      <sz val="22"/>
      <color indexed="8"/>
      <name val="Calibri"/>
      <family val="2"/>
    </font>
    <font>
      <b/>
      <sz val="11"/>
      <color indexed="60"/>
      <name val="Calibri"/>
      <family val="2"/>
    </font>
    <font>
      <sz val="11"/>
      <color theme="1"/>
      <name val="Calibri"/>
      <family val="2"/>
      <scheme val="minor"/>
    </font>
    <font>
      <sz val="11"/>
      <color theme="1"/>
      <name val="Century Schoolbook"/>
      <family val="2"/>
    </font>
    <font>
      <u/>
      <sz val="11"/>
      <color theme="10"/>
      <name val="Calibri"/>
      <family val="2"/>
      <scheme val="minor"/>
    </font>
    <font>
      <u/>
      <sz val="11"/>
      <color theme="10"/>
      <name val="Calibri"/>
      <family val="2"/>
    </font>
    <font>
      <sz val="12"/>
      <color theme="1"/>
      <name val="Calibri"/>
      <family val="2"/>
      <scheme val="minor"/>
    </font>
    <font>
      <b/>
      <sz val="22"/>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9"/>
      <color rgb="FFFF0000"/>
      <name val="Calibri"/>
      <family val="2"/>
      <scheme val="minor"/>
    </font>
    <font>
      <sz val="11"/>
      <color rgb="FF0070C0"/>
      <name val="Calibri"/>
      <family val="2"/>
      <scheme val="minor"/>
    </font>
    <font>
      <sz val="11"/>
      <color theme="1"/>
      <name val="Century Schoolbook"/>
      <family val="1"/>
    </font>
    <font>
      <sz val="11"/>
      <name val="Calibri"/>
      <family val="2"/>
      <scheme val="minor"/>
    </font>
    <font>
      <sz val="14"/>
      <color theme="1"/>
      <name val="Calibri"/>
      <family val="2"/>
      <scheme val="minor"/>
    </font>
    <font>
      <b/>
      <sz val="11"/>
      <color theme="1"/>
      <name val="Century Schoolbook"/>
      <family val="1"/>
    </font>
    <font>
      <b/>
      <sz val="20"/>
      <color theme="1"/>
      <name val="Calibri"/>
      <family val="2"/>
      <scheme val="minor"/>
    </font>
    <font>
      <sz val="26"/>
      <color rgb="FF17365D"/>
      <name val="Cambria"/>
      <family val="1"/>
    </font>
    <font>
      <i/>
      <sz val="12"/>
      <color rgb="FF4F81BD"/>
      <name val="Cambria"/>
      <family val="1"/>
    </font>
    <font>
      <sz val="12"/>
      <color theme="1"/>
      <name val="Century Schoolbook"/>
      <family val="1"/>
    </font>
    <font>
      <sz val="14"/>
      <name val="Calibri"/>
      <family val="2"/>
      <scheme val="minor"/>
    </font>
    <font>
      <b/>
      <sz val="24"/>
      <color theme="2"/>
      <name val="Century Schoolbook"/>
      <family val="1"/>
    </font>
    <font>
      <b/>
      <sz val="9"/>
      <color theme="1"/>
      <name val="Calibri"/>
      <family val="2"/>
      <scheme val="minor"/>
    </font>
    <font>
      <b/>
      <sz val="16"/>
      <color theme="1"/>
      <name val="Calibri"/>
      <family val="2"/>
      <scheme val="minor"/>
    </font>
    <font>
      <sz val="24"/>
      <color theme="0"/>
      <name val="Century Schoolbook"/>
      <family val="1"/>
    </font>
    <font>
      <b/>
      <sz val="48"/>
      <color theme="0"/>
      <name val="Century Schoolbook"/>
      <family val="1"/>
    </font>
    <font>
      <b/>
      <sz val="10"/>
      <color theme="1"/>
      <name val="Calibri"/>
      <family val="2"/>
      <scheme val="minor"/>
    </font>
    <font>
      <sz val="24"/>
      <color theme="2"/>
      <name val="Century Schoolbook"/>
      <family val="1"/>
    </font>
    <font>
      <b/>
      <sz val="12"/>
      <color theme="0"/>
      <name val="Calibri"/>
      <family val="2"/>
      <scheme val="minor"/>
    </font>
    <font>
      <b/>
      <sz val="12"/>
      <color theme="1"/>
      <name val="Calibri"/>
      <family val="2"/>
      <scheme val="minor"/>
    </font>
    <font>
      <sz val="10"/>
      <color theme="1"/>
      <name val="Calibri"/>
      <family val="2"/>
      <scheme val="minor"/>
    </font>
    <font>
      <sz val="10"/>
      <color theme="1"/>
      <name val="Century Schoolbook"/>
      <family val="1"/>
    </font>
    <font>
      <b/>
      <u/>
      <sz val="12"/>
      <color theme="1"/>
      <name val="Times New Roman"/>
      <family val="1"/>
    </font>
    <font>
      <u/>
      <sz val="11"/>
      <color theme="1"/>
      <name val="Calibri"/>
      <family val="2"/>
      <scheme val="minor"/>
    </font>
    <font>
      <b/>
      <u/>
      <sz val="16"/>
      <color theme="1"/>
      <name val="Times New Roman"/>
      <family val="1"/>
    </font>
    <font>
      <b/>
      <sz val="10"/>
      <color theme="1"/>
      <name val="Times New Roman"/>
      <family val="1"/>
    </font>
    <font>
      <b/>
      <u/>
      <sz val="10"/>
      <color theme="1"/>
      <name val="Times New Roman"/>
      <family val="1"/>
    </font>
    <font>
      <sz val="10"/>
      <color theme="1"/>
      <name val="Times New Roman"/>
      <family val="1"/>
    </font>
    <font>
      <b/>
      <sz val="11"/>
      <color theme="1"/>
      <name val="Wingdings"/>
      <charset val="2"/>
    </font>
    <font>
      <u/>
      <sz val="10"/>
      <color theme="1"/>
      <name val="Times New Roman"/>
      <family val="1"/>
    </font>
    <font>
      <sz val="11"/>
      <color indexed="9"/>
      <name val="Calibri"/>
      <family val="2"/>
      <scheme val="minor"/>
    </font>
    <font>
      <b/>
      <sz val="11"/>
      <color theme="1"/>
      <name val="Garamond"/>
      <family val="1"/>
    </font>
    <font>
      <sz val="11"/>
      <color theme="1"/>
      <name val="Calibri"/>
      <family val="2"/>
    </font>
    <font>
      <sz val="8"/>
      <name val="Calibri"/>
      <family val="2"/>
      <scheme val="minor"/>
    </font>
    <font>
      <b/>
      <sz val="9"/>
      <color theme="1"/>
      <name val="Century Schoolbook"/>
      <family val="1"/>
    </font>
    <font>
      <sz val="11"/>
      <color rgb="FFC00000"/>
      <name val="Calibri"/>
      <family val="2"/>
      <scheme val="minor"/>
    </font>
    <font>
      <b/>
      <sz val="11"/>
      <color rgb="FFC00000"/>
      <name val="Century Schoolbook"/>
      <family val="1"/>
    </font>
    <font>
      <sz val="9"/>
      <color theme="1"/>
      <name val="Century Schoolbook"/>
      <family val="1"/>
    </font>
    <font>
      <sz val="8"/>
      <color theme="1"/>
      <name val="Century Schoolbook"/>
      <family val="1"/>
    </font>
    <font>
      <sz val="8"/>
      <color theme="1"/>
      <name val="Calibri"/>
      <family val="2"/>
      <scheme val="minor"/>
    </font>
    <font>
      <b/>
      <sz val="11"/>
      <name val="Calibri"/>
      <family val="2"/>
      <scheme val="minor"/>
    </font>
    <font>
      <b/>
      <sz val="11"/>
      <color indexed="8"/>
      <name val="Calibri"/>
      <family val="2"/>
      <scheme val="minor"/>
    </font>
    <font>
      <b/>
      <sz val="18"/>
      <color theme="1"/>
      <name val="Calibri"/>
      <family val="2"/>
      <scheme val="minor"/>
    </font>
    <font>
      <sz val="12"/>
      <color rgb="FFFF0000"/>
      <name val="Calibri"/>
      <family val="2"/>
      <scheme val="minor"/>
    </font>
    <font>
      <u/>
      <sz val="11"/>
      <color theme="1"/>
      <name val="Century Schoolbook"/>
      <family val="1"/>
    </font>
    <font>
      <sz val="10"/>
      <color rgb="FFFF0000"/>
      <name val="Calibri"/>
      <family val="2"/>
      <scheme val="minor"/>
    </font>
    <font>
      <u/>
      <sz val="11"/>
      <color theme="5" tint="-0.249977111117893"/>
      <name val="Calibri"/>
      <family val="2"/>
      <scheme val="minor"/>
    </font>
    <font>
      <b/>
      <sz val="8"/>
      <color theme="1"/>
      <name val="Calibri"/>
      <family val="2"/>
      <scheme val="minor"/>
    </font>
    <font>
      <sz val="11"/>
      <color indexed="8"/>
      <name val="Calibri"/>
      <family val="2"/>
      <scheme val="minor"/>
    </font>
    <font>
      <sz val="28"/>
      <color theme="1"/>
      <name val="Calibri"/>
      <family val="2"/>
      <scheme val="minor"/>
    </font>
    <font>
      <b/>
      <sz val="9"/>
      <name val="Calibri"/>
      <family val="2"/>
      <scheme val="minor"/>
    </font>
    <font>
      <sz val="9"/>
      <name val="Calibri"/>
      <family val="2"/>
      <scheme val="minor"/>
    </font>
    <font>
      <sz val="9"/>
      <color rgb="FFFF0000"/>
      <name val="Calibri"/>
      <family val="2"/>
      <scheme val="minor"/>
    </font>
    <font>
      <b/>
      <i/>
      <u/>
      <sz val="10"/>
      <color theme="1"/>
      <name val="Times New Roman"/>
      <family val="1"/>
    </font>
    <font>
      <sz val="8"/>
      <name val="Arial"/>
    </font>
    <font>
      <sz val="10"/>
      <name val="Arial"/>
    </font>
    <font>
      <sz val="12"/>
      <name val="Garamond"/>
    </font>
    <font>
      <sz val="8"/>
      <color indexed="8"/>
      <name val="Calibri"/>
      <family val="2"/>
    </font>
    <font>
      <sz val="10"/>
      <name val="Calibri"/>
      <family val="2"/>
    </font>
    <font>
      <sz val="12"/>
      <name val="Calibri"/>
      <family val="2"/>
    </font>
    <font>
      <b/>
      <sz val="10"/>
      <color indexed="8"/>
      <name val="Century Schoolbook"/>
      <family val="2"/>
    </font>
    <font>
      <b/>
      <sz val="10"/>
      <color theme="1"/>
      <name val="Century Schoolbook"/>
      <family val="2"/>
    </font>
    <font>
      <b/>
      <sz val="10"/>
      <color indexed="8"/>
      <name val="Calibri"/>
      <family val="2"/>
      <scheme val="minor"/>
    </font>
    <font>
      <sz val="11"/>
      <color rgb="FFFF0000"/>
      <name val="Century Schoolbook"/>
      <family val="1"/>
    </font>
    <font>
      <b/>
      <sz val="10"/>
      <color theme="1"/>
      <name val="Century Schoolbook"/>
      <family val="1"/>
    </font>
  </fonts>
  <fills count="38">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rgb="FF00FFFF"/>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thin">
        <color theme="3" tint="0.59999389629810485"/>
      </left>
      <right style="thin">
        <color theme="3" tint="0.59996337778862885"/>
      </right>
      <top style="thin">
        <color theme="3" tint="0.59996337778862885"/>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indexed="64"/>
      </top>
      <bottom style="thin">
        <color indexed="64"/>
      </bottom>
      <diagonal/>
    </border>
    <border>
      <left style="thin">
        <color indexed="44"/>
      </left>
      <right style="thin">
        <color indexed="44"/>
      </right>
      <top style="thin">
        <color indexed="44"/>
      </top>
      <bottom style="thin">
        <color indexed="44"/>
      </bottom>
      <diagonal/>
    </border>
    <border>
      <left/>
      <right/>
      <top style="thin">
        <color indexed="30"/>
      </top>
      <bottom style="thin">
        <color indexed="30"/>
      </bottom>
      <diagonal/>
    </border>
    <border>
      <left style="thin">
        <color indexed="30"/>
      </left>
      <right/>
      <top style="thin">
        <color indexed="30"/>
      </top>
      <bottom style="thin">
        <color indexed="30"/>
      </bottom>
      <diagonal/>
    </border>
    <border>
      <left/>
      <right/>
      <top/>
      <bottom style="medium">
        <color indexed="22"/>
      </bottom>
      <diagonal/>
    </border>
    <border>
      <left/>
      <right/>
      <top style="medium">
        <color indexed="22"/>
      </top>
      <bottom style="medium">
        <color indexed="8"/>
      </bottom>
      <diagonal/>
    </border>
    <border>
      <left/>
      <right/>
      <top style="thin">
        <color indexed="30"/>
      </top>
      <bottom/>
      <diagonal/>
    </border>
  </borders>
  <cellStyleXfs count="12114">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5" borderId="1" applyNumberFormat="0" applyAlignment="0" applyProtection="0"/>
    <xf numFmtId="0" fontId="25" fillId="15" borderId="1" applyNumberFormat="0" applyAlignment="0" applyProtection="0"/>
    <xf numFmtId="0" fontId="16" fillId="7" borderId="2" applyNumberFormat="0" applyAlignment="0" applyProtection="0"/>
    <xf numFmtId="0" fontId="16" fillId="7" borderId="2" applyNumberFormat="0" applyAlignment="0" applyProtection="0"/>
    <xf numFmtId="43" fontId="5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5"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9" fillId="12" borderId="1" applyNumberFormat="0" applyAlignment="0" applyProtection="0"/>
    <xf numFmtId="0" fontId="9" fillId="12"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10" fillId="19" borderId="0" applyNumberFormat="0" applyBorder="0" applyAlignment="0" applyProtection="0"/>
    <xf numFmtId="0" fontId="10" fillId="19"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6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27" fillId="0" borderId="0"/>
    <xf numFmtId="0" fontId="28" fillId="0" borderId="0"/>
    <xf numFmtId="0" fontId="27" fillId="0" borderId="0"/>
    <xf numFmtId="0" fontId="52" fillId="0" borderId="0"/>
    <xf numFmtId="0" fontId="27" fillId="0" borderId="0"/>
    <xf numFmtId="0" fontId="27" fillId="0" borderId="0"/>
    <xf numFmtId="0" fontId="27" fillId="0" borderId="0"/>
    <xf numFmtId="0" fontId="4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52" fillId="0" borderId="0"/>
    <xf numFmtId="0" fontId="27" fillId="0" borderId="0"/>
    <xf numFmtId="0" fontId="27" fillId="0" borderId="0"/>
    <xf numFmtId="0" fontId="2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1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28" fillId="0" borderId="0"/>
    <xf numFmtId="0" fontId="34" fillId="0" borderId="0"/>
    <xf numFmtId="0" fontId="19" fillId="0" borderId="0"/>
    <xf numFmtId="0" fontId="48"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7" fillId="0" borderId="0"/>
    <xf numFmtId="0" fontId="27" fillId="0" borderId="0"/>
    <xf numFmtId="0" fontId="19" fillId="0" borderId="0"/>
    <xf numFmtId="0" fontId="48"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27"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2" fillId="0" borderId="0"/>
    <xf numFmtId="0" fontId="27" fillId="0" borderId="0"/>
    <xf numFmtId="0" fontId="27" fillId="0" borderId="0"/>
    <xf numFmtId="0" fontId="4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52" fillId="0" borderId="0"/>
    <xf numFmtId="0" fontId="27" fillId="0" borderId="0"/>
    <xf numFmtId="0" fontId="27" fillId="0" borderId="0"/>
    <xf numFmtId="0" fontId="27" fillId="0" borderId="0"/>
    <xf numFmtId="0" fontId="27" fillId="0" borderId="0"/>
    <xf numFmtId="0" fontId="52" fillId="0" borderId="0"/>
    <xf numFmtId="0" fontId="27" fillId="0" borderId="0"/>
    <xf numFmtId="0" fontId="27" fillId="0" borderId="0"/>
    <xf numFmtId="0" fontId="27" fillId="0" borderId="0"/>
    <xf numFmtId="0" fontId="52"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0" borderId="0"/>
    <xf numFmtId="0" fontId="52" fillId="0" borderId="0"/>
    <xf numFmtId="0" fontId="27" fillId="0" borderId="0"/>
    <xf numFmtId="0" fontId="27" fillId="0" borderId="0"/>
    <xf numFmtId="0" fontId="27" fillId="0" borderId="0"/>
    <xf numFmtId="0" fontId="27" fillId="0" borderId="0"/>
    <xf numFmtId="0" fontId="58" fillId="0" borderId="0"/>
    <xf numFmtId="0" fontId="52" fillId="0" borderId="0"/>
    <xf numFmtId="0" fontId="27" fillId="0" borderId="0"/>
    <xf numFmtId="0" fontId="27" fillId="0" borderId="0"/>
    <xf numFmtId="0" fontId="58" fillId="0" borderId="0"/>
    <xf numFmtId="0" fontId="19" fillId="0" borderId="0"/>
    <xf numFmtId="0" fontId="19" fillId="0" borderId="0"/>
    <xf numFmtId="0" fontId="58" fillId="0" borderId="0"/>
    <xf numFmtId="0" fontId="27" fillId="0" borderId="0"/>
    <xf numFmtId="0" fontId="27" fillId="0" borderId="0"/>
    <xf numFmtId="0" fontId="27" fillId="0" borderId="0"/>
    <xf numFmtId="0" fontId="58" fillId="0" borderId="0"/>
    <xf numFmtId="0" fontId="58" fillId="0" borderId="0"/>
    <xf numFmtId="0" fontId="58" fillId="0" borderId="0"/>
    <xf numFmtId="0" fontId="27" fillId="0" borderId="0"/>
    <xf numFmtId="0" fontId="58" fillId="0" borderId="0"/>
    <xf numFmtId="0" fontId="27" fillId="0" borderId="0"/>
    <xf numFmtId="0" fontId="58" fillId="0" borderId="0"/>
    <xf numFmtId="0" fontId="58" fillId="0" borderId="0"/>
    <xf numFmtId="0" fontId="27" fillId="0" borderId="0"/>
    <xf numFmtId="0" fontId="58" fillId="0" borderId="0"/>
    <xf numFmtId="0" fontId="58" fillId="0" borderId="0"/>
    <xf numFmtId="0" fontId="58" fillId="0" borderId="0"/>
    <xf numFmtId="0" fontId="52" fillId="0" borderId="0"/>
    <xf numFmtId="0" fontId="27" fillId="0" borderId="0"/>
    <xf numFmtId="0" fontId="27"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27" fillId="0" borderId="0"/>
    <xf numFmtId="0" fontId="19" fillId="0" borderId="0"/>
    <xf numFmtId="0" fontId="19" fillId="0" borderId="0"/>
    <xf numFmtId="0" fontId="32" fillId="0" borderId="0"/>
    <xf numFmtId="0" fontId="31" fillId="0" borderId="0"/>
    <xf numFmtId="0" fontId="31" fillId="0" borderId="0"/>
    <xf numFmtId="0" fontId="53" fillId="0" borderId="0"/>
    <xf numFmtId="0" fontId="19" fillId="0" borderId="0"/>
    <xf numFmtId="0" fontId="19" fillId="0" borderId="0"/>
    <xf numFmtId="0" fontId="19" fillId="0" borderId="0"/>
    <xf numFmtId="0" fontId="19" fillId="0" borderId="0"/>
    <xf numFmtId="0" fontId="34" fillId="0" borderId="0"/>
    <xf numFmtId="0" fontId="19" fillId="0" borderId="0"/>
    <xf numFmtId="0" fontId="48"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48"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27" fillId="0" borderId="0"/>
    <xf numFmtId="0" fontId="53" fillId="0" borderId="0"/>
    <xf numFmtId="0" fontId="19" fillId="0" borderId="0"/>
    <xf numFmtId="0" fontId="19" fillId="0" borderId="0"/>
    <xf numFmtId="0" fontId="19" fillId="0" borderId="0"/>
    <xf numFmtId="0" fontId="19"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2" fillId="0" borderId="0"/>
    <xf numFmtId="0" fontId="31" fillId="0" borderId="0"/>
    <xf numFmtId="0" fontId="49" fillId="0" borderId="0"/>
    <xf numFmtId="0" fontId="31" fillId="0" borderId="0"/>
    <xf numFmtId="0" fontId="31" fillId="0" borderId="0"/>
    <xf numFmtId="0" fontId="54" fillId="0" borderId="0"/>
    <xf numFmtId="0" fontId="31" fillId="0" borderId="0"/>
    <xf numFmtId="0" fontId="54" fillId="0" borderId="0"/>
    <xf numFmtId="0" fontId="31" fillId="0" borderId="0"/>
    <xf numFmtId="0" fontId="31" fillId="0" borderId="0"/>
    <xf numFmtId="0" fontId="31" fillId="0" borderId="0"/>
    <xf numFmtId="0" fontId="31" fillId="0" borderId="0"/>
    <xf numFmtId="0" fontId="54" fillId="0" borderId="0"/>
    <xf numFmtId="0" fontId="31" fillId="0" borderId="0"/>
    <xf numFmtId="0" fontId="54" fillId="0" borderId="0"/>
    <xf numFmtId="0" fontId="31" fillId="0" borderId="0"/>
    <xf numFmtId="0" fontId="31" fillId="0" borderId="0"/>
    <xf numFmtId="0" fontId="31" fillId="0" borderId="0"/>
    <xf numFmtId="0" fontId="54" fillId="0" borderId="0"/>
    <xf numFmtId="0" fontId="31" fillId="0" borderId="0"/>
    <xf numFmtId="0" fontId="31" fillId="0" borderId="0"/>
    <xf numFmtId="0" fontId="31" fillId="0" borderId="0"/>
    <xf numFmtId="0" fontId="31" fillId="0" borderId="0"/>
    <xf numFmtId="0" fontId="31" fillId="0" borderId="0"/>
    <xf numFmtId="0" fontId="54" fillId="0" borderId="0"/>
    <xf numFmtId="0" fontId="31" fillId="0" borderId="0"/>
    <xf numFmtId="0" fontId="54" fillId="0" borderId="0"/>
    <xf numFmtId="0" fontId="31" fillId="0" borderId="0"/>
    <xf numFmtId="0" fontId="31" fillId="0" borderId="0"/>
    <xf numFmtId="0" fontId="31" fillId="0" borderId="0"/>
    <xf numFmtId="0" fontId="31"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4" fillId="0" borderId="0"/>
    <xf numFmtId="0" fontId="54" fillId="0" borderId="0"/>
    <xf numFmtId="0" fontId="31" fillId="0" borderId="0"/>
    <xf numFmtId="0" fontId="31" fillId="0" borderId="0"/>
    <xf numFmtId="0" fontId="31" fillId="0" borderId="0"/>
    <xf numFmtId="0" fontId="31" fillId="0" borderId="0"/>
    <xf numFmtId="0" fontId="58" fillId="0" borderId="0"/>
    <xf numFmtId="0" fontId="54" fillId="0" borderId="0"/>
    <xf numFmtId="0" fontId="31" fillId="0" borderId="0"/>
    <xf numFmtId="0" fontId="58" fillId="0" borderId="0"/>
    <xf numFmtId="0" fontId="31" fillId="0" borderId="0"/>
    <xf numFmtId="0" fontId="58" fillId="0" borderId="0"/>
    <xf numFmtId="0" fontId="31" fillId="0" borderId="0"/>
    <xf numFmtId="0" fontId="31" fillId="0" borderId="0"/>
    <xf numFmtId="0" fontId="31" fillId="0" borderId="0"/>
    <xf numFmtId="0" fontId="31" fillId="0" borderId="0"/>
    <xf numFmtId="0" fontId="31" fillId="0" borderId="0"/>
    <xf numFmtId="0" fontId="58" fillId="0" borderId="0"/>
    <xf numFmtId="0" fontId="58" fillId="0" borderId="0"/>
    <xf numFmtId="0" fontId="58" fillId="0" borderId="0"/>
    <xf numFmtId="0" fontId="31" fillId="0" borderId="0"/>
    <xf numFmtId="0" fontId="58" fillId="0" borderId="0"/>
    <xf numFmtId="0" fontId="58" fillId="0" borderId="0"/>
    <xf numFmtId="0" fontId="31" fillId="0" borderId="0"/>
    <xf numFmtId="0" fontId="58" fillId="0" borderId="0"/>
    <xf numFmtId="0" fontId="58" fillId="0" borderId="0"/>
    <xf numFmtId="0" fontId="58" fillId="0" borderId="0"/>
    <xf numFmtId="0" fontId="54" fillId="0" borderId="0"/>
    <xf numFmtId="0" fontId="31" fillId="0" borderId="0"/>
    <xf numFmtId="0" fontId="31"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9" fillId="0" borderId="0"/>
    <xf numFmtId="3" fontId="11" fillId="0" borderId="0"/>
    <xf numFmtId="0" fontId="19" fillId="5" borderId="7" applyNumberFormat="0" applyFont="0" applyAlignment="0" applyProtection="0"/>
    <xf numFmtId="0" fontId="19" fillId="5" borderId="7" applyNumberFormat="0" applyFont="0" applyAlignment="0" applyProtection="0"/>
    <xf numFmtId="0" fontId="53" fillId="5" borderId="7" applyNumberFormat="0" applyFont="0" applyAlignment="0" applyProtection="0"/>
    <xf numFmtId="0" fontId="19" fillId="5" borderId="7" applyNumberFormat="0" applyFont="0" applyAlignment="0" applyProtection="0"/>
    <xf numFmtId="0" fontId="19" fillId="5" borderId="7" applyNumberFormat="0" applyFont="0" applyAlignment="0" applyProtection="0"/>
    <xf numFmtId="0" fontId="18" fillId="15" borderId="8" applyNumberFormat="0" applyAlignment="0" applyProtection="0"/>
    <xf numFmtId="0" fontId="18" fillId="15" borderId="8" applyNumberFormat="0" applyAlignment="0" applyProtection="0"/>
    <xf numFmtId="9" fontId="32"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0" fontId="20" fillId="0" borderId="0" applyNumberFormat="0" applyFill="0" applyBorder="0" applyAlignment="0" applyProtection="0"/>
    <xf numFmtId="0" fontId="63" fillId="20" borderId="0" applyFont="0" applyBorder="0" applyAlignment="0">
      <alignment horizontal="center" wrapText="1"/>
    </xf>
    <xf numFmtId="0" fontId="63" fillId="20" borderId="0" applyFont="0" applyBorder="0" applyAlignment="0">
      <alignment horizontal="center" wrapText="1"/>
    </xf>
    <xf numFmtId="0" fontId="56" fillId="20"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6" fillId="20" borderId="0" applyFont="0" applyBorder="0" applyAlignment="0">
      <alignment horizontal="center" wrapText="1"/>
    </xf>
    <xf numFmtId="0" fontId="56" fillId="20" borderId="0" applyFont="0" applyBorder="0" applyAlignment="0">
      <alignment horizontal="center" wrapText="1"/>
    </xf>
    <xf numFmtId="0" fontId="56" fillId="20" borderId="0" applyFont="0" applyBorder="0" applyAlignment="0">
      <alignment horizontal="center" wrapText="1"/>
    </xf>
    <xf numFmtId="0" fontId="56" fillId="20" borderId="0" applyFont="0" applyBorder="0" applyAlignment="0">
      <alignment horizontal="center" wrapText="1"/>
    </xf>
    <xf numFmtId="43" fontId="1" fillId="0" borderId="0" applyFont="0" applyFill="0" applyBorder="0" applyAlignment="0" applyProtection="0"/>
    <xf numFmtId="43" fontId="1" fillId="0" borderId="0" applyFont="0" applyFill="0" applyBorder="0" applyAlignment="0" applyProtection="0"/>
    <xf numFmtId="0" fontId="27" fillId="0" borderId="0"/>
    <xf numFmtId="43" fontId="1" fillId="0" borderId="0" applyFont="0" applyFill="0" applyBorder="0" applyAlignment="0" applyProtection="0"/>
    <xf numFmtId="0" fontId="3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1" fillId="0" borderId="0"/>
    <xf numFmtId="0" fontId="122" fillId="0" borderId="0"/>
    <xf numFmtId="0" fontId="122" fillId="0" borderId="0"/>
    <xf numFmtId="0" fontId="121" fillId="0" borderId="0"/>
    <xf numFmtId="0" fontId="122" fillId="0" borderId="0"/>
    <xf numFmtId="0" fontId="122" fillId="0" borderId="0"/>
    <xf numFmtId="0" fontId="123" fillId="0" borderId="0"/>
    <xf numFmtId="0" fontId="122"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2" fillId="0" borderId="0"/>
    <xf numFmtId="0" fontId="123" fillId="0" borderId="0"/>
    <xf numFmtId="43" fontId="1"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43" fontId="59"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27" fillId="0" borderId="0"/>
    <xf numFmtId="0" fontId="27" fillId="0" borderId="0"/>
    <xf numFmtId="0" fontId="27" fillId="0" borderId="0"/>
    <xf numFmtId="0" fontId="27"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8" fillId="0" borderId="0"/>
    <xf numFmtId="0" fontId="31" fillId="0" borderId="0"/>
    <xf numFmtId="0" fontId="31" fillId="0" borderId="0"/>
    <xf numFmtId="0" fontId="31"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5" borderId="7" applyNumberFormat="0" applyFont="0" applyAlignment="0" applyProtection="0"/>
    <xf numFmtId="0" fontId="19"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7" fillId="0" borderId="0"/>
    <xf numFmtId="44" fontId="1" fillId="0" borderId="0" applyFont="0" applyFill="0" applyBorder="0" applyAlignment="0" applyProtection="0"/>
    <xf numFmtId="44"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0" borderId="0"/>
    <xf numFmtId="43" fontId="1" fillId="0" borderId="0" applyFont="0" applyFill="0" applyBorder="0" applyAlignment="0" applyProtection="0"/>
    <xf numFmtId="43" fontId="1" fillId="0" borderId="0" applyFont="0" applyFill="0" applyBorder="0" applyAlignment="0" applyProtection="0"/>
    <xf numFmtId="0" fontId="59"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2" fillId="5" borderId="7" applyNumberFormat="0" applyFont="0" applyAlignment="0" applyProtection="0"/>
    <xf numFmtId="44" fontId="58" fillId="0" borderId="0" applyFont="0" applyFill="0" applyBorder="0" applyAlignment="0" applyProtection="0"/>
    <xf numFmtId="44" fontId="58" fillId="0" borderId="0" applyFont="0" applyFill="0" applyBorder="0" applyAlignment="0" applyProtection="0"/>
    <xf numFmtId="0" fontId="19" fillId="0" borderId="0"/>
    <xf numFmtId="0" fontId="121" fillId="0" borderId="0"/>
    <xf numFmtId="43" fontId="58" fillId="0" borderId="0" applyFont="0" applyFill="0" applyBorder="0" applyAlignment="0" applyProtection="0"/>
    <xf numFmtId="44" fontId="58" fillId="0" borderId="0" applyFont="0" applyFill="0" applyBorder="0" applyAlignment="0" applyProtection="0"/>
    <xf numFmtId="0" fontId="19" fillId="0" borderId="0"/>
    <xf numFmtId="43" fontId="58" fillId="0" borderId="0" applyFont="0" applyFill="0" applyBorder="0" applyAlignment="0" applyProtection="0"/>
    <xf numFmtId="0" fontId="27" fillId="0" borderId="0"/>
    <xf numFmtId="0" fontId="58" fillId="0" borderId="0"/>
    <xf numFmtId="0" fontId="58" fillId="0" borderId="0"/>
    <xf numFmtId="0" fontId="58" fillId="0" borderId="0"/>
    <xf numFmtId="0" fontId="58" fillId="0" borderId="0"/>
    <xf numFmtId="0" fontId="19" fillId="0" borderId="0"/>
    <xf numFmtId="0" fontId="58" fillId="0" borderId="0"/>
    <xf numFmtId="0" fontId="58" fillId="0" borderId="0"/>
    <xf numFmtId="0" fontId="58" fillId="0" borderId="0"/>
    <xf numFmtId="0" fontId="58" fillId="0" borderId="0"/>
    <xf numFmtId="0" fontId="58" fillId="0" borderId="0"/>
    <xf numFmtId="0" fontId="27" fillId="0" borderId="0"/>
    <xf numFmtId="0" fontId="27" fillId="0" borderId="0"/>
    <xf numFmtId="0" fontId="19"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27" fillId="0" borderId="0"/>
    <xf numFmtId="0" fontId="58" fillId="0" borderId="0"/>
    <xf numFmtId="0" fontId="58" fillId="0" borderId="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121" fillId="0" borderId="0"/>
    <xf numFmtId="0" fontId="121" fillId="0" borderId="0"/>
    <xf numFmtId="0" fontId="121" fillId="0" borderId="0"/>
    <xf numFmtId="0" fontId="121" fillId="0" borderId="0"/>
    <xf numFmtId="0" fontId="19" fillId="0" borderId="0"/>
    <xf numFmtId="0" fontId="121" fillId="0" borderId="0"/>
    <xf numFmtId="0" fontId="12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58" fillId="0" borderId="0"/>
    <xf numFmtId="0" fontId="58" fillId="0" borderId="0"/>
    <xf numFmtId="0" fontId="31" fillId="0" borderId="0"/>
    <xf numFmtId="0" fontId="58" fillId="0" borderId="0"/>
    <xf numFmtId="0" fontId="58" fillId="0" borderId="0"/>
    <xf numFmtId="0" fontId="58" fillId="0" borderId="0"/>
    <xf numFmtId="0" fontId="121" fillId="0" borderId="0"/>
    <xf numFmtId="0" fontId="58" fillId="0" borderId="0"/>
    <xf numFmtId="0" fontId="58" fillId="0" borderId="0"/>
    <xf numFmtId="0" fontId="58" fillId="0" borderId="0"/>
    <xf numFmtId="0" fontId="58" fillId="0" borderId="0"/>
    <xf numFmtId="0" fontId="58"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58" fillId="0" borderId="0"/>
    <xf numFmtId="0" fontId="58" fillId="0" borderId="0"/>
    <xf numFmtId="0" fontId="58" fillId="0" borderId="0"/>
    <xf numFmtId="0" fontId="58" fillId="0" borderId="0"/>
    <xf numFmtId="0" fontId="58" fillId="0" borderId="0"/>
    <xf numFmtId="0" fontId="19" fillId="0" borderId="0"/>
    <xf numFmtId="0" fontId="123" fillId="0" borderId="0"/>
    <xf numFmtId="0" fontId="123" fillId="0" borderId="0"/>
    <xf numFmtId="0" fontId="123" fillId="0" borderId="0"/>
    <xf numFmtId="0" fontId="123" fillId="0" borderId="0"/>
    <xf numFmtId="0" fontId="12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3" fillId="0" borderId="0"/>
    <xf numFmtId="0" fontId="123" fillId="0" borderId="0"/>
    <xf numFmtId="0" fontId="58" fillId="0" borderId="0"/>
    <xf numFmtId="0" fontId="58" fillId="0" borderId="0"/>
    <xf numFmtId="0" fontId="58" fillId="0" borderId="0"/>
    <xf numFmtId="0" fontId="58" fillId="0" borderId="0"/>
    <xf numFmtId="0" fontId="12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8" fillId="0" borderId="0"/>
    <xf numFmtId="0" fontId="31" fillId="0" borderId="0"/>
    <xf numFmtId="0" fontId="1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3"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0" fontId="19" fillId="0" borderId="0"/>
    <xf numFmtId="0" fontId="122" fillId="0" borderId="0"/>
    <xf numFmtId="0" fontId="19" fillId="0" borderId="0"/>
    <xf numFmtId="0" fontId="19" fillId="0" borderId="0"/>
    <xf numFmtId="0" fontId="19" fillId="0" borderId="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0" fontId="19" fillId="0" borderId="0"/>
    <xf numFmtId="0" fontId="31" fillId="0" borderId="0"/>
    <xf numFmtId="0" fontId="19" fillId="0" borderId="0"/>
    <xf numFmtId="0" fontId="19" fillId="0" borderId="0"/>
    <xf numFmtId="44" fontId="58" fillId="0" borderId="0" applyFont="0" applyFill="0" applyBorder="0" applyAlignment="0" applyProtection="0"/>
    <xf numFmtId="0" fontId="31" fillId="0" borderId="0"/>
    <xf numFmtId="0" fontId="19" fillId="0" borderId="0"/>
    <xf numFmtId="0" fontId="19" fillId="0" borderId="0"/>
    <xf numFmtId="0" fontId="27" fillId="0" borderId="0"/>
    <xf numFmtId="0" fontId="19" fillId="0" borderId="0"/>
    <xf numFmtId="43" fontId="58" fillId="0" borderId="0" applyFont="0" applyFill="0" applyBorder="0" applyAlignment="0" applyProtection="0"/>
    <xf numFmtId="0" fontId="27" fillId="0" borderId="0"/>
    <xf numFmtId="0" fontId="19" fillId="0" borderId="0"/>
    <xf numFmtId="43" fontId="58" fillId="0" borderId="0" applyFont="0" applyFill="0" applyBorder="0" applyAlignment="0" applyProtection="0"/>
    <xf numFmtId="0" fontId="19" fillId="0" borderId="0"/>
    <xf numFmtId="0" fontId="27" fillId="0" borderId="0"/>
    <xf numFmtId="0" fontId="27" fillId="0" borderId="0"/>
    <xf numFmtId="43" fontId="58" fillId="0" borderId="0" applyFont="0" applyFill="0" applyBorder="0" applyAlignment="0" applyProtection="0"/>
    <xf numFmtId="0" fontId="2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123" fillId="0" borderId="0"/>
    <xf numFmtId="0" fontId="19" fillId="0" borderId="0"/>
    <xf numFmtId="0" fontId="19" fillId="0" borderId="0"/>
    <xf numFmtId="43" fontId="58" fillId="0" borderId="0" applyFont="0" applyFill="0" applyBorder="0" applyAlignment="0" applyProtection="0"/>
    <xf numFmtId="43" fontId="58" fillId="0" borderId="0" applyFont="0" applyFill="0" applyBorder="0" applyAlignment="0" applyProtection="0"/>
    <xf numFmtId="0" fontId="31" fillId="0" borderId="0"/>
    <xf numFmtId="43" fontId="58" fillId="0" borderId="0" applyFont="0" applyFill="0" applyBorder="0" applyAlignment="0" applyProtection="0"/>
    <xf numFmtId="0" fontId="19" fillId="0" borderId="0"/>
    <xf numFmtId="0" fontId="27" fillId="0" borderId="0"/>
    <xf numFmtId="0" fontId="27" fillId="0" borderId="0"/>
    <xf numFmtId="0" fontId="19" fillId="0" borderId="0"/>
    <xf numFmtId="0" fontId="31" fillId="0" borderId="0"/>
    <xf numFmtId="0" fontId="27" fillId="0" borderId="0"/>
    <xf numFmtId="0" fontId="27" fillId="0" borderId="0"/>
    <xf numFmtId="0" fontId="19" fillId="0" borderId="0"/>
    <xf numFmtId="44" fontId="58" fillId="0" borderId="0" applyFont="0" applyFill="0" applyBorder="0" applyAlignment="0" applyProtection="0"/>
    <xf numFmtId="44" fontId="58" fillId="0" borderId="0" applyFont="0" applyFill="0" applyBorder="0" applyAlignment="0" applyProtection="0"/>
    <xf numFmtId="43" fontId="59" fillId="0" borderId="0" applyFont="0" applyFill="0" applyBorder="0" applyAlignment="0" applyProtection="0"/>
    <xf numFmtId="0" fontId="31" fillId="0" borderId="0"/>
    <xf numFmtId="43" fontId="58" fillId="0" borderId="0" applyFont="0" applyFill="0" applyBorder="0" applyAlignment="0" applyProtection="0"/>
    <xf numFmtId="43" fontId="58" fillId="0" borderId="0" applyFont="0" applyFill="0" applyBorder="0" applyAlignment="0" applyProtection="0"/>
    <xf numFmtId="0" fontId="19" fillId="0" borderId="0"/>
    <xf numFmtId="0" fontId="19" fillId="0" borderId="0"/>
    <xf numFmtId="0" fontId="31" fillId="0" borderId="0"/>
    <xf numFmtId="43" fontId="58" fillId="0" borderId="0" applyFont="0" applyFill="0" applyBorder="0" applyAlignment="0" applyProtection="0"/>
    <xf numFmtId="44" fontId="58" fillId="0" borderId="0" applyFont="0" applyFill="0" applyBorder="0" applyAlignment="0" applyProtection="0"/>
    <xf numFmtId="0" fontId="19" fillId="0" borderId="0"/>
    <xf numFmtId="0" fontId="122" fillId="0" borderId="0"/>
    <xf numFmtId="0" fontId="27" fillId="0" borderId="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21" fillId="0" borderId="0"/>
    <xf numFmtId="0" fontId="121" fillId="0" borderId="0"/>
    <xf numFmtId="0" fontId="27" fillId="0" borderId="0"/>
    <xf numFmtId="0" fontId="122" fillId="0" borderId="0"/>
    <xf numFmtId="0" fontId="19" fillId="0" borderId="0"/>
    <xf numFmtId="0" fontId="122" fillId="0" borderId="0"/>
    <xf numFmtId="0" fontId="19" fillId="0" borderId="0"/>
    <xf numFmtId="0" fontId="27" fillId="0" borderId="0"/>
    <xf numFmtId="0" fontId="122" fillId="0" borderId="0"/>
    <xf numFmtId="0" fontId="19" fillId="0" borderId="0"/>
    <xf numFmtId="0" fontId="122" fillId="0" borderId="0"/>
    <xf numFmtId="0" fontId="19" fillId="0" borderId="0"/>
    <xf numFmtId="0" fontId="123" fillId="0" borderId="0"/>
    <xf numFmtId="0" fontId="31"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3"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122" fillId="0" borderId="0"/>
    <xf numFmtId="0" fontId="122" fillId="0" borderId="0"/>
    <xf numFmtId="0" fontId="121" fillId="0" borderId="0"/>
    <xf numFmtId="0" fontId="121" fillId="0" borderId="0"/>
    <xf numFmtId="0" fontId="122" fillId="0" borderId="0"/>
    <xf numFmtId="0" fontId="122" fillId="0" borderId="0"/>
    <xf numFmtId="0" fontId="122" fillId="0" borderId="0"/>
    <xf numFmtId="0" fontId="123" fillId="0" borderId="0"/>
    <xf numFmtId="0" fontId="123" fillId="0" borderId="0"/>
    <xf numFmtId="43" fontId="58" fillId="0" borderId="0" applyFont="0" applyFill="0" applyBorder="0" applyAlignment="0" applyProtection="0"/>
    <xf numFmtId="44" fontId="59" fillId="0" borderId="0" applyFont="0" applyFill="0" applyBorder="0" applyAlignment="0" applyProtection="0"/>
    <xf numFmtId="43" fontId="58" fillId="0" borderId="0" applyFont="0" applyFill="0" applyBorder="0" applyAlignment="0" applyProtection="0"/>
    <xf numFmtId="0" fontId="58" fillId="0" borderId="0"/>
    <xf numFmtId="44"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4"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27" fillId="0" borderId="0"/>
    <xf numFmtId="0" fontId="19" fillId="0" borderId="0"/>
    <xf numFmtId="0" fontId="31" fillId="0" borderId="0"/>
    <xf numFmtId="0" fontId="19" fillId="0" borderId="0"/>
    <xf numFmtId="0" fontId="19" fillId="0" borderId="0"/>
    <xf numFmtId="0" fontId="19" fillId="0" borderId="0"/>
    <xf numFmtId="0" fontId="27" fillId="0" borderId="0"/>
    <xf numFmtId="44" fontId="1"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43" fontId="1" fillId="0" borderId="0" applyFont="0" applyFill="0" applyBorder="0" applyAlignment="0" applyProtection="0"/>
    <xf numFmtId="0" fontId="58" fillId="0" borderId="0"/>
    <xf numFmtId="0" fontId="58" fillId="0" borderId="0"/>
    <xf numFmtId="9"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4" fontId="1"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9"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9" fillId="0" borderId="0"/>
    <xf numFmtId="44" fontId="58" fillId="0" borderId="0" applyFont="0" applyFill="0" applyBorder="0" applyAlignment="0" applyProtection="0"/>
    <xf numFmtId="0" fontId="19" fillId="0" borderId="0"/>
    <xf numFmtId="0" fontId="58" fillId="0" borderId="0"/>
    <xf numFmtId="0" fontId="58" fillId="0" borderId="0"/>
    <xf numFmtId="0" fontId="58" fillId="0" borderId="0"/>
    <xf numFmtId="44"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44"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0" fontId="27" fillId="0" borderId="0"/>
    <xf numFmtId="0" fontId="19" fillId="0" borderId="0"/>
    <xf numFmtId="43" fontId="58" fillId="0" borderId="0" applyFont="0" applyFill="0" applyBorder="0" applyAlignment="0" applyProtection="0"/>
    <xf numFmtId="0" fontId="63" fillId="20" borderId="0" applyFont="0" applyBorder="0" applyAlignment="0">
      <alignment horizontal="center" wrapText="1"/>
    </xf>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31" fillId="0" borderId="0"/>
    <xf numFmtId="0" fontId="58" fillId="0" borderId="0"/>
    <xf numFmtId="44" fontId="58" fillId="0" borderId="0" applyFont="0" applyFill="0" applyBorder="0" applyAlignment="0" applyProtection="0"/>
    <xf numFmtId="44" fontId="58" fillId="0" borderId="0" applyFont="0" applyFill="0" applyBorder="0" applyAlignment="0" applyProtection="0"/>
    <xf numFmtId="0" fontId="31" fillId="0" borderId="0"/>
    <xf numFmtId="0" fontId="58" fillId="0" borderId="0"/>
    <xf numFmtId="0" fontId="58" fillId="0" borderId="0"/>
    <xf numFmtId="0" fontId="58" fillId="0" borderId="0"/>
    <xf numFmtId="0" fontId="58" fillId="0" borderId="0"/>
    <xf numFmtId="44" fontId="58" fillId="0" borderId="0" applyFont="0" applyFill="0" applyBorder="0" applyAlignment="0" applyProtection="0"/>
    <xf numFmtId="0" fontId="19" fillId="0" borderId="0"/>
    <xf numFmtId="44" fontId="58" fillId="0" borderId="0" applyFont="0" applyFill="0" applyBorder="0" applyAlignment="0" applyProtection="0"/>
    <xf numFmtId="0" fontId="58" fillId="0" borderId="0"/>
    <xf numFmtId="0" fontId="27" fillId="0" borderId="0"/>
    <xf numFmtId="0" fontId="19" fillId="0" borderId="0"/>
    <xf numFmtId="43" fontId="58" fillId="0" borderId="0" applyFont="0" applyFill="0" applyBorder="0" applyAlignment="0" applyProtection="0"/>
    <xf numFmtId="44" fontId="59" fillId="0" borderId="0" applyFont="0" applyFill="0" applyBorder="0" applyAlignment="0" applyProtection="0"/>
    <xf numFmtId="44" fontId="58" fillId="0" borderId="0" applyFont="0" applyFill="0" applyBorder="0" applyAlignment="0" applyProtection="0"/>
    <xf numFmtId="43" fontId="59" fillId="0" borderId="0" applyFont="0" applyFill="0" applyBorder="0" applyAlignment="0" applyProtection="0"/>
    <xf numFmtId="0" fontId="27" fillId="0" borderId="0"/>
    <xf numFmtId="44" fontId="5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9" fontId="59"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63" fillId="20" borderId="0" applyFont="0" applyBorder="0" applyAlignment="0">
      <alignment horizontal="center" wrapText="1"/>
    </xf>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5" fillId="11" borderId="0" applyNumberFormat="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5" fillId="4" borderId="0" applyNumberFormat="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5" fillId="4" borderId="0" applyNumberFormat="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15" fillId="13" borderId="0" applyNumberFormat="0" applyBorder="0" applyAlignment="0" applyProtection="0"/>
    <xf numFmtId="0" fontId="15" fillId="7"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5" fillId="7"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5" fillId="8"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5" fillId="8" borderId="0" applyNumberFormat="0" applyBorder="0" applyAlignment="0" applyProtection="0"/>
    <xf numFmtId="0" fontId="15" fillId="4" borderId="0" applyNumberFormat="0" applyBorder="0" applyAlignment="0" applyProtection="0"/>
    <xf numFmtId="0" fontId="58" fillId="0" borderId="0"/>
    <xf numFmtId="0" fontId="12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3"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9"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2" fillId="0" borderId="0"/>
    <xf numFmtId="43" fontId="1" fillId="0" borderId="0" applyFont="0" applyFill="0" applyBorder="0" applyAlignment="0" applyProtection="0"/>
    <xf numFmtId="0" fontId="122" fillId="0" borderId="0"/>
    <xf numFmtId="43" fontId="1" fillId="0" borderId="0" applyFont="0" applyFill="0" applyBorder="0" applyAlignment="0" applyProtection="0"/>
    <xf numFmtId="0" fontId="123" fillId="0" borderId="0"/>
    <xf numFmtId="0" fontId="122" fillId="0" borderId="0"/>
    <xf numFmtId="43" fontId="1" fillId="0" borderId="0" applyFont="0" applyFill="0" applyBorder="0" applyAlignment="0" applyProtection="0"/>
    <xf numFmtId="0" fontId="122" fillId="0" borderId="0"/>
    <xf numFmtId="0" fontId="121" fillId="0" borderId="0"/>
    <xf numFmtId="0" fontId="122"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23" fillId="0" borderId="0"/>
    <xf numFmtId="0" fontId="121" fillId="0" borderId="0"/>
    <xf numFmtId="0" fontId="123" fillId="0" borderId="0"/>
    <xf numFmtId="0" fontId="121" fillId="0" borderId="0"/>
    <xf numFmtId="0" fontId="122" fillId="0" borderId="0"/>
    <xf numFmtId="43" fontId="1" fillId="0" borderId="0" applyFont="0" applyFill="0" applyBorder="0" applyAlignment="0" applyProtection="0"/>
    <xf numFmtId="0" fontId="122" fillId="0" borderId="0"/>
    <xf numFmtId="0" fontId="122" fillId="0" borderId="0"/>
    <xf numFmtId="0" fontId="122" fillId="0" borderId="0"/>
    <xf numFmtId="0" fontId="122" fillId="0" borderId="0"/>
    <xf numFmtId="0" fontId="123" fillId="0" borderId="0"/>
    <xf numFmtId="0" fontId="121" fillId="0" borderId="0"/>
    <xf numFmtId="43" fontId="1" fillId="0" borderId="0" applyFont="0" applyFill="0" applyBorder="0" applyAlignment="0" applyProtection="0"/>
    <xf numFmtId="44" fontId="1" fillId="0" borderId="0" applyFont="0" applyFill="0" applyBorder="0" applyAlignment="0" applyProtection="0"/>
    <xf numFmtId="0" fontId="123" fillId="0" borderId="0"/>
    <xf numFmtId="0" fontId="121" fillId="0" borderId="0"/>
    <xf numFmtId="0" fontId="122" fillId="0" borderId="0"/>
    <xf numFmtId="44" fontId="1" fillId="0" borderId="0" applyFont="0" applyFill="0" applyBorder="0" applyAlignment="0" applyProtection="0"/>
    <xf numFmtId="0" fontId="121" fillId="0" borderId="0"/>
    <xf numFmtId="0" fontId="121" fillId="0" borderId="0"/>
    <xf numFmtId="0" fontId="122" fillId="0" borderId="0"/>
    <xf numFmtId="0" fontId="121" fillId="0" borderId="0"/>
    <xf numFmtId="0" fontId="122" fillId="0" borderId="0"/>
    <xf numFmtId="0" fontId="121" fillId="0" borderId="0"/>
    <xf numFmtId="0" fontId="58" fillId="0" borderId="0"/>
    <xf numFmtId="0" fontId="121" fillId="0" borderId="0"/>
    <xf numFmtId="0" fontId="122" fillId="0" borderId="0"/>
    <xf numFmtId="43" fontId="58" fillId="0" borderId="0" applyFont="0" applyFill="0" applyBorder="0" applyAlignment="0" applyProtection="0"/>
    <xf numFmtId="0" fontId="122" fillId="0" borderId="0"/>
    <xf numFmtId="44" fontId="1" fillId="0" borderId="0" applyFont="0" applyFill="0" applyBorder="0" applyAlignment="0" applyProtection="0"/>
    <xf numFmtId="0" fontId="122" fillId="0" borderId="0"/>
    <xf numFmtId="0" fontId="122" fillId="0" borderId="0"/>
    <xf numFmtId="0" fontId="123" fillId="0" borderId="0"/>
    <xf numFmtId="0" fontId="122" fillId="0" borderId="0"/>
    <xf numFmtId="0" fontId="122" fillId="0" borderId="0"/>
    <xf numFmtId="43" fontId="58" fillId="0" borderId="0" applyFont="0" applyFill="0" applyBorder="0" applyAlignment="0" applyProtection="0"/>
    <xf numFmtId="0" fontId="122"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122" fillId="5" borderId="7" applyNumberFormat="0" applyFont="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27" fillId="0" borderId="0"/>
    <xf numFmtId="0" fontId="19"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19" fillId="0" borderId="0"/>
    <xf numFmtId="0" fontId="31" fillId="0" borderId="0"/>
    <xf numFmtId="0" fontId="19" fillId="0" borderId="0"/>
    <xf numFmtId="0" fontId="27" fillId="0" borderId="0"/>
    <xf numFmtId="0" fontId="19" fillId="0" borderId="0"/>
    <xf numFmtId="0" fontId="31" fillId="0" borderId="0"/>
    <xf numFmtId="0" fontId="27" fillId="0" borderId="0"/>
    <xf numFmtId="0" fontId="19" fillId="0" borderId="0"/>
    <xf numFmtId="0" fontId="19" fillId="0" borderId="0"/>
    <xf numFmtId="0" fontId="19" fillId="0" borderId="0"/>
    <xf numFmtId="0" fontId="27" fillId="0" borderId="0"/>
    <xf numFmtId="43" fontId="58" fillId="0" borderId="0" applyFont="0" applyFill="0" applyBorder="0" applyAlignment="0" applyProtection="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19"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27" fillId="0" borderId="0"/>
    <xf numFmtId="0" fontId="58" fillId="0" borderId="0"/>
    <xf numFmtId="0" fontId="122" fillId="0" borderId="0"/>
    <xf numFmtId="0" fontId="19" fillId="0" borderId="0"/>
    <xf numFmtId="0" fontId="122" fillId="0" borderId="0"/>
    <xf numFmtId="0" fontId="19"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27" fillId="0" borderId="0"/>
    <xf numFmtId="0" fontId="19" fillId="0" borderId="0"/>
    <xf numFmtId="0" fontId="19" fillId="0" borderId="0"/>
    <xf numFmtId="0" fontId="58" fillId="0" borderId="0"/>
    <xf numFmtId="0" fontId="31"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31"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cellStyleXfs>
  <cellXfs count="700">
    <xf numFmtId="0" fontId="0" fillId="0" borderId="0" xfId="0"/>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65" fillId="21" borderId="10" xfId="0" applyFont="1" applyFill="1" applyBorder="1" applyAlignment="1" applyProtection="1">
      <alignment horizontal="center" wrapText="1"/>
    </xf>
    <xf numFmtId="164" fontId="64" fillId="0" borderId="0" xfId="439" applyNumberFormat="1" applyFont="1" applyFill="1" applyAlignment="1" applyProtection="1">
      <alignment horizontal="center" wrapText="1"/>
    </xf>
    <xf numFmtId="41" fontId="66" fillId="0" borderId="0" xfId="0" applyNumberFormat="1" applyFont="1" applyFill="1" applyAlignment="1" applyProtection="1">
      <alignment wrapText="1"/>
    </xf>
    <xf numFmtId="41" fontId="67" fillId="0" borderId="0" xfId="0" applyNumberFormat="1" applyFont="1" applyFill="1" applyAlignment="1" applyProtection="1">
      <alignment wrapText="1"/>
    </xf>
    <xf numFmtId="41" fontId="66" fillId="0" borderId="0" xfId="439" applyNumberFormat="1" applyFont="1" applyFill="1" applyAlignment="1" applyProtection="1">
      <alignment wrapText="1"/>
    </xf>
    <xf numFmtId="41" fontId="66" fillId="0" borderId="0" xfId="0" applyNumberFormat="1" applyFont="1" applyAlignment="1" applyProtection="1">
      <alignment wrapText="1"/>
    </xf>
    <xf numFmtId="164" fontId="64" fillId="22" borderId="0" xfId="439" applyNumberFormat="1" applyFont="1" applyFill="1" applyAlignment="1" applyProtection="1">
      <alignment horizontal="center" wrapText="1"/>
    </xf>
    <xf numFmtId="41" fontId="66" fillId="21" borderId="11" xfId="0" applyNumberFormat="1" applyFont="1" applyFill="1" applyBorder="1" applyAlignment="1" applyProtection="1">
      <alignment wrapText="1"/>
    </xf>
    <xf numFmtId="41" fontId="66" fillId="21" borderId="12" xfId="0" applyNumberFormat="1" applyFont="1" applyFill="1" applyBorder="1" applyAlignment="1" applyProtection="1">
      <alignment wrapText="1"/>
    </xf>
    <xf numFmtId="164" fontId="65" fillId="21" borderId="12" xfId="439" applyNumberFormat="1" applyFont="1" applyFill="1" applyBorder="1" applyAlignment="1" applyProtection="1">
      <alignment horizontal="center" wrapText="1"/>
    </xf>
    <xf numFmtId="0" fontId="0" fillId="21" borderId="0" xfId="0" applyFill="1" applyAlignment="1" applyProtection="1">
      <alignment wrapText="1"/>
    </xf>
    <xf numFmtId="0" fontId="0" fillId="0" borderId="0" xfId="0" applyAlignment="1" applyProtection="1">
      <alignment wrapText="1"/>
      <protection locked="0"/>
    </xf>
    <xf numFmtId="0" fontId="68" fillId="0" borderId="0" xfId="0" applyFont="1" applyProtection="1"/>
    <xf numFmtId="0" fontId="0" fillId="0" borderId="0" xfId="0" applyAlignment="1" applyProtection="1">
      <protection locked="0"/>
    </xf>
    <xf numFmtId="0" fontId="63" fillId="0" borderId="0" xfId="0" applyFont="1" applyFill="1" applyBorder="1" applyAlignment="1" applyProtection="1">
      <alignment horizontal="center"/>
    </xf>
    <xf numFmtId="0" fontId="0" fillId="0" borderId="0" xfId="0" applyFill="1" applyAlignment="1" applyProtection="1">
      <alignment wrapText="1"/>
      <protection locked="0"/>
    </xf>
    <xf numFmtId="0" fontId="69" fillId="21" borderId="10" xfId="0" applyFont="1" applyFill="1" applyBorder="1" applyAlignment="1" applyProtection="1">
      <alignment horizontal="center" vertical="center" wrapText="1"/>
    </xf>
    <xf numFmtId="0" fontId="69" fillId="0" borderId="0" xfId="0" applyFont="1" applyFill="1" applyAlignment="1" applyProtection="1">
      <alignment horizontal="center" vertical="center"/>
    </xf>
    <xf numFmtId="0" fontId="69" fillId="0" borderId="0" xfId="0" applyFont="1" applyAlignment="1" applyProtection="1">
      <alignment horizontal="center" vertical="center"/>
    </xf>
    <xf numFmtId="0" fontId="69" fillId="21" borderId="13" xfId="0" applyFont="1" applyFill="1" applyBorder="1" applyAlignment="1" applyProtection="1">
      <alignment horizontal="left" vertical="center"/>
    </xf>
    <xf numFmtId="0" fontId="0" fillId="0" borderId="0" xfId="0" applyNumberFormat="1" applyFill="1" applyAlignment="1" applyProtection="1">
      <alignment horizontal="left" vertical="center" wrapText="1" indent="6"/>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NumberFormat="1" applyFont="1" applyFill="1" applyAlignment="1" applyProtection="1">
      <alignment horizontal="left" vertical="center" wrapText="1" indent="6"/>
    </xf>
    <xf numFmtId="0" fontId="0" fillId="0" borderId="0" xfId="0" applyAlignment="1" applyProtection="1">
      <alignment vertical="center"/>
    </xf>
    <xf numFmtId="0" fontId="71" fillId="21" borderId="0" xfId="0" applyFont="1" applyFill="1" applyBorder="1" applyProtection="1"/>
    <xf numFmtId="0" fontId="69" fillId="21" borderId="15" xfId="0" applyFont="1" applyFill="1" applyBorder="1" applyAlignment="1" applyProtection="1">
      <alignment horizontal="left" vertical="center"/>
    </xf>
    <xf numFmtId="0" fontId="72" fillId="0" borderId="0" xfId="0" applyFont="1" applyFill="1" applyBorder="1" applyAlignment="1" applyProtection="1">
      <alignment horizontal="left" vertical="center"/>
    </xf>
    <xf numFmtId="0" fontId="0" fillId="0" borderId="0" xfId="0" applyAlignment="1" applyProtection="1">
      <alignment vertical="center"/>
      <protection locked="0"/>
    </xf>
    <xf numFmtId="0" fontId="0" fillId="0" borderId="0" xfId="0" applyProtection="1">
      <protection locked="0"/>
    </xf>
    <xf numFmtId="38" fontId="70" fillId="0" borderId="0" xfId="439" applyNumberFormat="1" applyFont="1" applyFill="1" applyAlignment="1" applyProtection="1">
      <alignment horizontal="center" vertical="center" wrapText="1"/>
    </xf>
    <xf numFmtId="0" fontId="73" fillId="0" borderId="0" xfId="0" applyFont="1" applyAlignment="1" applyProtection="1">
      <alignment horizontal="right"/>
    </xf>
    <xf numFmtId="0" fontId="69" fillId="21" borderId="0" xfId="0" applyFont="1" applyFill="1" applyBorder="1" applyAlignment="1" applyProtection="1">
      <alignment horizontal="center" vertical="center" wrapText="1"/>
    </xf>
    <xf numFmtId="0" fontId="65" fillId="21" borderId="0" xfId="0" applyFont="1" applyFill="1" applyBorder="1" applyAlignment="1" applyProtection="1">
      <alignment horizontal="center" wrapText="1"/>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horizontal="justify" vertical="center"/>
    </xf>
    <xf numFmtId="0" fontId="69" fillId="0" borderId="0" xfId="0" applyFont="1" applyAlignment="1">
      <alignment horizontal="justify" vertical="center"/>
    </xf>
    <xf numFmtId="0" fontId="69" fillId="0" borderId="0" xfId="0" applyFont="1" applyAlignment="1">
      <alignment vertical="center"/>
    </xf>
    <xf numFmtId="0" fontId="60" fillId="0" borderId="0" xfId="611" applyAlignment="1">
      <alignment vertical="center"/>
    </xf>
    <xf numFmtId="0" fontId="76" fillId="0" borderId="0" xfId="0" applyFont="1" applyAlignment="1">
      <alignment vertical="center"/>
    </xf>
    <xf numFmtId="0" fontId="0" fillId="23" borderId="0" xfId="0" applyFill="1" applyProtection="1"/>
    <xf numFmtId="40" fontId="77" fillId="21" borderId="16" xfId="0" applyNumberFormat="1" applyFont="1" applyFill="1" applyBorder="1" applyProtection="1"/>
    <xf numFmtId="0" fontId="72" fillId="0" borderId="0" xfId="0" applyFont="1" applyFill="1" applyAlignment="1" applyProtection="1">
      <alignment horizontal="center" vertical="center"/>
    </xf>
    <xf numFmtId="0" fontId="78" fillId="22" borderId="0" xfId="0" applyFont="1" applyFill="1" applyAlignment="1" applyProtection="1">
      <alignment horizontal="left" vertical="center"/>
    </xf>
    <xf numFmtId="0" fontId="79" fillId="24" borderId="10" xfId="0" applyFont="1" applyFill="1" applyBorder="1" applyAlignment="1" applyProtection="1">
      <alignment horizontal="center" wrapText="1"/>
    </xf>
    <xf numFmtId="0" fontId="66" fillId="23" borderId="0" xfId="0" applyFont="1" applyFill="1" applyAlignment="1" applyProtection="1">
      <alignment horizontal="left" wrapText="1"/>
    </xf>
    <xf numFmtId="0" fontId="66" fillId="0" borderId="0" xfId="0" applyFont="1" applyAlignment="1" applyProtection="1">
      <alignment horizontal="left" wrapText="1"/>
    </xf>
    <xf numFmtId="0" fontId="66" fillId="0" borderId="0" xfId="0" applyFont="1" applyAlignment="1" applyProtection="1">
      <alignment horizontal="left" vertical="center" wrapText="1"/>
    </xf>
    <xf numFmtId="0" fontId="66" fillId="24" borderId="0" xfId="0" applyFont="1" applyFill="1" applyBorder="1" applyAlignment="1" applyProtection="1">
      <alignment horizontal="left" wrapText="1"/>
    </xf>
    <xf numFmtId="0" fontId="64" fillId="0" borderId="0" xfId="0" applyFont="1" applyAlignment="1" applyProtection="1">
      <alignment horizontal="center"/>
    </xf>
    <xf numFmtId="0" fontId="80" fillId="21" borderId="10" xfId="0" applyFont="1" applyFill="1" applyBorder="1" applyAlignment="1" applyProtection="1">
      <alignment horizontal="center" wrapText="1"/>
    </xf>
    <xf numFmtId="164" fontId="70" fillId="22" borderId="0" xfId="439" applyNumberFormat="1" applyFont="1" applyFill="1" applyProtection="1"/>
    <xf numFmtId="0" fontId="81" fillId="22" borderId="0" xfId="0" applyFont="1" applyFill="1" applyAlignment="1" applyProtection="1">
      <alignment vertical="center"/>
    </xf>
    <xf numFmtId="0" fontId="82" fillId="22" borderId="0" xfId="0" applyFont="1" applyFill="1" applyAlignment="1" applyProtection="1">
      <alignment vertical="center"/>
    </xf>
    <xf numFmtId="0" fontId="83" fillId="0" borderId="0" xfId="0" applyFont="1" applyFill="1" applyAlignment="1" applyProtection="1">
      <alignment horizontal="center" vertical="center" wrapText="1"/>
    </xf>
    <xf numFmtId="167" fontId="64" fillId="23" borderId="0" xfId="545" applyNumberFormat="1" applyFont="1" applyFill="1" applyProtection="1"/>
    <xf numFmtId="0" fontId="84" fillId="22" borderId="0" xfId="0" applyFont="1" applyFill="1" applyAlignment="1" applyProtection="1">
      <alignment vertical="center"/>
      <protection locked="0"/>
    </xf>
    <xf numFmtId="0" fontId="0" fillId="21" borderId="0" xfId="0" applyFill="1" applyProtection="1"/>
    <xf numFmtId="0" fontId="0" fillId="0" borderId="0" xfId="0" applyFill="1" applyBorder="1" applyProtection="1"/>
    <xf numFmtId="0" fontId="0" fillId="0" borderId="0" xfId="0" applyBorder="1" applyProtection="1"/>
    <xf numFmtId="0" fontId="85" fillId="25" borderId="0" xfId="0" applyFont="1" applyFill="1" applyAlignment="1" applyProtection="1">
      <alignment horizontal="center" wrapText="1"/>
    </xf>
    <xf numFmtId="0" fontId="86" fillId="21" borderId="10" xfId="0" applyFont="1" applyFill="1" applyBorder="1" applyAlignment="1" applyProtection="1">
      <alignment horizontal="center" wrapText="1"/>
    </xf>
    <xf numFmtId="0" fontId="86" fillId="21" borderId="0" xfId="0" applyFont="1" applyFill="1" applyBorder="1" applyAlignment="1" applyProtection="1">
      <alignment horizontal="center" wrapText="1"/>
    </xf>
    <xf numFmtId="0" fontId="87" fillId="0" borderId="0" xfId="0" applyFont="1" applyBorder="1" applyAlignment="1" applyProtection="1">
      <alignment wrapText="1"/>
    </xf>
    <xf numFmtId="0" fontId="0" fillId="0" borderId="0" xfId="0" applyFont="1" applyAlignment="1" applyProtection="1">
      <alignment wrapText="1"/>
      <protection locked="0"/>
    </xf>
    <xf numFmtId="0" fontId="0" fillId="0" borderId="0" xfId="0" applyFont="1" applyFill="1" applyProtection="1"/>
    <xf numFmtId="0" fontId="88" fillId="0" borderId="0" xfId="0" applyFont="1" applyAlignment="1" applyProtection="1">
      <alignment horizontal="center" vertical="center" wrapText="1"/>
    </xf>
    <xf numFmtId="0" fontId="29" fillId="0" borderId="0" xfId="0" applyFont="1" applyFill="1" applyAlignment="1" applyProtection="1">
      <alignment horizontal="center" vertical="center" wrapText="1"/>
    </xf>
    <xf numFmtId="0" fontId="88" fillId="0" borderId="0" xfId="0" applyFont="1" applyAlignment="1" applyProtection="1">
      <alignment horizontal="center" vertical="center"/>
    </xf>
    <xf numFmtId="0" fontId="0" fillId="0" borderId="0" xfId="0" applyAlignment="1" applyProtection="1">
      <alignment wrapText="1"/>
      <protection locked="0"/>
    </xf>
    <xf numFmtId="0" fontId="0" fillId="0" borderId="0" xfId="0"/>
    <xf numFmtId="0" fontId="0" fillId="0" borderId="0" xfId="0" applyProtection="1"/>
    <xf numFmtId="41" fontId="67" fillId="0" borderId="0" xfId="0" applyNumberFormat="1" applyFont="1" applyFill="1" applyAlignment="1" applyProtection="1">
      <alignment wrapText="1"/>
    </xf>
    <xf numFmtId="0" fontId="69" fillId="0" borderId="0" xfId="0" applyFont="1" applyFill="1" applyAlignment="1" applyProtection="1">
      <alignment horizontal="center" vertical="center"/>
    </xf>
    <xf numFmtId="0" fontId="59" fillId="0" borderId="0" xfId="682"/>
    <xf numFmtId="0" fontId="89" fillId="26" borderId="0" xfId="682" applyFont="1" applyFill="1"/>
    <xf numFmtId="0" fontId="59" fillId="26" borderId="0" xfId="682" applyFill="1"/>
    <xf numFmtId="0" fontId="90" fillId="26" borderId="0" xfId="682" applyFont="1" applyFill="1"/>
    <xf numFmtId="0" fontId="90" fillId="0" borderId="0" xfId="682" applyFont="1" applyFill="1"/>
    <xf numFmtId="0" fontId="91" fillId="0" borderId="0" xfId="682" applyFont="1"/>
    <xf numFmtId="0" fontId="91" fillId="0" borderId="0" xfId="682" applyFont="1" applyAlignment="1">
      <alignment vertical="center"/>
    </xf>
    <xf numFmtId="0" fontId="92" fillId="0" borderId="17" xfId="682" applyFont="1" applyBorder="1" applyAlignment="1">
      <alignment horizontal="center"/>
    </xf>
    <xf numFmtId="0" fontId="92" fillId="0" borderId="14" xfId="682" applyFont="1" applyBorder="1" applyAlignment="1">
      <alignment horizontal="center" vertical="center" wrapText="1"/>
    </xf>
    <xf numFmtId="0" fontId="93" fillId="0" borderId="0" xfId="682" applyFont="1"/>
    <xf numFmtId="0" fontId="94" fillId="0" borderId="0" xfId="682" applyFont="1"/>
    <xf numFmtId="167" fontId="30" fillId="26" borderId="0" xfId="546" applyNumberFormat="1" applyFont="1" applyFill="1"/>
    <xf numFmtId="167" fontId="94" fillId="0" borderId="0" xfId="546" applyNumberFormat="1" applyFont="1"/>
    <xf numFmtId="38" fontId="30" fillId="26" borderId="0" xfId="682" applyNumberFormat="1" applyFont="1" applyFill="1"/>
    <xf numFmtId="38" fontId="94" fillId="0" borderId="0" xfId="682" applyNumberFormat="1" applyFont="1"/>
    <xf numFmtId="38" fontId="94" fillId="26" borderId="0" xfId="682" applyNumberFormat="1" applyFont="1" applyFill="1"/>
    <xf numFmtId="38" fontId="94" fillId="26" borderId="17" xfId="449" applyNumberFormat="1" applyFont="1" applyFill="1" applyBorder="1"/>
    <xf numFmtId="38" fontId="94" fillId="0" borderId="0" xfId="449" applyNumberFormat="1" applyFont="1"/>
    <xf numFmtId="0" fontId="95" fillId="0" borderId="0" xfId="682" applyFont="1"/>
    <xf numFmtId="0" fontId="92" fillId="27" borderId="0" xfId="682" applyFont="1" applyFill="1"/>
    <xf numFmtId="0" fontId="59" fillId="27" borderId="0" xfId="682" applyFill="1"/>
    <xf numFmtId="0" fontId="94" fillId="27" borderId="0" xfId="682" applyFont="1" applyFill="1"/>
    <xf numFmtId="167" fontId="92" fillId="27" borderId="0" xfId="546" applyNumberFormat="1" applyFont="1" applyFill="1"/>
    <xf numFmtId="167" fontId="94" fillId="27" borderId="0" xfId="546" applyNumberFormat="1" applyFont="1" applyFill="1"/>
    <xf numFmtId="164" fontId="94" fillId="26" borderId="17" xfId="449" applyNumberFormat="1" applyFont="1" applyFill="1" applyBorder="1"/>
    <xf numFmtId="164" fontId="94" fillId="0" borderId="0" xfId="449" applyNumberFormat="1" applyFont="1"/>
    <xf numFmtId="0" fontId="93" fillId="0" borderId="0" xfId="682" applyFont="1" applyAlignment="1">
      <alignment vertical="center"/>
    </xf>
    <xf numFmtId="0" fontId="96" fillId="0" borderId="0" xfId="682" applyFont="1"/>
    <xf numFmtId="38" fontId="94" fillId="26" borderId="0" xfId="449" applyNumberFormat="1" applyFont="1" applyFill="1"/>
    <xf numFmtId="167" fontId="92" fillId="27" borderId="18" xfId="546" applyNumberFormat="1" applyFont="1" applyFill="1" applyBorder="1"/>
    <xf numFmtId="167" fontId="94" fillId="26" borderId="19" xfId="546" applyNumberFormat="1" applyFont="1" applyFill="1" applyBorder="1"/>
    <xf numFmtId="0" fontId="92" fillId="0" borderId="0" xfId="682" applyFont="1"/>
    <xf numFmtId="167" fontId="92" fillId="0" borderId="20" xfId="546" applyNumberFormat="1" applyFont="1" applyBorder="1"/>
    <xf numFmtId="0" fontId="92" fillId="0" borderId="0" xfId="682" applyFont="1" applyAlignment="1">
      <alignment horizontal="center"/>
    </xf>
    <xf numFmtId="167" fontId="30" fillId="0" borderId="0" xfId="546" applyNumberFormat="1" applyFont="1" applyFill="1"/>
    <xf numFmtId="38" fontId="30" fillId="0" borderId="0" xfId="449" applyNumberFormat="1" applyFont="1" applyFill="1"/>
    <xf numFmtId="38" fontId="30" fillId="0" borderId="17" xfId="449" applyNumberFormat="1" applyFont="1" applyFill="1" applyBorder="1"/>
    <xf numFmtId="167" fontId="94" fillId="0" borderId="19" xfId="546" applyNumberFormat="1" applyFont="1" applyBorder="1"/>
    <xf numFmtId="0" fontId="64" fillId="0" borderId="0" xfId="682" applyFont="1"/>
    <xf numFmtId="10" fontId="92" fillId="0" borderId="19" xfId="682" applyNumberFormat="1" applyFont="1" applyBorder="1"/>
    <xf numFmtId="164" fontId="58" fillId="0" borderId="0" xfId="439" applyNumberFormat="1" applyFont="1"/>
    <xf numFmtId="40" fontId="97" fillId="0" borderId="0" xfId="0" applyNumberFormat="1" applyFont="1"/>
    <xf numFmtId="0" fontId="86" fillId="0" borderId="0" xfId="0" applyFont="1"/>
    <xf numFmtId="2" fontId="0" fillId="0" borderId="0" xfId="0" applyNumberFormat="1"/>
    <xf numFmtId="38" fontId="30" fillId="26" borderId="0" xfId="0" applyNumberFormat="1" applyFont="1" applyFill="1"/>
    <xf numFmtId="38" fontId="30" fillId="26" borderId="17" xfId="0" applyNumberFormat="1" applyFont="1" applyFill="1" applyBorder="1"/>
    <xf numFmtId="0" fontId="86" fillId="0" borderId="0" xfId="0" applyFont="1" applyAlignment="1" applyProtection="1">
      <alignment wrapText="1"/>
      <protection locked="0"/>
    </xf>
    <xf numFmtId="0" fontId="80" fillId="21" borderId="0" xfId="0" applyFont="1" applyFill="1" applyBorder="1" applyAlignment="1" applyProtection="1">
      <alignment horizontal="center"/>
    </xf>
    <xf numFmtId="0" fontId="59" fillId="0" borderId="0" xfId="682"/>
    <xf numFmtId="0" fontId="98" fillId="0" borderId="0" xfId="682" applyFont="1" applyFill="1" applyAlignment="1">
      <alignment wrapText="1"/>
    </xf>
    <xf numFmtId="166" fontId="71" fillId="21" borderId="16" xfId="0" applyNumberFormat="1" applyFont="1" applyFill="1" applyBorder="1" applyProtection="1"/>
    <xf numFmtId="0" fontId="69" fillId="21" borderId="16" xfId="0" applyFont="1" applyFill="1" applyBorder="1" applyAlignment="1" applyProtection="1">
      <alignment horizontal="left" vertical="center"/>
    </xf>
    <xf numFmtId="0" fontId="69" fillId="21" borderId="0" xfId="0" applyFont="1" applyFill="1" applyBorder="1" applyAlignment="1" applyProtection="1">
      <alignment horizontal="left" vertical="center"/>
    </xf>
    <xf numFmtId="0" fontId="99" fillId="0" borderId="0" xfId="0" applyFont="1" applyFill="1" applyAlignment="1" applyProtection="1">
      <alignment horizontal="left" vertical="center" wrapText="1"/>
    </xf>
    <xf numFmtId="0" fontId="0" fillId="28" borderId="0" xfId="0" applyFill="1" applyAlignment="1" applyProtection="1">
      <alignment vertical="center"/>
    </xf>
    <xf numFmtId="0" fontId="8" fillId="28" borderId="0" xfId="0" applyFont="1" applyFill="1" applyAlignment="1" applyProtection="1">
      <alignment horizontal="left" vertical="center"/>
    </xf>
    <xf numFmtId="0" fontId="0" fillId="28" borderId="0" xfId="0" applyNumberFormat="1" applyFill="1" applyAlignment="1" applyProtection="1">
      <alignment wrapText="1"/>
    </xf>
    <xf numFmtId="164" fontId="0" fillId="28" borderId="0" xfId="0" applyNumberFormat="1" applyFill="1" applyAlignment="1" applyProtection="1">
      <alignment vertical="center"/>
    </xf>
    <xf numFmtId="41" fontId="66" fillId="28" borderId="0" xfId="439" applyNumberFormat="1" applyFont="1" applyFill="1" applyAlignment="1" applyProtection="1">
      <alignment wrapText="1"/>
    </xf>
    <xf numFmtId="41" fontId="67" fillId="28" borderId="0" xfId="0" applyNumberFormat="1" applyFont="1" applyFill="1" applyAlignment="1" applyProtection="1">
      <alignment wrapText="1"/>
    </xf>
    <xf numFmtId="0" fontId="71" fillId="28" borderId="0" xfId="0" applyNumberFormat="1" applyFont="1" applyFill="1" applyAlignment="1" applyProtection="1">
      <alignment vertical="center" wrapText="1"/>
    </xf>
    <xf numFmtId="0" fontId="99" fillId="0" borderId="0" xfId="0" applyNumberFormat="1" applyFont="1" applyFill="1" applyAlignment="1" applyProtection="1">
      <alignment vertical="center" wrapText="1"/>
    </xf>
    <xf numFmtId="0" fontId="90" fillId="0" borderId="0" xfId="0" applyFont="1" applyFill="1" applyAlignment="1" applyProtection="1">
      <alignment vertical="center" wrapText="1"/>
    </xf>
    <xf numFmtId="0" fontId="39" fillId="28" borderId="0" xfId="0" applyFont="1" applyFill="1" applyAlignment="1" applyProtection="1">
      <alignment horizontal="left" vertical="center"/>
    </xf>
    <xf numFmtId="0" fontId="64" fillId="28" borderId="0" xfId="0" applyNumberFormat="1" applyFont="1" applyFill="1" applyAlignment="1" applyProtection="1">
      <alignment vertical="center" wrapText="1"/>
    </xf>
    <xf numFmtId="41" fontId="79" fillId="28" borderId="0" xfId="439" applyNumberFormat="1" applyFont="1" applyFill="1" applyAlignment="1" applyProtection="1">
      <alignment wrapText="1"/>
    </xf>
    <xf numFmtId="0" fontId="43" fillId="0" borderId="0" xfId="0" applyFont="1" applyFill="1" applyAlignment="1" applyProtection="1">
      <alignment horizontal="center" vertical="center" wrapText="1"/>
    </xf>
    <xf numFmtId="0" fontId="6" fillId="0" borderId="0" xfId="0" applyFont="1" applyFill="1" applyAlignment="1" applyProtection="1">
      <alignment vertical="center" wrapText="1"/>
      <protection hidden="1"/>
    </xf>
    <xf numFmtId="0" fontId="70" fillId="0" borderId="0" xfId="0" applyFont="1" applyFill="1" applyAlignment="1" applyProtection="1">
      <alignment vertical="center" wrapText="1"/>
      <protection hidden="1"/>
    </xf>
    <xf numFmtId="41" fontId="66" fillId="28" borderId="0" xfId="439" applyNumberFormat="1" applyFont="1" applyFill="1" applyAlignment="1" applyProtection="1">
      <alignment wrapText="1"/>
    </xf>
    <xf numFmtId="0" fontId="72" fillId="28" borderId="0" xfId="0" applyFont="1" applyFill="1" applyAlignment="1" applyProtection="1">
      <alignment vertical="center"/>
    </xf>
    <xf numFmtId="0" fontId="65" fillId="28" borderId="0" xfId="0" applyFont="1" applyFill="1" applyAlignment="1" applyProtection="1">
      <alignment vertical="center" wrapText="1"/>
    </xf>
    <xf numFmtId="0" fontId="65" fillId="28" borderId="0" xfId="0" applyFont="1" applyFill="1" applyAlignment="1" applyProtection="1">
      <alignment wrapText="1"/>
    </xf>
    <xf numFmtId="0" fontId="0" fillId="0" borderId="0" xfId="0" applyNumberFormat="1" applyFont="1" applyFill="1" applyAlignment="1" applyProtection="1">
      <alignment vertical="center" wrapText="1"/>
    </xf>
    <xf numFmtId="0" fontId="69" fillId="28" borderId="0" xfId="0" applyFont="1" applyFill="1" applyAlignment="1" applyProtection="1">
      <alignment vertical="center"/>
    </xf>
    <xf numFmtId="0" fontId="65" fillId="28" borderId="0" xfId="0" applyFont="1" applyFill="1" applyAlignment="1" applyProtection="1"/>
    <xf numFmtId="0" fontId="65" fillId="28" borderId="0" xfId="0" applyFont="1" applyFill="1" applyAlignment="1" applyProtection="1">
      <alignment horizontal="left" wrapText="1" indent="2"/>
    </xf>
    <xf numFmtId="0" fontId="65" fillId="28" borderId="0" xfId="0" applyFont="1" applyFill="1" applyAlignment="1" applyProtection="1"/>
    <xf numFmtId="0" fontId="90" fillId="0" borderId="0" xfId="0" applyNumberFormat="1" applyFont="1" applyFill="1" applyBorder="1" applyAlignment="1" applyProtection="1">
      <alignment vertical="center" wrapText="1"/>
    </xf>
    <xf numFmtId="0" fontId="65" fillId="28" borderId="0" xfId="0" applyFont="1" applyFill="1" applyAlignment="1" applyProtection="1"/>
    <xf numFmtId="0" fontId="0" fillId="0" borderId="0" xfId="0" applyNumberFormat="1" applyFont="1" applyFill="1" applyAlignment="1" applyProtection="1">
      <alignment horizontal="left" vertical="center" wrapText="1"/>
    </xf>
    <xf numFmtId="0" fontId="99" fillId="0" borderId="0" xfId="0" applyNumberFormat="1" applyFont="1" applyFill="1" applyAlignment="1" applyProtection="1">
      <alignment horizontal="left" vertical="center" wrapText="1"/>
    </xf>
    <xf numFmtId="41" fontId="66" fillId="28" borderId="0" xfId="439" applyNumberFormat="1" applyFont="1" applyFill="1" applyAlignment="1" applyProtection="1">
      <alignment wrapText="1"/>
    </xf>
    <xf numFmtId="164" fontId="58" fillId="28" borderId="0" xfId="439" applyNumberFormat="1" applyFont="1" applyFill="1" applyAlignment="1" applyProtection="1">
      <alignment vertical="center"/>
    </xf>
    <xf numFmtId="0" fontId="65" fillId="28" borderId="0" xfId="0" applyFont="1" applyFill="1" applyAlignment="1" applyProtection="1"/>
    <xf numFmtId="0" fontId="0" fillId="28" borderId="0" xfId="0" applyFont="1" applyFill="1" applyAlignment="1" applyProtection="1">
      <alignment vertical="center"/>
    </xf>
    <xf numFmtId="0" fontId="65" fillId="28" borderId="0" xfId="0" applyFont="1" applyFill="1" applyAlignment="1" applyProtection="1">
      <alignment horizontal="left" vertical="center" wrapText="1"/>
    </xf>
    <xf numFmtId="0" fontId="65" fillId="28" borderId="0" xfId="0" applyFont="1" applyFill="1" applyAlignment="1" applyProtection="1">
      <alignment horizontal="left" wrapText="1" indent="2"/>
    </xf>
    <xf numFmtId="0" fontId="65" fillId="28" borderId="0" xfId="0" applyFont="1" applyFill="1" applyAlignment="1" applyProtection="1">
      <alignment vertical="center"/>
    </xf>
    <xf numFmtId="38" fontId="100" fillId="28" borderId="0" xfId="439" applyNumberFormat="1" applyFont="1" applyFill="1" applyAlignment="1" applyProtection="1">
      <alignment horizontal="center" vertical="center" wrapText="1"/>
    </xf>
    <xf numFmtId="41" fontId="67" fillId="28" borderId="0" xfId="0" applyNumberFormat="1" applyFont="1" applyFill="1" applyAlignment="1" applyProtection="1">
      <alignment wrapText="1"/>
    </xf>
    <xf numFmtId="0" fontId="65" fillId="28" borderId="0" xfId="0" applyFont="1" applyFill="1" applyAlignment="1" applyProtection="1"/>
    <xf numFmtId="0" fontId="101" fillId="0" borderId="0" xfId="0" applyFont="1" applyAlignment="1" applyProtection="1">
      <alignment horizontal="center" vertical="center" wrapText="1"/>
    </xf>
    <xf numFmtId="164" fontId="58" fillId="28" borderId="0" xfId="439" applyNumberFormat="1" applyFont="1" applyFill="1" applyProtection="1"/>
    <xf numFmtId="41" fontId="66" fillId="28" borderId="0" xfId="439" applyNumberFormat="1" applyFont="1" applyFill="1" applyAlignment="1" applyProtection="1">
      <alignment wrapText="1"/>
    </xf>
    <xf numFmtId="0" fontId="0" fillId="0" borderId="0" xfId="0" applyFill="1" applyAlignment="1" applyProtection="1">
      <alignment wrapText="1"/>
      <protection locked="0"/>
    </xf>
    <xf numFmtId="0" fontId="88" fillId="0" borderId="0" xfId="0" applyFont="1" applyFill="1" applyAlignment="1" applyProtection="1">
      <alignment horizontal="center" vertical="center" wrapText="1"/>
    </xf>
    <xf numFmtId="0" fontId="102" fillId="0" borderId="0" xfId="0" applyNumberFormat="1" applyFont="1" applyFill="1" applyAlignment="1" applyProtection="1">
      <alignment vertical="center" wrapText="1"/>
    </xf>
    <xf numFmtId="41" fontId="66" fillId="28" borderId="0" xfId="439" applyNumberFormat="1" applyFont="1" applyFill="1" applyAlignment="1" applyProtection="1">
      <alignment wrapText="1"/>
    </xf>
    <xf numFmtId="38" fontId="70" fillId="28" borderId="0" xfId="439" applyNumberFormat="1" applyFont="1" applyFill="1" applyProtection="1"/>
    <xf numFmtId="41" fontId="66" fillId="28" borderId="0" xfId="439" applyNumberFormat="1" applyFont="1" applyFill="1" applyAlignment="1" applyProtection="1">
      <alignment wrapText="1"/>
    </xf>
    <xf numFmtId="41" fontId="67" fillId="28" borderId="0" xfId="0" applyNumberFormat="1" applyFont="1" applyFill="1" applyAlignment="1" applyProtection="1">
      <alignment wrapText="1"/>
    </xf>
    <xf numFmtId="0" fontId="0" fillId="28" borderId="0" xfId="0" applyNumberFormat="1" applyFill="1" applyAlignment="1" applyProtection="1">
      <alignment vertical="center" wrapText="1"/>
    </xf>
    <xf numFmtId="0" fontId="65" fillId="28" borderId="0" xfId="0" applyFont="1" applyFill="1" applyAlignment="1" applyProtection="1">
      <alignment vertical="center"/>
    </xf>
    <xf numFmtId="0" fontId="65" fillId="28" borderId="0" xfId="0" applyFont="1" applyFill="1" applyAlignment="1" applyProtection="1"/>
    <xf numFmtId="0" fontId="103" fillId="28" borderId="0" xfId="0" applyFont="1" applyFill="1" applyAlignment="1" applyProtection="1">
      <alignment horizontal="left" vertical="center"/>
    </xf>
    <xf numFmtId="3" fontId="6" fillId="0" borderId="0" xfId="1540" applyFont="1" applyFill="1" applyAlignment="1" applyProtection="1">
      <alignment vertical="center" wrapText="1"/>
    </xf>
    <xf numFmtId="3" fontId="41" fillId="0" borderId="0" xfId="1540" applyFont="1" applyFill="1" applyAlignment="1" applyProtection="1">
      <alignment vertical="center" wrapText="1"/>
    </xf>
    <xf numFmtId="0" fontId="104" fillId="0" borderId="0" xfId="0" applyFont="1" applyAlignment="1" applyProtection="1">
      <alignment horizontal="center" vertical="center" wrapText="1"/>
    </xf>
    <xf numFmtId="0" fontId="69" fillId="28" borderId="0" xfId="0" applyFont="1" applyFill="1" applyAlignment="1" applyProtection="1">
      <alignment horizontal="left" vertical="center"/>
    </xf>
    <xf numFmtId="0" fontId="72" fillId="28" borderId="0" xfId="0" applyFont="1" applyFill="1" applyAlignment="1" applyProtection="1">
      <alignment horizontal="left" vertical="center"/>
    </xf>
    <xf numFmtId="0" fontId="65" fillId="28" borderId="0" xfId="0" applyFont="1" applyFill="1" applyAlignment="1" applyProtection="1"/>
    <xf numFmtId="0" fontId="0" fillId="0" borderId="0" xfId="0" applyNumberFormat="1" applyFill="1" applyAlignment="1" applyProtection="1">
      <alignment wrapText="1"/>
    </xf>
    <xf numFmtId="0" fontId="105" fillId="0" borderId="0" xfId="0" applyFont="1" applyAlignment="1" applyProtection="1">
      <alignment horizontal="center" vertical="center" wrapText="1"/>
    </xf>
    <xf numFmtId="0" fontId="0" fillId="0" borderId="0" xfId="0" applyNumberFormat="1" applyFill="1" applyAlignment="1" applyProtection="1">
      <alignment vertical="center" wrapText="1"/>
    </xf>
    <xf numFmtId="0" fontId="65" fillId="0" borderId="0" xfId="0" applyNumberFormat="1" applyFont="1" applyFill="1" applyAlignment="1" applyProtection="1">
      <alignment wrapText="1"/>
    </xf>
    <xf numFmtId="0" fontId="65" fillId="22" borderId="0" xfId="0" applyNumberFormat="1" applyFont="1" applyFill="1" applyAlignment="1" applyProtection="1">
      <alignment wrapText="1"/>
    </xf>
    <xf numFmtId="0" fontId="0" fillId="0" borderId="0" xfId="0" applyNumberFormat="1" applyFill="1" applyAlignment="1" applyProtection="1">
      <alignment horizontal="left" vertical="center" wrapText="1" indent="3"/>
    </xf>
    <xf numFmtId="0" fontId="0" fillId="0" borderId="14" xfId="0" applyNumberFormat="1" applyFill="1" applyBorder="1" applyAlignment="1" applyProtection="1">
      <alignment horizontal="left" vertical="center" wrapText="1" indent="3"/>
    </xf>
    <xf numFmtId="0" fontId="0" fillId="0" borderId="14" xfId="0" applyNumberFormat="1" applyFill="1" applyBorder="1" applyAlignment="1" applyProtection="1">
      <alignment horizontal="left" vertical="center" wrapText="1" indent="6"/>
    </xf>
    <xf numFmtId="0" fontId="0" fillId="0" borderId="14" xfId="0" applyNumberFormat="1" applyFill="1" applyBorder="1" applyAlignment="1" applyProtection="1">
      <alignment vertical="center" wrapText="1"/>
    </xf>
    <xf numFmtId="0" fontId="64" fillId="0" borderId="0" xfId="0" applyNumberFormat="1" applyFont="1" applyFill="1" applyAlignment="1" applyProtection="1">
      <alignment horizontal="left" vertical="center" wrapText="1" indent="3"/>
    </xf>
    <xf numFmtId="0" fontId="65" fillId="0" borderId="0" xfId="0" applyNumberFormat="1" applyFont="1" applyFill="1" applyAlignment="1" applyProtection="1">
      <alignment vertical="center" wrapText="1"/>
    </xf>
    <xf numFmtId="0" fontId="90" fillId="0" borderId="0" xfId="0" applyNumberFormat="1" applyFont="1" applyFill="1" applyAlignment="1" applyProtection="1">
      <alignment horizontal="left" vertical="center" wrapText="1"/>
    </xf>
    <xf numFmtId="0" fontId="90" fillId="0" borderId="0" xfId="0" applyNumberFormat="1" applyFont="1" applyFill="1" applyAlignment="1" applyProtection="1">
      <alignment vertical="center" wrapText="1"/>
    </xf>
    <xf numFmtId="0" fontId="90" fillId="0" borderId="0" xfId="0" applyNumberFormat="1" applyFont="1" applyFill="1" applyAlignment="1" applyProtection="1">
      <alignment horizontal="left" vertical="center" wrapText="1" indent="3"/>
    </xf>
    <xf numFmtId="0" fontId="90" fillId="0" borderId="14" xfId="0" applyNumberFormat="1" applyFont="1" applyFill="1" applyBorder="1" applyAlignment="1" applyProtection="1">
      <alignment horizontal="left" vertical="center" wrapText="1" indent="3"/>
    </xf>
    <xf numFmtId="0" fontId="90" fillId="0" borderId="0" xfId="0" applyNumberFormat="1" applyFont="1" applyFill="1" applyAlignment="1" applyProtection="1">
      <alignment horizontal="left" vertical="center" wrapText="1" indent="6"/>
    </xf>
    <xf numFmtId="0" fontId="69" fillId="0" borderId="0" xfId="0" applyFont="1" applyFill="1" applyAlignment="1" applyProtection="1">
      <alignment horizontal="center" vertical="center"/>
    </xf>
    <xf numFmtId="0" fontId="69" fillId="22" borderId="0" xfId="0" applyFont="1" applyFill="1" applyAlignment="1" applyProtection="1">
      <alignment horizontal="center" vertical="center"/>
    </xf>
    <xf numFmtId="0" fontId="69" fillId="0" borderId="14" xfId="0" applyFont="1" applyFill="1" applyBorder="1" applyAlignment="1" applyProtection="1">
      <alignment horizontal="center" vertical="center"/>
    </xf>
    <xf numFmtId="0" fontId="104" fillId="0" borderId="0" xfId="0" applyFont="1" applyFill="1" applyAlignment="1" applyProtection="1">
      <alignment horizontal="center" vertical="center" wrapText="1"/>
    </xf>
    <xf numFmtId="0" fontId="104" fillId="0" borderId="0" xfId="0" applyFont="1" applyFill="1" applyAlignment="1" applyProtection="1">
      <alignment horizontal="center" vertical="center"/>
    </xf>
    <xf numFmtId="0" fontId="105" fillId="0" borderId="0" xfId="0" applyFont="1" applyFill="1" applyAlignment="1" applyProtection="1">
      <alignment horizontal="center" vertical="center" wrapText="1"/>
    </xf>
    <xf numFmtId="0" fontId="105" fillId="0" borderId="0" xfId="0" applyFont="1" applyFill="1" applyAlignment="1" applyProtection="1">
      <alignment horizontal="center" vertical="center"/>
    </xf>
    <xf numFmtId="0" fontId="71" fillId="21" borderId="16" xfId="0" applyNumberFormat="1" applyFont="1" applyFill="1" applyBorder="1" applyAlignment="1" applyProtection="1">
      <alignment horizontal="center"/>
    </xf>
    <xf numFmtId="38" fontId="0" fillId="0" borderId="0" xfId="0" applyNumberFormat="1" applyProtection="1"/>
    <xf numFmtId="0" fontId="0" fillId="0" borderId="0" xfId="0"/>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70"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xf>
    <xf numFmtId="164" fontId="0" fillId="0" borderId="0" xfId="0" applyNumberFormat="1" applyFill="1" applyAlignment="1" applyProtection="1">
      <alignment wrapText="1"/>
      <protection locked="0"/>
    </xf>
    <xf numFmtId="164" fontId="0" fillId="0" borderId="0" xfId="0" applyNumberFormat="1" applyAlignment="1" applyProtection="1">
      <alignment wrapText="1"/>
      <protection locked="0"/>
    </xf>
    <xf numFmtId="40" fontId="70" fillId="0" borderId="0" xfId="439" applyNumberFormat="1" applyFont="1" applyFill="1" applyAlignment="1" applyProtection="1">
      <alignment horizontal="center" vertical="center" wrapText="1"/>
    </xf>
    <xf numFmtId="173" fontId="70" fillId="0" borderId="0" xfId="439" applyNumberFormat="1" applyFont="1" applyFill="1" applyAlignment="1" applyProtection="1">
      <alignment horizontal="center" vertical="center" wrapText="1"/>
    </xf>
    <xf numFmtId="41" fontId="66" fillId="0" borderId="0" xfId="439" applyNumberFormat="1" applyFont="1" applyFill="1" applyAlignment="1" applyProtection="1">
      <alignment vertical="center" wrapText="1"/>
    </xf>
    <xf numFmtId="0" fontId="0" fillId="0" borderId="23" xfId="0" applyFont="1" applyFill="1" applyBorder="1" applyAlignment="1" applyProtection="1">
      <alignment vertical="center" wrapText="1"/>
    </xf>
    <xf numFmtId="164" fontId="106" fillId="23" borderId="23" xfId="439" applyNumberFormat="1" applyFont="1" applyFill="1" applyBorder="1" applyAlignment="1" applyProtection="1">
      <alignment horizontal="center" vertical="center" wrapText="1"/>
    </xf>
    <xf numFmtId="0" fontId="0" fillId="22" borderId="0" xfId="0" applyFont="1" applyFill="1" applyBorder="1" applyAlignment="1" applyProtection="1">
      <alignment vertical="center"/>
    </xf>
    <xf numFmtId="0" fontId="0" fillId="22" borderId="0" xfId="0" applyFill="1" applyBorder="1" applyAlignment="1" applyProtection="1">
      <alignment vertical="center"/>
    </xf>
    <xf numFmtId="0" fontId="0" fillId="22" borderId="0" xfId="0" applyFill="1" applyBorder="1" applyProtection="1"/>
    <xf numFmtId="0" fontId="64" fillId="0" borderId="24" xfId="0" applyNumberFormat="1" applyFont="1" applyBorder="1" applyAlignment="1" applyProtection="1">
      <alignment horizontal="center" vertical="center"/>
    </xf>
    <xf numFmtId="0" fontId="64" fillId="0" borderId="25" xfId="0" applyNumberFormat="1" applyFont="1" applyBorder="1" applyAlignment="1" applyProtection="1">
      <alignment horizontal="center" vertical="center"/>
    </xf>
    <xf numFmtId="0" fontId="107" fillId="0" borderId="25" xfId="0" applyNumberFormat="1" applyFont="1" applyFill="1" applyBorder="1" applyAlignment="1" applyProtection="1">
      <alignment horizontal="center" vertical="center"/>
    </xf>
    <xf numFmtId="0" fontId="108" fillId="0" borderId="25" xfId="0" applyNumberFormat="1" applyFont="1" applyFill="1" applyBorder="1" applyAlignment="1" applyProtection="1">
      <alignment horizontal="center" vertical="center"/>
    </xf>
    <xf numFmtId="0" fontId="64" fillId="23" borderId="25" xfId="0" applyNumberFormat="1" applyFont="1" applyFill="1" applyBorder="1" applyAlignment="1" applyProtection="1">
      <alignment horizontal="center" vertical="center"/>
    </xf>
    <xf numFmtId="0" fontId="64" fillId="0" borderId="25" xfId="0" applyNumberFormat="1" applyFont="1" applyFill="1" applyBorder="1" applyAlignment="1" applyProtection="1">
      <alignment horizontal="center" vertical="center"/>
    </xf>
    <xf numFmtId="0" fontId="64" fillId="0" borderId="26" xfId="0" applyNumberFormat="1" applyFont="1" applyFill="1" applyBorder="1" applyAlignment="1" applyProtection="1">
      <alignment horizontal="center" vertical="center"/>
    </xf>
    <xf numFmtId="0" fontId="83" fillId="24" borderId="21" xfId="0" applyFont="1" applyFill="1" applyBorder="1" applyAlignment="1" applyProtection="1">
      <alignment horizontal="center" vertical="center" wrapText="1"/>
    </xf>
    <xf numFmtId="0" fontId="0" fillId="22" borderId="27" xfId="0" applyFill="1" applyBorder="1" applyAlignment="1" applyProtection="1">
      <alignment vertical="center"/>
    </xf>
    <xf numFmtId="0" fontId="0" fillId="22" borderId="28" xfId="0" applyFill="1" applyBorder="1" applyAlignment="1" applyProtection="1">
      <alignment vertical="center"/>
    </xf>
    <xf numFmtId="164" fontId="106" fillId="0" borderId="28" xfId="439" applyNumberFormat="1" applyFont="1" applyFill="1" applyBorder="1" applyAlignment="1" applyProtection="1">
      <alignment horizontal="center" vertical="center" wrapText="1"/>
    </xf>
    <xf numFmtId="164" fontId="106" fillId="0" borderId="29" xfId="439" applyNumberFormat="1" applyFont="1" applyFill="1" applyBorder="1" applyAlignment="1" applyProtection="1">
      <alignment horizontal="center" vertical="center" wrapText="1"/>
    </xf>
    <xf numFmtId="0" fontId="0" fillId="0" borderId="30" xfId="0" applyFont="1" applyFill="1" applyBorder="1" applyAlignment="1" applyProtection="1">
      <alignment vertical="center" wrapText="1"/>
    </xf>
    <xf numFmtId="0" fontId="0" fillId="22" borderId="30" xfId="0" applyFill="1" applyBorder="1" applyAlignment="1" applyProtection="1">
      <alignment vertical="center"/>
    </xf>
    <xf numFmtId="0" fontId="0" fillId="22" borderId="23" xfId="0" applyFill="1" applyBorder="1" applyAlignment="1" applyProtection="1">
      <alignment vertical="center"/>
      <protection locked="0"/>
    </xf>
    <xf numFmtId="172" fontId="106" fillId="0" borderId="23" xfId="439" applyNumberFormat="1" applyFont="1" applyFill="1" applyBorder="1" applyAlignment="1" applyProtection="1">
      <alignment horizontal="center" vertical="center" wrapText="1"/>
    </xf>
    <xf numFmtId="164" fontId="58" fillId="0" borderId="28" xfId="439" applyNumberFormat="1" applyFont="1" applyFill="1" applyBorder="1" applyAlignment="1" applyProtection="1">
      <alignment vertical="center"/>
    </xf>
    <xf numFmtId="0" fontId="0" fillId="23" borderId="25" xfId="0" applyNumberFormat="1" applyFill="1" applyBorder="1" applyAlignment="1" applyProtection="1">
      <alignment horizontal="left" vertical="center" wrapText="1"/>
    </xf>
    <xf numFmtId="3" fontId="6" fillId="0" borderId="23" xfId="1540" applyFont="1" applyFill="1" applyBorder="1" applyAlignment="1" applyProtection="1">
      <alignment vertical="center" wrapText="1"/>
    </xf>
    <xf numFmtId="0" fontId="106" fillId="0" borderId="23" xfId="439" applyNumberFormat="1" applyFont="1" applyFill="1" applyBorder="1" applyAlignment="1" applyProtection="1">
      <alignment horizontal="center" vertical="center" wrapText="1"/>
    </xf>
    <xf numFmtId="164" fontId="106" fillId="0" borderId="23" xfId="439" applyNumberFormat="1" applyFont="1" applyFill="1" applyBorder="1" applyAlignment="1" applyProtection="1">
      <alignment horizontal="center" vertical="center" wrapText="1"/>
    </xf>
    <xf numFmtId="164" fontId="106" fillId="29" borderId="23" xfId="439" applyNumberFormat="1" applyFont="1" applyFill="1" applyBorder="1" applyAlignment="1" applyProtection="1">
      <alignment horizontal="center" vertical="center" wrapText="1"/>
      <protection locked="0"/>
    </xf>
    <xf numFmtId="0" fontId="0" fillId="0" borderId="31" xfId="0" applyNumberFormat="1" applyFill="1" applyBorder="1" applyAlignment="1" applyProtection="1">
      <alignment horizontal="left" vertical="center" wrapText="1"/>
    </xf>
    <xf numFmtId="164" fontId="58" fillId="23" borderId="28" xfId="439" applyNumberFormat="1" applyFont="1" applyFill="1" applyBorder="1" applyAlignment="1" applyProtection="1">
      <alignment vertical="center"/>
    </xf>
    <xf numFmtId="0" fontId="65" fillId="24" borderId="0" xfId="0" applyFont="1" applyFill="1" applyBorder="1" applyAlignment="1" applyProtection="1">
      <alignment horizontal="center" vertical="center" wrapText="1"/>
    </xf>
    <xf numFmtId="0" fontId="0" fillId="22" borderId="30" xfId="0" applyFill="1" applyBorder="1" applyAlignment="1" applyProtection="1">
      <alignment vertical="center"/>
      <protection locked="0"/>
    </xf>
    <xf numFmtId="0" fontId="0" fillId="23" borderId="23" xfId="0" applyNumberFormat="1" applyFill="1" applyBorder="1" applyAlignment="1" applyProtection="1">
      <alignment horizontal="left" vertical="center" wrapText="1"/>
    </xf>
    <xf numFmtId="0" fontId="86" fillId="21" borderId="10" xfId="0" applyFont="1" applyFill="1" applyBorder="1" applyAlignment="1" applyProtection="1">
      <alignment horizontal="center" vertical="center" wrapText="1"/>
    </xf>
    <xf numFmtId="164" fontId="106" fillId="0" borderId="31" xfId="439" applyNumberFormat="1" applyFont="1" applyFill="1" applyBorder="1" applyAlignment="1" applyProtection="1">
      <alignment horizontal="center" vertical="center" wrapText="1"/>
    </xf>
    <xf numFmtId="164" fontId="58" fillId="0" borderId="28" xfId="439" applyNumberFormat="1" applyFont="1" applyBorder="1" applyAlignment="1" applyProtection="1">
      <alignment vertical="center"/>
    </xf>
    <xf numFmtId="0" fontId="0" fillId="0" borderId="26" xfId="0" applyNumberFormat="1" applyFill="1" applyBorder="1" applyAlignment="1" applyProtection="1">
      <alignment horizontal="left" vertical="center" wrapText="1"/>
    </xf>
    <xf numFmtId="0" fontId="85" fillId="25" borderId="0" xfId="0" applyFont="1" applyFill="1" applyAlignment="1" applyProtection="1">
      <alignment horizontal="center" vertical="center"/>
    </xf>
    <xf numFmtId="0" fontId="0" fillId="22" borderId="23" xfId="0" applyFill="1" applyBorder="1" applyAlignment="1" applyProtection="1">
      <alignment vertical="center"/>
    </xf>
    <xf numFmtId="0" fontId="106" fillId="23" borderId="23" xfId="439" applyNumberFormat="1" applyFont="1" applyFill="1" applyBorder="1" applyAlignment="1" applyProtection="1">
      <alignment horizontal="center" vertical="center" wrapText="1"/>
    </xf>
    <xf numFmtId="0" fontId="0" fillId="0" borderId="23" xfId="0" applyNumberFormat="1" applyFill="1" applyBorder="1" applyAlignment="1" applyProtection="1">
      <alignment horizontal="left" vertical="center" wrapText="1"/>
    </xf>
    <xf numFmtId="0" fontId="0" fillId="0" borderId="0" xfId="0" applyProtection="1"/>
    <xf numFmtId="0" fontId="0" fillId="0" borderId="25" xfId="0" applyNumberFormat="1" applyFill="1" applyBorder="1" applyAlignment="1" applyProtection="1">
      <alignment horizontal="left" vertical="center" wrapText="1"/>
    </xf>
    <xf numFmtId="164" fontId="106" fillId="29" borderId="31" xfId="439" applyNumberFormat="1" applyFont="1" applyFill="1" applyBorder="1" applyAlignment="1" applyProtection="1">
      <alignment horizontal="center" vertical="center" wrapText="1"/>
      <protection locked="0"/>
    </xf>
    <xf numFmtId="0" fontId="0" fillId="0" borderId="0" xfId="0" applyAlignment="1" applyProtection="1">
      <alignment vertical="center" wrapText="1"/>
    </xf>
    <xf numFmtId="0" fontId="0" fillId="0" borderId="0" xfId="0" applyAlignment="1" applyProtection="1">
      <alignment horizontal="center" vertical="center"/>
    </xf>
    <xf numFmtId="0" fontId="65" fillId="23" borderId="0" xfId="0" applyFont="1" applyFill="1" applyAlignment="1" applyProtection="1">
      <alignment vertical="center" wrapText="1"/>
    </xf>
    <xf numFmtId="0" fontId="65" fillId="21" borderId="0" xfId="0" applyFont="1" applyFill="1" applyBorder="1" applyAlignment="1" applyProtection="1">
      <alignment horizontal="center" vertical="center" wrapText="1"/>
    </xf>
    <xf numFmtId="0" fontId="0" fillId="0" borderId="31" xfId="0" applyFont="1" applyFill="1" applyBorder="1" applyAlignment="1" applyProtection="1">
      <alignment vertical="center" wrapText="1"/>
    </xf>
    <xf numFmtId="0" fontId="0" fillId="0" borderId="0" xfId="0" applyNumberFormat="1" applyFill="1" applyAlignment="1" applyProtection="1">
      <alignment horizontal="left" vertical="center" wrapText="1"/>
    </xf>
    <xf numFmtId="0" fontId="106" fillId="0" borderId="0" xfId="0" applyFont="1" applyProtection="1"/>
    <xf numFmtId="0" fontId="105" fillId="21" borderId="10" xfId="0" applyFont="1" applyFill="1" applyBorder="1" applyAlignment="1" applyProtection="1">
      <alignment horizontal="center" vertical="center" wrapText="1"/>
    </xf>
    <xf numFmtId="0" fontId="105" fillId="21" borderId="0" xfId="0" applyFont="1" applyFill="1" applyBorder="1" applyAlignment="1" applyProtection="1">
      <alignment horizontal="center" vertical="center" wrapText="1"/>
    </xf>
    <xf numFmtId="0" fontId="106" fillId="0" borderId="23" xfId="0" applyNumberFormat="1" applyFont="1" applyFill="1" applyBorder="1" applyAlignment="1" applyProtection="1">
      <alignment horizontal="left" vertical="center" wrapText="1"/>
    </xf>
    <xf numFmtId="0" fontId="106" fillId="23" borderId="23" xfId="0" applyNumberFormat="1" applyFont="1" applyFill="1" applyBorder="1" applyAlignment="1" applyProtection="1">
      <alignment horizontal="left" vertical="center" wrapText="1"/>
    </xf>
    <xf numFmtId="0" fontId="106" fillId="0" borderId="25" xfId="0" applyNumberFormat="1" applyFont="1" applyFill="1" applyBorder="1" applyAlignment="1" applyProtection="1">
      <alignment horizontal="left" vertical="center" wrapText="1"/>
    </xf>
    <xf numFmtId="0" fontId="105" fillId="0" borderId="0" xfId="0" applyFont="1" applyAlignment="1" applyProtection="1">
      <alignment horizontal="center" vertical="center"/>
    </xf>
    <xf numFmtId="0" fontId="106" fillId="0" borderId="31" xfId="0" applyNumberFormat="1" applyFont="1" applyFill="1" applyBorder="1" applyAlignment="1" applyProtection="1">
      <alignment horizontal="left" vertical="center" wrapText="1"/>
    </xf>
    <xf numFmtId="0" fontId="0" fillId="23" borderId="0" xfId="0" applyFill="1" applyAlignment="1" applyProtection="1">
      <alignment horizontal="left" vertical="center"/>
    </xf>
    <xf numFmtId="49" fontId="64" fillId="0" borderId="0" xfId="0" applyNumberFormat="1" applyFont="1" applyFill="1" applyAlignment="1" applyProtection="1">
      <alignment horizontal="center" vertical="center"/>
    </xf>
    <xf numFmtId="0" fontId="0" fillId="0" borderId="0" xfId="0" applyFont="1" applyFill="1" applyAlignment="1" applyProtection="1">
      <alignment vertical="center" wrapText="1"/>
    </xf>
    <xf numFmtId="0" fontId="0" fillId="0" borderId="23" xfId="0" applyNumberFormat="1" applyFill="1" applyBorder="1" applyAlignment="1" applyProtection="1">
      <alignment horizontal="left" vertical="center" wrapText="1"/>
    </xf>
    <xf numFmtId="164" fontId="109" fillId="29" borderId="16" xfId="439" applyNumberFormat="1" applyFont="1" applyFill="1" applyBorder="1" applyAlignment="1" applyProtection="1">
      <alignment horizontal="center" wrapText="1"/>
      <protection locked="0"/>
    </xf>
    <xf numFmtId="164" fontId="106" fillId="0" borderId="23" xfId="439"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70" fillId="0" borderId="0" xfId="439" applyNumberFormat="1" applyFont="1" applyFill="1" applyAlignment="1" applyProtection="1">
      <alignment horizontal="center" vertical="center" wrapText="1"/>
    </xf>
    <xf numFmtId="0" fontId="111" fillId="0" borderId="0" xfId="0" applyNumberFormat="1" applyFont="1" applyFill="1" applyAlignment="1" applyProtection="1">
      <alignment horizontal="left" vertical="center" wrapText="1"/>
    </xf>
    <xf numFmtId="0" fontId="99" fillId="0" borderId="0" xfId="0" applyFont="1" applyFill="1" applyAlignment="1" applyProtection="1">
      <alignment vertical="center" wrapText="1"/>
    </xf>
    <xf numFmtId="0" fontId="86" fillId="21" borderId="22" xfId="0" applyFont="1" applyFill="1" applyBorder="1" applyAlignment="1" applyProtection="1">
      <alignment horizontal="center" wrapText="1"/>
    </xf>
    <xf numFmtId="0" fontId="65" fillId="0" borderId="0" xfId="0" applyFont="1" applyFill="1" applyBorder="1" applyAlignment="1" applyProtection="1">
      <alignment horizontal="center"/>
    </xf>
    <xf numFmtId="0" fontId="113" fillId="0" borderId="0" xfId="0" applyNumberFormat="1" applyFont="1" applyFill="1" applyAlignment="1" applyProtection="1">
      <alignment vertical="center" wrapText="1"/>
    </xf>
    <xf numFmtId="0" fontId="83" fillId="0" borderId="0" xfId="0" applyFont="1" applyAlignment="1" applyProtection="1">
      <alignment wrapText="1"/>
    </xf>
    <xf numFmtId="0" fontId="70" fillId="0" borderId="23" xfId="1243" applyFont="1" applyFill="1" applyBorder="1" applyAlignment="1" applyProtection="1">
      <alignment horizontal="left" vertical="center" wrapText="1"/>
    </xf>
    <xf numFmtId="0" fontId="0" fillId="0" borderId="32" xfId="0" applyNumberFormat="1" applyFill="1" applyBorder="1" applyAlignment="1" applyProtection="1">
      <alignment horizontal="left" vertical="center" wrapText="1"/>
    </xf>
    <xf numFmtId="0" fontId="0" fillId="0" borderId="33" xfId="0" applyNumberFormat="1" applyFill="1" applyBorder="1" applyAlignment="1" applyProtection="1">
      <alignment horizontal="left" vertical="center" wrapText="1"/>
    </xf>
    <xf numFmtId="0" fontId="0" fillId="0" borderId="23" xfId="0" applyFill="1" applyBorder="1" applyAlignment="1">
      <alignment vertical="center" wrapText="1"/>
    </xf>
    <xf numFmtId="164" fontId="85" fillId="25" borderId="0" xfId="439" applyNumberFormat="1" applyFont="1" applyFill="1" applyAlignment="1" applyProtection="1">
      <alignment horizontal="center"/>
    </xf>
    <xf numFmtId="164" fontId="58" fillId="0" borderId="28" xfId="439" applyNumberFormat="1" applyFont="1" applyFill="1" applyBorder="1" applyAlignment="1" applyProtection="1">
      <alignment vertical="center"/>
    </xf>
    <xf numFmtId="0" fontId="114" fillId="0" borderId="0" xfId="0" applyFont="1" applyAlignment="1" applyProtection="1">
      <alignment horizontal="center" vertical="center" wrapText="1"/>
    </xf>
    <xf numFmtId="0" fontId="0" fillId="30" borderId="23" xfId="0" applyFont="1" applyFill="1" applyBorder="1" applyAlignment="1" applyProtection="1">
      <alignment vertical="center" wrapText="1"/>
    </xf>
    <xf numFmtId="164" fontId="106" fillId="22" borderId="23" xfId="439" applyNumberFormat="1" applyFont="1" applyFill="1" applyBorder="1" applyAlignment="1" applyProtection="1">
      <alignment horizontal="center" vertical="center" wrapText="1"/>
    </xf>
    <xf numFmtId="164" fontId="58" fillId="0" borderId="0" xfId="439" applyNumberFormat="1" applyFont="1" applyAlignment="1" applyProtection="1">
      <alignment vertical="center"/>
    </xf>
    <xf numFmtId="0" fontId="83" fillId="30" borderId="25" xfId="0" applyNumberFormat="1" applyFont="1" applyFill="1" applyBorder="1" applyAlignment="1" applyProtection="1">
      <alignment horizontal="center" vertical="center" wrapText="1"/>
    </xf>
    <xf numFmtId="164" fontId="83" fillId="24" borderId="10" xfId="439" applyNumberFormat="1" applyFont="1" applyFill="1" applyBorder="1" applyAlignment="1" applyProtection="1">
      <alignment horizontal="center" wrapText="1"/>
    </xf>
    <xf numFmtId="164" fontId="58" fillId="30" borderId="28" xfId="439" applyNumberFormat="1" applyFont="1" applyFill="1" applyBorder="1" applyAlignment="1" applyProtection="1">
      <alignment vertical="center"/>
    </xf>
    <xf numFmtId="164" fontId="65" fillId="24" borderId="0" xfId="439" applyNumberFormat="1" applyFont="1" applyFill="1" applyBorder="1" applyAlignment="1" applyProtection="1">
      <alignment horizontal="center" wrapText="1"/>
    </xf>
    <xf numFmtId="164" fontId="58" fillId="23" borderId="28" xfId="439" applyNumberFormat="1" applyFont="1" applyFill="1" applyBorder="1" applyAlignment="1" applyProtection="1">
      <alignment vertical="center"/>
    </xf>
    <xf numFmtId="164" fontId="58" fillId="0" borderId="29" xfId="439" applyNumberFormat="1" applyFont="1" applyBorder="1" applyAlignment="1" applyProtection="1">
      <alignment vertical="center"/>
    </xf>
    <xf numFmtId="164" fontId="58" fillId="0" borderId="28" xfId="439" applyNumberFormat="1" applyFont="1" applyBorder="1" applyAlignment="1" applyProtection="1">
      <alignment vertical="center"/>
    </xf>
    <xf numFmtId="164" fontId="58" fillId="0" borderId="0" xfId="439" applyNumberFormat="1" applyFont="1" applyProtection="1"/>
    <xf numFmtId="164" fontId="58" fillId="23" borderId="0" xfId="439" applyNumberFormat="1" applyFont="1" applyFill="1" applyProtection="1"/>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Border="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Border="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115" fillId="0" borderId="0" xfId="720" applyNumberFormat="1" applyFont="1" applyFill="1" applyAlignment="1" applyProtection="1">
      <alignment horizontal="left" vertical="center" wrapText="1"/>
    </xf>
    <xf numFmtId="0" fontId="69" fillId="0" borderId="0" xfId="0" applyFont="1" applyFill="1" applyAlignment="1" applyProtection="1">
      <alignment vertical="center" wrapText="1"/>
    </xf>
    <xf numFmtId="3" fontId="8" fillId="0" borderId="0" xfId="1540" applyFont="1" applyFill="1" applyAlignment="1" applyProtection="1">
      <alignment vertical="center" wrapText="1"/>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39" fontId="0" fillId="0" borderId="0" xfId="0" applyNumberFormat="1" applyProtection="1"/>
    <xf numFmtId="39" fontId="64" fillId="0" borderId="0" xfId="0" applyNumberFormat="1" applyFont="1" applyAlignment="1" applyProtection="1">
      <alignment horizontal="center"/>
    </xf>
    <xf numFmtId="39" fontId="65" fillId="21" borderId="0" xfId="0" applyNumberFormat="1" applyFont="1" applyFill="1" applyBorder="1" applyAlignment="1" applyProtection="1">
      <alignment horizontal="center" wrapText="1"/>
    </xf>
    <xf numFmtId="39" fontId="106" fillId="0" borderId="29" xfId="439" applyNumberFormat="1" applyFont="1" applyFill="1" applyBorder="1" applyAlignment="1" applyProtection="1">
      <alignment horizontal="center" vertical="center" wrapText="1"/>
    </xf>
    <xf numFmtId="39" fontId="106" fillId="0" borderId="28" xfId="439" applyNumberFormat="1" applyFont="1" applyFill="1" applyBorder="1" applyAlignment="1" applyProtection="1">
      <alignment horizontal="center" vertical="center" wrapText="1"/>
    </xf>
    <xf numFmtId="39" fontId="106" fillId="23" borderId="28" xfId="439" applyNumberFormat="1" applyFont="1" applyFill="1" applyBorder="1" applyAlignment="1" applyProtection="1">
      <alignment horizontal="center" vertical="center" wrapText="1"/>
    </xf>
    <xf numFmtId="39" fontId="0" fillId="22" borderId="28" xfId="0" applyNumberFormat="1" applyFill="1" applyBorder="1" applyAlignment="1" applyProtection="1">
      <alignment vertical="center"/>
    </xf>
    <xf numFmtId="39" fontId="0" fillId="22" borderId="27" xfId="0" applyNumberFormat="1" applyFill="1" applyBorder="1" applyAlignment="1" applyProtection="1">
      <alignment vertical="center"/>
    </xf>
    <xf numFmtId="39" fontId="0" fillId="0" borderId="0" xfId="0" applyNumberFormat="1" applyAlignment="1" applyProtection="1">
      <alignment vertical="center"/>
    </xf>
    <xf numFmtId="39" fontId="0" fillId="0" borderId="0" xfId="0" applyNumberFormat="1" applyFill="1" applyBorder="1" applyAlignment="1" applyProtection="1">
      <alignment horizontal="left" vertical="center" wrapText="1"/>
    </xf>
    <xf numFmtId="0" fontId="64" fillId="0" borderId="0" xfId="0" applyFont="1" applyAlignment="1" applyProtection="1">
      <alignment horizontal="left" vertical="center" wrapText="1"/>
    </xf>
    <xf numFmtId="0" fontId="65" fillId="0" borderId="0" xfId="0" applyFont="1" applyFill="1" applyAlignment="1" applyProtection="1">
      <alignment vertical="center" wrapText="1"/>
    </xf>
    <xf numFmtId="0" fontId="116" fillId="0" borderId="0" xfId="0" applyFont="1" applyProtection="1"/>
    <xf numFmtId="41" fontId="117"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0" fontId="6" fillId="0" borderId="0" xfId="0" applyNumberFormat="1" applyFont="1" applyFill="1" applyAlignment="1" applyProtection="1">
      <alignment horizontal="left" vertical="center" wrapText="1"/>
    </xf>
    <xf numFmtId="39" fontId="86" fillId="31" borderId="0" xfId="0" applyNumberFormat="1" applyFont="1" applyFill="1" applyBorder="1" applyAlignment="1" applyProtection="1">
      <alignment horizontal="center" wrapText="1"/>
    </xf>
    <xf numFmtId="0" fontId="0" fillId="32" borderId="0" xfId="0" applyNumberFormat="1" applyFont="1" applyFill="1" applyAlignment="1" applyProtection="1">
      <alignment horizontal="center" vertical="center"/>
    </xf>
    <xf numFmtId="0" fontId="88" fillId="32" borderId="0" xfId="0" applyFont="1" applyFill="1" applyAlignment="1" applyProtection="1">
      <alignment horizontal="center" vertical="center" wrapText="1"/>
    </xf>
    <xf numFmtId="43" fontId="115" fillId="0" borderId="28" xfId="439" applyNumberFormat="1" applyFont="1" applyBorder="1" applyAlignment="1" applyProtection="1">
      <alignment vertical="center"/>
    </xf>
    <xf numFmtId="0" fontId="64" fillId="33" borderId="25" xfId="0" applyNumberFormat="1" applyFont="1" applyFill="1" applyBorder="1" applyAlignment="1" applyProtection="1">
      <alignment horizontal="center" vertical="center"/>
    </xf>
    <xf numFmtId="0" fontId="0" fillId="33" borderId="23" xfId="0" applyFont="1" applyFill="1" applyBorder="1" applyAlignment="1" applyProtection="1">
      <alignment vertical="center" wrapText="1"/>
    </xf>
    <xf numFmtId="164" fontId="58" fillId="33" borderId="29" xfId="439" applyNumberFormat="1" applyFont="1" applyFill="1" applyBorder="1" applyAlignment="1" applyProtection="1">
      <alignment vertical="center"/>
    </xf>
    <xf numFmtId="0" fontId="114" fillId="33" borderId="0" xfId="0" applyFont="1" applyFill="1" applyAlignment="1" applyProtection="1">
      <alignment horizontal="center" vertical="center" wrapText="1"/>
    </xf>
    <xf numFmtId="164" fontId="106" fillId="0" borderId="23" xfId="439" applyNumberFormat="1" applyFont="1" applyFill="1" applyBorder="1" applyAlignment="1" applyProtection="1">
      <alignment horizontal="center" vertical="center" wrapText="1"/>
    </xf>
    <xf numFmtId="0" fontId="0" fillId="0" borderId="0" xfId="0" applyFill="1" applyProtection="1">
      <protection locked="0"/>
    </xf>
    <xf numFmtId="0" fontId="66" fillId="0" borderId="0" xfId="0" applyFont="1" applyFill="1" applyAlignment="1" applyProtection="1">
      <alignment wrapText="1"/>
      <protection locked="0"/>
    </xf>
    <xf numFmtId="0" fontId="112" fillId="0" borderId="0" xfId="0" applyFont="1" applyFill="1" applyAlignment="1" applyProtection="1">
      <alignment wrapText="1"/>
      <protection locked="0"/>
    </xf>
    <xf numFmtId="0" fontId="110" fillId="0" borderId="0" xfId="0" applyFont="1" applyAlignment="1" applyProtection="1">
      <alignment wrapText="1"/>
      <protection locked="0"/>
    </xf>
    <xf numFmtId="0" fontId="0" fillId="0" borderId="0" xfId="0" applyFont="1" applyProtection="1">
      <protection locked="0"/>
    </xf>
    <xf numFmtId="0" fontId="0" fillId="0" borderId="0" xfId="0" applyAlignment="1" applyProtection="1">
      <alignment horizontal="center"/>
    </xf>
    <xf numFmtId="0" fontId="0" fillId="0" borderId="0" xfId="0"/>
    <xf numFmtId="170" fontId="106" fillId="0" borderId="23" xfId="439" applyNumberFormat="1" applyFont="1" applyFill="1" applyBorder="1" applyAlignment="1" applyProtection="1">
      <alignment horizontal="center" vertical="center" wrapText="1"/>
    </xf>
    <xf numFmtId="39" fontId="106" fillId="0" borderId="28" xfId="439" applyNumberFormat="1" applyFont="1" applyFill="1" applyBorder="1" applyAlignment="1" applyProtection="1">
      <alignment horizontal="center" vertical="center" wrapText="1"/>
    </xf>
    <xf numFmtId="0" fontId="87" fillId="0" borderId="25" xfId="0" applyNumberFormat="1" applyFont="1" applyFill="1" applyBorder="1" applyAlignment="1" applyProtection="1">
      <alignment horizontal="left" vertical="center" wrapText="1"/>
    </xf>
    <xf numFmtId="0" fontId="66" fillId="0" borderId="25" xfId="0" applyNumberFormat="1" applyFont="1" applyFill="1" applyBorder="1" applyAlignment="1" applyProtection="1">
      <alignment horizontal="left" vertical="center" wrapText="1"/>
    </xf>
    <xf numFmtId="170" fontId="58" fillId="0" borderId="28" xfId="439" applyNumberFormat="1" applyFont="1" applyFill="1" applyBorder="1" applyAlignment="1" applyProtection="1">
      <alignment vertical="center"/>
    </xf>
    <xf numFmtId="172" fontId="58" fillId="0" borderId="28" xfId="439" applyNumberFormat="1" applyFont="1" applyFill="1" applyBorder="1" applyAlignment="1" applyProtection="1">
      <alignment vertical="center"/>
    </xf>
    <xf numFmtId="0" fontId="5" fillId="0" borderId="0" xfId="0" applyNumberFormat="1" applyFont="1" applyFill="1" applyAlignment="1" applyProtection="1">
      <alignment vertical="center" wrapText="1"/>
    </xf>
    <xf numFmtId="41" fontId="79" fillId="29" borderId="0" xfId="439" applyNumberFormat="1" applyFont="1" applyFill="1" applyAlignment="1" applyProtection="1">
      <alignment horizontal="center" vertical="center" wrapText="1"/>
      <protection locked="0"/>
    </xf>
    <xf numFmtId="0" fontId="70" fillId="0" borderId="0" xfId="0" applyNumberFormat="1" applyFont="1" applyFill="1" applyAlignment="1" applyProtection="1">
      <alignment vertical="center" wrapText="1"/>
    </xf>
    <xf numFmtId="164" fontId="100" fillId="22" borderId="0" xfId="439" applyNumberFormat="1" applyFont="1" applyFill="1" applyAlignment="1" applyProtection="1">
      <alignment horizontal="center" vertical="center" wrapText="1"/>
    </xf>
    <xf numFmtId="0" fontId="69" fillId="0" borderId="0" xfId="0" applyFont="1" applyFill="1" applyBorder="1" applyAlignment="1" applyProtection="1">
      <alignment vertical="center" wrapText="1"/>
    </xf>
    <xf numFmtId="164" fontId="58" fillId="0" borderId="29" xfId="439" applyNumberFormat="1" applyFont="1" applyFill="1" applyBorder="1" applyAlignment="1" applyProtection="1">
      <alignment vertical="center"/>
    </xf>
    <xf numFmtId="0" fontId="6" fillId="0" borderId="0" xfId="0" applyNumberFormat="1" applyFont="1" applyFill="1" applyAlignment="1" applyProtection="1">
      <alignment vertical="center" wrapText="1"/>
    </xf>
    <xf numFmtId="38" fontId="70" fillId="22" borderId="0" xfId="439" applyNumberFormat="1" applyFont="1" applyFill="1" applyAlignment="1" applyProtection="1">
      <alignment horizontal="center" vertical="center" wrapText="1"/>
    </xf>
    <xf numFmtId="41" fontId="67" fillId="0" borderId="0" xfId="0" applyNumberFormat="1" applyFont="1" applyFill="1" applyBorder="1" applyAlignment="1" applyProtection="1">
      <alignment wrapText="1"/>
      <protection locked="0"/>
    </xf>
    <xf numFmtId="0" fontId="65" fillId="0" borderId="0" xfId="0" applyFont="1" applyFill="1" applyAlignment="1" applyProtection="1">
      <alignment horizontal="left" wrapText="1" indent="2"/>
    </xf>
    <xf numFmtId="0" fontId="0" fillId="32" borderId="0" xfId="0" applyFont="1" applyFill="1" applyBorder="1" applyAlignment="1" applyProtection="1">
      <alignment vertical="center" wrapText="1"/>
    </xf>
    <xf numFmtId="0" fontId="115" fillId="0" borderId="0" xfId="0" applyNumberFormat="1" applyFont="1" applyFill="1" applyAlignment="1" applyProtection="1">
      <alignment horizontal="left" vertical="center" wrapText="1"/>
    </xf>
    <xf numFmtId="41" fontId="106" fillId="0" borderId="23" xfId="439" applyNumberFormat="1" applyFont="1" applyFill="1" applyBorder="1" applyAlignment="1" applyProtection="1">
      <alignment horizontal="center" vertical="center" wrapText="1"/>
    </xf>
    <xf numFmtId="0" fontId="79" fillId="0" borderId="23" xfId="439" applyNumberFormat="1" applyFont="1" applyFill="1" applyBorder="1" applyAlignment="1" applyProtection="1">
      <alignment horizontal="center" vertical="center" wrapText="1"/>
    </xf>
    <xf numFmtId="41" fontId="118" fillId="0" borderId="0" xfId="0" applyNumberFormat="1" applyFont="1" applyFill="1" applyAlignment="1" applyProtection="1">
      <alignment wrapText="1"/>
    </xf>
    <xf numFmtId="0" fontId="116" fillId="0" borderId="0" xfId="0" applyFont="1" applyFill="1" applyAlignment="1" applyProtection="1">
      <alignment horizontal="center" vertical="center"/>
    </xf>
    <xf numFmtId="0" fontId="0" fillId="0" borderId="0" xfId="0" applyFont="1" applyFill="1" applyAlignment="1" applyProtection="1">
      <alignment horizontal="center" vertical="center"/>
    </xf>
    <xf numFmtId="41" fontId="119" fillId="0" borderId="0" xfId="0" applyNumberFormat="1" applyFont="1" applyFill="1" applyAlignment="1" applyProtection="1">
      <alignment wrapText="1"/>
    </xf>
    <xf numFmtId="0" fontId="0" fillId="0" borderId="0" xfId="0" applyProtection="1"/>
    <xf numFmtId="0" fontId="0" fillId="0" borderId="0" xfId="0" applyFill="1" applyProtection="1"/>
    <xf numFmtId="0" fontId="0" fillId="0" borderId="0" xfId="0" applyProtection="1">
      <protection locked="0"/>
    </xf>
    <xf numFmtId="0" fontId="83" fillId="0" borderId="0" xfId="0" applyFont="1" applyFill="1" applyAlignment="1" applyProtection="1">
      <alignment horizontal="center" vertical="center" wrapText="1"/>
    </xf>
    <xf numFmtId="0" fontId="106" fillId="0" borderId="23" xfId="439" applyNumberFormat="1" applyFont="1" applyFill="1" applyBorder="1" applyAlignment="1" applyProtection="1">
      <alignment horizontal="center" vertical="center" wrapText="1"/>
    </xf>
    <xf numFmtId="164" fontId="106" fillId="0" borderId="23" xfId="439" applyNumberFormat="1" applyFont="1" applyFill="1" applyBorder="1" applyAlignment="1" applyProtection="1">
      <alignment horizontal="center" vertical="center" wrapText="1"/>
    </xf>
    <xf numFmtId="164" fontId="106" fillId="29" borderId="23" xfId="439" applyNumberFormat="1" applyFont="1" applyFill="1" applyBorder="1" applyAlignment="1" applyProtection="1">
      <alignment horizontal="center" vertical="center" wrapText="1"/>
      <protection locked="0"/>
    </xf>
    <xf numFmtId="164" fontId="106" fillId="29" borderId="31" xfId="439"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wrapText="1"/>
    </xf>
    <xf numFmtId="39" fontId="106" fillId="0" borderId="28" xfId="439"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164" fontId="106" fillId="0" borderId="0" xfId="439" applyNumberFormat="1" applyFont="1" applyFill="1" applyBorder="1" applyAlignment="1" applyProtection="1">
      <alignment horizontal="center" vertical="center" wrapText="1"/>
    </xf>
    <xf numFmtId="170" fontId="106" fillId="29" borderId="23" xfId="439" applyNumberFormat="1" applyFont="1" applyFill="1" applyBorder="1" applyAlignment="1" applyProtection="1">
      <alignment horizontal="center" vertical="center" wrapText="1"/>
      <protection locked="0"/>
    </xf>
    <xf numFmtId="164" fontId="106" fillId="0" borderId="23" xfId="439" applyNumberFormat="1" applyFont="1" applyFill="1" applyBorder="1" applyAlignment="1" applyProtection="1">
      <alignment horizontal="center" vertical="center" wrapText="1"/>
    </xf>
    <xf numFmtId="0" fontId="0" fillId="0" borderId="23" xfId="0" applyFont="1" applyFill="1" applyBorder="1" applyAlignment="1" applyProtection="1">
      <alignment vertical="center" wrapText="1"/>
    </xf>
    <xf numFmtId="0" fontId="64" fillId="0" borderId="25" xfId="0" applyNumberFormat="1" applyFont="1" applyFill="1" applyBorder="1" applyAlignment="1" applyProtection="1">
      <alignment horizontal="center" vertical="center"/>
    </xf>
    <xf numFmtId="164" fontId="58" fillId="0" borderId="28" xfId="439" applyNumberFormat="1" applyFont="1" applyFill="1" applyBorder="1" applyAlignment="1" applyProtection="1">
      <alignment vertical="center"/>
    </xf>
    <xf numFmtId="0" fontId="0" fillId="0" borderId="23" xfId="0" applyNumberFormat="1" applyFill="1" applyBorder="1" applyAlignment="1" applyProtection="1">
      <alignment horizontal="left" vertical="center" wrapText="1"/>
    </xf>
    <xf numFmtId="0" fontId="0" fillId="0" borderId="25" xfId="0" applyNumberFormat="1" applyFill="1" applyBorder="1" applyAlignment="1" applyProtection="1">
      <alignment horizontal="left" vertical="center" wrapText="1"/>
    </xf>
    <xf numFmtId="0" fontId="106" fillId="0" borderId="23" xfId="0" applyNumberFormat="1" applyFont="1" applyFill="1" applyBorder="1" applyAlignment="1" applyProtection="1">
      <alignment horizontal="left" vertical="center" wrapText="1"/>
    </xf>
    <xf numFmtId="164" fontId="106" fillId="0" borderId="0" xfId="439" applyNumberFormat="1" applyFont="1" applyFill="1" applyBorder="1" applyAlignment="1" applyProtection="1">
      <alignment horizontal="center" vertical="center" wrapText="1"/>
    </xf>
    <xf numFmtId="0" fontId="60" fillId="0" borderId="0" xfId="611"/>
    <xf numFmtId="0" fontId="1" fillId="0" borderId="0" xfId="0" applyNumberFormat="1" applyFont="1" applyFill="1" applyAlignment="1" applyProtection="1">
      <alignment horizontal="left" vertical="center" wrapText="1"/>
    </xf>
    <xf numFmtId="0" fontId="0" fillId="0" borderId="0" xfId="0" applyNumberFormat="1" applyFill="1" applyAlignment="1" applyProtection="1">
      <alignment vertical="center" wrapText="1"/>
    </xf>
    <xf numFmtId="0" fontId="5" fillId="0" borderId="0" xfId="0" applyFont="1" applyFill="1" applyAlignment="1" applyProtection="1">
      <alignment vertical="center" wrapText="1"/>
    </xf>
    <xf numFmtId="0" fontId="69" fillId="0" borderId="0" xfId="0" applyFont="1" applyFill="1" applyAlignment="1" applyProtection="1">
      <alignment horizontal="left" vertical="center"/>
    </xf>
    <xf numFmtId="0" fontId="105" fillId="0" borderId="0" xfId="0" applyFont="1" applyFill="1" applyAlignment="1" applyProtection="1">
      <alignment horizontal="center" wrapText="1"/>
    </xf>
    <xf numFmtId="0" fontId="69" fillId="0" borderId="0" xfId="0" applyFont="1" applyFill="1" applyAlignment="1" applyProtection="1">
      <alignment vertical="center"/>
    </xf>
    <xf numFmtId="0" fontId="0" fillId="0" borderId="0" xfId="0" applyFont="1" applyFill="1" applyBorder="1" applyAlignment="1" applyProtection="1">
      <alignment vertical="center" wrapText="1"/>
    </xf>
    <xf numFmtId="43" fontId="115" fillId="0" borderId="28" xfId="439" applyNumberFormat="1" applyFont="1" applyBorder="1" applyAlignment="1" applyProtection="1">
      <alignment vertical="center"/>
    </xf>
    <xf numFmtId="175" fontId="115" fillId="0" borderId="28" xfId="439" applyNumberFormat="1" applyFont="1" applyBorder="1" applyAlignment="1" applyProtection="1">
      <alignment vertical="center"/>
    </xf>
    <xf numFmtId="37" fontId="107" fillId="34" borderId="28" xfId="439" applyNumberFormat="1" applyFont="1" applyFill="1" applyBorder="1" applyAlignment="1" applyProtection="1">
      <alignment horizontal="center" vertical="center" wrapText="1"/>
    </xf>
    <xf numFmtId="37" fontId="64" fillId="0" borderId="28" xfId="439" applyNumberFormat="1" applyFont="1" applyFill="1" applyBorder="1" applyAlignment="1" applyProtection="1">
      <alignment horizontal="center" vertical="center" wrapText="1"/>
    </xf>
    <xf numFmtId="37" fontId="107" fillId="0" borderId="28" xfId="439" applyNumberFormat="1" applyFont="1" applyFill="1" applyBorder="1" applyAlignment="1" applyProtection="1">
      <alignment horizontal="center" vertical="center" wrapText="1"/>
    </xf>
    <xf numFmtId="37" fontId="64" fillId="23" borderId="28" xfId="439" applyNumberFormat="1" applyFont="1" applyFill="1" applyBorder="1" applyAlignment="1" applyProtection="1">
      <alignment horizontal="center" vertical="center" wrapText="1"/>
    </xf>
    <xf numFmtId="41" fontId="58" fillId="0" borderId="0" xfId="439" applyNumberFormat="1" applyFont="1" applyAlignment="1" applyProtection="1">
      <alignment vertical="center"/>
    </xf>
    <xf numFmtId="0" fontId="64" fillId="0" borderId="24" xfId="0" applyNumberFormat="1" applyFont="1" applyFill="1" applyBorder="1" applyAlignment="1" applyProtection="1">
      <alignment horizontal="center" vertical="center"/>
    </xf>
    <xf numFmtId="164" fontId="58" fillId="35" borderId="28" xfId="439" applyNumberFormat="1" applyFont="1" applyFill="1" applyBorder="1" applyAlignment="1" applyProtection="1">
      <alignment vertical="center"/>
    </xf>
    <xf numFmtId="0" fontId="69" fillId="0" borderId="0" xfId="0" applyNumberFormat="1" applyFont="1" applyFill="1" applyAlignment="1" applyProtection="1">
      <alignment horizontal="left" vertical="center" wrapText="1"/>
    </xf>
    <xf numFmtId="0" fontId="0" fillId="35" borderId="25" xfId="0" applyNumberFormat="1" applyFill="1" applyBorder="1" applyAlignment="1" applyProtection="1">
      <alignment horizontal="left" vertical="center" wrapText="1"/>
    </xf>
    <xf numFmtId="0" fontId="64" fillId="35" borderId="24" xfId="0" applyNumberFormat="1" applyFont="1" applyFill="1" applyBorder="1" applyAlignment="1" applyProtection="1">
      <alignment horizontal="center" vertical="center"/>
    </xf>
    <xf numFmtId="0" fontId="106" fillId="35" borderId="23" xfId="0" applyNumberFormat="1" applyFont="1" applyFill="1" applyBorder="1" applyAlignment="1" applyProtection="1">
      <alignment horizontal="left" vertical="center" wrapText="1"/>
    </xf>
    <xf numFmtId="0" fontId="0" fillId="35" borderId="23" xfId="0" applyNumberFormat="1" applyFill="1" applyBorder="1" applyAlignment="1" applyProtection="1">
      <alignment horizontal="left" vertical="center" wrapText="1"/>
    </xf>
    <xf numFmtId="49" fontId="64" fillId="0" borderId="25" xfId="0" applyNumberFormat="1" applyFont="1" applyFill="1" applyBorder="1" applyAlignment="1" applyProtection="1">
      <alignment horizontal="center" vertical="center"/>
    </xf>
    <xf numFmtId="0" fontId="0" fillId="0" borderId="23" xfId="0" applyNumberFormat="1" applyFont="1" applyFill="1" applyBorder="1" applyAlignment="1" applyProtection="1">
      <alignment vertical="center" wrapText="1"/>
    </xf>
    <xf numFmtId="0" fontId="0" fillId="0" borderId="0" xfId="0" applyFont="1" applyFill="1" applyAlignment="1">
      <alignment vertical="center" wrapText="1"/>
    </xf>
    <xf numFmtId="165" fontId="106" fillId="29" borderId="23" xfId="439" applyNumberFormat="1" applyFont="1" applyFill="1" applyBorder="1" applyAlignment="1" applyProtection="1">
      <alignment horizontal="center" vertical="center" wrapText="1"/>
      <protection locked="0"/>
    </xf>
    <xf numFmtId="2" fontId="0" fillId="0" borderId="0" xfId="0" applyNumberFormat="1" applyProtection="1"/>
    <xf numFmtId="168" fontId="0" fillId="0" borderId="0" xfId="0" applyNumberFormat="1" applyProtection="1"/>
    <xf numFmtId="39" fontId="106" fillId="36" borderId="0" xfId="439" applyNumberFormat="1" applyFont="1" applyFill="1" applyBorder="1" applyAlignment="1" applyProtection="1">
      <alignment horizontal="center" vertical="center" wrapText="1"/>
    </xf>
    <xf numFmtId="0" fontId="0" fillId="36" borderId="0" xfId="0" applyFill="1" applyAlignment="1" applyProtection="1">
      <alignment horizontal="center" vertical="center"/>
    </xf>
    <xf numFmtId="39" fontId="106" fillId="35" borderId="28" xfId="439" applyNumberFormat="1" applyFont="1" applyFill="1" applyBorder="1" applyAlignment="1" applyProtection="1">
      <alignment horizontal="center" vertical="center" wrapText="1"/>
    </xf>
    <xf numFmtId="0" fontId="0" fillId="28" borderId="0" xfId="0" applyNumberFormat="1" applyFont="1" applyFill="1" applyAlignment="1" applyProtection="1">
      <alignment vertical="center" wrapText="1"/>
    </xf>
    <xf numFmtId="41" fontId="119" fillId="28" borderId="0" xfId="0" applyNumberFormat="1" applyFont="1" applyFill="1" applyAlignment="1" applyProtection="1">
      <alignment wrapText="1"/>
    </xf>
    <xf numFmtId="0" fontId="0" fillId="22" borderId="25" xfId="0" applyNumberFormat="1" applyFill="1" applyBorder="1" applyAlignment="1" applyProtection="1">
      <alignment horizontal="left" vertical="center" wrapText="1"/>
    </xf>
    <xf numFmtId="0" fontId="106" fillId="22" borderId="25" xfId="0" applyNumberFormat="1" applyFont="1" applyFill="1" applyBorder="1" applyAlignment="1" applyProtection="1">
      <alignment horizontal="left" vertical="center" wrapText="1"/>
    </xf>
    <xf numFmtId="0" fontId="0" fillId="22" borderId="23" xfId="0" applyNumberFormat="1" applyFill="1" applyBorder="1" applyAlignment="1" applyProtection="1">
      <alignment horizontal="left" vertical="center" wrapText="1"/>
    </xf>
    <xf numFmtId="0" fontId="69" fillId="22" borderId="24" xfId="0" applyFont="1" applyFill="1" applyBorder="1" applyAlignment="1" applyProtection="1">
      <alignment horizontal="center" vertical="center"/>
    </xf>
    <xf numFmtId="0" fontId="105" fillId="22" borderId="24" xfId="0" applyFont="1" applyFill="1" applyBorder="1" applyAlignment="1" applyProtection="1">
      <alignment horizontal="center" vertical="center"/>
    </xf>
    <xf numFmtId="0" fontId="0" fillId="22" borderId="30" xfId="0" applyNumberFormat="1" applyFill="1" applyBorder="1" applyAlignment="1" applyProtection="1">
      <alignment horizontal="left" vertical="center" wrapText="1"/>
    </xf>
    <xf numFmtId="0" fontId="69" fillId="35" borderId="34" xfId="0" applyFont="1" applyFill="1" applyBorder="1" applyAlignment="1" applyProtection="1">
      <alignment vertical="center" wrapText="1"/>
    </xf>
    <xf numFmtId="168" fontId="0" fillId="36" borderId="0" xfId="0" applyNumberFormat="1" applyFill="1" applyAlignment="1" applyProtection="1">
      <alignment wrapText="1"/>
    </xf>
    <xf numFmtId="39" fontId="106" fillId="0" borderId="0" xfId="439" applyNumberFormat="1" applyFont="1" applyFill="1" applyBorder="1" applyAlignment="1" applyProtection="1">
      <alignment horizontal="center" vertical="center" wrapText="1"/>
    </xf>
    <xf numFmtId="168" fontId="0" fillId="0" borderId="0" xfId="0" applyNumberFormat="1" applyFill="1" applyAlignment="1" applyProtection="1">
      <alignment wrapText="1"/>
    </xf>
    <xf numFmtId="164" fontId="0" fillId="0" borderId="0" xfId="0" applyNumberFormat="1" applyFont="1" applyFill="1" applyProtection="1"/>
    <xf numFmtId="164" fontId="106" fillId="35" borderId="23" xfId="439" applyNumberFormat="1" applyFont="1" applyFill="1" applyBorder="1" applyAlignment="1" applyProtection="1">
      <alignment horizontal="center" vertical="center" wrapText="1"/>
    </xf>
    <xf numFmtId="41" fontId="67" fillId="0" borderId="0" xfId="0" applyNumberFormat="1" applyFont="1" applyFill="1" applyAlignment="1" applyProtection="1">
      <alignment wrapText="1"/>
    </xf>
    <xf numFmtId="164" fontId="106" fillId="35" borderId="29" xfId="439" applyNumberFormat="1" applyFont="1" applyFill="1" applyBorder="1" applyAlignment="1" applyProtection="1">
      <alignment horizontal="center" vertical="center" wrapText="1"/>
    </xf>
    <xf numFmtId="3" fontId="0" fillId="0" borderId="0" xfId="0" applyNumberFormat="1" applyProtection="1"/>
    <xf numFmtId="3" fontId="0" fillId="0" borderId="0" xfId="0" applyNumberFormat="1" applyFill="1" applyProtection="1"/>
    <xf numFmtId="169" fontId="58" fillId="35" borderId="28" xfId="439" applyNumberFormat="1" applyFont="1" applyFill="1" applyBorder="1" applyAlignment="1" applyProtection="1">
      <alignment vertical="center"/>
    </xf>
    <xf numFmtId="164" fontId="106" fillId="35" borderId="31" xfId="439" applyNumberFormat="1" applyFont="1" applyFill="1" applyBorder="1" applyAlignment="1" applyProtection="1">
      <alignment horizontal="center" vertical="center" wrapText="1"/>
    </xf>
    <xf numFmtId="0" fontId="0" fillId="0" borderId="0" xfId="0" applyFont="1" applyFill="1" applyAlignment="1" applyProtection="1">
      <alignment horizontal="left" vertical="center" wrapText="1"/>
    </xf>
    <xf numFmtId="0" fontId="0" fillId="0" borderId="0" xfId="0" applyFill="1" applyAlignment="1">
      <alignment vertical="center" wrapText="1"/>
    </xf>
    <xf numFmtId="164" fontId="106" fillId="35" borderId="23" xfId="439" applyNumberFormat="1" applyFont="1" applyFill="1" applyBorder="1" applyAlignment="1" applyProtection="1">
      <alignment horizontal="center" vertical="center" wrapText="1"/>
      <protection locked="0"/>
    </xf>
    <xf numFmtId="0" fontId="64" fillId="35" borderId="0" xfId="0" applyFont="1" applyFill="1" applyProtection="1"/>
    <xf numFmtId="0" fontId="0" fillId="35" borderId="0" xfId="0" applyFill="1" applyAlignment="1" applyProtection="1">
      <alignment wrapText="1"/>
    </xf>
    <xf numFmtId="0" fontId="0" fillId="35" borderId="0" xfId="0" applyFill="1" applyProtection="1"/>
    <xf numFmtId="0" fontId="0" fillId="35" borderId="35" xfId="0" applyNumberFormat="1" applyFont="1" applyFill="1" applyBorder="1" applyAlignment="1" applyProtection="1">
      <alignment horizontal="left" vertical="center" wrapText="1"/>
    </xf>
    <xf numFmtId="0" fontId="0" fillId="35" borderId="35" xfId="0" applyNumberFormat="1" applyFont="1" applyFill="1" applyBorder="1" applyAlignment="1" applyProtection="1">
      <alignment horizontal="left" vertical="center" wrapText="1"/>
    </xf>
    <xf numFmtId="14" fontId="0" fillId="37" borderId="0" xfId="0" applyNumberFormat="1" applyFill="1" applyProtection="1"/>
    <xf numFmtId="0" fontId="0" fillId="35" borderId="35" xfId="0" applyNumberFormat="1" applyFont="1" applyFill="1" applyBorder="1" applyAlignment="1" applyProtection="1">
      <alignment horizontal="center" vertical="center" wrapText="1"/>
    </xf>
    <xf numFmtId="0" fontId="0" fillId="35" borderId="0" xfId="0" applyFill="1" applyAlignment="1">
      <alignment horizontal="left" vertical="center" wrapText="1"/>
    </xf>
    <xf numFmtId="37" fontId="58" fillId="35" borderId="28" xfId="439" applyNumberFormat="1" applyFont="1" applyFill="1" applyBorder="1" applyAlignment="1" applyProtection="1">
      <alignment horizontal="center" vertical="center" wrapText="1"/>
    </xf>
    <xf numFmtId="39" fontId="0" fillId="35" borderId="28" xfId="439" applyNumberFormat="1" applyFont="1" applyFill="1" applyBorder="1" applyAlignment="1" applyProtection="1">
      <alignment horizontal="center" vertical="center" wrapText="1"/>
    </xf>
    <xf numFmtId="39" fontId="0" fillId="35" borderId="28" xfId="439" applyNumberFormat="1" applyFont="1" applyFill="1" applyBorder="1" applyAlignment="1" applyProtection="1">
      <alignment vertical="center" wrapText="1"/>
    </xf>
    <xf numFmtId="176" fontId="64" fillId="29" borderId="0" xfId="439" applyNumberFormat="1" applyFont="1" applyFill="1" applyAlignment="1" applyProtection="1">
      <alignment horizontal="center" vertical="center"/>
      <protection locked="0"/>
    </xf>
    <xf numFmtId="37" fontId="64" fillId="28" borderId="0" xfId="439" applyNumberFormat="1" applyFont="1" applyFill="1" applyAlignment="1" applyProtection="1">
      <alignment horizontal="center" vertical="center"/>
    </xf>
    <xf numFmtId="3" fontId="64" fillId="29" borderId="0" xfId="439" applyNumberFormat="1" applyFont="1" applyFill="1" applyAlignment="1" applyProtection="1">
      <alignment horizontal="center" vertical="center" wrapText="1"/>
      <protection locked="0"/>
    </xf>
    <xf numFmtId="3" fontId="0" fillId="0" borderId="0" xfId="0" applyNumberFormat="1" applyFill="1" applyAlignment="1" applyProtection="1">
      <alignment horizontal="center" vertical="center" wrapText="1"/>
    </xf>
    <xf numFmtId="3" fontId="0" fillId="0" borderId="0" xfId="0" applyNumberFormat="1" applyAlignment="1" applyProtection="1">
      <alignment horizontal="center" vertical="center"/>
    </xf>
    <xf numFmtId="3" fontId="64" fillId="22" borderId="0" xfId="439" applyNumberFormat="1" applyFont="1" applyFill="1" applyAlignment="1" applyProtection="1">
      <alignment horizontal="center" vertical="center" wrapText="1"/>
    </xf>
    <xf numFmtId="3" fontId="64" fillId="0" borderId="0" xfId="439" applyNumberFormat="1" applyFont="1" applyFill="1" applyAlignment="1" applyProtection="1">
      <alignment horizontal="center" vertical="center" wrapText="1"/>
    </xf>
    <xf numFmtId="3" fontId="64" fillId="28" borderId="0" xfId="439" applyNumberFormat="1" applyFont="1" applyFill="1" applyAlignment="1" applyProtection="1">
      <alignment horizontal="center" vertical="center"/>
    </xf>
    <xf numFmtId="3" fontId="65" fillId="28" borderId="0" xfId="0" applyNumberFormat="1" applyFont="1" applyFill="1" applyAlignment="1" applyProtection="1">
      <alignment horizontal="center" vertical="center" wrapText="1"/>
    </xf>
    <xf numFmtId="3" fontId="65" fillId="28" borderId="0" xfId="0" applyNumberFormat="1" applyFont="1" applyFill="1" applyAlignment="1" applyProtection="1">
      <alignment horizontal="center" vertical="center"/>
    </xf>
    <xf numFmtId="3" fontId="58" fillId="28" borderId="0" xfId="439" applyNumberFormat="1" applyFont="1" applyFill="1" applyAlignment="1" applyProtection="1">
      <alignment horizontal="center" vertical="center"/>
    </xf>
    <xf numFmtId="2" fontId="65" fillId="28" borderId="0" xfId="0" applyNumberFormat="1" applyFont="1" applyFill="1" applyAlignment="1" applyProtection="1">
      <alignment horizontal="center" vertical="center" wrapText="1"/>
    </xf>
    <xf numFmtId="37" fontId="58" fillId="29" borderId="0" xfId="439" applyNumberFormat="1" applyFont="1" applyFill="1" applyAlignment="1" applyProtection="1">
      <alignment horizontal="center" vertical="center"/>
      <protection locked="0"/>
    </xf>
    <xf numFmtId="37" fontId="58" fillId="28" borderId="0" xfId="439" applyNumberFormat="1" applyFont="1" applyFill="1" applyAlignment="1" applyProtection="1">
      <alignment horizontal="center" vertical="center"/>
    </xf>
    <xf numFmtId="37" fontId="64" fillId="29" borderId="0" xfId="439" applyNumberFormat="1" applyFont="1" applyFill="1" applyAlignment="1" applyProtection="1">
      <alignment horizontal="center" vertical="center"/>
      <protection locked="0"/>
    </xf>
    <xf numFmtId="169" fontId="64" fillId="0" borderId="0" xfId="439" applyNumberFormat="1" applyFont="1" applyFill="1" applyAlignment="1" applyProtection="1">
      <alignment horizontal="center" vertical="center"/>
      <protection locked="0"/>
    </xf>
    <xf numFmtId="0" fontId="72" fillId="28" borderId="0" xfId="0" applyFont="1" applyFill="1" applyAlignment="1" applyProtection="1">
      <alignment horizontal="center" vertical="center"/>
    </xf>
    <xf numFmtId="2" fontId="64" fillId="29" borderId="0" xfId="439" applyNumberFormat="1" applyFont="1" applyFill="1" applyAlignment="1" applyProtection="1">
      <alignment horizontal="center" vertical="center"/>
      <protection locked="0"/>
    </xf>
    <xf numFmtId="3" fontId="64" fillId="29" borderId="0" xfId="439" applyNumberFormat="1" applyFont="1" applyFill="1" applyAlignment="1" applyProtection="1">
      <alignment horizontal="center" vertical="center"/>
      <protection locked="0"/>
    </xf>
    <xf numFmtId="164" fontId="58" fillId="22" borderId="0" xfId="439" applyNumberFormat="1" applyFont="1" applyFill="1" applyAlignment="1" applyProtection="1">
      <alignment horizontal="center" vertical="center"/>
    </xf>
    <xf numFmtId="174" fontId="64" fillId="29" borderId="0" xfId="439" applyNumberFormat="1" applyFont="1" applyFill="1" applyAlignment="1" applyProtection="1">
      <alignment horizontal="center" vertical="center"/>
      <protection locked="0"/>
    </xf>
    <xf numFmtId="0" fontId="65" fillId="28" borderId="0" xfId="0" applyFont="1" applyFill="1" applyAlignment="1" applyProtection="1">
      <alignment horizontal="center" vertical="center"/>
    </xf>
    <xf numFmtId="0" fontId="65" fillId="28" borderId="0" xfId="0" applyFont="1" applyFill="1" applyAlignment="1" applyProtection="1">
      <alignment horizontal="center" vertical="center" wrapText="1"/>
    </xf>
    <xf numFmtId="164" fontId="58" fillId="28" borderId="0" xfId="439" applyNumberFormat="1" applyFont="1" applyFill="1" applyAlignment="1" applyProtection="1">
      <alignment horizontal="center" vertical="center"/>
    </xf>
    <xf numFmtId="164" fontId="64" fillId="28" borderId="0" xfId="439" applyNumberFormat="1" applyFont="1" applyFill="1" applyAlignment="1" applyProtection="1">
      <alignment horizontal="center" vertical="center"/>
    </xf>
    <xf numFmtId="164" fontId="58" fillId="0" borderId="28" xfId="439" applyNumberFormat="1" applyFont="1" applyFill="1" applyBorder="1" applyAlignment="1" applyProtection="1">
      <alignment vertical="center"/>
    </xf>
    <xf numFmtId="164" fontId="58" fillId="30" borderId="28" xfId="439" applyNumberFormat="1" applyFont="1" applyFill="1" applyBorder="1" applyAlignment="1" applyProtection="1">
      <alignment vertical="center"/>
    </xf>
    <xf numFmtId="164" fontId="64" fillId="29" borderId="0" xfId="439" applyNumberFormat="1" applyFont="1" applyFill="1" applyAlignment="1" applyProtection="1">
      <alignment horizontal="center" vertical="center"/>
      <protection locked="0"/>
    </xf>
    <xf numFmtId="38" fontId="70" fillId="0" borderId="14" xfId="439" applyNumberFormat="1" applyFont="1" applyFill="1" applyBorder="1" applyAlignment="1" applyProtection="1">
      <alignment horizontal="center" vertical="center" wrapText="1"/>
    </xf>
    <xf numFmtId="0" fontId="69" fillId="0" borderId="34" xfId="0" applyFont="1" applyFill="1" applyBorder="1" applyAlignment="1" applyProtection="1">
      <alignment vertical="center" wrapText="1"/>
    </xf>
    <xf numFmtId="169" fontId="58" fillId="0" borderId="28" xfId="439" applyNumberFormat="1" applyFont="1" applyFill="1" applyBorder="1" applyAlignment="1" applyProtection="1">
      <alignment vertical="center"/>
    </xf>
    <xf numFmtId="0" fontId="0" fillId="0" borderId="0" xfId="0" applyAlignment="1" applyProtection="1">
      <alignment horizontal="center" vertical="center" wrapText="1"/>
    </xf>
    <xf numFmtId="177" fontId="66" fillId="0" borderId="0" xfId="0" applyNumberFormat="1" applyFont="1" applyAlignment="1" applyProtection="1">
      <alignment wrapText="1"/>
    </xf>
    <xf numFmtId="0" fontId="0" fillId="0" borderId="25" xfId="0" applyNumberFormat="1" applyFont="1" applyFill="1" applyBorder="1" applyAlignment="1" applyProtection="1">
      <alignment horizontal="left" vertical="center" wrapText="1"/>
    </xf>
    <xf numFmtId="0" fontId="0" fillId="0" borderId="23" xfId="0" applyNumberFormat="1" applyFont="1" applyFill="1" applyBorder="1" applyAlignment="1" applyProtection="1">
      <alignment horizontal="left" vertical="center" wrapText="1"/>
    </xf>
    <xf numFmtId="0" fontId="0" fillId="0" borderId="25" xfId="0" applyNumberFormat="1" applyFont="1" applyFill="1" applyBorder="1" applyAlignment="1" applyProtection="1">
      <alignment horizontal="center" vertical="center" wrapText="1"/>
    </xf>
    <xf numFmtId="0" fontId="0" fillId="0" borderId="25" xfId="0" applyNumberFormat="1" applyFill="1" applyBorder="1" applyAlignment="1" applyProtection="1">
      <alignment horizontal="center" vertical="center" wrapText="1"/>
    </xf>
    <xf numFmtId="165" fontId="58" fillId="0" borderId="28" xfId="439" applyNumberFormat="1" applyFont="1" applyFill="1" applyBorder="1" applyAlignment="1" applyProtection="1">
      <alignment vertical="center"/>
    </xf>
    <xf numFmtId="43" fontId="58" fillId="0" borderId="28" xfId="439" applyNumberFormat="1" applyFont="1" applyFill="1" applyBorder="1" applyAlignment="1" applyProtection="1">
      <alignment vertical="center"/>
    </xf>
    <xf numFmtId="0" fontId="0" fillId="0" borderId="10" xfId="0" applyFont="1" applyFill="1" applyBorder="1" applyAlignment="1" applyProtection="1">
      <alignment horizontal="left" vertical="center" wrapText="1"/>
    </xf>
    <xf numFmtId="174" fontId="106" fillId="0" borderId="23" xfId="439" applyNumberFormat="1" applyFont="1" applyFill="1" applyBorder="1" applyAlignment="1" applyProtection="1">
      <alignment horizontal="right" vertical="center" wrapText="1"/>
    </xf>
    <xf numFmtId="171" fontId="106" fillId="0" borderId="29" xfId="439" applyNumberFormat="1" applyFont="1" applyFill="1" applyBorder="1" applyAlignment="1" applyProtection="1">
      <alignment horizontal="center" vertical="center" wrapText="1"/>
    </xf>
    <xf numFmtId="165" fontId="106" fillId="0" borderId="29" xfId="439" applyNumberFormat="1" applyFont="1" applyFill="1" applyBorder="1" applyAlignment="1" applyProtection="1">
      <alignment horizontal="center" vertical="center" wrapText="1"/>
    </xf>
    <xf numFmtId="171" fontId="106" fillId="0" borderId="29" xfId="439" applyNumberFormat="1" applyFont="1" applyFill="1" applyBorder="1" applyAlignment="1" applyProtection="1">
      <alignment horizontal="right" vertical="center" wrapText="1"/>
    </xf>
    <xf numFmtId="165" fontId="106" fillId="0" borderId="23" xfId="439" applyNumberFormat="1" applyFont="1" applyFill="1" applyBorder="1" applyAlignment="1" applyProtection="1">
      <alignment horizontal="center" vertical="center" wrapText="1"/>
    </xf>
    <xf numFmtId="0" fontId="106" fillId="35" borderId="25" xfId="0" applyNumberFormat="1" applyFont="1" applyFill="1" applyBorder="1" applyAlignment="1" applyProtection="1">
      <alignment horizontal="left" vertical="center" wrapText="1"/>
    </xf>
    <xf numFmtId="0" fontId="69" fillId="35" borderId="0" xfId="0" applyFont="1" applyFill="1" applyAlignment="1" applyProtection="1">
      <alignment vertical="center" wrapText="1"/>
      <protection locked="0"/>
    </xf>
    <xf numFmtId="0" fontId="64" fillId="0" borderId="0" xfId="0" applyFont="1" applyProtection="1"/>
    <xf numFmtId="0" fontId="114" fillId="0" borderId="0" xfId="0" applyFont="1" applyProtection="1"/>
    <xf numFmtId="164" fontId="106" fillId="35" borderId="28" xfId="439" applyNumberFormat="1" applyFont="1" applyFill="1" applyBorder="1" applyAlignment="1" applyProtection="1">
      <alignment horizontal="center" vertical="center" wrapText="1"/>
    </xf>
    <xf numFmtId="0" fontId="0" fillId="0" borderId="0" xfId="0" applyProtection="1"/>
    <xf numFmtId="0" fontId="125" fillId="0" borderId="0" xfId="0" applyFont="1" applyFill="1" applyAlignment="1" applyProtection="1">
      <alignment wrapText="1"/>
    </xf>
    <xf numFmtId="0" fontId="87" fillId="35" borderId="25" xfId="0" applyNumberFormat="1" applyFont="1" applyFill="1" applyBorder="1" applyAlignment="1" applyProtection="1">
      <alignment horizontal="left" vertical="center" wrapText="1"/>
    </xf>
    <xf numFmtId="0" fontId="126" fillId="0" borderId="0" xfId="0" applyFont="1" applyAlignment="1" applyProtection="1">
      <alignment wrapText="1"/>
    </xf>
    <xf numFmtId="0" fontId="66" fillId="35" borderId="25" xfId="0" applyNumberFormat="1" applyFont="1" applyFill="1" applyBorder="1" applyAlignment="1" applyProtection="1">
      <alignment horizontal="left" vertical="center" wrapText="1"/>
    </xf>
    <xf numFmtId="0" fontId="70" fillId="0" borderId="0" xfId="0" applyFont="1" applyFill="1" applyAlignment="1" applyProtection="1">
      <alignment wrapText="1"/>
    </xf>
    <xf numFmtId="0" fontId="0" fillId="0" borderId="0" xfId="0"/>
    <xf numFmtId="0" fontId="0" fillId="0" borderId="0" xfId="0" applyProtection="1"/>
    <xf numFmtId="0" fontId="70" fillId="0" borderId="0" xfId="0" applyFont="1" applyProtection="1"/>
    <xf numFmtId="0" fontId="70" fillId="0" borderId="0" xfId="0" applyFont="1" applyFill="1" applyProtection="1"/>
    <xf numFmtId="0" fontId="0" fillId="35" borderId="25" xfId="0" applyNumberFormat="1" applyFill="1" applyBorder="1" applyAlignment="1" applyProtection="1">
      <alignment horizontal="center" vertical="center" wrapText="1"/>
    </xf>
    <xf numFmtId="0" fontId="69" fillId="35" borderId="35" xfId="0" applyNumberFormat="1" applyFont="1" applyFill="1" applyBorder="1" applyAlignment="1" applyProtection="1">
      <alignment horizontal="center" vertical="center" wrapText="1"/>
    </xf>
    <xf numFmtId="0" fontId="69" fillId="35" borderId="35" xfId="0" applyNumberFormat="1" applyFont="1" applyFill="1" applyBorder="1" applyAlignment="1" applyProtection="1">
      <alignment horizontal="left" vertical="center" wrapText="1"/>
    </xf>
    <xf numFmtId="0" fontId="69" fillId="0" borderId="0" xfId="0" applyFont="1" applyFill="1"/>
    <xf numFmtId="169" fontId="72" fillId="29" borderId="0" xfId="439" applyNumberFormat="1" applyFont="1" applyFill="1" applyAlignment="1" applyProtection="1">
      <alignment horizontal="center" vertical="center"/>
      <protection locked="0"/>
    </xf>
    <xf numFmtId="0" fontId="64" fillId="35" borderId="25" xfId="0" applyNumberFormat="1" applyFont="1" applyFill="1" applyBorder="1" applyAlignment="1" applyProtection="1">
      <alignment horizontal="center" vertical="center"/>
    </xf>
    <xf numFmtId="0" fontId="0" fillId="35" borderId="0" xfId="0" applyFont="1" applyFill="1" applyBorder="1" applyAlignment="1" applyProtection="1">
      <alignment vertical="center" wrapText="1"/>
    </xf>
    <xf numFmtId="49" fontId="0" fillId="0" borderId="36" xfId="0" applyNumberFormat="1" applyFont="1" applyFill="1" applyBorder="1" applyAlignment="1">
      <alignment horizontal="center"/>
    </xf>
    <xf numFmtId="49" fontId="0" fillId="0" borderId="37" xfId="0" applyNumberFormat="1" applyFont="1" applyFill="1" applyBorder="1" applyAlignment="1">
      <alignment horizontal="center"/>
    </xf>
    <xf numFmtId="0" fontId="0" fillId="0" borderId="0" xfId="0" applyProtection="1"/>
    <xf numFmtId="0" fontId="124" fillId="0" borderId="36" xfId="0" applyFont="1" applyFill="1" applyBorder="1" applyAlignment="1">
      <alignment horizontal="center" wrapText="1"/>
    </xf>
    <xf numFmtId="0" fontId="0" fillId="0" borderId="0" xfId="0"/>
    <xf numFmtId="0" fontId="1" fillId="0" borderId="38" xfId="0" applyFont="1" applyFill="1" applyBorder="1" applyAlignment="1">
      <alignment vertical="center" wrapText="1"/>
    </xf>
    <xf numFmtId="0" fontId="1" fillId="0" borderId="0" xfId="0" applyFont="1" applyFill="1" applyBorder="1" applyAlignment="1">
      <alignment vertical="center" wrapText="1"/>
    </xf>
    <xf numFmtId="0" fontId="1" fillId="0" borderId="39" xfId="0" applyFont="1" applyFill="1" applyBorder="1" applyAlignment="1">
      <alignment vertical="center" wrapText="1"/>
    </xf>
    <xf numFmtId="0" fontId="1" fillId="0" borderId="36" xfId="0" applyFont="1" applyFill="1" applyBorder="1" applyAlignment="1">
      <alignment vertical="center" wrapText="1"/>
    </xf>
    <xf numFmtId="0" fontId="1" fillId="0" borderId="40" xfId="0" applyFont="1" applyFill="1" applyBorder="1" applyAlignment="1">
      <alignment vertical="center" wrapText="1"/>
    </xf>
    <xf numFmtId="0" fontId="0" fillId="0" borderId="36" xfId="0" applyNumberFormat="1" applyFont="1" applyFill="1" applyBorder="1" applyAlignment="1">
      <alignment horizontal="center"/>
    </xf>
    <xf numFmtId="0" fontId="0" fillId="0" borderId="40" xfId="0" applyNumberFormat="1" applyFont="1" applyFill="1" applyBorder="1" applyAlignment="1">
      <alignment horizontal="center"/>
    </xf>
    <xf numFmtId="0" fontId="0" fillId="0" borderId="0" xfId="0" applyNumberFormat="1" applyFont="1" applyFill="1" applyBorder="1" applyAlignment="1">
      <alignment horizontal="center"/>
    </xf>
    <xf numFmtId="0" fontId="59" fillId="0" borderId="0" xfId="659" applyFill="1"/>
    <xf numFmtId="0" fontId="0" fillId="0" borderId="0" xfId="0"/>
    <xf numFmtId="0" fontId="59" fillId="0" borderId="0" xfId="659"/>
    <xf numFmtId="1" fontId="128" fillId="0" borderId="0" xfId="659" applyNumberFormat="1" applyFont="1" applyFill="1" applyAlignment="1">
      <alignment horizontal="center"/>
    </xf>
    <xf numFmtId="1" fontId="128" fillId="27" borderId="0" xfId="659" applyNumberFormat="1" applyFont="1" applyFill="1" applyAlignment="1">
      <alignment horizontal="center"/>
    </xf>
    <xf numFmtId="1" fontId="129" fillId="20" borderId="0" xfId="659" applyNumberFormat="1" applyFont="1" applyFill="1" applyAlignment="1" applyProtection="1">
      <alignment horizontal="center" vertical="center"/>
    </xf>
    <xf numFmtId="1" fontId="83" fillId="20" borderId="0" xfId="659" applyNumberFormat="1" applyFont="1" applyFill="1" applyAlignment="1" applyProtection="1">
      <alignment horizontal="center" vertical="center"/>
    </xf>
    <xf numFmtId="1" fontId="128" fillId="20" borderId="0" xfId="659" applyNumberFormat="1" applyFont="1" applyFill="1" applyAlignment="1">
      <alignment horizontal="center"/>
    </xf>
    <xf numFmtId="0" fontId="128" fillId="20" borderId="0" xfId="659" applyNumberFormat="1" applyFont="1" applyFill="1" applyAlignment="1">
      <alignment horizontal="center"/>
    </xf>
    <xf numFmtId="1" fontId="127" fillId="20" borderId="0" xfId="659" applyNumberFormat="1" applyFont="1" applyFill="1" applyAlignment="1">
      <alignment horizontal="center"/>
    </xf>
    <xf numFmtId="0" fontId="127" fillId="20" borderId="0" xfId="659" applyNumberFormat="1" applyFont="1" applyFill="1" applyAlignment="1">
      <alignment horizontal="center"/>
    </xf>
    <xf numFmtId="0" fontId="59" fillId="0" borderId="0" xfId="659" applyFill="1"/>
    <xf numFmtId="4" fontId="59" fillId="0" borderId="0" xfId="659" applyNumberFormat="1" applyFill="1"/>
    <xf numFmtId="1" fontId="59" fillId="0" borderId="0" xfId="659" applyNumberFormat="1" applyFill="1"/>
    <xf numFmtId="0" fontId="108" fillId="0" borderId="0" xfId="659" applyNumberFormat="1" applyFont="1" applyFill="1" applyAlignment="1" applyProtection="1">
      <alignment horizontal="left" vertical="center" wrapText="1"/>
    </xf>
    <xf numFmtId="38" fontId="128" fillId="0" borderId="0" xfId="659" applyNumberFormat="1" applyFont="1" applyFill="1" applyAlignment="1">
      <alignment horizontal="center"/>
    </xf>
    <xf numFmtId="38" fontId="127" fillId="0" borderId="0" xfId="659" applyNumberFormat="1" applyFont="1" applyFill="1" applyAlignment="1">
      <alignment horizontal="center"/>
    </xf>
    <xf numFmtId="38" fontId="108" fillId="0" borderId="0" xfId="659" applyNumberFormat="1" applyFont="1" applyFill="1" applyAlignment="1" applyProtection="1">
      <alignment horizontal="center" vertical="center"/>
    </xf>
    <xf numFmtId="38" fontId="64" fillId="0" borderId="0" xfId="440" applyNumberFormat="1" applyFont="1" applyFill="1" applyAlignment="1" applyProtection="1">
      <alignment horizontal="center" vertical="center"/>
    </xf>
    <xf numFmtId="38" fontId="108" fillId="0" borderId="0" xfId="440" applyNumberFormat="1" applyFont="1" applyFill="1" applyAlignment="1" applyProtection="1">
      <alignment horizontal="center" vertical="center"/>
    </xf>
    <xf numFmtId="166" fontId="108" fillId="0" borderId="0" xfId="659" applyNumberFormat="1" applyFont="1" applyFill="1" applyAlignment="1" applyProtection="1">
      <alignment horizontal="left" vertical="center" wrapText="1"/>
    </xf>
    <xf numFmtId="166" fontId="59" fillId="0" borderId="0" xfId="659" applyNumberFormat="1" applyFill="1"/>
    <xf numFmtId="40" fontId="108" fillId="0" borderId="0" xfId="659" applyNumberFormat="1" applyFont="1" applyFill="1" applyAlignment="1" applyProtection="1">
      <alignment horizontal="center" vertical="center"/>
    </xf>
    <xf numFmtId="40" fontId="64" fillId="0" borderId="0" xfId="440" applyNumberFormat="1" applyFont="1" applyFill="1" applyAlignment="1" applyProtection="1">
      <alignment horizontal="center" vertical="center"/>
    </xf>
    <xf numFmtId="40" fontId="108" fillId="0" borderId="0" xfId="440" applyNumberFormat="1" applyFont="1" applyFill="1" applyAlignment="1" applyProtection="1">
      <alignment horizontal="center" vertical="center"/>
    </xf>
    <xf numFmtId="40" fontId="127" fillId="0" borderId="0" xfId="659" applyNumberFormat="1" applyFont="1" applyFill="1" applyAlignment="1">
      <alignment horizontal="center"/>
    </xf>
    <xf numFmtId="40" fontId="128" fillId="0" borderId="0" xfId="659" applyNumberFormat="1" applyFont="1" applyFill="1" applyAlignment="1">
      <alignment horizontal="center"/>
    </xf>
    <xf numFmtId="0" fontId="58" fillId="0" borderId="0" xfId="683" applyFill="1" applyAlignment="1" applyProtection="1">
      <alignment wrapText="1"/>
    </xf>
    <xf numFmtId="0" fontId="58" fillId="0" borderId="0" xfId="683" applyFont="1" applyFill="1" applyAlignment="1" applyProtection="1">
      <alignment vertical="center" wrapText="1"/>
    </xf>
    <xf numFmtId="0" fontId="130" fillId="0" borderId="0" xfId="683" applyNumberFormat="1" applyFont="1" applyFill="1" applyAlignment="1" applyProtection="1">
      <alignment horizontal="left" vertical="center" wrapText="1"/>
    </xf>
    <xf numFmtId="0" fontId="59" fillId="0" borderId="0" xfId="659" applyFill="1" applyAlignment="1">
      <alignment wrapText="1"/>
    </xf>
    <xf numFmtId="0" fontId="35" fillId="0" borderId="0" xfId="659" applyNumberFormat="1" applyFont="1" applyFill="1" applyAlignment="1" applyProtection="1">
      <alignment horizontal="left" vertical="center" wrapText="1"/>
    </xf>
    <xf numFmtId="4" fontId="69" fillId="0" borderId="0" xfId="659" applyNumberFormat="1" applyFont="1" applyFill="1"/>
    <xf numFmtId="0" fontId="69" fillId="0" borderId="0" xfId="659" applyFont="1" applyFill="1"/>
    <xf numFmtId="1" fontId="59" fillId="0" borderId="0" xfId="659" applyNumberFormat="1" applyFill="1" applyAlignment="1">
      <alignment horizontal="right"/>
    </xf>
    <xf numFmtId="1" fontId="59" fillId="0" borderId="0" xfId="1531" applyNumberFormat="1" applyFill="1" applyAlignment="1">
      <alignment horizontal="right"/>
    </xf>
    <xf numFmtId="39" fontId="59" fillId="0" borderId="0" xfId="659" applyNumberFormat="1"/>
    <xf numFmtId="166" fontId="128" fillId="0" borderId="0" xfId="659" applyNumberFormat="1" applyFont="1" applyFill="1" applyAlignment="1">
      <alignment horizontal="center"/>
    </xf>
    <xf numFmtId="166" fontId="127" fillId="0" borderId="0" xfId="659" applyNumberFormat="1" applyFont="1" applyFill="1" applyAlignment="1">
      <alignment horizontal="center"/>
    </xf>
    <xf numFmtId="166" fontId="108" fillId="0" borderId="0" xfId="659" applyNumberFormat="1" applyFont="1" applyFill="1" applyAlignment="1" applyProtection="1">
      <alignment horizontal="center" vertical="center"/>
    </xf>
    <xf numFmtId="166" fontId="64" fillId="0" borderId="0" xfId="440" applyNumberFormat="1" applyFont="1" applyFill="1" applyAlignment="1" applyProtection="1">
      <alignment horizontal="center" vertical="center"/>
    </xf>
    <xf numFmtId="166" fontId="108" fillId="0" borderId="0" xfId="440" applyNumberFormat="1" applyFont="1" applyFill="1" applyAlignment="1" applyProtection="1">
      <alignment horizontal="center" vertical="center"/>
    </xf>
    <xf numFmtId="0" fontId="69" fillId="0" borderId="0" xfId="685" applyFont="1" applyFill="1" applyBorder="1" applyAlignment="1" applyProtection="1">
      <alignment vertical="center" wrapText="1"/>
    </xf>
    <xf numFmtId="1" fontId="69" fillId="0" borderId="0" xfId="659" applyNumberFormat="1" applyFont="1" applyFill="1"/>
    <xf numFmtId="0" fontId="58" fillId="0" borderId="0" xfId="683" applyFont="1" applyFill="1" applyAlignment="1" applyProtection="1">
      <alignment vertical="center" wrapText="1"/>
      <protection locked="0"/>
    </xf>
    <xf numFmtId="0" fontId="19" fillId="0" borderId="0" xfId="841" applyFont="1" applyFill="1" applyAlignment="1">
      <alignment horizontal="left" vertical="center" wrapText="1"/>
    </xf>
    <xf numFmtId="1" fontId="69" fillId="0" borderId="0" xfId="659" applyNumberFormat="1" applyFont="1" applyFill="1" applyAlignment="1">
      <alignment horizontal="right"/>
    </xf>
    <xf numFmtId="0" fontId="8" fillId="0" borderId="0" xfId="841" applyFont="1" applyFill="1" applyAlignment="1">
      <alignment horizontal="left" vertical="center" wrapText="1"/>
    </xf>
    <xf numFmtId="43" fontId="36" fillId="0" borderId="0" xfId="440" applyFont="1" applyFill="1" applyAlignment="1" applyProtection="1">
      <alignment horizontal="center" vertical="center"/>
    </xf>
    <xf numFmtId="43" fontId="72" fillId="0" borderId="0" xfId="440" applyFont="1" applyFill="1" applyAlignment="1" applyProtection="1">
      <alignment horizontal="center" vertical="center"/>
    </xf>
    <xf numFmtId="43" fontId="45" fillId="0" borderId="0" xfId="440" applyFont="1" applyFill="1" applyAlignment="1">
      <alignment horizontal="center"/>
    </xf>
    <xf numFmtId="43" fontId="131" fillId="0" borderId="0" xfId="440" applyFont="1" applyFill="1" applyAlignment="1">
      <alignment horizontal="center"/>
    </xf>
    <xf numFmtId="0" fontId="59" fillId="0" borderId="0" xfId="1531" applyFill="1"/>
    <xf numFmtId="0" fontId="58" fillId="0" borderId="0" xfId="683" applyFill="1" applyAlignment="1">
      <alignment wrapText="1"/>
    </xf>
    <xf numFmtId="0" fontId="59" fillId="0" borderId="0" xfId="720" applyFont="1" applyFill="1" applyAlignment="1">
      <alignment vertical="center" wrapText="1"/>
    </xf>
    <xf numFmtId="0" fontId="59" fillId="0" borderId="0" xfId="1531" applyFont="1" applyFill="1"/>
    <xf numFmtId="0" fontId="59" fillId="0" borderId="23" xfId="720" applyNumberFormat="1" applyFont="1" applyFill="1" applyBorder="1" applyAlignment="1" applyProtection="1">
      <alignment vertical="center" wrapText="1"/>
    </xf>
    <xf numFmtId="0" fontId="59" fillId="0" borderId="23" xfId="720" applyFont="1" applyFill="1" applyBorder="1" applyAlignment="1" applyProtection="1">
      <alignment vertical="center" wrapText="1"/>
    </xf>
    <xf numFmtId="0" fontId="69" fillId="0" borderId="0" xfId="683" applyNumberFormat="1" applyFont="1" applyFill="1" applyAlignment="1" applyProtection="1">
      <alignment horizontal="left" vertical="center" wrapText="1"/>
    </xf>
    <xf numFmtId="0" fontId="72" fillId="0" borderId="0" xfId="683" applyNumberFormat="1" applyFont="1" applyFill="1" applyAlignment="1" applyProtection="1">
      <alignment horizontal="right" vertical="center"/>
    </xf>
    <xf numFmtId="0" fontId="59" fillId="0" borderId="0" xfId="720" applyFont="1" applyFill="1" applyBorder="1" applyAlignment="1" applyProtection="1">
      <alignment vertical="center" wrapText="1"/>
    </xf>
    <xf numFmtId="0" fontId="58" fillId="0" borderId="0" xfId="683" applyFill="1"/>
    <xf numFmtId="0" fontId="64" fillId="0" borderId="0" xfId="683" applyFont="1" applyFill="1"/>
    <xf numFmtId="166" fontId="108" fillId="27" borderId="0" xfId="659" applyNumberFormat="1" applyFont="1" applyFill="1" applyAlignment="1" applyProtection="1">
      <alignment horizontal="center" vertical="center"/>
    </xf>
    <xf numFmtId="0" fontId="35" fillId="27" borderId="0" xfId="659" applyNumberFormat="1" applyFont="1" applyFill="1" applyAlignment="1" applyProtection="1">
      <alignment horizontal="left" vertical="center" wrapText="1"/>
    </xf>
    <xf numFmtId="40" fontId="128" fillId="27" borderId="0" xfId="659" applyNumberFormat="1" applyFont="1" applyFill="1" applyAlignment="1">
      <alignment horizontal="center"/>
    </xf>
    <xf numFmtId="0" fontId="58" fillId="27" borderId="0" xfId="683" applyFont="1" applyFill="1" applyAlignment="1" applyProtection="1">
      <alignment vertical="center" wrapText="1"/>
    </xf>
    <xf numFmtId="38" fontId="128" fillId="27" borderId="0" xfId="659" applyNumberFormat="1" applyFont="1" applyFill="1" applyAlignment="1">
      <alignment horizontal="center"/>
    </xf>
    <xf numFmtId="40" fontId="64" fillId="27" borderId="0" xfId="440" applyNumberFormat="1" applyFont="1" applyFill="1" applyAlignment="1" applyProtection="1">
      <alignment horizontal="center" vertical="center"/>
    </xf>
    <xf numFmtId="40" fontId="108" fillId="27" borderId="0" xfId="659" applyNumberFormat="1" applyFont="1" applyFill="1" applyAlignment="1" applyProtection="1">
      <alignment horizontal="center" vertical="center"/>
    </xf>
    <xf numFmtId="0" fontId="58" fillId="27" borderId="0" xfId="683" applyFill="1"/>
    <xf numFmtId="0" fontId="59" fillId="27" borderId="0" xfId="1531" applyFill="1"/>
    <xf numFmtId="166" fontId="64" fillId="27" borderId="0" xfId="440" applyNumberFormat="1" applyFont="1" applyFill="1" applyAlignment="1" applyProtection="1">
      <alignment horizontal="center" vertical="center"/>
    </xf>
    <xf numFmtId="166" fontId="108" fillId="0" borderId="0" xfId="659" applyNumberFormat="1" applyFont="1" applyFill="1" applyAlignment="1" applyProtection="1">
      <alignment horizontal="left" vertical="center"/>
    </xf>
    <xf numFmtId="166" fontId="127" fillId="27" borderId="0" xfId="659" applyNumberFormat="1" applyFont="1" applyFill="1" applyAlignment="1">
      <alignment horizontal="center"/>
    </xf>
    <xf numFmtId="0" fontId="69" fillId="0" borderId="0" xfId="659" applyFont="1" applyFill="1" applyAlignment="1">
      <alignment horizontal="center" wrapText="1"/>
    </xf>
    <xf numFmtId="0" fontId="122" fillId="0" borderId="0" xfId="11380" applyFill="1" applyAlignment="1">
      <alignment horizontal="left" wrapText="1"/>
    </xf>
    <xf numFmtId="0" fontId="59" fillId="0" borderId="0" xfId="720"/>
    <xf numFmtId="166" fontId="128" fillId="27" borderId="0" xfId="659" applyNumberFormat="1" applyFont="1" applyFill="1" applyAlignment="1">
      <alignment horizontal="center"/>
    </xf>
    <xf numFmtId="1" fontId="59" fillId="27" borderId="0" xfId="1531" applyNumberFormat="1" applyFill="1" applyAlignment="1">
      <alignment horizontal="right"/>
    </xf>
    <xf numFmtId="0" fontId="59" fillId="27" borderId="0" xfId="1531" applyFont="1" applyFill="1"/>
    <xf numFmtId="38" fontId="108" fillId="27" borderId="0" xfId="440" applyNumberFormat="1" applyFont="1" applyFill="1" applyAlignment="1" applyProtection="1">
      <alignment horizontal="center" vertical="center"/>
    </xf>
    <xf numFmtId="38" fontId="127" fillId="27" borderId="0" xfId="659" applyNumberFormat="1" applyFont="1" applyFill="1" applyAlignment="1">
      <alignment horizontal="center"/>
    </xf>
    <xf numFmtId="166" fontId="108" fillId="27" borderId="0" xfId="659" applyNumberFormat="1" applyFont="1" applyFill="1" applyAlignment="1" applyProtection="1">
      <alignment horizontal="left" vertical="center" wrapText="1"/>
    </xf>
    <xf numFmtId="38" fontId="108" fillId="27" borderId="0" xfId="659" applyNumberFormat="1" applyFont="1" applyFill="1" applyAlignment="1" applyProtection="1">
      <alignment horizontal="center" vertical="center"/>
    </xf>
    <xf numFmtId="0" fontId="59" fillId="27" borderId="23" xfId="720" applyFont="1" applyFill="1" applyBorder="1" applyAlignment="1" applyProtection="1">
      <alignment vertical="center" wrapText="1"/>
    </xf>
    <xf numFmtId="38" fontId="64" fillId="27" borderId="0" xfId="440" applyNumberFormat="1" applyFont="1" applyFill="1" applyAlignment="1" applyProtection="1">
      <alignment horizontal="center" vertical="center"/>
    </xf>
    <xf numFmtId="0" fontId="69" fillId="27" borderId="0" xfId="659" applyFont="1" applyFill="1"/>
    <xf numFmtId="0" fontId="108" fillId="27" borderId="0" xfId="659" applyNumberFormat="1" applyFont="1" applyFill="1" applyAlignment="1" applyProtection="1">
      <alignment horizontal="left" vertical="center" wrapText="1"/>
    </xf>
    <xf numFmtId="40" fontId="108" fillId="27" borderId="0" xfId="440" applyNumberFormat="1" applyFont="1" applyFill="1" applyAlignment="1" applyProtection="1">
      <alignment horizontal="center" vertical="center"/>
    </xf>
    <xf numFmtId="40" fontId="127" fillId="27" borderId="0" xfId="659" applyNumberFormat="1" applyFont="1" applyFill="1" applyAlignment="1">
      <alignment horizontal="center"/>
    </xf>
    <xf numFmtId="0" fontId="59" fillId="27" borderId="0" xfId="659" applyFill="1"/>
    <xf numFmtId="166" fontId="108" fillId="27" borderId="0" xfId="440" applyNumberFormat="1" applyFont="1" applyFill="1" applyAlignment="1" applyProtection="1">
      <alignment horizontal="center" vertical="center"/>
    </xf>
    <xf numFmtId="166" fontId="59" fillId="27" borderId="0" xfId="659" applyNumberFormat="1" applyFill="1"/>
    <xf numFmtId="1" fontId="59" fillId="27" borderId="0" xfId="659" applyNumberFormat="1" applyFill="1" applyAlignment="1">
      <alignment horizontal="right"/>
    </xf>
    <xf numFmtId="1" fontId="69" fillId="27" borderId="0" xfId="659" applyNumberFormat="1" applyFont="1" applyFill="1" applyAlignment="1">
      <alignment horizontal="right"/>
    </xf>
    <xf numFmtId="178" fontId="128" fillId="0" borderId="0" xfId="659" applyNumberFormat="1" applyFont="1" applyFill="1" applyAlignment="1">
      <alignment horizontal="center"/>
    </xf>
    <xf numFmtId="178" fontId="127" fillId="0" borderId="0" xfId="659" applyNumberFormat="1" applyFont="1" applyFill="1" applyAlignment="1">
      <alignment horizontal="center"/>
    </xf>
    <xf numFmtId="178" fontId="64" fillId="0" borderId="0" xfId="440" applyNumberFormat="1" applyFont="1" applyFill="1" applyAlignment="1" applyProtection="1">
      <alignment horizontal="center" vertical="center"/>
    </xf>
    <xf numFmtId="178" fontId="108" fillId="0" borderId="0" xfId="440" applyNumberFormat="1" applyFont="1" applyFill="1" applyAlignment="1" applyProtection="1">
      <alignment horizontal="center" vertical="center"/>
    </xf>
    <xf numFmtId="40" fontId="59" fillId="0" borderId="0" xfId="659" applyNumberFormat="1"/>
    <xf numFmtId="178" fontId="108" fillId="0" borderId="0" xfId="659" applyNumberFormat="1" applyFont="1" applyFill="1" applyAlignment="1" applyProtection="1">
      <alignment horizontal="center" vertical="center"/>
    </xf>
    <xf numFmtId="0" fontId="58" fillId="35" borderId="0" xfId="3120" applyFill="1" applyAlignment="1">
      <alignment wrapText="1"/>
    </xf>
    <xf numFmtId="0" fontId="59" fillId="35" borderId="0" xfId="659" applyNumberFormat="1" applyFill="1"/>
    <xf numFmtId="0" fontId="59" fillId="35" borderId="0" xfId="659" applyFill="1"/>
    <xf numFmtId="0" fontId="59" fillId="37" borderId="0" xfId="659" applyNumberFormat="1" applyFill="1"/>
    <xf numFmtId="0" fontId="58" fillId="37" borderId="0" xfId="3120" applyFill="1" applyAlignment="1">
      <alignment wrapText="1"/>
    </xf>
    <xf numFmtId="0" fontId="58" fillId="35" borderId="0" xfId="3120" applyFont="1" applyFill="1" applyAlignment="1">
      <alignment wrapText="1"/>
    </xf>
    <xf numFmtId="43" fontId="108" fillId="0" borderId="0" xfId="440" applyFont="1" applyFill="1" applyAlignment="1" applyProtection="1">
      <alignment horizontal="center" vertical="center"/>
    </xf>
    <xf numFmtId="0" fontId="64" fillId="0" borderId="0" xfId="2265" applyNumberFormat="1" applyFont="1" applyFill="1" applyBorder="1" applyAlignment="1" applyProtection="1">
      <alignment horizontal="center" vertical="center"/>
    </xf>
    <xf numFmtId="0" fontId="107" fillId="0" borderId="25" xfId="2265" applyNumberFormat="1" applyFont="1" applyFill="1" applyBorder="1" applyAlignment="1" applyProtection="1">
      <alignment horizontal="center" vertical="center"/>
    </xf>
    <xf numFmtId="0" fontId="108" fillId="0" borderId="25" xfId="2265" applyNumberFormat="1" applyFont="1" applyFill="1" applyBorder="1" applyAlignment="1" applyProtection="1">
      <alignment horizontal="center" vertical="center"/>
    </xf>
    <xf numFmtId="0" fontId="64" fillId="0" borderId="25" xfId="2265" applyNumberFormat="1" applyFont="1" applyFill="1" applyBorder="1" applyAlignment="1" applyProtection="1">
      <alignment horizontal="center" vertical="center"/>
    </xf>
    <xf numFmtId="0" fontId="64" fillId="0" borderId="26" xfId="2265" applyNumberFormat="1" applyFont="1" applyFill="1" applyBorder="1" applyAlignment="1" applyProtection="1">
      <alignment horizontal="center" vertical="center"/>
    </xf>
    <xf numFmtId="0" fontId="83" fillId="0" borderId="25" xfId="2265" applyNumberFormat="1" applyFont="1" applyFill="1" applyBorder="1" applyAlignment="1" applyProtection="1">
      <alignment horizontal="center" vertical="center" wrapText="1"/>
    </xf>
    <xf numFmtId="0" fontId="64" fillId="0" borderId="24" xfId="2265" applyNumberFormat="1" applyFont="1" applyFill="1" applyBorder="1" applyAlignment="1" applyProtection="1">
      <alignment horizontal="center" vertical="center"/>
    </xf>
    <xf numFmtId="0" fontId="64" fillId="0" borderId="0" xfId="2173" applyNumberFormat="1" applyFont="1" applyFill="1" applyAlignment="1" applyProtection="1">
      <alignment horizontal="center" vertical="center"/>
    </xf>
    <xf numFmtId="38" fontId="59" fillId="0" borderId="0" xfId="659" applyNumberFormat="1"/>
    <xf numFmtId="39" fontId="0" fillId="0" borderId="0" xfId="0" applyNumberFormat="1"/>
    <xf numFmtId="0" fontId="59" fillId="31" borderId="0" xfId="659" applyFill="1"/>
    <xf numFmtId="0" fontId="0" fillId="31" borderId="0" xfId="3120" applyFont="1" applyFill="1" applyAlignment="1">
      <alignment wrapText="1"/>
    </xf>
    <xf numFmtId="166" fontId="108" fillId="31" borderId="0" xfId="659" applyNumberFormat="1" applyFont="1" applyFill="1" applyAlignment="1" applyProtection="1">
      <alignment horizontal="center" vertical="center"/>
    </xf>
    <xf numFmtId="0" fontId="0" fillId="31" borderId="0" xfId="0" applyFill="1"/>
    <xf numFmtId="0" fontId="58" fillId="0" borderId="0" xfId="3120" applyFont="1" applyFill="1" applyAlignment="1">
      <alignment wrapText="1"/>
    </xf>
    <xf numFmtId="0" fontId="64" fillId="31" borderId="0" xfId="2265" applyNumberFormat="1" applyFont="1" applyFill="1" applyBorder="1" applyAlignment="1" applyProtection="1">
      <alignment horizontal="center" vertical="center"/>
    </xf>
    <xf numFmtId="0" fontId="58" fillId="31" borderId="0" xfId="683" applyFill="1"/>
    <xf numFmtId="38" fontId="108" fillId="31" borderId="0" xfId="659" applyNumberFormat="1" applyFont="1" applyFill="1" applyAlignment="1" applyProtection="1">
      <alignment horizontal="center" vertical="center"/>
    </xf>
    <xf numFmtId="38" fontId="64" fillId="31" borderId="0" xfId="440" applyNumberFormat="1" applyFont="1" applyFill="1" applyAlignment="1" applyProtection="1">
      <alignment horizontal="center" vertical="center"/>
    </xf>
    <xf numFmtId="38" fontId="108" fillId="31" borderId="0" xfId="440" applyNumberFormat="1" applyFont="1" applyFill="1" applyAlignment="1" applyProtection="1">
      <alignment horizontal="center" vertical="center"/>
    </xf>
    <xf numFmtId="38" fontId="127" fillId="31" borderId="0" xfId="659" applyNumberFormat="1" applyFont="1" applyFill="1" applyAlignment="1">
      <alignment horizontal="center"/>
    </xf>
    <xf numFmtId="38" fontId="128" fillId="31" borderId="0" xfId="659" applyNumberFormat="1" applyFont="1" applyFill="1" applyAlignment="1">
      <alignment horizontal="center"/>
    </xf>
    <xf numFmtId="0" fontId="64" fillId="31" borderId="25" xfId="2265" applyNumberFormat="1" applyFont="1" applyFill="1" applyBorder="1" applyAlignment="1" applyProtection="1">
      <alignment horizontal="center" vertical="center"/>
    </xf>
    <xf numFmtId="1" fontId="59" fillId="31" borderId="0" xfId="659" applyNumberFormat="1" applyFill="1" applyAlignment="1">
      <alignment horizontal="right"/>
    </xf>
    <xf numFmtId="0" fontId="108" fillId="31" borderId="0" xfId="659" applyNumberFormat="1" applyFont="1" applyFill="1" applyAlignment="1" applyProtection="1">
      <alignment horizontal="left" vertical="center" wrapText="1"/>
    </xf>
    <xf numFmtId="41" fontId="66" fillId="35" borderId="0" xfId="439" applyNumberFormat="1" applyFont="1" applyFill="1" applyAlignment="1" applyProtection="1">
      <alignment vertical="center" wrapText="1"/>
    </xf>
    <xf numFmtId="164" fontId="0" fillId="0" borderId="0" xfId="0" applyNumberFormat="1" applyProtection="1"/>
    <xf numFmtId="0" fontId="66" fillId="27" borderId="16" xfId="0" applyFont="1" applyFill="1" applyBorder="1" applyAlignment="1" applyProtection="1">
      <alignment horizontal="center" wrapText="1"/>
      <protection locked="0"/>
    </xf>
    <xf numFmtId="0" fontId="66" fillId="27" borderId="11" xfId="0" applyFont="1" applyFill="1" applyBorder="1" applyAlignment="1" applyProtection="1">
      <alignment horizontal="center" wrapText="1"/>
      <protection locked="0"/>
    </xf>
    <xf numFmtId="0" fontId="88" fillId="21" borderId="13" xfId="0" applyFont="1" applyFill="1" applyBorder="1" applyAlignment="1" applyProtection="1">
      <alignment horizontal="left" vertical="center" wrapText="1"/>
    </xf>
    <xf numFmtId="0" fontId="88" fillId="21" borderId="16" xfId="0" applyFont="1" applyFill="1" applyBorder="1" applyAlignment="1" applyProtection="1">
      <alignment horizontal="left" vertical="center" wrapText="1"/>
    </xf>
    <xf numFmtId="0" fontId="94" fillId="0" borderId="0" xfId="682" applyFont="1" applyAlignment="1">
      <alignment horizontal="left" wrapText="1"/>
    </xf>
    <xf numFmtId="0" fontId="120" fillId="27" borderId="0" xfId="682" applyFont="1" applyFill="1" applyAlignment="1">
      <alignment horizontal="left" vertical="center" wrapText="1"/>
    </xf>
    <xf numFmtId="0" fontId="93" fillId="0" borderId="0" xfId="682" applyFont="1" applyAlignment="1">
      <alignment horizontal="center" vertical="center"/>
    </xf>
    <xf numFmtId="0" fontId="98" fillId="27" borderId="0" xfId="682" applyFont="1" applyFill="1" applyAlignment="1">
      <alignment horizontal="left" wrapText="1"/>
    </xf>
  </cellXfs>
  <cellStyles count="12114">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48" xr:uid="{00000000-0005-0000-0000-00002F000000}"/>
    <cellStyle name="Accent1 5" xfId="49" xr:uid="{00000000-0005-0000-0000-000030000000}"/>
    <cellStyle name="Accent1 50" xfId="50" xr:uid="{00000000-0005-0000-0000-000031000000}"/>
    <cellStyle name="Accent1 51" xfId="51" xr:uid="{00000000-0005-0000-0000-000032000000}"/>
    <cellStyle name="Accent1 52" xfId="52" xr:uid="{00000000-0005-0000-0000-000033000000}"/>
    <cellStyle name="Accent1 53" xfId="53" xr:uid="{00000000-0005-0000-0000-000034000000}"/>
    <cellStyle name="Accent1 54" xfId="54" xr:uid="{00000000-0005-0000-0000-000035000000}"/>
    <cellStyle name="Accent1 55" xfId="55" xr:uid="{00000000-0005-0000-0000-000036000000}"/>
    <cellStyle name="Accent1 56" xfId="56" xr:uid="{00000000-0005-0000-0000-000037000000}"/>
    <cellStyle name="Accent1 57" xfId="57" xr:uid="{00000000-0005-0000-0000-000038000000}"/>
    <cellStyle name="Accent1 58" xfId="58" xr:uid="{00000000-0005-0000-0000-000039000000}"/>
    <cellStyle name="Accent1 59" xfId="59" xr:uid="{00000000-0005-0000-0000-00003A000000}"/>
    <cellStyle name="Accent1 6" xfId="60" xr:uid="{00000000-0005-0000-0000-00003B000000}"/>
    <cellStyle name="Accent1 60" xfId="61" xr:uid="{00000000-0005-0000-0000-00003C000000}"/>
    <cellStyle name="Accent1 61" xfId="62" xr:uid="{00000000-0005-0000-0000-00003D000000}"/>
    <cellStyle name="Accent1 62" xfId="63" xr:uid="{00000000-0005-0000-0000-00003E000000}"/>
    <cellStyle name="Accent1 63" xfId="64" xr:uid="{00000000-0005-0000-0000-00003F000000}"/>
    <cellStyle name="Accent1 64" xfId="65" xr:uid="{00000000-0005-0000-0000-000040000000}"/>
    <cellStyle name="Accent1 65" xfId="66" xr:uid="{00000000-0005-0000-0000-000041000000}"/>
    <cellStyle name="Accent1 66" xfId="67" xr:uid="{00000000-0005-0000-0000-000042000000}"/>
    <cellStyle name="Accent1 67" xfId="68" xr:uid="{00000000-0005-0000-0000-000043000000}"/>
    <cellStyle name="Accent1 68" xfId="69" xr:uid="{00000000-0005-0000-0000-000044000000}"/>
    <cellStyle name="Accent1 69" xfId="7435" xr:uid="{00000000-0005-0000-0000-000045000000}"/>
    <cellStyle name="Accent1 7" xfId="70" xr:uid="{00000000-0005-0000-0000-000045000000}"/>
    <cellStyle name="Accent1 70" xfId="6907" xr:uid="{00000000-0005-0000-0000-000047000000}"/>
    <cellStyle name="Accent1 71" xfId="6906" xr:uid="{00000000-0005-0000-0000-000048000000}"/>
    <cellStyle name="Accent1 8" xfId="71" xr:uid="{00000000-0005-0000-0000-000046000000}"/>
    <cellStyle name="Accent1 9" xfId="72" xr:uid="{00000000-0005-0000-0000-000047000000}"/>
    <cellStyle name="Accent2 - 20%" xfId="73" xr:uid="{00000000-0005-0000-0000-000048000000}"/>
    <cellStyle name="Accent2 - 20% 2" xfId="74" xr:uid="{00000000-0005-0000-0000-000049000000}"/>
    <cellStyle name="Accent2 - 40%" xfId="75" xr:uid="{00000000-0005-0000-0000-00004A000000}"/>
    <cellStyle name="Accent2 - 40% 2" xfId="76" xr:uid="{00000000-0005-0000-0000-00004B000000}"/>
    <cellStyle name="Accent2 - 60%" xfId="77" xr:uid="{00000000-0005-0000-0000-00004C000000}"/>
    <cellStyle name="Accent2 10" xfId="78" xr:uid="{00000000-0005-0000-0000-00004D000000}"/>
    <cellStyle name="Accent2 11" xfId="79" xr:uid="{00000000-0005-0000-0000-00004E000000}"/>
    <cellStyle name="Accent2 12" xfId="80" xr:uid="{00000000-0005-0000-0000-00004F000000}"/>
    <cellStyle name="Accent2 13" xfId="81" xr:uid="{00000000-0005-0000-0000-000050000000}"/>
    <cellStyle name="Accent2 14" xfId="82" xr:uid="{00000000-0005-0000-0000-000051000000}"/>
    <cellStyle name="Accent2 15" xfId="83" xr:uid="{00000000-0005-0000-0000-000052000000}"/>
    <cellStyle name="Accent2 16" xfId="84" xr:uid="{00000000-0005-0000-0000-000053000000}"/>
    <cellStyle name="Accent2 17" xfId="85" xr:uid="{00000000-0005-0000-0000-000054000000}"/>
    <cellStyle name="Accent2 18" xfId="86" xr:uid="{00000000-0005-0000-0000-000055000000}"/>
    <cellStyle name="Accent2 19" xfId="87" xr:uid="{00000000-0005-0000-0000-000056000000}"/>
    <cellStyle name="Accent2 2" xfId="88" xr:uid="{00000000-0005-0000-0000-000057000000}"/>
    <cellStyle name="Accent2 20" xfId="89" xr:uid="{00000000-0005-0000-0000-000058000000}"/>
    <cellStyle name="Accent2 21" xfId="90" xr:uid="{00000000-0005-0000-0000-000059000000}"/>
    <cellStyle name="Accent2 22" xfId="91" xr:uid="{00000000-0005-0000-0000-00005A000000}"/>
    <cellStyle name="Accent2 23" xfId="92" xr:uid="{00000000-0005-0000-0000-00005B000000}"/>
    <cellStyle name="Accent2 24" xfId="93" xr:uid="{00000000-0005-0000-0000-00005C000000}"/>
    <cellStyle name="Accent2 25" xfId="94" xr:uid="{00000000-0005-0000-0000-00005D000000}"/>
    <cellStyle name="Accent2 26" xfId="95" xr:uid="{00000000-0005-0000-0000-00005E000000}"/>
    <cellStyle name="Accent2 27" xfId="96" xr:uid="{00000000-0005-0000-0000-00005F000000}"/>
    <cellStyle name="Accent2 28" xfId="97" xr:uid="{00000000-0005-0000-0000-000060000000}"/>
    <cellStyle name="Accent2 29" xfId="98" xr:uid="{00000000-0005-0000-0000-000061000000}"/>
    <cellStyle name="Accent2 3" xfId="99" xr:uid="{00000000-0005-0000-0000-000062000000}"/>
    <cellStyle name="Accent2 30" xfId="100" xr:uid="{00000000-0005-0000-0000-000063000000}"/>
    <cellStyle name="Accent2 31" xfId="101" xr:uid="{00000000-0005-0000-0000-000064000000}"/>
    <cellStyle name="Accent2 32" xfId="102" xr:uid="{00000000-0005-0000-0000-000065000000}"/>
    <cellStyle name="Accent2 33" xfId="103" xr:uid="{00000000-0005-0000-0000-000066000000}"/>
    <cellStyle name="Accent2 34" xfId="104" xr:uid="{00000000-0005-0000-0000-000067000000}"/>
    <cellStyle name="Accent2 35" xfId="105" xr:uid="{00000000-0005-0000-0000-000068000000}"/>
    <cellStyle name="Accent2 36" xfId="106" xr:uid="{00000000-0005-0000-0000-000069000000}"/>
    <cellStyle name="Accent2 37" xfId="107" xr:uid="{00000000-0005-0000-0000-00006A000000}"/>
    <cellStyle name="Accent2 38" xfId="108" xr:uid="{00000000-0005-0000-0000-00006B000000}"/>
    <cellStyle name="Accent2 39" xfId="109" xr:uid="{00000000-0005-0000-0000-00006C000000}"/>
    <cellStyle name="Accent2 4" xfId="110" xr:uid="{00000000-0005-0000-0000-00006D000000}"/>
    <cellStyle name="Accent2 40" xfId="111" xr:uid="{00000000-0005-0000-0000-00006E000000}"/>
    <cellStyle name="Accent2 41" xfId="112" xr:uid="{00000000-0005-0000-0000-00006F000000}"/>
    <cellStyle name="Accent2 42" xfId="113" xr:uid="{00000000-0005-0000-0000-000070000000}"/>
    <cellStyle name="Accent2 43" xfId="114" xr:uid="{00000000-0005-0000-0000-000071000000}"/>
    <cellStyle name="Accent2 44" xfId="115" xr:uid="{00000000-0005-0000-0000-000072000000}"/>
    <cellStyle name="Accent2 45" xfId="116" xr:uid="{00000000-0005-0000-0000-000073000000}"/>
    <cellStyle name="Accent2 46" xfId="117" xr:uid="{00000000-0005-0000-0000-000074000000}"/>
    <cellStyle name="Accent2 47" xfId="118" xr:uid="{00000000-0005-0000-0000-000075000000}"/>
    <cellStyle name="Accent2 48" xfId="119" xr:uid="{00000000-0005-0000-0000-000076000000}"/>
    <cellStyle name="Accent2 49" xfId="120" xr:uid="{00000000-0005-0000-0000-000077000000}"/>
    <cellStyle name="Accent2 5" xfId="121" xr:uid="{00000000-0005-0000-0000-000078000000}"/>
    <cellStyle name="Accent2 50" xfId="122" xr:uid="{00000000-0005-0000-0000-000079000000}"/>
    <cellStyle name="Accent2 51" xfId="123" xr:uid="{00000000-0005-0000-0000-00007A000000}"/>
    <cellStyle name="Accent2 52" xfId="124" xr:uid="{00000000-0005-0000-0000-00007B000000}"/>
    <cellStyle name="Accent2 53" xfId="125" xr:uid="{00000000-0005-0000-0000-00007C000000}"/>
    <cellStyle name="Accent2 54" xfId="126" xr:uid="{00000000-0005-0000-0000-00007D000000}"/>
    <cellStyle name="Accent2 55" xfId="127" xr:uid="{00000000-0005-0000-0000-00007E000000}"/>
    <cellStyle name="Accent2 56" xfId="128" xr:uid="{00000000-0005-0000-0000-00007F000000}"/>
    <cellStyle name="Accent2 57" xfId="129" xr:uid="{00000000-0005-0000-0000-000080000000}"/>
    <cellStyle name="Accent2 58" xfId="130" xr:uid="{00000000-0005-0000-0000-000081000000}"/>
    <cellStyle name="Accent2 59" xfId="131" xr:uid="{00000000-0005-0000-0000-000082000000}"/>
    <cellStyle name="Accent2 6" xfId="132" xr:uid="{00000000-0005-0000-0000-000083000000}"/>
    <cellStyle name="Accent2 60" xfId="133" xr:uid="{00000000-0005-0000-0000-000084000000}"/>
    <cellStyle name="Accent2 61" xfId="134" xr:uid="{00000000-0005-0000-0000-000085000000}"/>
    <cellStyle name="Accent2 62" xfId="135" xr:uid="{00000000-0005-0000-0000-000086000000}"/>
    <cellStyle name="Accent2 63" xfId="136" xr:uid="{00000000-0005-0000-0000-000087000000}"/>
    <cellStyle name="Accent2 64" xfId="137" xr:uid="{00000000-0005-0000-0000-000088000000}"/>
    <cellStyle name="Accent2 65" xfId="138" xr:uid="{00000000-0005-0000-0000-000089000000}"/>
    <cellStyle name="Accent2 66" xfId="139" xr:uid="{00000000-0005-0000-0000-00008A000000}"/>
    <cellStyle name="Accent2 67" xfId="140" xr:uid="{00000000-0005-0000-0000-00008B000000}"/>
    <cellStyle name="Accent2 68" xfId="141" xr:uid="{00000000-0005-0000-0000-00008C000000}"/>
    <cellStyle name="Accent2 69" xfId="7371" xr:uid="{00000000-0005-0000-0000-000090000000}"/>
    <cellStyle name="Accent2 7" xfId="142" xr:uid="{00000000-0005-0000-0000-00008D000000}"/>
    <cellStyle name="Accent2 70" xfId="6908" xr:uid="{00000000-0005-0000-0000-000092000000}"/>
    <cellStyle name="Accent2 71" xfId="7434" xr:uid="{00000000-0005-0000-0000-000093000000}"/>
    <cellStyle name="Accent2 8" xfId="143" xr:uid="{00000000-0005-0000-0000-00008E000000}"/>
    <cellStyle name="Accent2 9" xfId="144" xr:uid="{00000000-0005-0000-0000-00008F000000}"/>
    <cellStyle name="Accent3 - 20%" xfId="145" xr:uid="{00000000-0005-0000-0000-000090000000}"/>
    <cellStyle name="Accent3 - 20% 2" xfId="146" xr:uid="{00000000-0005-0000-0000-000091000000}"/>
    <cellStyle name="Accent3 - 40%" xfId="147" xr:uid="{00000000-0005-0000-0000-000092000000}"/>
    <cellStyle name="Accent3 - 40% 2" xfId="148" xr:uid="{00000000-0005-0000-0000-000093000000}"/>
    <cellStyle name="Accent3 - 60%" xfId="149" xr:uid="{00000000-0005-0000-0000-000094000000}"/>
    <cellStyle name="Accent3 10" xfId="150" xr:uid="{00000000-0005-0000-0000-000095000000}"/>
    <cellStyle name="Accent3 11" xfId="151" xr:uid="{00000000-0005-0000-0000-000096000000}"/>
    <cellStyle name="Accent3 12" xfId="152" xr:uid="{00000000-0005-0000-0000-000097000000}"/>
    <cellStyle name="Accent3 13" xfId="153" xr:uid="{00000000-0005-0000-0000-000098000000}"/>
    <cellStyle name="Accent3 14" xfId="154" xr:uid="{00000000-0005-0000-0000-000099000000}"/>
    <cellStyle name="Accent3 15" xfId="155" xr:uid="{00000000-0005-0000-0000-00009A000000}"/>
    <cellStyle name="Accent3 16" xfId="156" xr:uid="{00000000-0005-0000-0000-00009B000000}"/>
    <cellStyle name="Accent3 17" xfId="157" xr:uid="{00000000-0005-0000-0000-00009C000000}"/>
    <cellStyle name="Accent3 18" xfId="158" xr:uid="{00000000-0005-0000-0000-00009D000000}"/>
    <cellStyle name="Accent3 19" xfId="159" xr:uid="{00000000-0005-0000-0000-00009E000000}"/>
    <cellStyle name="Accent3 2" xfId="160" xr:uid="{00000000-0005-0000-0000-00009F000000}"/>
    <cellStyle name="Accent3 20" xfId="161" xr:uid="{00000000-0005-0000-0000-0000A0000000}"/>
    <cellStyle name="Accent3 21" xfId="162" xr:uid="{00000000-0005-0000-0000-0000A1000000}"/>
    <cellStyle name="Accent3 22" xfId="163" xr:uid="{00000000-0005-0000-0000-0000A2000000}"/>
    <cellStyle name="Accent3 23" xfId="164" xr:uid="{00000000-0005-0000-0000-0000A3000000}"/>
    <cellStyle name="Accent3 24" xfId="165" xr:uid="{00000000-0005-0000-0000-0000A4000000}"/>
    <cellStyle name="Accent3 25" xfId="166" xr:uid="{00000000-0005-0000-0000-0000A5000000}"/>
    <cellStyle name="Accent3 26" xfId="167" xr:uid="{00000000-0005-0000-0000-0000A6000000}"/>
    <cellStyle name="Accent3 27" xfId="168" xr:uid="{00000000-0005-0000-0000-0000A7000000}"/>
    <cellStyle name="Accent3 28" xfId="169" xr:uid="{00000000-0005-0000-0000-0000A8000000}"/>
    <cellStyle name="Accent3 29" xfId="170" xr:uid="{00000000-0005-0000-0000-0000A9000000}"/>
    <cellStyle name="Accent3 3" xfId="171" xr:uid="{00000000-0005-0000-0000-0000AA000000}"/>
    <cellStyle name="Accent3 30" xfId="172" xr:uid="{00000000-0005-0000-0000-0000AB000000}"/>
    <cellStyle name="Accent3 31" xfId="173" xr:uid="{00000000-0005-0000-0000-0000AC000000}"/>
    <cellStyle name="Accent3 32" xfId="174" xr:uid="{00000000-0005-0000-0000-0000AD000000}"/>
    <cellStyle name="Accent3 33" xfId="175" xr:uid="{00000000-0005-0000-0000-0000AE000000}"/>
    <cellStyle name="Accent3 34" xfId="176" xr:uid="{00000000-0005-0000-0000-0000AF000000}"/>
    <cellStyle name="Accent3 35" xfId="177" xr:uid="{00000000-0005-0000-0000-0000B0000000}"/>
    <cellStyle name="Accent3 36" xfId="178" xr:uid="{00000000-0005-0000-0000-0000B1000000}"/>
    <cellStyle name="Accent3 37" xfId="179" xr:uid="{00000000-0005-0000-0000-0000B2000000}"/>
    <cellStyle name="Accent3 38" xfId="180" xr:uid="{00000000-0005-0000-0000-0000B3000000}"/>
    <cellStyle name="Accent3 39" xfId="181" xr:uid="{00000000-0005-0000-0000-0000B4000000}"/>
    <cellStyle name="Accent3 4" xfId="182" xr:uid="{00000000-0005-0000-0000-0000B5000000}"/>
    <cellStyle name="Accent3 40" xfId="183" xr:uid="{00000000-0005-0000-0000-0000B6000000}"/>
    <cellStyle name="Accent3 41" xfId="184" xr:uid="{00000000-0005-0000-0000-0000B7000000}"/>
    <cellStyle name="Accent3 42" xfId="185" xr:uid="{00000000-0005-0000-0000-0000B8000000}"/>
    <cellStyle name="Accent3 43" xfId="186" xr:uid="{00000000-0005-0000-0000-0000B9000000}"/>
    <cellStyle name="Accent3 44" xfId="187" xr:uid="{00000000-0005-0000-0000-0000BA000000}"/>
    <cellStyle name="Accent3 45" xfId="188" xr:uid="{00000000-0005-0000-0000-0000BB000000}"/>
    <cellStyle name="Accent3 46" xfId="189" xr:uid="{00000000-0005-0000-0000-0000BC000000}"/>
    <cellStyle name="Accent3 47" xfId="190" xr:uid="{00000000-0005-0000-0000-0000BD000000}"/>
    <cellStyle name="Accent3 48" xfId="191" xr:uid="{00000000-0005-0000-0000-0000BE000000}"/>
    <cellStyle name="Accent3 49" xfId="192" xr:uid="{00000000-0005-0000-0000-0000BF000000}"/>
    <cellStyle name="Accent3 5" xfId="193" xr:uid="{00000000-0005-0000-0000-0000C0000000}"/>
    <cellStyle name="Accent3 50" xfId="194" xr:uid="{00000000-0005-0000-0000-0000C1000000}"/>
    <cellStyle name="Accent3 51" xfId="195" xr:uid="{00000000-0005-0000-0000-0000C2000000}"/>
    <cellStyle name="Accent3 52" xfId="196" xr:uid="{00000000-0005-0000-0000-0000C3000000}"/>
    <cellStyle name="Accent3 53" xfId="197" xr:uid="{00000000-0005-0000-0000-0000C4000000}"/>
    <cellStyle name="Accent3 54" xfId="198" xr:uid="{00000000-0005-0000-0000-0000C5000000}"/>
    <cellStyle name="Accent3 55" xfId="199" xr:uid="{00000000-0005-0000-0000-0000C6000000}"/>
    <cellStyle name="Accent3 56" xfId="200" xr:uid="{00000000-0005-0000-0000-0000C7000000}"/>
    <cellStyle name="Accent3 57" xfId="201" xr:uid="{00000000-0005-0000-0000-0000C8000000}"/>
    <cellStyle name="Accent3 58" xfId="202" xr:uid="{00000000-0005-0000-0000-0000C9000000}"/>
    <cellStyle name="Accent3 59" xfId="203" xr:uid="{00000000-0005-0000-0000-0000CA000000}"/>
    <cellStyle name="Accent3 6" xfId="204" xr:uid="{00000000-0005-0000-0000-0000CB000000}"/>
    <cellStyle name="Accent3 60" xfId="205" xr:uid="{00000000-0005-0000-0000-0000CC000000}"/>
    <cellStyle name="Accent3 61" xfId="206" xr:uid="{00000000-0005-0000-0000-0000CD000000}"/>
    <cellStyle name="Accent3 62" xfId="207" xr:uid="{00000000-0005-0000-0000-0000CE000000}"/>
    <cellStyle name="Accent3 63" xfId="208" xr:uid="{00000000-0005-0000-0000-0000CF000000}"/>
    <cellStyle name="Accent3 64" xfId="209" xr:uid="{00000000-0005-0000-0000-0000D0000000}"/>
    <cellStyle name="Accent3 65" xfId="210" xr:uid="{00000000-0005-0000-0000-0000D1000000}"/>
    <cellStyle name="Accent3 66" xfId="211" xr:uid="{00000000-0005-0000-0000-0000D2000000}"/>
    <cellStyle name="Accent3 67" xfId="212" xr:uid="{00000000-0005-0000-0000-0000D3000000}"/>
    <cellStyle name="Accent3 68" xfId="213" xr:uid="{00000000-0005-0000-0000-0000D4000000}"/>
    <cellStyle name="Accent3 69" xfId="7061" xr:uid="{00000000-0005-0000-0000-0000DB000000}"/>
    <cellStyle name="Accent3 7" xfId="214" xr:uid="{00000000-0005-0000-0000-0000D5000000}"/>
    <cellStyle name="Accent3 70" xfId="6909" xr:uid="{00000000-0005-0000-0000-0000DD000000}"/>
    <cellStyle name="Accent3 71" xfId="7159" xr:uid="{00000000-0005-0000-0000-0000DE000000}"/>
    <cellStyle name="Accent3 8" xfId="215" xr:uid="{00000000-0005-0000-0000-0000D6000000}"/>
    <cellStyle name="Accent3 9" xfId="216" xr:uid="{00000000-0005-0000-0000-0000D7000000}"/>
    <cellStyle name="Accent4 - 20%" xfId="217" xr:uid="{00000000-0005-0000-0000-0000D8000000}"/>
    <cellStyle name="Accent4 - 20% 2" xfId="218" xr:uid="{00000000-0005-0000-0000-0000D9000000}"/>
    <cellStyle name="Accent4 - 40%" xfId="219" xr:uid="{00000000-0005-0000-0000-0000DA000000}"/>
    <cellStyle name="Accent4 - 40% 2" xfId="220" xr:uid="{00000000-0005-0000-0000-0000DB000000}"/>
    <cellStyle name="Accent4 - 60%" xfId="221" xr:uid="{00000000-0005-0000-0000-0000DC000000}"/>
    <cellStyle name="Accent4 10" xfId="222" xr:uid="{00000000-0005-0000-0000-0000DD000000}"/>
    <cellStyle name="Accent4 11" xfId="223" xr:uid="{00000000-0005-0000-0000-0000DE000000}"/>
    <cellStyle name="Accent4 12" xfId="224" xr:uid="{00000000-0005-0000-0000-0000DF000000}"/>
    <cellStyle name="Accent4 13" xfId="225" xr:uid="{00000000-0005-0000-0000-0000E0000000}"/>
    <cellStyle name="Accent4 14" xfId="226" xr:uid="{00000000-0005-0000-0000-0000E1000000}"/>
    <cellStyle name="Accent4 15" xfId="227" xr:uid="{00000000-0005-0000-0000-0000E2000000}"/>
    <cellStyle name="Accent4 16" xfId="228" xr:uid="{00000000-0005-0000-0000-0000E3000000}"/>
    <cellStyle name="Accent4 17" xfId="229" xr:uid="{00000000-0005-0000-0000-0000E4000000}"/>
    <cellStyle name="Accent4 18" xfId="230" xr:uid="{00000000-0005-0000-0000-0000E5000000}"/>
    <cellStyle name="Accent4 19" xfId="231" xr:uid="{00000000-0005-0000-0000-0000E6000000}"/>
    <cellStyle name="Accent4 2" xfId="232" xr:uid="{00000000-0005-0000-0000-0000E7000000}"/>
    <cellStyle name="Accent4 20" xfId="233" xr:uid="{00000000-0005-0000-0000-0000E8000000}"/>
    <cellStyle name="Accent4 21" xfId="234" xr:uid="{00000000-0005-0000-0000-0000E9000000}"/>
    <cellStyle name="Accent4 22" xfId="235" xr:uid="{00000000-0005-0000-0000-0000EA000000}"/>
    <cellStyle name="Accent4 23" xfId="236" xr:uid="{00000000-0005-0000-0000-0000EB000000}"/>
    <cellStyle name="Accent4 24" xfId="237" xr:uid="{00000000-0005-0000-0000-0000EC000000}"/>
    <cellStyle name="Accent4 25" xfId="238" xr:uid="{00000000-0005-0000-0000-0000ED000000}"/>
    <cellStyle name="Accent4 26" xfId="239" xr:uid="{00000000-0005-0000-0000-0000EE000000}"/>
    <cellStyle name="Accent4 27" xfId="240" xr:uid="{00000000-0005-0000-0000-0000EF000000}"/>
    <cellStyle name="Accent4 28" xfId="241" xr:uid="{00000000-0005-0000-0000-0000F0000000}"/>
    <cellStyle name="Accent4 29" xfId="242" xr:uid="{00000000-0005-0000-0000-0000F1000000}"/>
    <cellStyle name="Accent4 3" xfId="243" xr:uid="{00000000-0005-0000-0000-0000F2000000}"/>
    <cellStyle name="Accent4 30" xfId="244" xr:uid="{00000000-0005-0000-0000-0000F3000000}"/>
    <cellStyle name="Accent4 31" xfId="245" xr:uid="{00000000-0005-0000-0000-0000F4000000}"/>
    <cellStyle name="Accent4 32" xfId="246" xr:uid="{00000000-0005-0000-0000-0000F5000000}"/>
    <cellStyle name="Accent4 33" xfId="247" xr:uid="{00000000-0005-0000-0000-0000F6000000}"/>
    <cellStyle name="Accent4 34" xfId="248" xr:uid="{00000000-0005-0000-0000-0000F7000000}"/>
    <cellStyle name="Accent4 35" xfId="249" xr:uid="{00000000-0005-0000-0000-0000F8000000}"/>
    <cellStyle name="Accent4 36" xfId="250" xr:uid="{00000000-0005-0000-0000-0000F9000000}"/>
    <cellStyle name="Accent4 37" xfId="251" xr:uid="{00000000-0005-0000-0000-0000FA000000}"/>
    <cellStyle name="Accent4 38" xfId="252" xr:uid="{00000000-0005-0000-0000-0000FB000000}"/>
    <cellStyle name="Accent4 39" xfId="253" xr:uid="{00000000-0005-0000-0000-0000FC000000}"/>
    <cellStyle name="Accent4 4" xfId="254" xr:uid="{00000000-0005-0000-0000-0000FD000000}"/>
    <cellStyle name="Accent4 40" xfId="255" xr:uid="{00000000-0005-0000-0000-0000FE000000}"/>
    <cellStyle name="Accent4 41" xfId="256" xr:uid="{00000000-0005-0000-0000-0000FF000000}"/>
    <cellStyle name="Accent4 42" xfId="257" xr:uid="{00000000-0005-0000-0000-000000010000}"/>
    <cellStyle name="Accent4 43" xfId="258" xr:uid="{00000000-0005-0000-0000-000001010000}"/>
    <cellStyle name="Accent4 44" xfId="259" xr:uid="{00000000-0005-0000-0000-000002010000}"/>
    <cellStyle name="Accent4 45" xfId="260" xr:uid="{00000000-0005-0000-0000-000003010000}"/>
    <cellStyle name="Accent4 46" xfId="261" xr:uid="{00000000-0005-0000-0000-000004010000}"/>
    <cellStyle name="Accent4 47" xfId="262" xr:uid="{00000000-0005-0000-0000-000005010000}"/>
    <cellStyle name="Accent4 48" xfId="263" xr:uid="{00000000-0005-0000-0000-000006010000}"/>
    <cellStyle name="Accent4 49" xfId="264" xr:uid="{00000000-0005-0000-0000-000007010000}"/>
    <cellStyle name="Accent4 5" xfId="265" xr:uid="{00000000-0005-0000-0000-000008010000}"/>
    <cellStyle name="Accent4 50" xfId="266" xr:uid="{00000000-0005-0000-0000-000009010000}"/>
    <cellStyle name="Accent4 51" xfId="267" xr:uid="{00000000-0005-0000-0000-00000A010000}"/>
    <cellStyle name="Accent4 52" xfId="268" xr:uid="{00000000-0005-0000-0000-00000B010000}"/>
    <cellStyle name="Accent4 53" xfId="269" xr:uid="{00000000-0005-0000-0000-00000C010000}"/>
    <cellStyle name="Accent4 54" xfId="270" xr:uid="{00000000-0005-0000-0000-00000D010000}"/>
    <cellStyle name="Accent4 55" xfId="271" xr:uid="{00000000-0005-0000-0000-00000E010000}"/>
    <cellStyle name="Accent4 56" xfId="272" xr:uid="{00000000-0005-0000-0000-00000F010000}"/>
    <cellStyle name="Accent4 57" xfId="273" xr:uid="{00000000-0005-0000-0000-000010010000}"/>
    <cellStyle name="Accent4 58" xfId="274" xr:uid="{00000000-0005-0000-0000-000011010000}"/>
    <cellStyle name="Accent4 59" xfId="275" xr:uid="{00000000-0005-0000-0000-000012010000}"/>
    <cellStyle name="Accent4 6" xfId="276" xr:uid="{00000000-0005-0000-0000-000013010000}"/>
    <cellStyle name="Accent4 60" xfId="277" xr:uid="{00000000-0005-0000-0000-000014010000}"/>
    <cellStyle name="Accent4 61" xfId="278" xr:uid="{00000000-0005-0000-0000-000015010000}"/>
    <cellStyle name="Accent4 62" xfId="279" xr:uid="{00000000-0005-0000-0000-000016010000}"/>
    <cellStyle name="Accent4 63" xfId="280" xr:uid="{00000000-0005-0000-0000-000017010000}"/>
    <cellStyle name="Accent4 64" xfId="281" xr:uid="{00000000-0005-0000-0000-000018010000}"/>
    <cellStyle name="Accent4 65" xfId="282" xr:uid="{00000000-0005-0000-0000-000019010000}"/>
    <cellStyle name="Accent4 66" xfId="283" xr:uid="{00000000-0005-0000-0000-00001A010000}"/>
    <cellStyle name="Accent4 67" xfId="284" xr:uid="{00000000-0005-0000-0000-00001B010000}"/>
    <cellStyle name="Accent4 68" xfId="285" xr:uid="{00000000-0005-0000-0000-00001C010000}"/>
    <cellStyle name="Accent4 69" xfId="6928" xr:uid="{00000000-0005-0000-0000-000026010000}"/>
    <cellStyle name="Accent4 7" xfId="286" xr:uid="{00000000-0005-0000-0000-00001D010000}"/>
    <cellStyle name="Accent4 70" xfId="6912" xr:uid="{00000000-0005-0000-0000-000028010000}"/>
    <cellStyle name="Accent4 71" xfId="6961" xr:uid="{00000000-0005-0000-0000-000029010000}"/>
    <cellStyle name="Accent4 8" xfId="287" xr:uid="{00000000-0005-0000-0000-00001E010000}"/>
    <cellStyle name="Accent4 9" xfId="288" xr:uid="{00000000-0005-0000-0000-00001F010000}"/>
    <cellStyle name="Accent5 - 20%" xfId="289" xr:uid="{00000000-0005-0000-0000-000020010000}"/>
    <cellStyle name="Accent5 - 20% 2" xfId="290" xr:uid="{00000000-0005-0000-0000-000021010000}"/>
    <cellStyle name="Accent5 - 40%" xfId="291" xr:uid="{00000000-0005-0000-0000-000022010000}"/>
    <cellStyle name="Accent5 - 40% 2" xfId="292" xr:uid="{00000000-0005-0000-0000-000023010000}"/>
    <cellStyle name="Accent5 - 60%" xfId="293" xr:uid="{00000000-0005-0000-0000-000024010000}"/>
    <cellStyle name="Accent5 10" xfId="294" xr:uid="{00000000-0005-0000-0000-000025010000}"/>
    <cellStyle name="Accent5 11" xfId="295" xr:uid="{00000000-0005-0000-0000-000026010000}"/>
    <cellStyle name="Accent5 12" xfId="296" xr:uid="{00000000-0005-0000-0000-000027010000}"/>
    <cellStyle name="Accent5 13" xfId="297" xr:uid="{00000000-0005-0000-0000-000028010000}"/>
    <cellStyle name="Accent5 14" xfId="298" xr:uid="{00000000-0005-0000-0000-000029010000}"/>
    <cellStyle name="Accent5 15" xfId="299" xr:uid="{00000000-0005-0000-0000-00002A010000}"/>
    <cellStyle name="Accent5 16" xfId="300" xr:uid="{00000000-0005-0000-0000-00002B010000}"/>
    <cellStyle name="Accent5 17" xfId="301" xr:uid="{00000000-0005-0000-0000-00002C010000}"/>
    <cellStyle name="Accent5 18" xfId="302" xr:uid="{00000000-0005-0000-0000-00002D010000}"/>
    <cellStyle name="Accent5 19" xfId="303" xr:uid="{00000000-0005-0000-0000-00002E010000}"/>
    <cellStyle name="Accent5 2" xfId="304" xr:uid="{00000000-0005-0000-0000-00002F010000}"/>
    <cellStyle name="Accent5 20" xfId="305" xr:uid="{00000000-0005-0000-0000-000030010000}"/>
    <cellStyle name="Accent5 21" xfId="306" xr:uid="{00000000-0005-0000-0000-000031010000}"/>
    <cellStyle name="Accent5 22" xfId="307" xr:uid="{00000000-0005-0000-0000-000032010000}"/>
    <cellStyle name="Accent5 23" xfId="308" xr:uid="{00000000-0005-0000-0000-000033010000}"/>
    <cellStyle name="Accent5 24" xfId="309" xr:uid="{00000000-0005-0000-0000-000034010000}"/>
    <cellStyle name="Accent5 25" xfId="310" xr:uid="{00000000-0005-0000-0000-000035010000}"/>
    <cellStyle name="Accent5 26" xfId="311" xr:uid="{00000000-0005-0000-0000-000036010000}"/>
    <cellStyle name="Accent5 27" xfId="312" xr:uid="{00000000-0005-0000-0000-000037010000}"/>
    <cellStyle name="Accent5 28" xfId="313" xr:uid="{00000000-0005-0000-0000-000038010000}"/>
    <cellStyle name="Accent5 29" xfId="314" xr:uid="{00000000-0005-0000-0000-000039010000}"/>
    <cellStyle name="Accent5 3" xfId="315" xr:uid="{00000000-0005-0000-0000-00003A010000}"/>
    <cellStyle name="Accent5 30" xfId="316" xr:uid="{00000000-0005-0000-0000-00003B010000}"/>
    <cellStyle name="Accent5 31" xfId="317" xr:uid="{00000000-0005-0000-0000-00003C010000}"/>
    <cellStyle name="Accent5 32" xfId="318" xr:uid="{00000000-0005-0000-0000-00003D010000}"/>
    <cellStyle name="Accent5 33" xfId="319" xr:uid="{00000000-0005-0000-0000-00003E010000}"/>
    <cellStyle name="Accent5 34" xfId="320" xr:uid="{00000000-0005-0000-0000-00003F010000}"/>
    <cellStyle name="Accent5 35" xfId="321" xr:uid="{00000000-0005-0000-0000-000040010000}"/>
    <cellStyle name="Accent5 36" xfId="322" xr:uid="{00000000-0005-0000-0000-000041010000}"/>
    <cellStyle name="Accent5 37" xfId="323" xr:uid="{00000000-0005-0000-0000-000042010000}"/>
    <cellStyle name="Accent5 38" xfId="324" xr:uid="{00000000-0005-0000-0000-000043010000}"/>
    <cellStyle name="Accent5 39" xfId="325" xr:uid="{00000000-0005-0000-0000-000044010000}"/>
    <cellStyle name="Accent5 4" xfId="326" xr:uid="{00000000-0005-0000-0000-000045010000}"/>
    <cellStyle name="Accent5 40" xfId="327" xr:uid="{00000000-0005-0000-0000-000046010000}"/>
    <cellStyle name="Accent5 41" xfId="328" xr:uid="{00000000-0005-0000-0000-000047010000}"/>
    <cellStyle name="Accent5 42" xfId="329" xr:uid="{00000000-0005-0000-0000-000048010000}"/>
    <cellStyle name="Accent5 43" xfId="330" xr:uid="{00000000-0005-0000-0000-000049010000}"/>
    <cellStyle name="Accent5 44" xfId="331" xr:uid="{00000000-0005-0000-0000-00004A010000}"/>
    <cellStyle name="Accent5 45" xfId="332" xr:uid="{00000000-0005-0000-0000-00004B010000}"/>
    <cellStyle name="Accent5 46" xfId="333" xr:uid="{00000000-0005-0000-0000-00004C010000}"/>
    <cellStyle name="Accent5 47" xfId="334" xr:uid="{00000000-0005-0000-0000-00004D010000}"/>
    <cellStyle name="Accent5 48" xfId="335" xr:uid="{00000000-0005-0000-0000-00004E010000}"/>
    <cellStyle name="Accent5 49" xfId="336" xr:uid="{00000000-0005-0000-0000-00004F010000}"/>
    <cellStyle name="Accent5 5" xfId="337" xr:uid="{00000000-0005-0000-0000-000050010000}"/>
    <cellStyle name="Accent5 50" xfId="338" xr:uid="{00000000-0005-0000-0000-000051010000}"/>
    <cellStyle name="Accent5 51" xfId="339" xr:uid="{00000000-0005-0000-0000-000052010000}"/>
    <cellStyle name="Accent5 52" xfId="340" xr:uid="{00000000-0005-0000-0000-000053010000}"/>
    <cellStyle name="Accent5 53" xfId="341" xr:uid="{00000000-0005-0000-0000-000054010000}"/>
    <cellStyle name="Accent5 54" xfId="342" xr:uid="{00000000-0005-0000-0000-000055010000}"/>
    <cellStyle name="Accent5 55" xfId="343" xr:uid="{00000000-0005-0000-0000-000056010000}"/>
    <cellStyle name="Accent5 56" xfId="344" xr:uid="{00000000-0005-0000-0000-000057010000}"/>
    <cellStyle name="Accent5 57" xfId="345" xr:uid="{00000000-0005-0000-0000-000058010000}"/>
    <cellStyle name="Accent5 58" xfId="346" xr:uid="{00000000-0005-0000-0000-000059010000}"/>
    <cellStyle name="Accent5 59" xfId="347" xr:uid="{00000000-0005-0000-0000-00005A010000}"/>
    <cellStyle name="Accent5 6" xfId="348" xr:uid="{00000000-0005-0000-0000-00005B010000}"/>
    <cellStyle name="Accent5 60" xfId="349" xr:uid="{00000000-0005-0000-0000-00005C010000}"/>
    <cellStyle name="Accent5 61" xfId="350" xr:uid="{00000000-0005-0000-0000-00005D010000}"/>
    <cellStyle name="Accent5 62" xfId="351" xr:uid="{00000000-0005-0000-0000-00005E010000}"/>
    <cellStyle name="Accent5 63" xfId="352" xr:uid="{00000000-0005-0000-0000-00005F010000}"/>
    <cellStyle name="Accent5 64" xfId="353" xr:uid="{00000000-0005-0000-0000-000060010000}"/>
    <cellStyle name="Accent5 65" xfId="354" xr:uid="{00000000-0005-0000-0000-000061010000}"/>
    <cellStyle name="Accent5 66" xfId="355" xr:uid="{00000000-0005-0000-0000-000062010000}"/>
    <cellStyle name="Accent5 67" xfId="356" xr:uid="{00000000-0005-0000-0000-000063010000}"/>
    <cellStyle name="Accent5 68" xfId="357" xr:uid="{00000000-0005-0000-0000-000064010000}"/>
    <cellStyle name="Accent5 69" xfId="6914" xr:uid="{00000000-0005-0000-0000-000071010000}"/>
    <cellStyle name="Accent5 7" xfId="358" xr:uid="{00000000-0005-0000-0000-000065010000}"/>
    <cellStyle name="Accent5 70" xfId="6920" xr:uid="{00000000-0005-0000-0000-000073010000}"/>
    <cellStyle name="Accent5 71" xfId="6913" xr:uid="{00000000-0005-0000-0000-000074010000}"/>
    <cellStyle name="Accent5 8" xfId="359" xr:uid="{00000000-0005-0000-0000-000066010000}"/>
    <cellStyle name="Accent5 9" xfId="360" xr:uid="{00000000-0005-0000-0000-000067010000}"/>
    <cellStyle name="Accent6 - 20%" xfId="361" xr:uid="{00000000-0005-0000-0000-000068010000}"/>
    <cellStyle name="Accent6 - 20% 2" xfId="362" xr:uid="{00000000-0005-0000-0000-000069010000}"/>
    <cellStyle name="Accent6 - 40%" xfId="363" xr:uid="{00000000-0005-0000-0000-00006A010000}"/>
    <cellStyle name="Accent6 - 40% 2" xfId="364" xr:uid="{00000000-0005-0000-0000-00006B010000}"/>
    <cellStyle name="Accent6 - 60%" xfId="365" xr:uid="{00000000-0005-0000-0000-00006C010000}"/>
    <cellStyle name="Accent6 10" xfId="366" xr:uid="{00000000-0005-0000-0000-00006D010000}"/>
    <cellStyle name="Accent6 11" xfId="367" xr:uid="{00000000-0005-0000-0000-00006E010000}"/>
    <cellStyle name="Accent6 12" xfId="368" xr:uid="{00000000-0005-0000-0000-00006F010000}"/>
    <cellStyle name="Accent6 13" xfId="369" xr:uid="{00000000-0005-0000-0000-000070010000}"/>
    <cellStyle name="Accent6 14" xfId="370" xr:uid="{00000000-0005-0000-0000-000071010000}"/>
    <cellStyle name="Accent6 15" xfId="371" xr:uid="{00000000-0005-0000-0000-000072010000}"/>
    <cellStyle name="Accent6 16" xfId="372" xr:uid="{00000000-0005-0000-0000-000073010000}"/>
    <cellStyle name="Accent6 17" xfId="373" xr:uid="{00000000-0005-0000-0000-000074010000}"/>
    <cellStyle name="Accent6 18" xfId="374" xr:uid="{00000000-0005-0000-0000-000075010000}"/>
    <cellStyle name="Accent6 19" xfId="375" xr:uid="{00000000-0005-0000-0000-000076010000}"/>
    <cellStyle name="Accent6 2" xfId="376" xr:uid="{00000000-0005-0000-0000-000077010000}"/>
    <cellStyle name="Accent6 20" xfId="377" xr:uid="{00000000-0005-0000-0000-000078010000}"/>
    <cellStyle name="Accent6 21" xfId="378" xr:uid="{00000000-0005-0000-0000-000079010000}"/>
    <cellStyle name="Accent6 22" xfId="379" xr:uid="{00000000-0005-0000-0000-00007A010000}"/>
    <cellStyle name="Accent6 23" xfId="380" xr:uid="{00000000-0005-0000-0000-00007B010000}"/>
    <cellStyle name="Accent6 24" xfId="381" xr:uid="{00000000-0005-0000-0000-00007C010000}"/>
    <cellStyle name="Accent6 25" xfId="382" xr:uid="{00000000-0005-0000-0000-00007D010000}"/>
    <cellStyle name="Accent6 26" xfId="383" xr:uid="{00000000-0005-0000-0000-00007E010000}"/>
    <cellStyle name="Accent6 27" xfId="384" xr:uid="{00000000-0005-0000-0000-00007F010000}"/>
    <cellStyle name="Accent6 28" xfId="385" xr:uid="{00000000-0005-0000-0000-000080010000}"/>
    <cellStyle name="Accent6 29" xfId="386" xr:uid="{00000000-0005-0000-0000-000081010000}"/>
    <cellStyle name="Accent6 3" xfId="387" xr:uid="{00000000-0005-0000-0000-000082010000}"/>
    <cellStyle name="Accent6 30" xfId="388" xr:uid="{00000000-0005-0000-0000-000083010000}"/>
    <cellStyle name="Accent6 31" xfId="389" xr:uid="{00000000-0005-0000-0000-000084010000}"/>
    <cellStyle name="Accent6 32" xfId="390" xr:uid="{00000000-0005-0000-0000-000085010000}"/>
    <cellStyle name="Accent6 33" xfId="391" xr:uid="{00000000-0005-0000-0000-000086010000}"/>
    <cellStyle name="Accent6 34" xfId="392" xr:uid="{00000000-0005-0000-0000-000087010000}"/>
    <cellStyle name="Accent6 35" xfId="393" xr:uid="{00000000-0005-0000-0000-000088010000}"/>
    <cellStyle name="Accent6 36" xfId="394" xr:uid="{00000000-0005-0000-0000-000089010000}"/>
    <cellStyle name="Accent6 37" xfId="395" xr:uid="{00000000-0005-0000-0000-00008A010000}"/>
    <cellStyle name="Accent6 38" xfId="396" xr:uid="{00000000-0005-0000-0000-00008B010000}"/>
    <cellStyle name="Accent6 39" xfId="397" xr:uid="{00000000-0005-0000-0000-00008C010000}"/>
    <cellStyle name="Accent6 4" xfId="398" xr:uid="{00000000-0005-0000-0000-00008D010000}"/>
    <cellStyle name="Accent6 40" xfId="399" xr:uid="{00000000-0005-0000-0000-00008E010000}"/>
    <cellStyle name="Accent6 41" xfId="400" xr:uid="{00000000-0005-0000-0000-00008F010000}"/>
    <cellStyle name="Accent6 42" xfId="401" xr:uid="{00000000-0005-0000-0000-000090010000}"/>
    <cellStyle name="Accent6 43" xfId="402" xr:uid="{00000000-0005-0000-0000-000091010000}"/>
    <cellStyle name="Accent6 44" xfId="403" xr:uid="{00000000-0005-0000-0000-000092010000}"/>
    <cellStyle name="Accent6 45" xfId="404" xr:uid="{00000000-0005-0000-0000-000093010000}"/>
    <cellStyle name="Accent6 46" xfId="405" xr:uid="{00000000-0005-0000-0000-000094010000}"/>
    <cellStyle name="Accent6 47" xfId="406" xr:uid="{00000000-0005-0000-0000-000095010000}"/>
    <cellStyle name="Accent6 48" xfId="407" xr:uid="{00000000-0005-0000-0000-000096010000}"/>
    <cellStyle name="Accent6 49" xfId="408" xr:uid="{00000000-0005-0000-0000-000097010000}"/>
    <cellStyle name="Accent6 5" xfId="409" xr:uid="{00000000-0005-0000-0000-000098010000}"/>
    <cellStyle name="Accent6 50" xfId="410" xr:uid="{00000000-0005-0000-0000-000099010000}"/>
    <cellStyle name="Accent6 51" xfId="411" xr:uid="{00000000-0005-0000-0000-00009A010000}"/>
    <cellStyle name="Accent6 52" xfId="412" xr:uid="{00000000-0005-0000-0000-00009B010000}"/>
    <cellStyle name="Accent6 53" xfId="413" xr:uid="{00000000-0005-0000-0000-00009C010000}"/>
    <cellStyle name="Accent6 54" xfId="414" xr:uid="{00000000-0005-0000-0000-00009D010000}"/>
    <cellStyle name="Accent6 55" xfId="415" xr:uid="{00000000-0005-0000-0000-00009E010000}"/>
    <cellStyle name="Accent6 56" xfId="416" xr:uid="{00000000-0005-0000-0000-00009F010000}"/>
    <cellStyle name="Accent6 57" xfId="417" xr:uid="{00000000-0005-0000-0000-0000A0010000}"/>
    <cellStyle name="Accent6 58" xfId="418" xr:uid="{00000000-0005-0000-0000-0000A1010000}"/>
    <cellStyle name="Accent6 59" xfId="419" xr:uid="{00000000-0005-0000-0000-0000A2010000}"/>
    <cellStyle name="Accent6 6" xfId="420" xr:uid="{00000000-0005-0000-0000-0000A3010000}"/>
    <cellStyle name="Accent6 60" xfId="421" xr:uid="{00000000-0005-0000-0000-0000A4010000}"/>
    <cellStyle name="Accent6 61" xfId="422" xr:uid="{00000000-0005-0000-0000-0000A5010000}"/>
    <cellStyle name="Accent6 62" xfId="423" xr:uid="{00000000-0005-0000-0000-0000A6010000}"/>
    <cellStyle name="Accent6 63" xfId="424" xr:uid="{00000000-0005-0000-0000-0000A7010000}"/>
    <cellStyle name="Accent6 64" xfId="425" xr:uid="{00000000-0005-0000-0000-0000A8010000}"/>
    <cellStyle name="Accent6 65" xfId="426" xr:uid="{00000000-0005-0000-0000-0000A9010000}"/>
    <cellStyle name="Accent6 66" xfId="427" xr:uid="{00000000-0005-0000-0000-0000AA010000}"/>
    <cellStyle name="Accent6 67" xfId="428" xr:uid="{00000000-0005-0000-0000-0000AB010000}"/>
    <cellStyle name="Accent6 68" xfId="429" xr:uid="{00000000-0005-0000-0000-0000AC010000}"/>
    <cellStyle name="Accent6 69" xfId="6911" xr:uid="{00000000-0005-0000-0000-0000BC010000}"/>
    <cellStyle name="Accent6 7" xfId="430" xr:uid="{00000000-0005-0000-0000-0000AD010000}"/>
    <cellStyle name="Accent6 70" xfId="7060" xr:uid="{00000000-0005-0000-0000-0000BE010000}"/>
    <cellStyle name="Accent6 71" xfId="6910" xr:uid="{00000000-0005-0000-0000-0000BF010000}"/>
    <cellStyle name="Accent6 8" xfId="431" xr:uid="{00000000-0005-0000-0000-0000AE010000}"/>
    <cellStyle name="Accent6 9" xfId="432" xr:uid="{00000000-0005-0000-0000-0000AF010000}"/>
    <cellStyle name="Bad 2" xfId="433" xr:uid="{00000000-0005-0000-0000-0000B0010000}"/>
    <cellStyle name="Bad 3" xfId="434" xr:uid="{00000000-0005-0000-0000-0000B1010000}"/>
    <cellStyle name="Calculation 2" xfId="435" xr:uid="{00000000-0005-0000-0000-0000B2010000}"/>
    <cellStyle name="Calculation 3" xfId="436" xr:uid="{00000000-0005-0000-0000-0000B3010000}"/>
    <cellStyle name="Check Cell 2" xfId="437" xr:uid="{00000000-0005-0000-0000-0000B4010000}"/>
    <cellStyle name="Check Cell 3" xfId="438" xr:uid="{00000000-0005-0000-0000-0000B5010000}"/>
    <cellStyle name="Comma" xfId="439" builtinId="3"/>
    <cellStyle name="Comma 10" xfId="440" xr:uid="{00000000-0005-0000-0000-0000B7010000}"/>
    <cellStyle name="Comma 10 2" xfId="441" xr:uid="{00000000-0005-0000-0000-0000B8010000}"/>
    <cellStyle name="Comma 10 2 2" xfId="442" xr:uid="{00000000-0005-0000-0000-0000B9010000}"/>
    <cellStyle name="Comma 10 2 2 2" xfId="1562" xr:uid="{00000000-0005-0000-0000-0000BA010000}"/>
    <cellStyle name="Comma 10 2 2 2 2" xfId="6452" xr:uid="{00000000-0005-0000-0000-0000A2010000}"/>
    <cellStyle name="Comma 10 2 2 2 3" xfId="8321" xr:uid="{00000000-0005-0000-0000-0000CC010000}"/>
    <cellStyle name="Comma 10 2 2 2 4" xfId="10718" xr:uid="{00000000-0005-0000-0000-0000CC010000}"/>
    <cellStyle name="Comma 10 2 2 3" xfId="6352" xr:uid="{00000000-0005-0000-0000-000077010000}"/>
    <cellStyle name="Comma 10 2 2 3 2" xfId="11594" xr:uid="{00000000-0005-0000-0000-000095010000}"/>
    <cellStyle name="Comma 10 2 2 4" xfId="5032" xr:uid="{00000000-0005-0000-0000-000071010000}"/>
    <cellStyle name="Comma 10 2 2 5" xfId="6917" xr:uid="{00000000-0005-0000-0000-0000CB010000}"/>
    <cellStyle name="Comma 10 2 2 6" xfId="9328" xr:uid="{00000000-0005-0000-0000-0000CB010000}"/>
    <cellStyle name="Comma 10 2 3" xfId="1563" xr:uid="{00000000-0005-0000-0000-0000BB010000}"/>
    <cellStyle name="Comma 10 2 3 2" xfId="2663" xr:uid="{00000000-0005-0000-0000-000078010000}"/>
    <cellStyle name="Comma 10 2 3 3" xfId="3641" xr:uid="{00000000-0005-0000-0000-0000BB010000}"/>
    <cellStyle name="Comma 10 2 3 4" xfId="6157" xr:uid="{00000000-0005-0000-0000-000078010000}"/>
    <cellStyle name="Comma 10 2 3 5" xfId="6916" xr:uid="{00000000-0005-0000-0000-0000CD010000}"/>
    <cellStyle name="Comma 10 2 4" xfId="1561" xr:uid="{00000000-0005-0000-0000-0000BC010000}"/>
    <cellStyle name="Comma 10 2 4 2" xfId="4675" xr:uid="{00000000-0005-0000-0000-000076010000}"/>
    <cellStyle name="Comma 10 2 4 2 2" xfId="11750" xr:uid="{00000000-0005-0000-0000-000098010000}"/>
    <cellStyle name="Comma 10 2 4 3" xfId="7874" xr:uid="{00000000-0005-0000-0000-0000CE010000}"/>
    <cellStyle name="Comma 10 2 4 4" xfId="10271" xr:uid="{00000000-0005-0000-0000-0000CE010000}"/>
    <cellStyle name="Comma 10 2 5" xfId="3811" xr:uid="{00000000-0005-0000-0000-00004C010000}"/>
    <cellStyle name="Comma 10 2 5 2" xfId="5290" xr:uid="{00000000-0005-0000-0000-0000A5010000}"/>
    <cellStyle name="Comma 10 2 5 3" xfId="11392" xr:uid="{00000000-0005-0000-0000-0000A5010000}"/>
    <cellStyle name="Comma 10 2 6" xfId="5768" xr:uid="{00000000-0005-0000-0000-000046010000}"/>
    <cellStyle name="Comma 10 2 7" xfId="5027" xr:uid="{00000000-0005-0000-0000-000070010000}"/>
    <cellStyle name="Comma 10 2 8" xfId="6743" xr:uid="{00000000-0005-0000-0000-0000CA010000}"/>
    <cellStyle name="Comma 10 2 9" xfId="9164" xr:uid="{00000000-0005-0000-0000-0000CA010000}"/>
    <cellStyle name="Comma 10 3" xfId="443" xr:uid="{00000000-0005-0000-0000-0000BD010000}"/>
    <cellStyle name="Comma 10 3 2" xfId="1564" xr:uid="{00000000-0005-0000-0000-0000BE010000}"/>
    <cellStyle name="Comma 10 3 2 2" xfId="2662" xr:uid="{00000000-0005-0000-0000-000079010000}"/>
    <cellStyle name="Comma 10 3 2 3" xfId="2056" xr:uid="{00000000-0005-0000-0000-0000BE010000}"/>
    <cellStyle name="Comma 10 3 3" xfId="3710" xr:uid="{00000000-0005-0000-0000-0000BD010000}"/>
    <cellStyle name="Comma 10 3 4" xfId="3807" xr:uid="{00000000-0005-0000-0000-00004D010000}"/>
    <cellStyle name="Comma 10 3 5" xfId="6918" xr:uid="{00000000-0005-0000-0000-0000CF010000}"/>
    <cellStyle name="Comma 10 3 6" xfId="9329" xr:uid="{00000000-0005-0000-0000-0000CF010000}"/>
    <cellStyle name="Comma 10 4" xfId="1565" xr:uid="{00000000-0005-0000-0000-0000BF010000}"/>
    <cellStyle name="Comma 10 4 2" xfId="3009" xr:uid="{00000000-0005-0000-0000-00007A010000}"/>
    <cellStyle name="Comma 10 4 2 2" xfId="11428" xr:uid="{00000000-0005-0000-0000-0000A8010000}"/>
    <cellStyle name="Comma 10 4 3" xfId="3562" xr:uid="{00000000-0005-0000-0000-0000BF010000}"/>
    <cellStyle name="Comma 10 4 3 2" xfId="11753" xr:uid="{00000000-0005-0000-0000-00009C010000}"/>
    <cellStyle name="Comma 10 4 4" xfId="4391" xr:uid="{00000000-0005-0000-0000-00007A010000}"/>
    <cellStyle name="Comma 10 4 5" xfId="8322" xr:uid="{00000000-0005-0000-0000-0000D1010000}"/>
    <cellStyle name="Comma 10 4 6" xfId="10719" xr:uid="{00000000-0005-0000-0000-0000D1010000}"/>
    <cellStyle name="Comma 10 5" xfId="1560" xr:uid="{00000000-0005-0000-0000-0000C0010000}"/>
    <cellStyle name="Comma 10 5 2" xfId="2653" xr:uid="{00000000-0005-0000-0000-00007B010000}"/>
    <cellStyle name="Comma 10 5 3" xfId="3591" xr:uid="{00000000-0005-0000-0000-0000C0010000}"/>
    <cellStyle name="Comma 10 5 4" xfId="7865" xr:uid="{00000000-0005-0000-0000-0000D2010000}"/>
    <cellStyle name="Comma 10 5 5" xfId="10262" xr:uid="{00000000-0005-0000-0000-0000D2010000}"/>
    <cellStyle name="Comma 10 6" xfId="2258" xr:uid="{00000000-0005-0000-0000-000075010000}"/>
    <cellStyle name="Comma 10 7" xfId="5543" xr:uid="{00000000-0005-0000-0000-000045010000}"/>
    <cellStyle name="Comma 11" xfId="444" xr:uid="{00000000-0005-0000-0000-0000C1010000}"/>
    <cellStyle name="Comma 11 2" xfId="1567" xr:uid="{00000000-0005-0000-0000-0000C2010000}"/>
    <cellStyle name="Comma 11 2 2" xfId="3010" xr:uid="{00000000-0005-0000-0000-00007D010000}"/>
    <cellStyle name="Comma 11 2 2 2" xfId="8323" xr:uid="{00000000-0005-0000-0000-0000D5010000}"/>
    <cellStyle name="Comma 11 2 2 3" xfId="10720" xr:uid="{00000000-0005-0000-0000-0000D5010000}"/>
    <cellStyle name="Comma 11 2 2 4" xfId="11359" xr:uid="{00000000-0005-0000-0000-0000DA2C0000}"/>
    <cellStyle name="Comma 11 2 3" xfId="3634" xr:uid="{00000000-0005-0000-0000-0000C2010000}"/>
    <cellStyle name="Comma 11 2 4" xfId="6353" xr:uid="{00000000-0005-0000-0000-00007D010000}"/>
    <cellStyle name="Comma 11 2 5" xfId="5033" xr:uid="{00000000-0005-0000-0000-000073010000}"/>
    <cellStyle name="Comma 11 2 6" xfId="6919" xr:uid="{00000000-0005-0000-0000-0000D4010000}"/>
    <cellStyle name="Comma 11 2 7" xfId="9330" xr:uid="{00000000-0005-0000-0000-0000D4010000}"/>
    <cellStyle name="Comma 11 3" xfId="1568" xr:uid="{00000000-0005-0000-0000-0000C3010000}"/>
    <cellStyle name="Comma 11 3 2" xfId="2661" xr:uid="{00000000-0005-0000-0000-00007C010000}"/>
    <cellStyle name="Comma 11 3 3" xfId="3625" xr:uid="{00000000-0005-0000-0000-0000C3010000}"/>
    <cellStyle name="Comma 11 3 4" xfId="6156" xr:uid="{00000000-0005-0000-0000-00007C010000}"/>
    <cellStyle name="Comma 11 3 5" xfId="7873" xr:uid="{00000000-0005-0000-0000-0000D6010000}"/>
    <cellStyle name="Comma 11 3 6" xfId="10270" xr:uid="{00000000-0005-0000-0000-0000D6010000}"/>
    <cellStyle name="Comma 11 4" xfId="1566" xr:uid="{00000000-0005-0000-0000-0000C4010000}"/>
    <cellStyle name="Comma 11 4 2" xfId="11528" xr:uid="{00000000-0005-0000-0000-00008C010000}"/>
    <cellStyle name="Comma 11 4 3" xfId="11559" xr:uid="{00000000-0005-0000-0000-00008C010000}"/>
    <cellStyle name="Comma 11 5" xfId="3857" xr:uid="{00000000-0005-0000-0000-00004E010000}"/>
    <cellStyle name="Comma 11 5 2" xfId="11391" xr:uid="{00000000-0005-0000-0000-0000AF010000}"/>
    <cellStyle name="Comma 11 6" xfId="5767" xr:uid="{00000000-0005-0000-0000-000049010000}"/>
    <cellStyle name="Comma 11 7" xfId="4838" xr:uid="{00000000-0005-0000-0000-000072010000}"/>
    <cellStyle name="Comma 11 8" xfId="6584" xr:uid="{00000000-0005-0000-0000-0000D3010000}"/>
    <cellStyle name="Comma 11 9" xfId="9005" xr:uid="{00000000-0005-0000-0000-0000D3010000}"/>
    <cellStyle name="Comma 12" xfId="1569" xr:uid="{00000000-0005-0000-0000-0000C5010000}"/>
    <cellStyle name="Comma 12 2" xfId="2428" xr:uid="{00000000-0005-0000-0000-00007E010000}"/>
    <cellStyle name="Comma 12 2 2" xfId="6437" xr:uid="{00000000-0005-0000-0000-00007E010000}"/>
    <cellStyle name="Comma 12 2 3" xfId="4696" xr:uid="{00000000-0005-0000-0000-000047010000}"/>
    <cellStyle name="Comma 12 2 4" xfId="11427" xr:uid="{00000000-0005-0000-0000-0000DB2C0000}"/>
    <cellStyle name="Comma 12 3" xfId="3626" xr:uid="{00000000-0005-0000-0000-0000C5010000}"/>
    <cellStyle name="Comma 12 3 2" xfId="6442" xr:uid="{00000000-0005-0000-0000-0000C5010000}"/>
    <cellStyle name="Comma 12 3 3" xfId="4713" xr:uid="{00000000-0005-0000-0000-000048010000}"/>
    <cellStyle name="Comma 12 4" xfId="6138" xr:uid="{00000000-0005-0000-0000-00007E010000}"/>
    <cellStyle name="Comma 12 5" xfId="5031" xr:uid="{00000000-0005-0000-0000-000074010000}"/>
    <cellStyle name="Comma 12 6" xfId="6745" xr:uid="{00000000-0005-0000-0000-0000D7010000}"/>
    <cellStyle name="Comma 12 7" xfId="9166" xr:uid="{00000000-0005-0000-0000-0000D7010000}"/>
    <cellStyle name="Comma 12 8" xfId="4697" xr:uid="{00000000-0005-0000-0000-000046010000}"/>
    <cellStyle name="Comma 13" xfId="6516" xr:uid="{00000000-0005-0000-0000-0000B2010000}"/>
    <cellStyle name="Comma 13 2" xfId="6915" xr:uid="{00000000-0005-0000-0000-0000D9010000}"/>
    <cellStyle name="Comma 13 3" xfId="9327" xr:uid="{00000000-0005-0000-0000-0000D9010000}"/>
    <cellStyle name="Comma 2" xfId="445" xr:uid="{00000000-0005-0000-0000-0000C6010000}"/>
    <cellStyle name="Comma 2 2" xfId="446" xr:uid="{00000000-0005-0000-0000-0000C7010000}"/>
    <cellStyle name="Comma 3" xfId="447" xr:uid="{00000000-0005-0000-0000-0000C8010000}"/>
    <cellStyle name="Comma 3 2" xfId="448" xr:uid="{00000000-0005-0000-0000-0000C9010000}"/>
    <cellStyle name="Comma 4" xfId="449" xr:uid="{00000000-0005-0000-0000-0000CA010000}"/>
    <cellStyle name="Comma 4 2" xfId="450" xr:uid="{00000000-0005-0000-0000-0000CB010000}"/>
    <cellStyle name="Comma 4 2 2" xfId="1571" xr:uid="{00000000-0005-0000-0000-0000CC010000}"/>
    <cellStyle name="Comma 4 2 2 2" xfId="6510" xr:uid="{00000000-0005-0000-0000-0000B9010000}"/>
    <cellStyle name="Comma 4 2 3" xfId="1572" xr:uid="{00000000-0005-0000-0000-0000CD010000}"/>
    <cellStyle name="Comma 4 2 4" xfId="1570" xr:uid="{00000000-0005-0000-0000-0000CE010000}"/>
    <cellStyle name="Comma 4 3" xfId="451" xr:uid="{00000000-0005-0000-0000-0000CF010000}"/>
    <cellStyle name="Comma 4 4" xfId="452" xr:uid="{00000000-0005-0000-0000-0000D0010000}"/>
    <cellStyle name="Comma 4 4 2" xfId="453" xr:uid="{00000000-0005-0000-0000-0000D1010000}"/>
    <cellStyle name="Comma 4 4 2 2" xfId="1575" xr:uid="{00000000-0005-0000-0000-0000D2010000}"/>
    <cellStyle name="Comma 4 4 2 3" xfId="1576" xr:uid="{00000000-0005-0000-0000-0000D3010000}"/>
    <cellStyle name="Comma 4 4 2 4" xfId="1574" xr:uid="{00000000-0005-0000-0000-0000D4010000}"/>
    <cellStyle name="Comma 4 4 2 5" xfId="6922" xr:uid="{00000000-0005-0000-0000-0000E2010000}"/>
    <cellStyle name="Comma 4 4 2 6" xfId="9332" xr:uid="{00000000-0005-0000-0000-0000E2010000}"/>
    <cellStyle name="Comma 4 4 3" xfId="1577" xr:uid="{00000000-0005-0000-0000-0000D5010000}"/>
    <cellStyle name="Comma 4 4 4" xfId="1578" xr:uid="{00000000-0005-0000-0000-0000D6010000}"/>
    <cellStyle name="Comma 4 4 5" xfId="1573" xr:uid="{00000000-0005-0000-0000-0000D7010000}"/>
    <cellStyle name="Comma 4 4 6" xfId="6504" xr:uid="{00000000-0005-0000-0000-0000BC010000}"/>
    <cellStyle name="Comma 4 4 7" xfId="6921" xr:uid="{00000000-0005-0000-0000-0000E1010000}"/>
    <cellStyle name="Comma 4 4 8" xfId="9331" xr:uid="{00000000-0005-0000-0000-0000E1010000}"/>
    <cellStyle name="Comma 4 5" xfId="454" xr:uid="{00000000-0005-0000-0000-0000D8010000}"/>
    <cellStyle name="Comma 4 5 2" xfId="1580" xr:uid="{00000000-0005-0000-0000-0000D9010000}"/>
    <cellStyle name="Comma 4 5 3" xfId="1581" xr:uid="{00000000-0005-0000-0000-0000DA010000}"/>
    <cellStyle name="Comma 4 5 4" xfId="1579" xr:uid="{00000000-0005-0000-0000-0000DB010000}"/>
    <cellStyle name="Comma 4 5 5" xfId="6923" xr:uid="{00000000-0005-0000-0000-0000E3010000}"/>
    <cellStyle name="Comma 4 5 6" xfId="9333" xr:uid="{00000000-0005-0000-0000-0000E3010000}"/>
    <cellStyle name="Comma 4 6" xfId="1582" xr:uid="{00000000-0005-0000-0000-0000DC010000}"/>
    <cellStyle name="Comma 5" xfId="455" xr:uid="{00000000-0005-0000-0000-0000DD010000}"/>
    <cellStyle name="Comma 5 10" xfId="456" xr:uid="{00000000-0005-0000-0000-0000DE010000}"/>
    <cellStyle name="Comma 5 10 2" xfId="1584" xr:uid="{00000000-0005-0000-0000-0000DF010000}"/>
    <cellStyle name="Comma 5 10 2 2" xfId="3011" xr:uid="{00000000-0005-0000-0000-000088010000}"/>
    <cellStyle name="Comma 5 10 2 2 2" xfId="8324" xr:uid="{00000000-0005-0000-0000-0000E7010000}"/>
    <cellStyle name="Comma 5 10 2 2 3" xfId="10721" xr:uid="{00000000-0005-0000-0000-0000E7010000}"/>
    <cellStyle name="Comma 5 10 2 2 4" xfId="11353" xr:uid="{00000000-0005-0000-0000-0000DC2C0000}"/>
    <cellStyle name="Comma 5 10 2 3" xfId="3683" xr:uid="{00000000-0005-0000-0000-0000DF010000}"/>
    <cellStyle name="Comma 5 10 2 4" xfId="6354" xr:uid="{00000000-0005-0000-0000-000088010000}"/>
    <cellStyle name="Comma 5 10 2 5" xfId="5035" xr:uid="{00000000-0005-0000-0000-00007E010000}"/>
    <cellStyle name="Comma 5 10 2 6" xfId="6925" xr:uid="{00000000-0005-0000-0000-0000E6010000}"/>
    <cellStyle name="Comma 5 10 2 7" xfId="9335" xr:uid="{00000000-0005-0000-0000-0000E6010000}"/>
    <cellStyle name="Comma 5 10 3" xfId="1585" xr:uid="{00000000-0005-0000-0000-0000E0010000}"/>
    <cellStyle name="Comma 5 10 3 2" xfId="2664" xr:uid="{00000000-0005-0000-0000-000089010000}"/>
    <cellStyle name="Comma 5 10 3 3" xfId="3623" xr:uid="{00000000-0005-0000-0000-0000E0010000}"/>
    <cellStyle name="Comma 5 10 3 4" xfId="6158" xr:uid="{00000000-0005-0000-0000-000089010000}"/>
    <cellStyle name="Comma 5 10 3 5" xfId="7875" xr:uid="{00000000-0005-0000-0000-0000E8010000}"/>
    <cellStyle name="Comma 5 10 3 6" xfId="10272" xr:uid="{00000000-0005-0000-0000-0000E8010000}"/>
    <cellStyle name="Comma 5 10 4" xfId="1583" xr:uid="{00000000-0005-0000-0000-0000E1010000}"/>
    <cellStyle name="Comma 5 10 4 2" xfId="2271" xr:uid="{00000000-0005-0000-0000-000087010000}"/>
    <cellStyle name="Comma 5 10 4 3" xfId="3577" xr:uid="{00000000-0005-0000-0000-0000E1010000}"/>
    <cellStyle name="Comma 5 10 4 4" xfId="11560" xr:uid="{00000000-0005-0000-0000-00009A010000}"/>
    <cellStyle name="Comma 5 10 5" xfId="3859" xr:uid="{00000000-0005-0000-0000-000057010000}"/>
    <cellStyle name="Comma 5 10 5 2" xfId="11393" xr:uid="{00000000-0005-0000-0000-0000C3010000}"/>
    <cellStyle name="Comma 5 10 6" xfId="5769" xr:uid="{00000000-0005-0000-0000-000052010000}"/>
    <cellStyle name="Comma 5 10 7" xfId="4839" xr:uid="{00000000-0005-0000-0000-00007D010000}"/>
    <cellStyle name="Comma 5 10 8" xfId="6585" xr:uid="{00000000-0005-0000-0000-0000E5010000}"/>
    <cellStyle name="Comma 5 10 9" xfId="9006" xr:uid="{00000000-0005-0000-0000-0000E5010000}"/>
    <cellStyle name="Comma 5 11" xfId="457" xr:uid="{00000000-0005-0000-0000-0000E2010000}"/>
    <cellStyle name="Comma 5 11 2" xfId="1587" xr:uid="{00000000-0005-0000-0000-0000E3010000}"/>
    <cellStyle name="Comma 5 11 2 2" xfId="3012" xr:uid="{00000000-0005-0000-0000-00008B010000}"/>
    <cellStyle name="Comma 5 11 2 2 2" xfId="11366" xr:uid="{00000000-0005-0000-0000-0000DD2C0000}"/>
    <cellStyle name="Comma 5 11 2 3" xfId="3667" xr:uid="{00000000-0005-0000-0000-0000E3010000}"/>
    <cellStyle name="Comma 5 11 2 4" xfId="6355" xr:uid="{00000000-0005-0000-0000-00008B010000}"/>
    <cellStyle name="Comma 5 11 2 5" xfId="5036" xr:uid="{00000000-0005-0000-0000-000080010000}"/>
    <cellStyle name="Comma 5 11 2 6" xfId="6926" xr:uid="{00000000-0005-0000-0000-0000EA010000}"/>
    <cellStyle name="Comma 5 11 2 7" xfId="9336" xr:uid="{00000000-0005-0000-0000-0000EA010000}"/>
    <cellStyle name="Comma 5 11 3" xfId="1588" xr:uid="{00000000-0005-0000-0000-0000E4010000}"/>
    <cellStyle name="Comma 5 11 3 2" xfId="5295" xr:uid="{00000000-0005-0000-0000-0000C6010000}"/>
    <cellStyle name="Comma 5 11 3 3" xfId="6446" xr:uid="{00000000-0005-0000-0000-0000E4010000}"/>
    <cellStyle name="Comma 5 11 3 3 2" xfId="11381" xr:uid="{00000000-0005-0000-0000-0000C6010000}"/>
    <cellStyle name="Comma 5 11 3 4" xfId="8325" xr:uid="{00000000-0005-0000-0000-0000EB010000}"/>
    <cellStyle name="Comma 5 11 3 5" xfId="10722" xr:uid="{00000000-0005-0000-0000-0000EB010000}"/>
    <cellStyle name="Comma 5 11 3 6" xfId="4714" xr:uid="{00000000-0005-0000-0000-000056010000}"/>
    <cellStyle name="Comma 5 11 4" xfId="1586" xr:uid="{00000000-0005-0000-0000-0000E5010000}"/>
    <cellStyle name="Comma 5 11 4 2" xfId="6448" xr:uid="{00000000-0005-0000-0000-0000C7010000}"/>
    <cellStyle name="Comma 5 11 4 3" xfId="11429" xr:uid="{00000000-0005-0000-0000-0000C7010000}"/>
    <cellStyle name="Comma 5 11 5" xfId="4118" xr:uid="{00000000-0005-0000-0000-00008A010000}"/>
    <cellStyle name="Comma 5 11 6" xfId="5550" xr:uid="{00000000-0005-0000-0000-000053010000}"/>
    <cellStyle name="Comma 5 11 7" xfId="4759" xr:uid="{00000000-0005-0000-0000-00007F010000}"/>
    <cellStyle name="Comma 5 11 8" xfId="6746" xr:uid="{00000000-0005-0000-0000-0000E9010000}"/>
    <cellStyle name="Comma 5 11 9" xfId="9167" xr:uid="{00000000-0005-0000-0000-0000E9010000}"/>
    <cellStyle name="Comma 5 12" xfId="458" xr:uid="{00000000-0005-0000-0000-0000E6010000}"/>
    <cellStyle name="Comma 5 12 2" xfId="1590" xr:uid="{00000000-0005-0000-0000-0000E7010000}"/>
    <cellStyle name="Comma 5 12 2 2" xfId="6468" xr:uid="{00000000-0005-0000-0000-0000C9010000}"/>
    <cellStyle name="Comma 5 12 2 2 2" xfId="11595" xr:uid="{00000000-0005-0000-0000-0000BB010000}"/>
    <cellStyle name="Comma 5 12 2 3" xfId="6443" xr:uid="{00000000-0005-0000-0000-0000E7010000}"/>
    <cellStyle name="Comma 5 12 2 3 2" xfId="11426" xr:uid="{00000000-0005-0000-0000-0000C9010000}"/>
    <cellStyle name="Comma 5 12 2 4" xfId="8169" xr:uid="{00000000-0005-0000-0000-0000ED010000}"/>
    <cellStyle name="Comma 5 12 2 5" xfId="10566" xr:uid="{00000000-0005-0000-0000-0000ED010000}"/>
    <cellStyle name="Comma 5 12 2 6" xfId="4694" xr:uid="{00000000-0005-0000-0000-000058010000}"/>
    <cellStyle name="Comma 5 12 3" xfId="1591" xr:uid="{00000000-0005-0000-0000-0000E8010000}"/>
    <cellStyle name="Comma 5 12 3 2" xfId="11840" xr:uid="{00000000-0005-0000-0000-0000BC010000}"/>
    <cellStyle name="Comma 5 12 3 3" xfId="11638" xr:uid="{00000000-0005-0000-0000-0000BC010000}"/>
    <cellStyle name="Comma 5 12 4" xfId="1589" xr:uid="{00000000-0005-0000-0000-0000E9010000}"/>
    <cellStyle name="Comma 5 12 5" xfId="6262" xr:uid="{00000000-0005-0000-0000-00008C010000}"/>
    <cellStyle name="Comma 5 12 6" xfId="5034" xr:uid="{00000000-0005-0000-0000-000081010000}"/>
    <cellStyle name="Comma 5 12 7" xfId="6927" xr:uid="{00000000-0005-0000-0000-0000EC010000}"/>
    <cellStyle name="Comma 5 12 8" xfId="9337" xr:uid="{00000000-0005-0000-0000-0000EC010000}"/>
    <cellStyle name="Comma 5 13" xfId="1592" xr:uid="{00000000-0005-0000-0000-0000EA010000}"/>
    <cellStyle name="Comma 5 13 2" xfId="2429" xr:uid="{00000000-0005-0000-0000-00008D010000}"/>
    <cellStyle name="Comma 5 13 2 2" xfId="11596" xr:uid="{00000000-0005-0000-0000-0000BD010000}"/>
    <cellStyle name="Comma 5 13 3" xfId="3576" xr:uid="{00000000-0005-0000-0000-0000EA010000}"/>
    <cellStyle name="Comma 5 13 4" xfId="6139" xr:uid="{00000000-0005-0000-0000-00008D010000}"/>
    <cellStyle name="Comma 5 13 5" xfId="6924" xr:uid="{00000000-0005-0000-0000-0000EE010000}"/>
    <cellStyle name="Comma 5 13 6" xfId="9334" xr:uid="{00000000-0005-0000-0000-0000EE010000}"/>
    <cellStyle name="Comma 5 14" xfId="2156" xr:uid="{00000000-0005-0000-0000-000086010000}"/>
    <cellStyle name="Comma 5 14 2" xfId="6046" xr:uid="{00000000-0005-0000-0000-000086010000}"/>
    <cellStyle name="Comma 5 14 3" xfId="7624" xr:uid="{00000000-0005-0000-0000-0000EF010000}"/>
    <cellStyle name="Comma 5 14 4" xfId="10021" xr:uid="{00000000-0005-0000-0000-0000EF010000}"/>
    <cellStyle name="Comma 5 15" xfId="3777" xr:uid="{00000000-0005-0000-0000-000056010000}"/>
    <cellStyle name="Comma 5 15 2" xfId="11787" xr:uid="{00000000-0005-0000-0000-0000BF010000}"/>
    <cellStyle name="Comma 5 16" xfId="5297" xr:uid="{00000000-0005-0000-0000-000051010000}"/>
    <cellStyle name="Comma 5 17" xfId="4752" xr:uid="{00000000-0005-0000-0000-00007C010000}"/>
    <cellStyle name="Comma 5 18" xfId="6523" xr:uid="{00000000-0005-0000-0000-0000E4010000}"/>
    <cellStyle name="Comma 5 19" xfId="8944" xr:uid="{00000000-0005-0000-0000-0000E4010000}"/>
    <cellStyle name="Comma 5 2" xfId="459" xr:uid="{00000000-0005-0000-0000-0000EB010000}"/>
    <cellStyle name="Comma 5 2 2" xfId="460" xr:uid="{00000000-0005-0000-0000-0000EC010000}"/>
    <cellStyle name="Comma 5 2 2 2" xfId="1594" xr:uid="{00000000-0005-0000-0000-0000ED010000}"/>
    <cellStyle name="Comma 5 2 2 3" xfId="1595" xr:uid="{00000000-0005-0000-0000-0000EE010000}"/>
    <cellStyle name="Comma 5 2 2 4" xfId="1593" xr:uid="{00000000-0005-0000-0000-0000EF010000}"/>
    <cellStyle name="Comma 5 2 2 5" xfId="6929" xr:uid="{00000000-0005-0000-0000-0000F1010000}"/>
    <cellStyle name="Comma 5 2 2 6" xfId="9338" xr:uid="{00000000-0005-0000-0000-0000F1010000}"/>
    <cellStyle name="Comma 5 3" xfId="461" xr:uid="{00000000-0005-0000-0000-0000F0010000}"/>
    <cellStyle name="Comma 5 3 10" xfId="5364" xr:uid="{00000000-0005-0000-0000-000055010000}"/>
    <cellStyle name="Comma 5 3 11" xfId="4820" xr:uid="{00000000-0005-0000-0000-000083010000}"/>
    <cellStyle name="Comma 5 3 12" xfId="6566" xr:uid="{00000000-0005-0000-0000-0000F2010000}"/>
    <cellStyle name="Comma 5 3 13" xfId="8987" xr:uid="{00000000-0005-0000-0000-0000F2010000}"/>
    <cellStyle name="Comma 5 3 2" xfId="462" xr:uid="{00000000-0005-0000-0000-0000F1010000}"/>
    <cellStyle name="Comma 5 3 2 10" xfId="4840" xr:uid="{00000000-0005-0000-0000-000084010000}"/>
    <cellStyle name="Comma 5 3 2 11" xfId="6586" xr:uid="{00000000-0005-0000-0000-0000F3010000}"/>
    <cellStyle name="Comma 5 3 2 12" xfId="9007" xr:uid="{00000000-0005-0000-0000-0000F3010000}"/>
    <cellStyle name="Comma 5 3 2 2" xfId="463" xr:uid="{00000000-0005-0000-0000-0000F2010000}"/>
    <cellStyle name="Comma 5 3 2 2 2" xfId="1599" xr:uid="{00000000-0005-0000-0000-0000F3010000}"/>
    <cellStyle name="Comma 5 3 2 2 2 2" xfId="3015" xr:uid="{00000000-0005-0000-0000-000093010000}"/>
    <cellStyle name="Comma 5 3 2 2 2 2 2" xfId="8328" xr:uid="{00000000-0005-0000-0000-0000F6010000}"/>
    <cellStyle name="Comma 5 3 2 2 2 2 3" xfId="10725" xr:uid="{00000000-0005-0000-0000-0000F6010000}"/>
    <cellStyle name="Comma 5 3 2 2 2 3" xfId="2667" xr:uid="{00000000-0005-0000-0000-000092010000}"/>
    <cellStyle name="Comma 5 3 2 2 2 3 2" xfId="11394" xr:uid="{00000000-0005-0000-0000-0000D2010000}"/>
    <cellStyle name="Comma 5 3 2 2 2 3 3" xfId="11962" xr:uid="{00000000-0005-0000-0000-0000B8010000}"/>
    <cellStyle name="Comma 5 3 2 2 2 4" xfId="3630" xr:uid="{00000000-0005-0000-0000-0000F3010000}"/>
    <cellStyle name="Comma 5 3 2 2 2 4 2" xfId="11748" xr:uid="{00000000-0005-0000-0000-0000C4010000}"/>
    <cellStyle name="Comma 5 3 2 2 2 5" xfId="4252" xr:uid="{00000000-0005-0000-0000-000092010000}"/>
    <cellStyle name="Comma 5 3 2 2 2 6" xfId="7878" xr:uid="{00000000-0005-0000-0000-0000F5010000}"/>
    <cellStyle name="Comma 5 3 2 2 2 7" xfId="10275" xr:uid="{00000000-0005-0000-0000-0000F5010000}"/>
    <cellStyle name="Comma 5 3 2 2 3" xfId="1600" xr:uid="{00000000-0005-0000-0000-0000F4010000}"/>
    <cellStyle name="Comma 5 3 2 2 3 2" xfId="3016" xr:uid="{00000000-0005-0000-0000-000094010000}"/>
    <cellStyle name="Comma 5 3 2 2 3 2 2" xfId="11430" xr:uid="{00000000-0005-0000-0000-0000D4010000}"/>
    <cellStyle name="Comma 5 3 2 2 3 3" xfId="2083" xr:uid="{00000000-0005-0000-0000-0000F4010000}"/>
    <cellStyle name="Comma 5 3 2 2 3 3 2" xfId="11756" xr:uid="{00000000-0005-0000-0000-0000C7010000}"/>
    <cellStyle name="Comma 5 3 2 2 3 4" xfId="4392" xr:uid="{00000000-0005-0000-0000-000094010000}"/>
    <cellStyle name="Comma 5 3 2 2 3 5" xfId="8329" xr:uid="{00000000-0005-0000-0000-0000F7010000}"/>
    <cellStyle name="Comma 5 3 2 2 3 6" xfId="10726" xr:uid="{00000000-0005-0000-0000-0000F7010000}"/>
    <cellStyle name="Comma 5 3 2 2 4" xfId="1598" xr:uid="{00000000-0005-0000-0000-0000F5010000}"/>
    <cellStyle name="Comma 5 3 2 2 4 2" xfId="3014" xr:uid="{00000000-0005-0000-0000-000095010000}"/>
    <cellStyle name="Comma 5 3 2 2 4 3" xfId="3652" xr:uid="{00000000-0005-0000-0000-0000F5010000}"/>
    <cellStyle name="Comma 5 3 2 2 4 4" xfId="8327" xr:uid="{00000000-0005-0000-0000-0000F8010000}"/>
    <cellStyle name="Comma 5 3 2 2 4 5" xfId="10724" xr:uid="{00000000-0005-0000-0000-0000F8010000}"/>
    <cellStyle name="Comma 5 3 2 2 5" xfId="4238" xr:uid="{00000000-0005-0000-0000-000091010000}"/>
    <cellStyle name="Comma 5 3 2 2 5 2" xfId="7847" xr:uid="{00000000-0005-0000-0000-0000F9010000}"/>
    <cellStyle name="Comma 5 3 2 2 5 3" xfId="10244" xr:uid="{00000000-0005-0000-0000-0000F9010000}"/>
    <cellStyle name="Comma 5 3 2 2 6" xfId="5525" xr:uid="{00000000-0005-0000-0000-000057010000}"/>
    <cellStyle name="Comma 5 3 2 2 6 2" xfId="11597" xr:uid="{00000000-0005-0000-0000-0000C3010000}"/>
    <cellStyle name="Comma 5 3 2 2 7" xfId="5038" xr:uid="{00000000-0005-0000-0000-000085010000}"/>
    <cellStyle name="Comma 5 3 2 2 8" xfId="6932" xr:uid="{00000000-0005-0000-0000-0000F4010000}"/>
    <cellStyle name="Comma 5 3 2 2 9" xfId="9341" xr:uid="{00000000-0005-0000-0000-0000F4010000}"/>
    <cellStyle name="Comma 5 3 2 3" xfId="1601" xr:uid="{00000000-0005-0000-0000-0000F6010000}"/>
    <cellStyle name="Comma 5 3 2 3 2" xfId="3017" xr:uid="{00000000-0005-0000-0000-000097010000}"/>
    <cellStyle name="Comma 5 3 2 3 2 2" xfId="8330" xr:uid="{00000000-0005-0000-0000-0000FB010000}"/>
    <cellStyle name="Comma 5 3 2 3 2 2 2" xfId="11848" xr:uid="{00000000-0005-0000-0000-0000CD010000}"/>
    <cellStyle name="Comma 5 3 2 3 2 3" xfId="10727" xr:uid="{00000000-0005-0000-0000-0000FB010000}"/>
    <cellStyle name="Comma 5 3 2 3 3" xfId="2666" xr:uid="{00000000-0005-0000-0000-000096010000}"/>
    <cellStyle name="Comma 5 3 2 3 3 2" xfId="7877" xr:uid="{00000000-0005-0000-0000-0000FC010000}"/>
    <cellStyle name="Comma 5 3 2 3 3 3" xfId="10274" xr:uid="{00000000-0005-0000-0000-0000FC010000}"/>
    <cellStyle name="Comma 5 3 2 3 3 4" xfId="11963" xr:uid="{00000000-0005-0000-0000-0000BC010000}"/>
    <cellStyle name="Comma 5 3 2 3 4" xfId="3611" xr:uid="{00000000-0005-0000-0000-0000F6010000}"/>
    <cellStyle name="Comma 5 3 2 3 5" xfId="4251" xr:uid="{00000000-0005-0000-0000-000096010000}"/>
    <cellStyle name="Comma 5 3 2 3 6" xfId="5771" xr:uid="{00000000-0005-0000-0000-00005A010000}"/>
    <cellStyle name="Comma 5 3 2 3 7" xfId="6931" xr:uid="{00000000-0005-0000-0000-0000FA010000}"/>
    <cellStyle name="Comma 5 3 2 3 8" xfId="9340" xr:uid="{00000000-0005-0000-0000-0000FA010000}"/>
    <cellStyle name="Comma 5 3 2 4" xfId="1602" xr:uid="{00000000-0005-0000-0000-0000F7010000}"/>
    <cellStyle name="Comma 5 3 2 4 2" xfId="3018" xr:uid="{00000000-0005-0000-0000-000098010000}"/>
    <cellStyle name="Comma 5 3 2 4 2 2" xfId="11431" xr:uid="{00000000-0005-0000-0000-0000DB010000}"/>
    <cellStyle name="Comma 5 3 2 4 3" xfId="2155" xr:uid="{00000000-0005-0000-0000-0000F7010000}"/>
    <cellStyle name="Comma 5 3 2 4 3 2" xfId="11775" xr:uid="{00000000-0005-0000-0000-0000CF010000}"/>
    <cellStyle name="Comma 5 3 2 4 4" xfId="4393" xr:uid="{00000000-0005-0000-0000-000098010000}"/>
    <cellStyle name="Comma 5 3 2 4 5" xfId="8331" xr:uid="{00000000-0005-0000-0000-0000FD010000}"/>
    <cellStyle name="Comma 5 3 2 4 6" xfId="10728" xr:uid="{00000000-0005-0000-0000-0000FD010000}"/>
    <cellStyle name="Comma 5 3 2 5" xfId="1597" xr:uid="{00000000-0005-0000-0000-0000F8010000}"/>
    <cellStyle name="Comma 5 3 2 5 2" xfId="3013" xr:uid="{00000000-0005-0000-0000-000099010000}"/>
    <cellStyle name="Comma 5 3 2 5 3" xfId="3629" xr:uid="{00000000-0005-0000-0000-0000F8010000}"/>
    <cellStyle name="Comma 5 3 2 5 4" xfId="8326" xr:uid="{00000000-0005-0000-0000-0000FE010000}"/>
    <cellStyle name="Comma 5 3 2 5 5" xfId="10723" xr:uid="{00000000-0005-0000-0000-0000FE010000}"/>
    <cellStyle name="Comma 5 3 2 6" xfId="2546" xr:uid="{00000000-0005-0000-0000-00009A010000}"/>
    <cellStyle name="Comma 5 3 2 6 2" xfId="7744" xr:uid="{00000000-0005-0000-0000-0000FF010000}"/>
    <cellStyle name="Comma 5 3 2 6 3" xfId="10141" xr:uid="{00000000-0005-0000-0000-0000FF010000}"/>
    <cellStyle name="Comma 5 3 2 7" xfId="2240" xr:uid="{00000000-0005-0000-0000-000090010000}"/>
    <cellStyle name="Comma 5 3 2 8" xfId="3793" xr:uid="{00000000-0005-0000-0000-00005A010000}"/>
    <cellStyle name="Comma 5 3 2 9" xfId="5424" xr:uid="{00000000-0005-0000-0000-000056010000}"/>
    <cellStyle name="Comma 5 3 3" xfId="464" xr:uid="{00000000-0005-0000-0000-0000F9010000}"/>
    <cellStyle name="Comma 5 3 3 10" xfId="6747" xr:uid="{00000000-0005-0000-0000-000000020000}"/>
    <cellStyle name="Comma 5 3 3 11" xfId="9168" xr:uid="{00000000-0005-0000-0000-000000020000}"/>
    <cellStyle name="Comma 5 3 3 2" xfId="1604" xr:uid="{00000000-0005-0000-0000-0000FA010000}"/>
    <cellStyle name="Comma 5 3 3 2 2" xfId="3020" xr:uid="{00000000-0005-0000-0000-00009D010000}"/>
    <cellStyle name="Comma 5 3 3 2 2 2" xfId="8333" xr:uid="{00000000-0005-0000-0000-000002020000}"/>
    <cellStyle name="Comma 5 3 3 2 2 2 2" xfId="11850" xr:uid="{00000000-0005-0000-0000-0000D6010000}"/>
    <cellStyle name="Comma 5 3 3 2 2 3" xfId="10730" xr:uid="{00000000-0005-0000-0000-000002020000}"/>
    <cellStyle name="Comma 5 3 3 2 3" xfId="2668" xr:uid="{00000000-0005-0000-0000-00009C010000}"/>
    <cellStyle name="Comma 5 3 3 2 3 2" xfId="7879" xr:uid="{00000000-0005-0000-0000-000003020000}"/>
    <cellStyle name="Comma 5 3 3 2 3 3" xfId="10276" xr:uid="{00000000-0005-0000-0000-000003020000}"/>
    <cellStyle name="Comma 5 3 3 2 3 4" xfId="11964" xr:uid="{00000000-0005-0000-0000-0000C1010000}"/>
    <cellStyle name="Comma 5 3 3 2 4" xfId="3581" xr:uid="{00000000-0005-0000-0000-0000FA010000}"/>
    <cellStyle name="Comma 5 3 3 2 5" xfId="4253" xr:uid="{00000000-0005-0000-0000-00009C010000}"/>
    <cellStyle name="Comma 5 3 3 2 6" xfId="5772" xr:uid="{00000000-0005-0000-0000-00005D010000}"/>
    <cellStyle name="Comma 5 3 3 2 7" xfId="6933" xr:uid="{00000000-0005-0000-0000-000001020000}"/>
    <cellStyle name="Comma 5 3 3 2 8" xfId="9342" xr:uid="{00000000-0005-0000-0000-000001020000}"/>
    <cellStyle name="Comma 5 3 3 3" xfId="1605" xr:uid="{00000000-0005-0000-0000-0000FB010000}"/>
    <cellStyle name="Comma 5 3 3 3 2" xfId="3021" xr:uid="{00000000-0005-0000-0000-00009E010000}"/>
    <cellStyle name="Comma 5 3 3 3 2 2" xfId="11432" xr:uid="{00000000-0005-0000-0000-0000E3010000}"/>
    <cellStyle name="Comma 5 3 3 3 3" xfId="2055" xr:uid="{00000000-0005-0000-0000-0000FB010000}"/>
    <cellStyle name="Comma 5 3 3 3 4" xfId="4394" xr:uid="{00000000-0005-0000-0000-00009E010000}"/>
    <cellStyle name="Comma 5 3 3 3 5" xfId="5696" xr:uid="{00000000-0005-0000-0000-00005E010000}"/>
    <cellStyle name="Comma 5 3 3 3 6" xfId="8334" xr:uid="{00000000-0005-0000-0000-000004020000}"/>
    <cellStyle name="Comma 5 3 3 3 7" xfId="10731" xr:uid="{00000000-0005-0000-0000-000004020000}"/>
    <cellStyle name="Comma 5 3 3 4" xfId="1603" xr:uid="{00000000-0005-0000-0000-0000FC010000}"/>
    <cellStyle name="Comma 5 3 3 4 2" xfId="3019" xr:uid="{00000000-0005-0000-0000-00009F010000}"/>
    <cellStyle name="Comma 5 3 3 4 2 2" xfId="11849" xr:uid="{00000000-0005-0000-0000-0000DB010000}"/>
    <cellStyle name="Comma 5 3 3 4 3" xfId="3704" xr:uid="{00000000-0005-0000-0000-0000FC010000}"/>
    <cellStyle name="Comma 5 3 3 4 3 2" xfId="11768" xr:uid="{00000000-0005-0000-0000-0000DA010000}"/>
    <cellStyle name="Comma 5 3 3 4 4" xfId="8332" xr:uid="{00000000-0005-0000-0000-000005020000}"/>
    <cellStyle name="Comma 5 3 3 4 5" xfId="10729" xr:uid="{00000000-0005-0000-0000-000005020000}"/>
    <cellStyle name="Comma 5 3 3 5" xfId="2589" xr:uid="{00000000-0005-0000-0000-0000A0010000}"/>
    <cellStyle name="Comma 5 3 3 5 2" xfId="7787" xr:uid="{00000000-0005-0000-0000-000006020000}"/>
    <cellStyle name="Comma 5 3 3 5 3" xfId="10184" xr:uid="{00000000-0005-0000-0000-000006020000}"/>
    <cellStyle name="Comma 5 3 3 6" xfId="2273" xr:uid="{00000000-0005-0000-0000-00009B010000}"/>
    <cellStyle name="Comma 5 3 3 7" xfId="3812" xr:uid="{00000000-0005-0000-0000-00005B010000}"/>
    <cellStyle name="Comma 5 3 3 8" xfId="5465" xr:uid="{00000000-0005-0000-0000-00005C010000}"/>
    <cellStyle name="Comma 5 3 3 9" xfId="5037" xr:uid="{00000000-0005-0000-0000-000086010000}"/>
    <cellStyle name="Comma 5 3 4" xfId="465" xr:uid="{00000000-0005-0000-0000-0000FD010000}"/>
    <cellStyle name="Comma 5 3 4 2" xfId="1607" xr:uid="{00000000-0005-0000-0000-0000FE010000}"/>
    <cellStyle name="Comma 5 3 4 2 2" xfId="3022" xr:uid="{00000000-0005-0000-0000-0000A2010000}"/>
    <cellStyle name="Comma 5 3 4 2 2 2" xfId="11851" xr:uid="{00000000-0005-0000-0000-0000DF010000}"/>
    <cellStyle name="Comma 5 3 4 2 3" xfId="3596" xr:uid="{00000000-0005-0000-0000-0000FE010000}"/>
    <cellStyle name="Comma 5 3 4 2 3 2" xfId="11749" xr:uid="{00000000-0005-0000-0000-0000DE010000}"/>
    <cellStyle name="Comma 5 3 4 2 4" xfId="8335" xr:uid="{00000000-0005-0000-0000-000008020000}"/>
    <cellStyle name="Comma 5 3 4 2 5" xfId="10732" xr:uid="{00000000-0005-0000-0000-000008020000}"/>
    <cellStyle name="Comma 5 3 4 3" xfId="1608" xr:uid="{00000000-0005-0000-0000-0000FF010000}"/>
    <cellStyle name="Comma 5 3 4 3 2" xfId="2665" xr:uid="{00000000-0005-0000-0000-0000A3010000}"/>
    <cellStyle name="Comma 5 3 4 3 3" xfId="2864" xr:uid="{00000000-0005-0000-0000-0000FF010000}"/>
    <cellStyle name="Comma 5 3 4 3 4" xfId="7876" xr:uid="{00000000-0005-0000-0000-000009020000}"/>
    <cellStyle name="Comma 5 3 4 3 5" xfId="10273" xr:uid="{00000000-0005-0000-0000-000009020000}"/>
    <cellStyle name="Comma 5 3 4 4" xfId="1606" xr:uid="{00000000-0005-0000-0000-000000020000}"/>
    <cellStyle name="Comma 5 3 4 4 2" xfId="4651" xr:uid="{00000000-0005-0000-0000-0000A1010000}"/>
    <cellStyle name="Comma 5 3 4 5" xfId="4120" xr:uid="{00000000-0005-0000-0000-0000A1010000}"/>
    <cellStyle name="Comma 5 3 4 6" xfId="5770" xr:uid="{00000000-0005-0000-0000-00005F010000}"/>
    <cellStyle name="Comma 5 3 4 7" xfId="6934" xr:uid="{00000000-0005-0000-0000-000007020000}"/>
    <cellStyle name="Comma 5 3 4 8" xfId="9343" xr:uid="{00000000-0005-0000-0000-000007020000}"/>
    <cellStyle name="Comma 5 3 5" xfId="1609" xr:uid="{00000000-0005-0000-0000-000001020000}"/>
    <cellStyle name="Comma 5 3 5 2" xfId="3023" xr:uid="{00000000-0005-0000-0000-0000A4010000}"/>
    <cellStyle name="Comma 5 3 5 2 2" xfId="8336" xr:uid="{00000000-0005-0000-0000-00000B020000}"/>
    <cellStyle name="Comma 5 3 5 2 3" xfId="10733" xr:uid="{00000000-0005-0000-0000-00000B020000}"/>
    <cellStyle name="Comma 5 3 5 3" xfId="3602" xr:uid="{00000000-0005-0000-0000-000001020000}"/>
    <cellStyle name="Comma 5 3 5 4" xfId="4395" xr:uid="{00000000-0005-0000-0000-0000A4010000}"/>
    <cellStyle name="Comma 5 3 5 5" xfId="5610" xr:uid="{00000000-0005-0000-0000-000060010000}"/>
    <cellStyle name="Comma 5 3 5 6" xfId="6930" xr:uid="{00000000-0005-0000-0000-00000A020000}"/>
    <cellStyle name="Comma 5 3 5 7" xfId="9339" xr:uid="{00000000-0005-0000-0000-00000A020000}"/>
    <cellStyle name="Comma 5 3 6" xfId="1610" xr:uid="{00000000-0005-0000-0000-000002020000}"/>
    <cellStyle name="Comma 5 3 6 2" xfId="2868" xr:uid="{00000000-0005-0000-0000-0000A5010000}"/>
    <cellStyle name="Comma 5 3 6 2 2" xfId="11841" xr:uid="{00000000-0005-0000-0000-0000E4010000}"/>
    <cellStyle name="Comma 5 3 6 3" xfId="2057" xr:uid="{00000000-0005-0000-0000-000002020000}"/>
    <cellStyle name="Comma 5 3 6 3 2" xfId="11782" xr:uid="{00000000-0005-0000-0000-0000E3010000}"/>
    <cellStyle name="Comma 5 3 6 4" xfId="8171" xr:uid="{00000000-0005-0000-0000-00000C020000}"/>
    <cellStyle name="Comma 5 3 6 5" xfId="10568" xr:uid="{00000000-0005-0000-0000-00000C020000}"/>
    <cellStyle name="Comma 5 3 7" xfId="1596" xr:uid="{00000000-0005-0000-0000-000003020000}"/>
    <cellStyle name="Comma 5 3 7 2" xfId="2486" xr:uid="{00000000-0005-0000-0000-0000A6010000}"/>
    <cellStyle name="Comma 5 3 7 3" xfId="3610" xr:uid="{00000000-0005-0000-0000-000003020000}"/>
    <cellStyle name="Comma 5 3 7 4" xfId="7684" xr:uid="{00000000-0005-0000-0000-00000D020000}"/>
    <cellStyle name="Comma 5 3 7 5" xfId="10081" xr:uid="{00000000-0005-0000-0000-00000D020000}"/>
    <cellStyle name="Comma 5 3 8" xfId="2180" xr:uid="{00000000-0005-0000-0000-00008F010000}"/>
    <cellStyle name="Comma 5 3 9" xfId="3860" xr:uid="{00000000-0005-0000-0000-000059010000}"/>
    <cellStyle name="Comma 5 4" xfId="466" xr:uid="{00000000-0005-0000-0000-000004020000}"/>
    <cellStyle name="Comma 5 4 10" xfId="5338" xr:uid="{00000000-0005-0000-0000-000061010000}"/>
    <cellStyle name="Comma 5 4 11" xfId="4794" xr:uid="{00000000-0005-0000-0000-000087010000}"/>
    <cellStyle name="Comma 5 4 12" xfId="6540" xr:uid="{00000000-0005-0000-0000-00000E020000}"/>
    <cellStyle name="Comma 5 4 13" xfId="8961" xr:uid="{00000000-0005-0000-0000-00000E020000}"/>
    <cellStyle name="Comma 5 4 2" xfId="467" xr:uid="{00000000-0005-0000-0000-000005020000}"/>
    <cellStyle name="Comma 5 4 2 10" xfId="6587" xr:uid="{00000000-0005-0000-0000-00000F020000}"/>
    <cellStyle name="Comma 5 4 2 11" xfId="9008" xr:uid="{00000000-0005-0000-0000-00000F020000}"/>
    <cellStyle name="Comma 5 4 2 2" xfId="468" xr:uid="{00000000-0005-0000-0000-000006020000}"/>
    <cellStyle name="Comma 5 4 2 2 2" xfId="1614" xr:uid="{00000000-0005-0000-0000-000007020000}"/>
    <cellStyle name="Comma 5 4 2 2 2 2" xfId="3025" xr:uid="{00000000-0005-0000-0000-0000AA010000}"/>
    <cellStyle name="Comma 5 4 2 2 2 2 2" xfId="11434" xr:uid="{00000000-0005-0000-0000-0000F1010000}"/>
    <cellStyle name="Comma 5 4 2 2 2 2 3" xfId="11965" xr:uid="{00000000-0005-0000-0000-0000CC010000}"/>
    <cellStyle name="Comma 5 4 2 2 2 3" xfId="2043" xr:uid="{00000000-0005-0000-0000-000007020000}"/>
    <cellStyle name="Comma 5 4 2 2 2 3 2" xfId="11746" xr:uid="{00000000-0005-0000-0000-0000E9010000}"/>
    <cellStyle name="Comma 5 4 2 2 2 4" xfId="8338" xr:uid="{00000000-0005-0000-0000-000011020000}"/>
    <cellStyle name="Comma 5 4 2 2 2 5" xfId="10735" xr:uid="{00000000-0005-0000-0000-000011020000}"/>
    <cellStyle name="Comma 5 4 2 2 3" xfId="1615" xr:uid="{00000000-0005-0000-0000-000008020000}"/>
    <cellStyle name="Comma 5 4 2 2 3 2" xfId="4633" xr:uid="{00000000-0005-0000-0000-0000A9010000}"/>
    <cellStyle name="Comma 5 4 2 2 3 3" xfId="7881" xr:uid="{00000000-0005-0000-0000-000012020000}"/>
    <cellStyle name="Comma 5 4 2 2 3 4" xfId="10278" xr:uid="{00000000-0005-0000-0000-000012020000}"/>
    <cellStyle name="Comma 5 4 2 2 4" xfId="1613" xr:uid="{00000000-0005-0000-0000-000009020000}"/>
    <cellStyle name="Comma 5 4 2 2 4 2" xfId="12106" xr:uid="{00000000-0005-0000-0000-0000CE010000}"/>
    <cellStyle name="Comma 5 4 2 2 4 3" xfId="12025" xr:uid="{00000000-0005-0000-0000-0000CE010000}"/>
    <cellStyle name="Comma 5 4 2 2 5" xfId="4255" xr:uid="{00000000-0005-0000-0000-0000A9010000}"/>
    <cellStyle name="Comma 5 4 2 2 6" xfId="5774" xr:uid="{00000000-0005-0000-0000-000063010000}"/>
    <cellStyle name="Comma 5 4 2 2 7" xfId="5040" xr:uid="{00000000-0005-0000-0000-000089010000}"/>
    <cellStyle name="Comma 5 4 2 2 8" xfId="6937" xr:uid="{00000000-0005-0000-0000-000010020000}"/>
    <cellStyle name="Comma 5 4 2 2 9" xfId="9346" xr:uid="{00000000-0005-0000-0000-000010020000}"/>
    <cellStyle name="Comma 5 4 2 3" xfId="1616" xr:uid="{00000000-0005-0000-0000-00000A020000}"/>
    <cellStyle name="Comma 5 4 2 3 2" xfId="3026" xr:uid="{00000000-0005-0000-0000-0000AB010000}"/>
    <cellStyle name="Comma 5 4 2 3 2 2" xfId="8339" xr:uid="{00000000-0005-0000-0000-000014020000}"/>
    <cellStyle name="Comma 5 4 2 3 2 3" xfId="10736" xr:uid="{00000000-0005-0000-0000-000014020000}"/>
    <cellStyle name="Comma 5 4 2 3 2 4" xfId="11966" xr:uid="{00000000-0005-0000-0000-0000CF010000}"/>
    <cellStyle name="Comma 5 4 2 3 3" xfId="3552" xr:uid="{00000000-0005-0000-0000-00000A020000}"/>
    <cellStyle name="Comma 5 4 2 3 4" xfId="4396" xr:uid="{00000000-0005-0000-0000-0000AB010000}"/>
    <cellStyle name="Comma 5 4 2 3 5" xfId="5644" xr:uid="{00000000-0005-0000-0000-000064010000}"/>
    <cellStyle name="Comma 5 4 2 3 6" xfId="6936" xr:uid="{00000000-0005-0000-0000-000013020000}"/>
    <cellStyle name="Comma 5 4 2 3 7" xfId="9345" xr:uid="{00000000-0005-0000-0000-000013020000}"/>
    <cellStyle name="Comma 5 4 2 4" xfId="1617" xr:uid="{00000000-0005-0000-0000-00000B020000}"/>
    <cellStyle name="Comma 5 4 2 4 2" xfId="3024" xr:uid="{00000000-0005-0000-0000-0000AC010000}"/>
    <cellStyle name="Comma 5 4 2 4 2 2" xfId="11433" xr:uid="{00000000-0005-0000-0000-0000F6010000}"/>
    <cellStyle name="Comma 5 4 2 4 3" xfId="2091" xr:uid="{00000000-0005-0000-0000-00000B020000}"/>
    <cellStyle name="Comma 5 4 2 4 3 2" xfId="11781" xr:uid="{00000000-0005-0000-0000-0000EE010000}"/>
    <cellStyle name="Comma 5 4 2 4 4" xfId="8337" xr:uid="{00000000-0005-0000-0000-000015020000}"/>
    <cellStyle name="Comma 5 4 2 4 5" xfId="10734" xr:uid="{00000000-0005-0000-0000-000015020000}"/>
    <cellStyle name="Comma 5 4 2 5" xfId="1612" xr:uid="{00000000-0005-0000-0000-00000C020000}"/>
    <cellStyle name="Comma 5 4 2 5 2" xfId="2520" xr:uid="{00000000-0005-0000-0000-0000AD010000}"/>
    <cellStyle name="Comma 5 4 2 5 3" xfId="2092" xr:uid="{00000000-0005-0000-0000-00000C020000}"/>
    <cellStyle name="Comma 5 4 2 5 4" xfId="7718" xr:uid="{00000000-0005-0000-0000-000016020000}"/>
    <cellStyle name="Comma 5 4 2 5 5" xfId="10115" xr:uid="{00000000-0005-0000-0000-000016020000}"/>
    <cellStyle name="Comma 5 4 2 6" xfId="2274" xr:uid="{00000000-0005-0000-0000-0000A8010000}"/>
    <cellStyle name="Comma 5 4 2 7" xfId="3813" xr:uid="{00000000-0005-0000-0000-00005D010000}"/>
    <cellStyle name="Comma 5 4 2 8" xfId="5398" xr:uid="{00000000-0005-0000-0000-000062010000}"/>
    <cellStyle name="Comma 5 4 2 9" xfId="4841" xr:uid="{00000000-0005-0000-0000-000088010000}"/>
    <cellStyle name="Comma 5 4 3" xfId="469" xr:uid="{00000000-0005-0000-0000-00000D020000}"/>
    <cellStyle name="Comma 5 4 3 10" xfId="9169" xr:uid="{00000000-0005-0000-0000-000017020000}"/>
    <cellStyle name="Comma 5 4 3 2" xfId="1619" xr:uid="{00000000-0005-0000-0000-00000E020000}"/>
    <cellStyle name="Comma 5 4 3 2 2" xfId="3028" xr:uid="{00000000-0005-0000-0000-0000B0010000}"/>
    <cellStyle name="Comma 5 4 3 2 2 2" xfId="8341" xr:uid="{00000000-0005-0000-0000-000019020000}"/>
    <cellStyle name="Comma 5 4 3 2 2 2 2" xfId="11853" xr:uid="{00000000-0005-0000-0000-0000F4010000}"/>
    <cellStyle name="Comma 5 4 3 2 2 3" xfId="10738" xr:uid="{00000000-0005-0000-0000-000019020000}"/>
    <cellStyle name="Comma 5 4 3 2 3" xfId="2669" xr:uid="{00000000-0005-0000-0000-0000AF010000}"/>
    <cellStyle name="Comma 5 4 3 2 3 2" xfId="7882" xr:uid="{00000000-0005-0000-0000-00001A020000}"/>
    <cellStyle name="Comma 5 4 3 2 3 3" xfId="10279" xr:uid="{00000000-0005-0000-0000-00001A020000}"/>
    <cellStyle name="Comma 5 4 3 2 3 4" xfId="11967" xr:uid="{00000000-0005-0000-0000-0000D3010000}"/>
    <cellStyle name="Comma 5 4 3 2 4" xfId="3633" xr:uid="{00000000-0005-0000-0000-00000E020000}"/>
    <cellStyle name="Comma 5 4 3 2 5" xfId="4256" xr:uid="{00000000-0005-0000-0000-0000AF010000}"/>
    <cellStyle name="Comma 5 4 3 2 6" xfId="5775" xr:uid="{00000000-0005-0000-0000-000066010000}"/>
    <cellStyle name="Comma 5 4 3 2 7" xfId="6938" xr:uid="{00000000-0005-0000-0000-000018020000}"/>
    <cellStyle name="Comma 5 4 3 2 8" xfId="9347" xr:uid="{00000000-0005-0000-0000-000018020000}"/>
    <cellStyle name="Comma 5 4 3 3" xfId="1620" xr:uid="{00000000-0005-0000-0000-00000F020000}"/>
    <cellStyle name="Comma 5 4 3 3 2" xfId="3029" xr:uid="{00000000-0005-0000-0000-0000B1010000}"/>
    <cellStyle name="Comma 5 4 3 3 2 2" xfId="11435" xr:uid="{00000000-0005-0000-0000-0000FD010000}"/>
    <cellStyle name="Comma 5 4 3 3 3" xfId="2044" xr:uid="{00000000-0005-0000-0000-00000F020000}"/>
    <cellStyle name="Comma 5 4 3 3 4" xfId="4397" xr:uid="{00000000-0005-0000-0000-0000B1010000}"/>
    <cellStyle name="Comma 5 4 3 3 5" xfId="5729" xr:uid="{00000000-0005-0000-0000-000067010000}"/>
    <cellStyle name="Comma 5 4 3 3 6" xfId="8342" xr:uid="{00000000-0005-0000-0000-00001B020000}"/>
    <cellStyle name="Comma 5 4 3 3 7" xfId="10739" xr:uid="{00000000-0005-0000-0000-00001B020000}"/>
    <cellStyle name="Comma 5 4 3 4" xfId="1618" xr:uid="{00000000-0005-0000-0000-000010020000}"/>
    <cellStyle name="Comma 5 4 3 4 2" xfId="3027" xr:uid="{00000000-0005-0000-0000-0000B2010000}"/>
    <cellStyle name="Comma 5 4 3 4 2 2" xfId="11852" xr:uid="{00000000-0005-0000-0000-0000F9010000}"/>
    <cellStyle name="Comma 5 4 3 4 3" xfId="3644" xr:uid="{00000000-0005-0000-0000-000010020000}"/>
    <cellStyle name="Comma 5 4 3 4 3 2" xfId="11762" xr:uid="{00000000-0005-0000-0000-0000F8010000}"/>
    <cellStyle name="Comma 5 4 3 4 4" xfId="8340" xr:uid="{00000000-0005-0000-0000-00001C020000}"/>
    <cellStyle name="Comma 5 4 3 4 5" xfId="10737" xr:uid="{00000000-0005-0000-0000-00001C020000}"/>
    <cellStyle name="Comma 5 4 3 5" xfId="2623" xr:uid="{00000000-0005-0000-0000-0000B3010000}"/>
    <cellStyle name="Comma 5 4 3 5 2" xfId="7821" xr:uid="{00000000-0005-0000-0000-00001D020000}"/>
    <cellStyle name="Comma 5 4 3 5 3" xfId="10218" xr:uid="{00000000-0005-0000-0000-00001D020000}"/>
    <cellStyle name="Comma 5 4 3 6" xfId="4121" xr:uid="{00000000-0005-0000-0000-0000AE010000}"/>
    <cellStyle name="Comma 5 4 3 7" xfId="5499" xr:uid="{00000000-0005-0000-0000-000065010000}"/>
    <cellStyle name="Comma 5 4 3 8" xfId="5039" xr:uid="{00000000-0005-0000-0000-00008A010000}"/>
    <cellStyle name="Comma 5 4 3 9" xfId="6748" xr:uid="{00000000-0005-0000-0000-000017020000}"/>
    <cellStyle name="Comma 5 4 4" xfId="470" xr:uid="{00000000-0005-0000-0000-000011020000}"/>
    <cellStyle name="Comma 5 4 4 2" xfId="1622" xr:uid="{00000000-0005-0000-0000-000012020000}"/>
    <cellStyle name="Comma 5 4 4 2 2" xfId="3030" xr:uid="{00000000-0005-0000-0000-0000B5010000}"/>
    <cellStyle name="Comma 5 4 4 2 2 2" xfId="11854" xr:uid="{00000000-0005-0000-0000-0000FD010000}"/>
    <cellStyle name="Comma 5 4 4 2 3" xfId="2061" xr:uid="{00000000-0005-0000-0000-000012020000}"/>
    <cellStyle name="Comma 5 4 4 2 3 2" xfId="11747" xr:uid="{00000000-0005-0000-0000-0000FC010000}"/>
    <cellStyle name="Comma 5 4 4 2 4" xfId="8343" xr:uid="{00000000-0005-0000-0000-00001F020000}"/>
    <cellStyle name="Comma 5 4 4 2 5" xfId="10740" xr:uid="{00000000-0005-0000-0000-00001F020000}"/>
    <cellStyle name="Comma 5 4 4 3" xfId="1623" xr:uid="{00000000-0005-0000-0000-000013020000}"/>
    <cellStyle name="Comma 5 4 4 3 2" xfId="4644" xr:uid="{00000000-0005-0000-0000-0000B4010000}"/>
    <cellStyle name="Comma 5 4 4 3 3" xfId="7880" xr:uid="{00000000-0005-0000-0000-000020020000}"/>
    <cellStyle name="Comma 5 4 4 3 4" xfId="10277" xr:uid="{00000000-0005-0000-0000-000020020000}"/>
    <cellStyle name="Comma 5 4 4 4" xfId="1621" xr:uid="{00000000-0005-0000-0000-000014020000}"/>
    <cellStyle name="Comma 5 4 4 5" xfId="4254" xr:uid="{00000000-0005-0000-0000-0000B4010000}"/>
    <cellStyle name="Comma 5 4 4 6" xfId="5773" xr:uid="{00000000-0005-0000-0000-000068010000}"/>
    <cellStyle name="Comma 5 4 4 7" xfId="6939" xr:uid="{00000000-0005-0000-0000-00001E020000}"/>
    <cellStyle name="Comma 5 4 4 8" xfId="9348" xr:uid="{00000000-0005-0000-0000-00001E020000}"/>
    <cellStyle name="Comma 5 4 5" xfId="1624" xr:uid="{00000000-0005-0000-0000-000015020000}"/>
    <cellStyle name="Comma 5 4 5 2" xfId="3031" xr:uid="{00000000-0005-0000-0000-0000B6010000}"/>
    <cellStyle name="Comma 5 4 5 2 2" xfId="8344" xr:uid="{00000000-0005-0000-0000-000022020000}"/>
    <cellStyle name="Comma 5 4 5 2 3" xfId="10741" xr:uid="{00000000-0005-0000-0000-000022020000}"/>
    <cellStyle name="Comma 5 4 5 3" xfId="2082" xr:uid="{00000000-0005-0000-0000-000015020000}"/>
    <cellStyle name="Comma 5 4 5 4" xfId="4398" xr:uid="{00000000-0005-0000-0000-0000B6010000}"/>
    <cellStyle name="Comma 5 4 5 5" xfId="5584" xr:uid="{00000000-0005-0000-0000-000069010000}"/>
    <cellStyle name="Comma 5 4 5 6" xfId="6935" xr:uid="{00000000-0005-0000-0000-000021020000}"/>
    <cellStyle name="Comma 5 4 5 7" xfId="9344" xr:uid="{00000000-0005-0000-0000-000021020000}"/>
    <cellStyle name="Comma 5 4 6" xfId="1625" xr:uid="{00000000-0005-0000-0000-000016020000}"/>
    <cellStyle name="Comma 5 4 6 2" xfId="2869" xr:uid="{00000000-0005-0000-0000-0000B7010000}"/>
    <cellStyle name="Comma 5 4 6 2 2" xfId="11842" xr:uid="{00000000-0005-0000-0000-000002020000}"/>
    <cellStyle name="Comma 5 4 6 3" xfId="2861" xr:uid="{00000000-0005-0000-0000-000016020000}"/>
    <cellStyle name="Comma 5 4 6 3 2" xfId="11786" xr:uid="{00000000-0005-0000-0000-000001020000}"/>
    <cellStyle name="Comma 5 4 6 4" xfId="8172" xr:uid="{00000000-0005-0000-0000-000023020000}"/>
    <cellStyle name="Comma 5 4 6 5" xfId="10569" xr:uid="{00000000-0005-0000-0000-000023020000}"/>
    <cellStyle name="Comma 5 4 7" xfId="1611" xr:uid="{00000000-0005-0000-0000-000017020000}"/>
    <cellStyle name="Comma 5 4 7 2" xfId="2460" xr:uid="{00000000-0005-0000-0000-0000B8010000}"/>
    <cellStyle name="Comma 5 4 7 3" xfId="3571" xr:uid="{00000000-0005-0000-0000-000017020000}"/>
    <cellStyle name="Comma 5 4 7 4" xfId="7658" xr:uid="{00000000-0005-0000-0000-000024020000}"/>
    <cellStyle name="Comma 5 4 7 5" xfId="10055" xr:uid="{00000000-0005-0000-0000-000024020000}"/>
    <cellStyle name="Comma 5 4 8" xfId="2214" xr:uid="{00000000-0005-0000-0000-0000A7010000}"/>
    <cellStyle name="Comma 5 4 9" xfId="3861" xr:uid="{00000000-0005-0000-0000-00005C010000}"/>
    <cellStyle name="Comma 5 5" xfId="471" xr:uid="{00000000-0005-0000-0000-000018020000}"/>
    <cellStyle name="Comma 5 5 10" xfId="4777" xr:uid="{00000000-0005-0000-0000-00008B010000}"/>
    <cellStyle name="Comma 5 5 11" xfId="6588" xr:uid="{00000000-0005-0000-0000-000025020000}"/>
    <cellStyle name="Comma 5 5 12" xfId="9009" xr:uid="{00000000-0005-0000-0000-000025020000}"/>
    <cellStyle name="Comma 5 5 2" xfId="472" xr:uid="{00000000-0005-0000-0000-000019020000}"/>
    <cellStyle name="Comma 5 5 2 10" xfId="6749" xr:uid="{00000000-0005-0000-0000-000026020000}"/>
    <cellStyle name="Comma 5 5 2 11" xfId="9170" xr:uid="{00000000-0005-0000-0000-000026020000}"/>
    <cellStyle name="Comma 5 5 2 2" xfId="473" xr:uid="{00000000-0005-0000-0000-00001A020000}"/>
    <cellStyle name="Comma 5 5 2 2 2" xfId="1629" xr:uid="{00000000-0005-0000-0000-00001B020000}"/>
    <cellStyle name="Comma 5 5 2 2 2 2" xfId="3033" xr:uid="{00000000-0005-0000-0000-0000BC010000}"/>
    <cellStyle name="Comma 5 5 2 2 2 2 2" xfId="11437" xr:uid="{00000000-0005-0000-0000-00000B020000}"/>
    <cellStyle name="Comma 5 5 2 2 2 2 3" xfId="11968" xr:uid="{00000000-0005-0000-0000-0000DE010000}"/>
    <cellStyle name="Comma 5 5 2 2 2 3" xfId="3547" xr:uid="{00000000-0005-0000-0000-00001B020000}"/>
    <cellStyle name="Comma 5 5 2 2 2 3 2" xfId="11745" xr:uid="{00000000-0005-0000-0000-000007020000}"/>
    <cellStyle name="Comma 5 5 2 2 2 4" xfId="8346" xr:uid="{00000000-0005-0000-0000-000028020000}"/>
    <cellStyle name="Comma 5 5 2 2 2 5" xfId="10743" xr:uid="{00000000-0005-0000-0000-000028020000}"/>
    <cellStyle name="Comma 5 5 2 2 3" xfId="1630" xr:uid="{00000000-0005-0000-0000-00001C020000}"/>
    <cellStyle name="Comma 5 5 2 2 3 2" xfId="4662" xr:uid="{00000000-0005-0000-0000-0000BB010000}"/>
    <cellStyle name="Comma 5 5 2 2 3 3" xfId="7884" xr:uid="{00000000-0005-0000-0000-000029020000}"/>
    <cellStyle name="Comma 5 5 2 2 3 4" xfId="10281" xr:uid="{00000000-0005-0000-0000-000029020000}"/>
    <cellStyle name="Comma 5 5 2 2 4" xfId="1628" xr:uid="{00000000-0005-0000-0000-00001D020000}"/>
    <cellStyle name="Comma 5 5 2 2 4 2" xfId="12107" xr:uid="{00000000-0005-0000-0000-0000E0010000}"/>
    <cellStyle name="Comma 5 5 2 2 4 3" xfId="12026" xr:uid="{00000000-0005-0000-0000-0000E0010000}"/>
    <cellStyle name="Comma 5 5 2 2 5" xfId="4257" xr:uid="{00000000-0005-0000-0000-0000BB010000}"/>
    <cellStyle name="Comma 5 5 2 2 6" xfId="5777" xr:uid="{00000000-0005-0000-0000-00006C010000}"/>
    <cellStyle name="Comma 5 5 2 2 7" xfId="5042" xr:uid="{00000000-0005-0000-0000-00008D010000}"/>
    <cellStyle name="Comma 5 5 2 2 8" xfId="6942" xr:uid="{00000000-0005-0000-0000-000027020000}"/>
    <cellStyle name="Comma 5 5 2 2 9" xfId="9351" xr:uid="{00000000-0005-0000-0000-000027020000}"/>
    <cellStyle name="Comma 5 5 2 3" xfId="1631" xr:uid="{00000000-0005-0000-0000-00001E020000}"/>
    <cellStyle name="Comma 5 5 2 3 2" xfId="3034" xr:uid="{00000000-0005-0000-0000-0000BD010000}"/>
    <cellStyle name="Comma 5 5 2 3 2 2" xfId="8347" xr:uid="{00000000-0005-0000-0000-00002B020000}"/>
    <cellStyle name="Comma 5 5 2 3 2 3" xfId="10744" xr:uid="{00000000-0005-0000-0000-00002B020000}"/>
    <cellStyle name="Comma 5 5 2 3 2 4" xfId="11969" xr:uid="{00000000-0005-0000-0000-0000E1010000}"/>
    <cellStyle name="Comma 5 5 2 3 3" xfId="3569" xr:uid="{00000000-0005-0000-0000-00001E020000}"/>
    <cellStyle name="Comma 5 5 2 3 4" xfId="4399" xr:uid="{00000000-0005-0000-0000-0000BD010000}"/>
    <cellStyle name="Comma 5 5 2 3 5" xfId="5712" xr:uid="{00000000-0005-0000-0000-00006D010000}"/>
    <cellStyle name="Comma 5 5 2 3 6" xfId="6941" xr:uid="{00000000-0005-0000-0000-00002A020000}"/>
    <cellStyle name="Comma 5 5 2 3 7" xfId="9350" xr:uid="{00000000-0005-0000-0000-00002A020000}"/>
    <cellStyle name="Comma 5 5 2 4" xfId="1632" xr:uid="{00000000-0005-0000-0000-00001F020000}"/>
    <cellStyle name="Comma 5 5 2 4 2" xfId="3032" xr:uid="{00000000-0005-0000-0000-0000BE010000}"/>
    <cellStyle name="Comma 5 5 2 4 2 2" xfId="11436" xr:uid="{00000000-0005-0000-0000-000010020000}"/>
    <cellStyle name="Comma 5 5 2 4 3" xfId="3639" xr:uid="{00000000-0005-0000-0000-00001F020000}"/>
    <cellStyle name="Comma 5 5 2 4 3 2" xfId="11765" xr:uid="{00000000-0005-0000-0000-00000C020000}"/>
    <cellStyle name="Comma 5 5 2 4 4" xfId="8345" xr:uid="{00000000-0005-0000-0000-00002C020000}"/>
    <cellStyle name="Comma 5 5 2 4 5" xfId="10742" xr:uid="{00000000-0005-0000-0000-00002C020000}"/>
    <cellStyle name="Comma 5 5 2 5" xfId="1627" xr:uid="{00000000-0005-0000-0000-000020020000}"/>
    <cellStyle name="Comma 5 5 2 5 2" xfId="2606" xr:uid="{00000000-0005-0000-0000-0000BF010000}"/>
    <cellStyle name="Comma 5 5 2 5 3" xfId="3550" xr:uid="{00000000-0005-0000-0000-000020020000}"/>
    <cellStyle name="Comma 5 5 2 5 4" xfId="7804" xr:uid="{00000000-0005-0000-0000-00002D020000}"/>
    <cellStyle name="Comma 5 5 2 5 5" xfId="10201" xr:uid="{00000000-0005-0000-0000-00002D020000}"/>
    <cellStyle name="Comma 5 5 2 6" xfId="2275" xr:uid="{00000000-0005-0000-0000-0000BA010000}"/>
    <cellStyle name="Comma 5 5 2 7" xfId="3814" xr:uid="{00000000-0005-0000-0000-00005F010000}"/>
    <cellStyle name="Comma 5 5 2 8" xfId="5482" xr:uid="{00000000-0005-0000-0000-00006B010000}"/>
    <cellStyle name="Comma 5 5 2 9" xfId="4842" xr:uid="{00000000-0005-0000-0000-00008C010000}"/>
    <cellStyle name="Comma 5 5 3" xfId="474" xr:uid="{00000000-0005-0000-0000-000021020000}"/>
    <cellStyle name="Comma 5 5 3 2" xfId="1634" xr:uid="{00000000-0005-0000-0000-000022020000}"/>
    <cellStyle name="Comma 5 5 3 2 2" xfId="3035" xr:uid="{00000000-0005-0000-0000-0000C1010000}"/>
    <cellStyle name="Comma 5 5 3 2 2 2" xfId="11438" xr:uid="{00000000-0005-0000-0000-000014020000}"/>
    <cellStyle name="Comma 5 5 3 2 2 3" xfId="11970" xr:uid="{00000000-0005-0000-0000-0000E5010000}"/>
    <cellStyle name="Comma 5 5 3 2 3" xfId="2084" xr:uid="{00000000-0005-0000-0000-000022020000}"/>
    <cellStyle name="Comma 5 5 3 2 4" xfId="8348" xr:uid="{00000000-0005-0000-0000-00002F020000}"/>
    <cellStyle name="Comma 5 5 3 2 5" xfId="10745" xr:uid="{00000000-0005-0000-0000-00002F020000}"/>
    <cellStyle name="Comma 5 5 3 3" xfId="1635" xr:uid="{00000000-0005-0000-0000-000023020000}"/>
    <cellStyle name="Comma 5 5 3 3 2" xfId="2670" xr:uid="{00000000-0005-0000-0000-0000C2010000}"/>
    <cellStyle name="Comma 5 5 3 3 3" xfId="3632" xr:uid="{00000000-0005-0000-0000-000023020000}"/>
    <cellStyle name="Comma 5 5 3 3 4" xfId="7883" xr:uid="{00000000-0005-0000-0000-000030020000}"/>
    <cellStyle name="Comma 5 5 3 3 5" xfId="10280" xr:uid="{00000000-0005-0000-0000-000030020000}"/>
    <cellStyle name="Comma 5 5 3 4" xfId="1633" xr:uid="{00000000-0005-0000-0000-000024020000}"/>
    <cellStyle name="Comma 5 5 3 4 2" xfId="4678" xr:uid="{00000000-0005-0000-0000-0000C0010000}"/>
    <cellStyle name="Comma 5 5 3 5" xfId="4122" xr:uid="{00000000-0005-0000-0000-0000C0010000}"/>
    <cellStyle name="Comma 5 5 3 5 2" xfId="11797" xr:uid="{00000000-0005-0000-0000-000014020000}"/>
    <cellStyle name="Comma 5 5 3 6" xfId="5776" xr:uid="{00000000-0005-0000-0000-00006E010000}"/>
    <cellStyle name="Comma 5 5 3 7" xfId="5041" xr:uid="{00000000-0005-0000-0000-00008E010000}"/>
    <cellStyle name="Comma 5 5 3 8" xfId="6943" xr:uid="{00000000-0005-0000-0000-00002E020000}"/>
    <cellStyle name="Comma 5 5 3 9" xfId="9352" xr:uid="{00000000-0005-0000-0000-00002E020000}"/>
    <cellStyle name="Comma 5 5 4" xfId="475" xr:uid="{00000000-0005-0000-0000-000025020000}"/>
    <cellStyle name="Comma 5 5 4 2" xfId="1637" xr:uid="{00000000-0005-0000-0000-000026020000}"/>
    <cellStyle name="Comma 5 5 4 2 2" xfId="6469" xr:uid="{00000000-0005-0000-0000-000017020000}"/>
    <cellStyle name="Comma 5 5 4 2 3" xfId="8349" xr:uid="{00000000-0005-0000-0000-000032020000}"/>
    <cellStyle name="Comma 5 5 4 2 4" xfId="10746" xr:uid="{00000000-0005-0000-0000-000032020000}"/>
    <cellStyle name="Comma 5 5 4 3" xfId="1638" xr:uid="{00000000-0005-0000-0000-000027020000}"/>
    <cellStyle name="Comma 5 5 4 4" xfId="1636" xr:uid="{00000000-0005-0000-0000-000028020000}"/>
    <cellStyle name="Comma 5 5 4 5" xfId="4400" xr:uid="{00000000-0005-0000-0000-0000C3010000}"/>
    <cellStyle name="Comma 5 5 4 6" xfId="5567" xr:uid="{00000000-0005-0000-0000-00006F010000}"/>
    <cellStyle name="Comma 5 5 4 7" xfId="6944" xr:uid="{00000000-0005-0000-0000-000031020000}"/>
    <cellStyle name="Comma 5 5 4 8" xfId="9353" xr:uid="{00000000-0005-0000-0000-000031020000}"/>
    <cellStyle name="Comma 5 5 5" xfId="1639" xr:uid="{00000000-0005-0000-0000-000029020000}"/>
    <cellStyle name="Comma 5 5 5 2" xfId="2870" xr:uid="{00000000-0005-0000-0000-0000C4010000}"/>
    <cellStyle name="Comma 5 5 5 2 2" xfId="8173" xr:uid="{00000000-0005-0000-0000-000034020000}"/>
    <cellStyle name="Comma 5 5 5 2 3" xfId="10570" xr:uid="{00000000-0005-0000-0000-000034020000}"/>
    <cellStyle name="Comma 5 5 5 3" xfId="3613" xr:uid="{00000000-0005-0000-0000-000029020000}"/>
    <cellStyle name="Comma 5 5 5 4" xfId="6940" xr:uid="{00000000-0005-0000-0000-000033020000}"/>
    <cellStyle name="Comma 5 5 5 5" xfId="9349" xr:uid="{00000000-0005-0000-0000-000033020000}"/>
    <cellStyle name="Comma 5 5 6" xfId="1640" xr:uid="{00000000-0005-0000-0000-00002A020000}"/>
    <cellStyle name="Comma 5 5 6 2" xfId="2443" xr:uid="{00000000-0005-0000-0000-0000C5010000}"/>
    <cellStyle name="Comma 5 5 6 3" xfId="3694" xr:uid="{00000000-0005-0000-0000-00002A020000}"/>
    <cellStyle name="Comma 5 5 6 4" xfId="7641" xr:uid="{00000000-0005-0000-0000-000035020000}"/>
    <cellStyle name="Comma 5 5 6 5" xfId="10038" xr:uid="{00000000-0005-0000-0000-000035020000}"/>
    <cellStyle name="Comma 5 5 7" xfId="1626" xr:uid="{00000000-0005-0000-0000-00002B020000}"/>
    <cellStyle name="Comma 5 5 7 2" xfId="2197" xr:uid="{00000000-0005-0000-0000-0000B9010000}"/>
    <cellStyle name="Comma 5 5 7 3" xfId="2075" xr:uid="{00000000-0005-0000-0000-00002B020000}"/>
    <cellStyle name="Comma 5 5 8" xfId="3862" xr:uid="{00000000-0005-0000-0000-00005E010000}"/>
    <cellStyle name="Comma 5 5 9" xfId="5321" xr:uid="{00000000-0005-0000-0000-00006A010000}"/>
    <cellStyle name="Comma 5 6" xfId="476" xr:uid="{00000000-0005-0000-0000-00002C020000}"/>
    <cellStyle name="Comma 5 6 10" xfId="4843" xr:uid="{00000000-0005-0000-0000-00008F010000}"/>
    <cellStyle name="Comma 5 6 11" xfId="6589" xr:uid="{00000000-0005-0000-0000-000036020000}"/>
    <cellStyle name="Comma 5 6 12" xfId="9010" xr:uid="{00000000-0005-0000-0000-000036020000}"/>
    <cellStyle name="Comma 5 6 2" xfId="477" xr:uid="{00000000-0005-0000-0000-00002D020000}"/>
    <cellStyle name="Comma 5 6 2 10" xfId="6750" xr:uid="{00000000-0005-0000-0000-000037020000}"/>
    <cellStyle name="Comma 5 6 2 11" xfId="9171" xr:uid="{00000000-0005-0000-0000-000037020000}"/>
    <cellStyle name="Comma 5 6 2 2" xfId="478" xr:uid="{00000000-0005-0000-0000-00002E020000}"/>
    <cellStyle name="Comma 5 6 2 2 2" xfId="1644" xr:uid="{00000000-0005-0000-0000-00002F020000}"/>
    <cellStyle name="Comma 5 6 2 2 2 2" xfId="3037" xr:uid="{00000000-0005-0000-0000-0000C9010000}"/>
    <cellStyle name="Comma 5 6 2 2 2 2 2" xfId="11856" xr:uid="{00000000-0005-0000-0000-00001F020000}"/>
    <cellStyle name="Comma 5 6 2 2 2 2 3" xfId="11971" xr:uid="{00000000-0005-0000-0000-0000EE010000}"/>
    <cellStyle name="Comma 5 6 2 2 2 3" xfId="3631" xr:uid="{00000000-0005-0000-0000-00002F020000}"/>
    <cellStyle name="Comma 5 6 2 2 2 3 2" xfId="11744" xr:uid="{00000000-0005-0000-0000-00001E020000}"/>
    <cellStyle name="Comma 5 6 2 2 2 4" xfId="8351" xr:uid="{00000000-0005-0000-0000-000039020000}"/>
    <cellStyle name="Comma 5 6 2 2 2 5" xfId="10748" xr:uid="{00000000-0005-0000-0000-000039020000}"/>
    <cellStyle name="Comma 5 6 2 2 3" xfId="1645" xr:uid="{00000000-0005-0000-0000-000030020000}"/>
    <cellStyle name="Comma 5 6 2 2 3 2" xfId="3774" xr:uid="{00000000-0005-0000-0000-0000C8010000}"/>
    <cellStyle name="Comma 5 6 2 2 3 3" xfId="7886" xr:uid="{00000000-0005-0000-0000-00003A020000}"/>
    <cellStyle name="Comma 5 6 2 2 3 4" xfId="10283" xr:uid="{00000000-0005-0000-0000-00003A020000}"/>
    <cellStyle name="Comma 5 6 2 2 4" xfId="1643" xr:uid="{00000000-0005-0000-0000-000031020000}"/>
    <cellStyle name="Comma 5 6 2 2 4 2" xfId="12108" xr:uid="{00000000-0005-0000-0000-0000F0010000}"/>
    <cellStyle name="Comma 5 6 2 2 4 3" xfId="12027" xr:uid="{00000000-0005-0000-0000-0000F0010000}"/>
    <cellStyle name="Comma 5 6 2 2 5" xfId="4258" xr:uid="{00000000-0005-0000-0000-0000C8010000}"/>
    <cellStyle name="Comma 5 6 2 2 6" xfId="5779" xr:uid="{00000000-0005-0000-0000-000072010000}"/>
    <cellStyle name="Comma 5 6 2 2 7" xfId="6947" xr:uid="{00000000-0005-0000-0000-000038020000}"/>
    <cellStyle name="Comma 5 6 2 2 8" xfId="9356" xr:uid="{00000000-0005-0000-0000-000038020000}"/>
    <cellStyle name="Comma 5 6 2 3" xfId="1646" xr:uid="{00000000-0005-0000-0000-000032020000}"/>
    <cellStyle name="Comma 5 6 2 3 2" xfId="3038" xr:uid="{00000000-0005-0000-0000-0000CA010000}"/>
    <cellStyle name="Comma 5 6 2 3 2 2" xfId="8352" xr:uid="{00000000-0005-0000-0000-00003C020000}"/>
    <cellStyle name="Comma 5 6 2 3 2 3" xfId="10749" xr:uid="{00000000-0005-0000-0000-00003C020000}"/>
    <cellStyle name="Comma 5 6 2 3 2 4" xfId="11972" xr:uid="{00000000-0005-0000-0000-0000F1010000}"/>
    <cellStyle name="Comma 5 6 2 3 3" xfId="3574" xr:uid="{00000000-0005-0000-0000-000032020000}"/>
    <cellStyle name="Comma 5 6 2 3 4" xfId="4401" xr:uid="{00000000-0005-0000-0000-0000CA010000}"/>
    <cellStyle name="Comma 5 6 2 3 5" xfId="5759" xr:uid="{00000000-0005-0000-0000-000073010000}"/>
    <cellStyle name="Comma 5 6 2 3 6" xfId="6946" xr:uid="{00000000-0005-0000-0000-00003B020000}"/>
    <cellStyle name="Comma 5 6 2 3 7" xfId="9355" xr:uid="{00000000-0005-0000-0000-00003B020000}"/>
    <cellStyle name="Comma 5 6 2 4" xfId="1647" xr:uid="{00000000-0005-0000-0000-000033020000}"/>
    <cellStyle name="Comma 5 6 2 4 2" xfId="3036" xr:uid="{00000000-0005-0000-0000-0000CB010000}"/>
    <cellStyle name="Comma 5 6 2 4 2 2" xfId="11855" xr:uid="{00000000-0005-0000-0000-000024020000}"/>
    <cellStyle name="Comma 5 6 2 4 3" xfId="3689" xr:uid="{00000000-0005-0000-0000-000033020000}"/>
    <cellStyle name="Comma 5 6 2 4 3 2" xfId="11752" xr:uid="{00000000-0005-0000-0000-000023020000}"/>
    <cellStyle name="Comma 5 6 2 4 4" xfId="8350" xr:uid="{00000000-0005-0000-0000-00003D020000}"/>
    <cellStyle name="Comma 5 6 2 4 5" xfId="10747" xr:uid="{00000000-0005-0000-0000-00003D020000}"/>
    <cellStyle name="Comma 5 6 2 5" xfId="1642" xr:uid="{00000000-0005-0000-0000-000034020000}"/>
    <cellStyle name="Comma 5 6 2 5 2" xfId="2654" xr:uid="{00000000-0005-0000-0000-0000CC010000}"/>
    <cellStyle name="Comma 5 6 2 5 3" xfId="3570" xr:uid="{00000000-0005-0000-0000-000034020000}"/>
    <cellStyle name="Comma 5 6 2 5 4" xfId="7866" xr:uid="{00000000-0005-0000-0000-00003E020000}"/>
    <cellStyle name="Comma 5 6 2 5 5" xfId="10263" xr:uid="{00000000-0005-0000-0000-00003E020000}"/>
    <cellStyle name="Comma 5 6 2 6" xfId="2276" xr:uid="{00000000-0005-0000-0000-0000C7010000}"/>
    <cellStyle name="Comma 5 6 2 7" xfId="3817" xr:uid="{00000000-0005-0000-0000-000061010000}"/>
    <cellStyle name="Comma 5 6 2 8" xfId="5544" xr:uid="{00000000-0005-0000-0000-000071010000}"/>
    <cellStyle name="Comma 5 6 2 9" xfId="5043" xr:uid="{00000000-0005-0000-0000-000090010000}"/>
    <cellStyle name="Comma 5 6 3" xfId="479" xr:uid="{00000000-0005-0000-0000-000035020000}"/>
    <cellStyle name="Comma 5 6 3 2" xfId="1649" xr:uid="{00000000-0005-0000-0000-000036020000}"/>
    <cellStyle name="Comma 5 6 3 2 2" xfId="3039" xr:uid="{00000000-0005-0000-0000-0000CE010000}"/>
    <cellStyle name="Comma 5 6 3 2 2 2" xfId="11857" xr:uid="{00000000-0005-0000-0000-000028020000}"/>
    <cellStyle name="Comma 5 6 3 2 2 3" xfId="11973" xr:uid="{00000000-0005-0000-0000-0000F5010000}"/>
    <cellStyle name="Comma 5 6 3 2 3" xfId="3538" xr:uid="{00000000-0005-0000-0000-000036020000}"/>
    <cellStyle name="Comma 5 6 3 2 4" xfId="8353" xr:uid="{00000000-0005-0000-0000-000040020000}"/>
    <cellStyle name="Comma 5 6 3 2 5" xfId="10750" xr:uid="{00000000-0005-0000-0000-000040020000}"/>
    <cellStyle name="Comma 5 6 3 3" xfId="1650" xr:uid="{00000000-0005-0000-0000-000037020000}"/>
    <cellStyle name="Comma 5 6 3 3 2" xfId="2671" xr:uid="{00000000-0005-0000-0000-0000CF010000}"/>
    <cellStyle name="Comma 5 6 3 3 3" xfId="3540" xr:uid="{00000000-0005-0000-0000-000037020000}"/>
    <cellStyle name="Comma 5 6 3 3 4" xfId="7885" xr:uid="{00000000-0005-0000-0000-000041020000}"/>
    <cellStyle name="Comma 5 6 3 3 5" xfId="10282" xr:uid="{00000000-0005-0000-0000-000041020000}"/>
    <cellStyle name="Comma 5 6 3 4" xfId="1648" xr:uid="{00000000-0005-0000-0000-000038020000}"/>
    <cellStyle name="Comma 5 6 3 4 2" xfId="4656" xr:uid="{00000000-0005-0000-0000-0000CD010000}"/>
    <cellStyle name="Comma 5 6 3 5" xfId="4123" xr:uid="{00000000-0005-0000-0000-0000CD010000}"/>
    <cellStyle name="Comma 5 6 3 5 2" xfId="11798" xr:uid="{00000000-0005-0000-0000-00002B020000}"/>
    <cellStyle name="Comma 5 6 3 6" xfId="5778" xr:uid="{00000000-0005-0000-0000-000074010000}"/>
    <cellStyle name="Comma 5 6 3 7" xfId="6948" xr:uid="{00000000-0005-0000-0000-00003F020000}"/>
    <cellStyle name="Comma 5 6 3 8" xfId="9357" xr:uid="{00000000-0005-0000-0000-00003F020000}"/>
    <cellStyle name="Comma 5 6 4" xfId="480" xr:uid="{00000000-0005-0000-0000-000039020000}"/>
    <cellStyle name="Comma 5 6 4 2" xfId="1652" xr:uid="{00000000-0005-0000-0000-00003A020000}"/>
    <cellStyle name="Comma 5 6 4 2 2" xfId="6521" xr:uid="{00000000-0005-0000-0000-000028020000}"/>
    <cellStyle name="Comma 5 6 4 2 3" xfId="8354" xr:uid="{00000000-0005-0000-0000-000043020000}"/>
    <cellStyle name="Comma 5 6 4 2 4" xfId="10751" xr:uid="{00000000-0005-0000-0000-000043020000}"/>
    <cellStyle name="Comma 5 6 4 3" xfId="1653" xr:uid="{00000000-0005-0000-0000-00003B020000}"/>
    <cellStyle name="Comma 5 6 4 4" xfId="1651" xr:uid="{00000000-0005-0000-0000-00003C020000}"/>
    <cellStyle name="Comma 5 6 4 5" xfId="4402" xr:uid="{00000000-0005-0000-0000-0000D0010000}"/>
    <cellStyle name="Comma 5 6 4 6" xfId="5627" xr:uid="{00000000-0005-0000-0000-000075010000}"/>
    <cellStyle name="Comma 5 6 4 7" xfId="6949" xr:uid="{00000000-0005-0000-0000-000042020000}"/>
    <cellStyle name="Comma 5 6 4 8" xfId="9358" xr:uid="{00000000-0005-0000-0000-000042020000}"/>
    <cellStyle name="Comma 5 6 5" xfId="1654" xr:uid="{00000000-0005-0000-0000-00003D020000}"/>
    <cellStyle name="Comma 5 6 5 2" xfId="2871" xr:uid="{00000000-0005-0000-0000-0000D1010000}"/>
    <cellStyle name="Comma 5 6 5 2 2" xfId="8174" xr:uid="{00000000-0005-0000-0000-000045020000}"/>
    <cellStyle name="Comma 5 6 5 2 3" xfId="10571" xr:uid="{00000000-0005-0000-0000-000045020000}"/>
    <cellStyle name="Comma 5 6 5 3" xfId="3541" xr:uid="{00000000-0005-0000-0000-00003D020000}"/>
    <cellStyle name="Comma 5 6 5 4" xfId="6945" xr:uid="{00000000-0005-0000-0000-000044020000}"/>
    <cellStyle name="Comma 5 6 5 5" xfId="9354" xr:uid="{00000000-0005-0000-0000-000044020000}"/>
    <cellStyle name="Comma 5 6 6" xfId="1655" xr:uid="{00000000-0005-0000-0000-00003E020000}"/>
    <cellStyle name="Comma 5 6 6 2" xfId="2503" xr:uid="{00000000-0005-0000-0000-0000D2010000}"/>
    <cellStyle name="Comma 5 6 6 3" xfId="3543" xr:uid="{00000000-0005-0000-0000-00003E020000}"/>
    <cellStyle name="Comma 5 6 6 4" xfId="7701" xr:uid="{00000000-0005-0000-0000-000046020000}"/>
    <cellStyle name="Comma 5 6 6 5" xfId="10098" xr:uid="{00000000-0005-0000-0000-000046020000}"/>
    <cellStyle name="Comma 5 6 7" xfId="1641" xr:uid="{00000000-0005-0000-0000-00003F020000}"/>
    <cellStyle name="Comma 5 6 7 2" xfId="2259" xr:uid="{00000000-0005-0000-0000-0000C6010000}"/>
    <cellStyle name="Comma 5 6 7 3" xfId="3682" xr:uid="{00000000-0005-0000-0000-00003F020000}"/>
    <cellStyle name="Comma 5 6 8" xfId="3863" xr:uid="{00000000-0005-0000-0000-000060010000}"/>
    <cellStyle name="Comma 5 6 9" xfId="5381" xr:uid="{00000000-0005-0000-0000-000070010000}"/>
    <cellStyle name="Comma 5 7" xfId="481" xr:uid="{00000000-0005-0000-0000-000040020000}"/>
    <cellStyle name="Comma 5 7 10" xfId="4844" xr:uid="{00000000-0005-0000-0000-000091010000}"/>
    <cellStyle name="Comma 5 7 11" xfId="6590" xr:uid="{00000000-0005-0000-0000-000047020000}"/>
    <cellStyle name="Comma 5 7 12" xfId="9011" xr:uid="{00000000-0005-0000-0000-000047020000}"/>
    <cellStyle name="Comma 5 7 2" xfId="482" xr:uid="{00000000-0005-0000-0000-000041020000}"/>
    <cellStyle name="Comma 5 7 2 10" xfId="9172" xr:uid="{00000000-0005-0000-0000-000048020000}"/>
    <cellStyle name="Comma 5 7 2 2" xfId="483" xr:uid="{00000000-0005-0000-0000-000042020000}"/>
    <cellStyle name="Comma 5 7 2 2 2" xfId="1659" xr:uid="{00000000-0005-0000-0000-000043020000}"/>
    <cellStyle name="Comma 5 7 2 2 2 2" xfId="5965" xr:uid="{00000000-0005-0000-0000-00002E020000}"/>
    <cellStyle name="Comma 5 7 2 2 2 2 2" xfId="11974" xr:uid="{00000000-0005-0000-0000-0000FE010000}"/>
    <cellStyle name="Comma 5 7 2 2 2 3" xfId="8355" xr:uid="{00000000-0005-0000-0000-00004A020000}"/>
    <cellStyle name="Comma 5 7 2 2 2 4" xfId="10752" xr:uid="{00000000-0005-0000-0000-00004A020000}"/>
    <cellStyle name="Comma 5 7 2 2 3" xfId="1660" xr:uid="{00000000-0005-0000-0000-000044020000}"/>
    <cellStyle name="Comma 5 7 2 2 4" xfId="1658" xr:uid="{00000000-0005-0000-0000-000045020000}"/>
    <cellStyle name="Comma 5 7 2 2 4 2" xfId="11957" xr:uid="{00000000-0005-0000-0000-0000FD010000}"/>
    <cellStyle name="Comma 5 7 2 2 5" xfId="6356" xr:uid="{00000000-0005-0000-0000-0000D5010000}"/>
    <cellStyle name="Comma 5 7 2 2 6" xfId="6952" xr:uid="{00000000-0005-0000-0000-000049020000}"/>
    <cellStyle name="Comma 5 7 2 2 7" xfId="9361" xr:uid="{00000000-0005-0000-0000-000049020000}"/>
    <cellStyle name="Comma 5 7 2 3" xfId="1661" xr:uid="{00000000-0005-0000-0000-000046020000}"/>
    <cellStyle name="Comma 5 7 2 3 2" xfId="2672" xr:uid="{00000000-0005-0000-0000-0000D6010000}"/>
    <cellStyle name="Comma 5 7 2 3 2 2" xfId="11975" xr:uid="{00000000-0005-0000-0000-000000020000}"/>
    <cellStyle name="Comma 5 7 2 3 3" xfId="3542" xr:uid="{00000000-0005-0000-0000-000046020000}"/>
    <cellStyle name="Comma 5 7 2 3 4" xfId="6159" xr:uid="{00000000-0005-0000-0000-0000D6010000}"/>
    <cellStyle name="Comma 5 7 2 3 5" xfId="6951" xr:uid="{00000000-0005-0000-0000-00004B020000}"/>
    <cellStyle name="Comma 5 7 2 3 6" xfId="9360" xr:uid="{00000000-0005-0000-0000-00004B020000}"/>
    <cellStyle name="Comma 5 7 2 4" xfId="1662" xr:uid="{00000000-0005-0000-0000-000047020000}"/>
    <cellStyle name="Comma 5 7 2 4 2" xfId="4682" xr:uid="{00000000-0005-0000-0000-0000D4010000}"/>
    <cellStyle name="Comma 5 7 2 4 3" xfId="7887" xr:uid="{00000000-0005-0000-0000-00004C020000}"/>
    <cellStyle name="Comma 5 7 2 4 4" xfId="10284" xr:uid="{00000000-0005-0000-0000-00004C020000}"/>
    <cellStyle name="Comma 5 7 2 5" xfId="1657" xr:uid="{00000000-0005-0000-0000-000048020000}"/>
    <cellStyle name="Comma 5 7 2 5 2" xfId="11799" xr:uid="{00000000-0005-0000-0000-000038020000}"/>
    <cellStyle name="Comma 5 7 2 5 3" xfId="11633" xr:uid="{00000000-0005-0000-0000-000038020000}"/>
    <cellStyle name="Comma 5 7 2 6" xfId="4124" xr:uid="{00000000-0005-0000-0000-0000D4010000}"/>
    <cellStyle name="Comma 5 7 2 7" xfId="5780" xr:uid="{00000000-0005-0000-0000-000077010000}"/>
    <cellStyle name="Comma 5 7 2 8" xfId="5044" xr:uid="{00000000-0005-0000-0000-000092010000}"/>
    <cellStyle name="Comma 5 7 2 9" xfId="6751" xr:uid="{00000000-0005-0000-0000-000048020000}"/>
    <cellStyle name="Comma 5 7 3" xfId="484" xr:uid="{00000000-0005-0000-0000-000049020000}"/>
    <cellStyle name="Comma 5 7 3 2" xfId="1664" xr:uid="{00000000-0005-0000-0000-00004A020000}"/>
    <cellStyle name="Comma 5 7 3 2 2" xfId="5292" xr:uid="{00000000-0005-0000-0000-000031020000}"/>
    <cellStyle name="Comma 5 7 3 2 2 2" xfId="11976" xr:uid="{00000000-0005-0000-0000-000004020000}"/>
    <cellStyle name="Comma 5 7 3 2 3" xfId="8356" xr:uid="{00000000-0005-0000-0000-00004E020000}"/>
    <cellStyle name="Comma 5 7 3 2 4" xfId="10753" xr:uid="{00000000-0005-0000-0000-00004E020000}"/>
    <cellStyle name="Comma 5 7 3 3" xfId="1665" xr:uid="{00000000-0005-0000-0000-00004B020000}"/>
    <cellStyle name="Comma 5 7 3 4" xfId="1663" xr:uid="{00000000-0005-0000-0000-00004C020000}"/>
    <cellStyle name="Comma 5 7 3 4 2" xfId="11948" xr:uid="{00000000-0005-0000-0000-000003020000}"/>
    <cellStyle name="Comma 5 7 3 5" xfId="4403" xr:uid="{00000000-0005-0000-0000-0000D7010000}"/>
    <cellStyle name="Comma 5 7 3 6" xfId="5672" xr:uid="{00000000-0005-0000-0000-000078010000}"/>
    <cellStyle name="Comma 5 7 3 7" xfId="6953" xr:uid="{00000000-0005-0000-0000-00004D020000}"/>
    <cellStyle name="Comma 5 7 3 8" xfId="9362" xr:uid="{00000000-0005-0000-0000-00004D020000}"/>
    <cellStyle name="Comma 5 7 4" xfId="485" xr:uid="{00000000-0005-0000-0000-00004D020000}"/>
    <cellStyle name="Comma 5 7 4 2" xfId="1667" xr:uid="{00000000-0005-0000-0000-00004E020000}"/>
    <cellStyle name="Comma 5 7 4 2 2" xfId="6517" xr:uid="{00000000-0005-0000-0000-000033020000}"/>
    <cellStyle name="Comma 5 7 4 2 3" xfId="8175" xr:uid="{00000000-0005-0000-0000-000050020000}"/>
    <cellStyle name="Comma 5 7 4 2 4" xfId="10572" xr:uid="{00000000-0005-0000-0000-000050020000}"/>
    <cellStyle name="Comma 5 7 4 3" xfId="1668" xr:uid="{00000000-0005-0000-0000-00004F020000}"/>
    <cellStyle name="Comma 5 7 4 4" xfId="1666" xr:uid="{00000000-0005-0000-0000-000050020000}"/>
    <cellStyle name="Comma 5 7 4 5" xfId="6264" xr:uid="{00000000-0005-0000-0000-0000D8010000}"/>
    <cellStyle name="Comma 5 7 4 6" xfId="6954" xr:uid="{00000000-0005-0000-0000-00004F020000}"/>
    <cellStyle name="Comma 5 7 4 7" xfId="9363" xr:uid="{00000000-0005-0000-0000-00004F020000}"/>
    <cellStyle name="Comma 5 7 5" xfId="1669" xr:uid="{00000000-0005-0000-0000-000051020000}"/>
    <cellStyle name="Comma 5 7 5 2" xfId="2563" xr:uid="{00000000-0005-0000-0000-0000D9010000}"/>
    <cellStyle name="Comma 5 7 5 3" xfId="3708" xr:uid="{00000000-0005-0000-0000-000051020000}"/>
    <cellStyle name="Comma 5 7 5 4" xfId="6950" xr:uid="{00000000-0005-0000-0000-000051020000}"/>
    <cellStyle name="Comma 5 7 5 5" xfId="9359" xr:uid="{00000000-0005-0000-0000-000051020000}"/>
    <cellStyle name="Comma 5 7 6" xfId="1670" xr:uid="{00000000-0005-0000-0000-000052020000}"/>
    <cellStyle name="Comma 5 7 6 2" xfId="2277" xr:uid="{00000000-0005-0000-0000-0000D3010000}"/>
    <cellStyle name="Comma 5 7 6 3" xfId="2065" xr:uid="{00000000-0005-0000-0000-000052020000}"/>
    <cellStyle name="Comma 5 7 6 4" xfId="7761" xr:uid="{00000000-0005-0000-0000-000052020000}"/>
    <cellStyle name="Comma 5 7 6 5" xfId="10158" xr:uid="{00000000-0005-0000-0000-000052020000}"/>
    <cellStyle name="Comma 5 7 7" xfId="1656" xr:uid="{00000000-0005-0000-0000-000053020000}"/>
    <cellStyle name="Comma 5 7 7 2" xfId="11579" xr:uid="{00000000-0005-0000-0000-000032020000}"/>
    <cellStyle name="Comma 5 7 8" xfId="3864" xr:uid="{00000000-0005-0000-0000-000062010000}"/>
    <cellStyle name="Comma 5 7 9" xfId="5441" xr:uid="{00000000-0005-0000-0000-000076010000}"/>
    <cellStyle name="Comma 5 8" xfId="486" xr:uid="{00000000-0005-0000-0000-000054020000}"/>
    <cellStyle name="Comma 5 8 10" xfId="6591" xr:uid="{00000000-0005-0000-0000-000053020000}"/>
    <cellStyle name="Comma 5 8 11" xfId="9012" xr:uid="{00000000-0005-0000-0000-000053020000}"/>
    <cellStyle name="Comma 5 8 2" xfId="487" xr:uid="{00000000-0005-0000-0000-000055020000}"/>
    <cellStyle name="Comma 5 8 2 2" xfId="1673" xr:uid="{00000000-0005-0000-0000-000056020000}"/>
    <cellStyle name="Comma 5 8 2 2 2" xfId="3040" xr:uid="{00000000-0005-0000-0000-0000DC010000}"/>
    <cellStyle name="Comma 5 8 2 2 2 2" xfId="11977" xr:uid="{00000000-0005-0000-0000-00000B020000}"/>
    <cellStyle name="Comma 5 8 2 2 3" xfId="2080" xr:uid="{00000000-0005-0000-0000-000056020000}"/>
    <cellStyle name="Comma 5 8 2 2 4" xfId="6357" xr:uid="{00000000-0005-0000-0000-0000DC010000}"/>
    <cellStyle name="Comma 5 8 2 2 5" xfId="6956" xr:uid="{00000000-0005-0000-0000-000055020000}"/>
    <cellStyle name="Comma 5 8 2 2 6" xfId="9365" xr:uid="{00000000-0005-0000-0000-000055020000}"/>
    <cellStyle name="Comma 5 8 2 3" xfId="1674" xr:uid="{00000000-0005-0000-0000-000057020000}"/>
    <cellStyle name="Comma 5 8 2 3 2" xfId="6440" xr:uid="{00000000-0005-0000-0000-000057020000}"/>
    <cellStyle name="Comma 5 8 2 3 3" xfId="8357" xr:uid="{00000000-0005-0000-0000-000056020000}"/>
    <cellStyle name="Comma 5 8 2 3 4" xfId="10754" xr:uid="{00000000-0005-0000-0000-000056020000}"/>
    <cellStyle name="Comma 5 8 2 3 5" xfId="4715" xr:uid="{00000000-0005-0000-0000-000083010000}"/>
    <cellStyle name="Comma 5 8 2 4" xfId="1672" xr:uid="{00000000-0005-0000-0000-000058020000}"/>
    <cellStyle name="Comma 5 8 2 4 2" xfId="11949" xr:uid="{00000000-0005-0000-0000-00000A020000}"/>
    <cellStyle name="Comma 5 8 2 5" xfId="4125" xr:uid="{00000000-0005-0000-0000-0000DB010000}"/>
    <cellStyle name="Comma 5 8 2 6" xfId="5781" xr:uid="{00000000-0005-0000-0000-00007A010000}"/>
    <cellStyle name="Comma 5 8 2 7" xfId="5045" xr:uid="{00000000-0005-0000-0000-000094010000}"/>
    <cellStyle name="Comma 5 8 2 8" xfId="6752" xr:uid="{00000000-0005-0000-0000-000054020000}"/>
    <cellStyle name="Comma 5 8 2 9" xfId="9173" xr:uid="{00000000-0005-0000-0000-000054020000}"/>
    <cellStyle name="Comma 5 8 3" xfId="488" xr:uid="{00000000-0005-0000-0000-000059020000}"/>
    <cellStyle name="Comma 5 8 3 2" xfId="1676" xr:uid="{00000000-0005-0000-0000-00005A020000}"/>
    <cellStyle name="Comma 5 8 3 2 2" xfId="6475" xr:uid="{00000000-0005-0000-0000-000039020000}"/>
    <cellStyle name="Comma 5 8 3 2 3" xfId="8176" xr:uid="{00000000-0005-0000-0000-000058020000}"/>
    <cellStyle name="Comma 5 8 3 2 4" xfId="10573" xr:uid="{00000000-0005-0000-0000-000058020000}"/>
    <cellStyle name="Comma 5 8 3 3" xfId="1677" xr:uid="{00000000-0005-0000-0000-00005B020000}"/>
    <cellStyle name="Comma 5 8 3 4" xfId="1675" xr:uid="{00000000-0005-0000-0000-00005C020000}"/>
    <cellStyle name="Comma 5 8 3 5" xfId="6265" xr:uid="{00000000-0005-0000-0000-0000DD010000}"/>
    <cellStyle name="Comma 5 8 3 6" xfId="6957" xr:uid="{00000000-0005-0000-0000-000057020000}"/>
    <cellStyle name="Comma 5 8 3 7" xfId="9366" xr:uid="{00000000-0005-0000-0000-000057020000}"/>
    <cellStyle name="Comma 5 8 4" xfId="1678" xr:uid="{00000000-0005-0000-0000-00005D020000}"/>
    <cellStyle name="Comma 5 8 4 2" xfId="2673" xr:uid="{00000000-0005-0000-0000-0000DE010000}"/>
    <cellStyle name="Comma 5 8 4 3" xfId="3592" xr:uid="{00000000-0005-0000-0000-00005D020000}"/>
    <cellStyle name="Comma 5 8 4 4" xfId="6160" xr:uid="{00000000-0005-0000-0000-0000DE010000}"/>
    <cellStyle name="Comma 5 8 4 5" xfId="6955" xr:uid="{00000000-0005-0000-0000-000059020000}"/>
    <cellStyle name="Comma 5 8 4 6" xfId="9364" xr:uid="{00000000-0005-0000-0000-000059020000}"/>
    <cellStyle name="Comma 5 8 5" xfId="1679" xr:uid="{00000000-0005-0000-0000-00005E020000}"/>
    <cellStyle name="Comma 5 8 5 2" xfId="2278" xr:uid="{00000000-0005-0000-0000-0000DA010000}"/>
    <cellStyle name="Comma 5 8 5 3" xfId="2086" xr:uid="{00000000-0005-0000-0000-00005E020000}"/>
    <cellStyle name="Comma 5 8 5 4" xfId="7888" xr:uid="{00000000-0005-0000-0000-00005A020000}"/>
    <cellStyle name="Comma 5 8 5 5" xfId="10285" xr:uid="{00000000-0005-0000-0000-00005A020000}"/>
    <cellStyle name="Comma 5 8 6" xfId="1671" xr:uid="{00000000-0005-0000-0000-00005F020000}"/>
    <cellStyle name="Comma 5 8 6 2" xfId="11582" xr:uid="{00000000-0005-0000-0000-00003F020000}"/>
    <cellStyle name="Comma 5 8 7" xfId="3865" xr:uid="{00000000-0005-0000-0000-000063010000}"/>
    <cellStyle name="Comma 5 8 8" xfId="5304" xr:uid="{00000000-0005-0000-0000-000079010000}"/>
    <cellStyle name="Comma 5 8 9" xfId="4845" xr:uid="{00000000-0005-0000-0000-000093010000}"/>
    <cellStyle name="Comma 5 9" xfId="489" xr:uid="{00000000-0005-0000-0000-000060020000}"/>
    <cellStyle name="Comma 5 9 10" xfId="6592" xr:uid="{00000000-0005-0000-0000-00005B020000}"/>
    <cellStyle name="Comma 5 9 11" xfId="9013" xr:uid="{00000000-0005-0000-0000-00005B020000}"/>
    <cellStyle name="Comma 5 9 2" xfId="490" xr:uid="{00000000-0005-0000-0000-000061020000}"/>
    <cellStyle name="Comma 5 9 2 2" xfId="1682" xr:uid="{00000000-0005-0000-0000-000062020000}"/>
    <cellStyle name="Comma 5 9 2 2 2" xfId="2872" xr:uid="{00000000-0005-0000-0000-0000E1010000}"/>
    <cellStyle name="Comma 5 9 2 2 2 2" xfId="11978" xr:uid="{00000000-0005-0000-0000-000012020000}"/>
    <cellStyle name="Comma 5 9 2 2 3" xfId="3688" xr:uid="{00000000-0005-0000-0000-000062020000}"/>
    <cellStyle name="Comma 5 9 2 2 4" xfId="6266" xr:uid="{00000000-0005-0000-0000-0000E1010000}"/>
    <cellStyle name="Comma 5 9 2 2 5" xfId="6959" xr:uid="{00000000-0005-0000-0000-00005D020000}"/>
    <cellStyle name="Comma 5 9 2 2 6" xfId="9368" xr:uid="{00000000-0005-0000-0000-00005D020000}"/>
    <cellStyle name="Comma 5 9 2 3" xfId="1683" xr:uid="{00000000-0005-0000-0000-000063020000}"/>
    <cellStyle name="Comma 5 9 2 3 2" xfId="6439" xr:uid="{00000000-0005-0000-0000-000063020000}"/>
    <cellStyle name="Comma 5 9 2 3 3" xfId="8177" xr:uid="{00000000-0005-0000-0000-00005E020000}"/>
    <cellStyle name="Comma 5 9 2 3 4" xfId="10574" xr:uid="{00000000-0005-0000-0000-00005E020000}"/>
    <cellStyle name="Comma 5 9 2 3 5" xfId="4716" xr:uid="{00000000-0005-0000-0000-000089010000}"/>
    <cellStyle name="Comma 5 9 2 4" xfId="1681" xr:uid="{00000000-0005-0000-0000-000064020000}"/>
    <cellStyle name="Comma 5 9 2 4 2" xfId="11950" xr:uid="{00000000-0005-0000-0000-000011020000}"/>
    <cellStyle name="Comma 5 9 2 5" xfId="6095" xr:uid="{00000000-0005-0000-0000-0000E0010000}"/>
    <cellStyle name="Comma 5 9 2 6" xfId="5046" xr:uid="{00000000-0005-0000-0000-000096010000}"/>
    <cellStyle name="Comma 5 9 2 7" xfId="6753" xr:uid="{00000000-0005-0000-0000-00005C020000}"/>
    <cellStyle name="Comma 5 9 2 8" xfId="9174" xr:uid="{00000000-0005-0000-0000-00005C020000}"/>
    <cellStyle name="Comma 5 9 3" xfId="491" xr:uid="{00000000-0005-0000-0000-000065020000}"/>
    <cellStyle name="Comma 5 9 3 2" xfId="1685" xr:uid="{00000000-0005-0000-0000-000066020000}"/>
    <cellStyle name="Comma 5 9 3 3" xfId="1686" xr:uid="{00000000-0005-0000-0000-000067020000}"/>
    <cellStyle name="Comma 5 9 3 4" xfId="1684" xr:uid="{00000000-0005-0000-0000-000068020000}"/>
    <cellStyle name="Comma 5 9 3 5" xfId="6161" xr:uid="{00000000-0005-0000-0000-0000E2010000}"/>
    <cellStyle name="Comma 5 9 3 6" xfId="6960" xr:uid="{00000000-0005-0000-0000-00005F020000}"/>
    <cellStyle name="Comma 5 9 3 7" xfId="9369" xr:uid="{00000000-0005-0000-0000-00005F020000}"/>
    <cellStyle name="Comma 5 9 4" xfId="1687" xr:uid="{00000000-0005-0000-0000-000069020000}"/>
    <cellStyle name="Comma 5 9 4 2" xfId="2279" xr:uid="{00000000-0005-0000-0000-0000DF010000}"/>
    <cellStyle name="Comma 5 9 4 3" xfId="2058" xr:uid="{00000000-0005-0000-0000-000069020000}"/>
    <cellStyle name="Comma 5 9 4 4" xfId="6054" xr:uid="{00000000-0005-0000-0000-0000DF010000}"/>
    <cellStyle name="Comma 5 9 4 5" xfId="6958" xr:uid="{00000000-0005-0000-0000-000060020000}"/>
    <cellStyle name="Comma 5 9 4 6" xfId="9367" xr:uid="{00000000-0005-0000-0000-000060020000}"/>
    <cellStyle name="Comma 5 9 5" xfId="1688" xr:uid="{00000000-0005-0000-0000-00006A020000}"/>
    <cellStyle name="Comma 5 9 5 2" xfId="6462" xr:uid="{00000000-0005-0000-0000-000041020000}"/>
    <cellStyle name="Comma 5 9 5 3" xfId="7889" xr:uid="{00000000-0005-0000-0000-000061020000}"/>
    <cellStyle name="Comma 5 9 5 4" xfId="10286" xr:uid="{00000000-0005-0000-0000-000061020000}"/>
    <cellStyle name="Comma 5 9 6" xfId="1680" xr:uid="{00000000-0005-0000-0000-00006B020000}"/>
    <cellStyle name="Comma 5 9 6 2" xfId="11583" xr:uid="{00000000-0005-0000-0000-000046020000}"/>
    <cellStyle name="Comma 5 9 7" xfId="3866" xr:uid="{00000000-0005-0000-0000-000064010000}"/>
    <cellStyle name="Comma 5 9 8" xfId="5782" xr:uid="{00000000-0005-0000-0000-00007B010000}"/>
    <cellStyle name="Comma 5 9 9" xfId="4846" xr:uid="{00000000-0005-0000-0000-000095010000}"/>
    <cellStyle name="Comma 6" xfId="492" xr:uid="{00000000-0005-0000-0000-00006C020000}"/>
    <cellStyle name="Comma 6 2" xfId="493" xr:uid="{00000000-0005-0000-0000-00006D020000}"/>
    <cellStyle name="Comma 6 3" xfId="494" xr:uid="{00000000-0005-0000-0000-00006E020000}"/>
    <cellStyle name="Comma 6 3 2" xfId="1690" xr:uid="{00000000-0005-0000-0000-00006F020000}"/>
    <cellStyle name="Comma 6 3 2 2" xfId="6507" xr:uid="{00000000-0005-0000-0000-000045020000}"/>
    <cellStyle name="Comma 6 3 3" xfId="1691" xr:uid="{00000000-0005-0000-0000-000070020000}"/>
    <cellStyle name="Comma 6 3 4" xfId="1689" xr:uid="{00000000-0005-0000-0000-000071020000}"/>
    <cellStyle name="Comma 6 4" xfId="495" xr:uid="{00000000-0005-0000-0000-000072020000}"/>
    <cellStyle name="Comma 6 4 10" xfId="5346" xr:uid="{00000000-0005-0000-0000-00007F010000}"/>
    <cellStyle name="Comma 6 4 11" xfId="4802" xr:uid="{00000000-0005-0000-0000-00009A010000}"/>
    <cellStyle name="Comma 6 4 12" xfId="6548" xr:uid="{00000000-0005-0000-0000-000065020000}"/>
    <cellStyle name="Comma 6 4 13" xfId="8969" xr:uid="{00000000-0005-0000-0000-000065020000}"/>
    <cellStyle name="Comma 6 4 2" xfId="496" xr:uid="{00000000-0005-0000-0000-000073020000}"/>
    <cellStyle name="Comma 6 4 2 10" xfId="6593" xr:uid="{00000000-0005-0000-0000-000066020000}"/>
    <cellStyle name="Comma 6 4 2 11" xfId="9014" xr:uid="{00000000-0005-0000-0000-000066020000}"/>
    <cellStyle name="Comma 6 4 2 2" xfId="497" xr:uid="{00000000-0005-0000-0000-000074020000}"/>
    <cellStyle name="Comma 6 4 2 2 2" xfId="1695" xr:uid="{00000000-0005-0000-0000-000075020000}"/>
    <cellStyle name="Comma 6 4 2 2 2 2" xfId="3042" xr:uid="{00000000-0005-0000-0000-0000E9010000}"/>
    <cellStyle name="Comma 6 4 2 2 2 2 2" xfId="11440" xr:uid="{00000000-0005-0000-0000-00004B020000}"/>
    <cellStyle name="Comma 6 4 2 2 2 2 3" xfId="11979" xr:uid="{00000000-0005-0000-0000-00001E020000}"/>
    <cellStyle name="Comma 6 4 2 2 2 3" xfId="3575" xr:uid="{00000000-0005-0000-0000-000075020000}"/>
    <cellStyle name="Comma 6 4 2 2 2 3 2" xfId="11742" xr:uid="{00000000-0005-0000-0000-000053020000}"/>
    <cellStyle name="Comma 6 4 2 2 2 4" xfId="8359" xr:uid="{00000000-0005-0000-0000-000068020000}"/>
    <cellStyle name="Comma 6 4 2 2 2 5" xfId="10756" xr:uid="{00000000-0005-0000-0000-000068020000}"/>
    <cellStyle name="Comma 6 4 2 2 3" xfId="1696" xr:uid="{00000000-0005-0000-0000-000076020000}"/>
    <cellStyle name="Comma 6 4 2 2 3 2" xfId="4647" xr:uid="{00000000-0005-0000-0000-0000E8010000}"/>
    <cellStyle name="Comma 6 4 2 2 3 3" xfId="7891" xr:uid="{00000000-0005-0000-0000-000069020000}"/>
    <cellStyle name="Comma 6 4 2 2 3 4" xfId="10288" xr:uid="{00000000-0005-0000-0000-000069020000}"/>
    <cellStyle name="Comma 6 4 2 2 4" xfId="1694" xr:uid="{00000000-0005-0000-0000-000077020000}"/>
    <cellStyle name="Comma 6 4 2 2 4 2" xfId="12109" xr:uid="{00000000-0005-0000-0000-000020020000}"/>
    <cellStyle name="Comma 6 4 2 2 4 3" xfId="12028" xr:uid="{00000000-0005-0000-0000-000020020000}"/>
    <cellStyle name="Comma 6 4 2 2 5" xfId="4260" xr:uid="{00000000-0005-0000-0000-0000E8010000}"/>
    <cellStyle name="Comma 6 4 2 2 6" xfId="5784" xr:uid="{00000000-0005-0000-0000-000081010000}"/>
    <cellStyle name="Comma 6 4 2 2 7" xfId="5048" xr:uid="{00000000-0005-0000-0000-00009C010000}"/>
    <cellStyle name="Comma 6 4 2 2 8" xfId="6964" xr:uid="{00000000-0005-0000-0000-000067020000}"/>
    <cellStyle name="Comma 6 4 2 2 9" xfId="9372" xr:uid="{00000000-0005-0000-0000-000067020000}"/>
    <cellStyle name="Comma 6 4 2 3" xfId="1697" xr:uid="{00000000-0005-0000-0000-000078020000}"/>
    <cellStyle name="Comma 6 4 2 3 2" xfId="3043" xr:uid="{00000000-0005-0000-0000-0000EA010000}"/>
    <cellStyle name="Comma 6 4 2 3 2 2" xfId="8360" xr:uid="{00000000-0005-0000-0000-00006B020000}"/>
    <cellStyle name="Comma 6 4 2 3 2 3" xfId="10757" xr:uid="{00000000-0005-0000-0000-00006B020000}"/>
    <cellStyle name="Comma 6 4 2 3 2 4" xfId="11980" xr:uid="{00000000-0005-0000-0000-000021020000}"/>
    <cellStyle name="Comma 6 4 2 3 3" xfId="2081" xr:uid="{00000000-0005-0000-0000-000078020000}"/>
    <cellStyle name="Comma 6 4 2 3 4" xfId="4404" xr:uid="{00000000-0005-0000-0000-0000EA010000}"/>
    <cellStyle name="Comma 6 4 2 3 5" xfId="5652" xr:uid="{00000000-0005-0000-0000-000082010000}"/>
    <cellStyle name="Comma 6 4 2 3 6" xfId="6963" xr:uid="{00000000-0005-0000-0000-00006A020000}"/>
    <cellStyle name="Comma 6 4 2 3 7" xfId="9371" xr:uid="{00000000-0005-0000-0000-00006A020000}"/>
    <cellStyle name="Comma 6 4 2 4" xfId="1698" xr:uid="{00000000-0005-0000-0000-000079020000}"/>
    <cellStyle name="Comma 6 4 2 4 2" xfId="3041" xr:uid="{00000000-0005-0000-0000-0000EB010000}"/>
    <cellStyle name="Comma 6 4 2 4 2 2" xfId="11439" xr:uid="{00000000-0005-0000-0000-000050020000}"/>
    <cellStyle name="Comma 6 4 2 4 3" xfId="3671" xr:uid="{00000000-0005-0000-0000-000079020000}"/>
    <cellStyle name="Comma 6 4 2 4 3 2" xfId="11780" xr:uid="{00000000-0005-0000-0000-000058020000}"/>
    <cellStyle name="Comma 6 4 2 4 4" xfId="8358" xr:uid="{00000000-0005-0000-0000-00006C020000}"/>
    <cellStyle name="Comma 6 4 2 4 5" xfId="10755" xr:uid="{00000000-0005-0000-0000-00006C020000}"/>
    <cellStyle name="Comma 6 4 2 5" xfId="1693" xr:uid="{00000000-0005-0000-0000-00007A020000}"/>
    <cellStyle name="Comma 6 4 2 5 2" xfId="2528" xr:uid="{00000000-0005-0000-0000-0000EC010000}"/>
    <cellStyle name="Comma 6 4 2 5 3" xfId="3563" xr:uid="{00000000-0005-0000-0000-00007A020000}"/>
    <cellStyle name="Comma 6 4 2 5 4" xfId="7726" xr:uid="{00000000-0005-0000-0000-00006D020000}"/>
    <cellStyle name="Comma 6 4 2 5 5" xfId="10123" xr:uid="{00000000-0005-0000-0000-00006D020000}"/>
    <cellStyle name="Comma 6 4 2 6" xfId="2280" xr:uid="{00000000-0005-0000-0000-0000E7010000}"/>
    <cellStyle name="Comma 6 4 2 7" xfId="3819" xr:uid="{00000000-0005-0000-0000-000069010000}"/>
    <cellStyle name="Comma 6 4 2 8" xfId="5406" xr:uid="{00000000-0005-0000-0000-000080010000}"/>
    <cellStyle name="Comma 6 4 2 9" xfId="4847" xr:uid="{00000000-0005-0000-0000-00009B010000}"/>
    <cellStyle name="Comma 6 4 3" xfId="498" xr:uid="{00000000-0005-0000-0000-00007B020000}"/>
    <cellStyle name="Comma 6 4 3 10" xfId="9175" xr:uid="{00000000-0005-0000-0000-00006E020000}"/>
    <cellStyle name="Comma 6 4 3 2" xfId="1700" xr:uid="{00000000-0005-0000-0000-00007C020000}"/>
    <cellStyle name="Comma 6 4 3 2 2" xfId="3045" xr:uid="{00000000-0005-0000-0000-0000EF010000}"/>
    <cellStyle name="Comma 6 4 3 2 2 2" xfId="8362" xr:uid="{00000000-0005-0000-0000-000070020000}"/>
    <cellStyle name="Comma 6 4 3 2 2 2 2" xfId="11859" xr:uid="{00000000-0005-0000-0000-00005E020000}"/>
    <cellStyle name="Comma 6 4 3 2 2 3" xfId="10759" xr:uid="{00000000-0005-0000-0000-000070020000}"/>
    <cellStyle name="Comma 6 4 3 2 3" xfId="2674" xr:uid="{00000000-0005-0000-0000-0000EE010000}"/>
    <cellStyle name="Comma 6 4 3 2 3 2" xfId="7892" xr:uid="{00000000-0005-0000-0000-000071020000}"/>
    <cellStyle name="Comma 6 4 3 2 3 3" xfId="10289" xr:uid="{00000000-0005-0000-0000-000071020000}"/>
    <cellStyle name="Comma 6 4 3 2 3 4" xfId="11981" xr:uid="{00000000-0005-0000-0000-000025020000}"/>
    <cellStyle name="Comma 6 4 3 2 4" xfId="3649" xr:uid="{00000000-0005-0000-0000-00007C020000}"/>
    <cellStyle name="Comma 6 4 3 2 5" xfId="4261" xr:uid="{00000000-0005-0000-0000-0000EE010000}"/>
    <cellStyle name="Comma 6 4 3 2 6" xfId="5785" xr:uid="{00000000-0005-0000-0000-000084010000}"/>
    <cellStyle name="Comma 6 4 3 2 7" xfId="6965" xr:uid="{00000000-0005-0000-0000-00006F020000}"/>
    <cellStyle name="Comma 6 4 3 2 8" xfId="9373" xr:uid="{00000000-0005-0000-0000-00006F020000}"/>
    <cellStyle name="Comma 6 4 3 3" xfId="1701" xr:uid="{00000000-0005-0000-0000-00007D020000}"/>
    <cellStyle name="Comma 6 4 3 3 2" xfId="3046" xr:uid="{00000000-0005-0000-0000-0000F0010000}"/>
    <cellStyle name="Comma 6 4 3 3 2 2" xfId="11441" xr:uid="{00000000-0005-0000-0000-000057020000}"/>
    <cellStyle name="Comma 6 4 3 3 3" xfId="3612" xr:uid="{00000000-0005-0000-0000-00007D020000}"/>
    <cellStyle name="Comma 6 4 3 3 4" xfId="4405" xr:uid="{00000000-0005-0000-0000-0000F0010000}"/>
    <cellStyle name="Comma 6 4 3 3 5" xfId="5737" xr:uid="{00000000-0005-0000-0000-000085010000}"/>
    <cellStyle name="Comma 6 4 3 3 6" xfId="8363" xr:uid="{00000000-0005-0000-0000-000072020000}"/>
    <cellStyle name="Comma 6 4 3 3 7" xfId="10760" xr:uid="{00000000-0005-0000-0000-000072020000}"/>
    <cellStyle name="Comma 6 4 3 4" xfId="1699" xr:uid="{00000000-0005-0000-0000-00007E020000}"/>
    <cellStyle name="Comma 6 4 3 4 2" xfId="3044" xr:uid="{00000000-0005-0000-0000-0000F1010000}"/>
    <cellStyle name="Comma 6 4 3 4 2 2" xfId="11858" xr:uid="{00000000-0005-0000-0000-000063020000}"/>
    <cellStyle name="Comma 6 4 3 4 3" xfId="3697" xr:uid="{00000000-0005-0000-0000-00007E020000}"/>
    <cellStyle name="Comma 6 4 3 4 3 2" xfId="11761" xr:uid="{00000000-0005-0000-0000-000062020000}"/>
    <cellStyle name="Comma 6 4 3 4 4" xfId="8361" xr:uid="{00000000-0005-0000-0000-000073020000}"/>
    <cellStyle name="Comma 6 4 3 4 5" xfId="10758" xr:uid="{00000000-0005-0000-0000-000073020000}"/>
    <cellStyle name="Comma 6 4 3 5" xfId="2631" xr:uid="{00000000-0005-0000-0000-0000F2010000}"/>
    <cellStyle name="Comma 6 4 3 5 2" xfId="7829" xr:uid="{00000000-0005-0000-0000-000074020000}"/>
    <cellStyle name="Comma 6 4 3 5 3" xfId="10226" xr:uid="{00000000-0005-0000-0000-000074020000}"/>
    <cellStyle name="Comma 6 4 3 6" xfId="4126" xr:uid="{00000000-0005-0000-0000-0000ED010000}"/>
    <cellStyle name="Comma 6 4 3 7" xfId="5507" xr:uid="{00000000-0005-0000-0000-000083010000}"/>
    <cellStyle name="Comma 6 4 3 8" xfId="5047" xr:uid="{00000000-0005-0000-0000-00009D010000}"/>
    <cellStyle name="Comma 6 4 3 9" xfId="6754" xr:uid="{00000000-0005-0000-0000-00006E020000}"/>
    <cellStyle name="Comma 6 4 4" xfId="499" xr:uid="{00000000-0005-0000-0000-00007F020000}"/>
    <cellStyle name="Comma 6 4 4 2" xfId="1703" xr:uid="{00000000-0005-0000-0000-000080020000}"/>
    <cellStyle name="Comma 6 4 4 2 2" xfId="3047" xr:uid="{00000000-0005-0000-0000-0000F4010000}"/>
    <cellStyle name="Comma 6 4 4 2 2 2" xfId="11860" xr:uid="{00000000-0005-0000-0000-000067020000}"/>
    <cellStyle name="Comma 6 4 4 2 3" xfId="3640" xr:uid="{00000000-0005-0000-0000-000080020000}"/>
    <cellStyle name="Comma 6 4 4 2 3 2" xfId="11743" xr:uid="{00000000-0005-0000-0000-000066020000}"/>
    <cellStyle name="Comma 6 4 4 2 4" xfId="8364" xr:uid="{00000000-0005-0000-0000-000076020000}"/>
    <cellStyle name="Comma 6 4 4 2 5" xfId="10761" xr:uid="{00000000-0005-0000-0000-000076020000}"/>
    <cellStyle name="Comma 6 4 4 3" xfId="1704" xr:uid="{00000000-0005-0000-0000-000081020000}"/>
    <cellStyle name="Comma 6 4 4 3 2" xfId="4624" xr:uid="{00000000-0005-0000-0000-0000F3010000}"/>
    <cellStyle name="Comma 6 4 4 3 3" xfId="7890" xr:uid="{00000000-0005-0000-0000-000077020000}"/>
    <cellStyle name="Comma 6 4 4 3 4" xfId="10287" xr:uid="{00000000-0005-0000-0000-000077020000}"/>
    <cellStyle name="Comma 6 4 4 4" xfId="1702" xr:uid="{00000000-0005-0000-0000-000082020000}"/>
    <cellStyle name="Comma 6 4 4 5" xfId="4259" xr:uid="{00000000-0005-0000-0000-0000F3010000}"/>
    <cellStyle name="Comma 6 4 4 6" xfId="5783" xr:uid="{00000000-0005-0000-0000-000086010000}"/>
    <cellStyle name="Comma 6 4 4 7" xfId="6966" xr:uid="{00000000-0005-0000-0000-000075020000}"/>
    <cellStyle name="Comma 6 4 4 8" xfId="9374" xr:uid="{00000000-0005-0000-0000-000075020000}"/>
    <cellStyle name="Comma 6 4 5" xfId="1705" xr:uid="{00000000-0005-0000-0000-000083020000}"/>
    <cellStyle name="Comma 6 4 5 2" xfId="3048" xr:uid="{00000000-0005-0000-0000-0000F5010000}"/>
    <cellStyle name="Comma 6 4 5 2 2" xfId="8365" xr:uid="{00000000-0005-0000-0000-000079020000}"/>
    <cellStyle name="Comma 6 4 5 2 3" xfId="10762" xr:uid="{00000000-0005-0000-0000-000079020000}"/>
    <cellStyle name="Comma 6 4 5 3" xfId="3590" xr:uid="{00000000-0005-0000-0000-000083020000}"/>
    <cellStyle name="Comma 6 4 5 4" xfId="4406" xr:uid="{00000000-0005-0000-0000-0000F5010000}"/>
    <cellStyle name="Comma 6 4 5 5" xfId="5592" xr:uid="{00000000-0005-0000-0000-000087010000}"/>
    <cellStyle name="Comma 6 4 5 6" xfId="6962" xr:uid="{00000000-0005-0000-0000-000078020000}"/>
    <cellStyle name="Comma 6 4 5 7" xfId="9370" xr:uid="{00000000-0005-0000-0000-000078020000}"/>
    <cellStyle name="Comma 6 4 6" xfId="1706" xr:uid="{00000000-0005-0000-0000-000084020000}"/>
    <cellStyle name="Comma 6 4 6 2" xfId="2873" xr:uid="{00000000-0005-0000-0000-0000F6010000}"/>
    <cellStyle name="Comma 6 4 6 2 2" xfId="11843" xr:uid="{00000000-0005-0000-0000-00006C020000}"/>
    <cellStyle name="Comma 6 4 6 3" xfId="3685" xr:uid="{00000000-0005-0000-0000-000084020000}"/>
    <cellStyle name="Comma 6 4 6 3 2" xfId="11785" xr:uid="{00000000-0005-0000-0000-00006B020000}"/>
    <cellStyle name="Comma 6 4 6 4" xfId="8178" xr:uid="{00000000-0005-0000-0000-00007A020000}"/>
    <cellStyle name="Comma 6 4 6 5" xfId="10575" xr:uid="{00000000-0005-0000-0000-00007A020000}"/>
    <cellStyle name="Comma 6 4 7" xfId="1692" xr:uid="{00000000-0005-0000-0000-000085020000}"/>
    <cellStyle name="Comma 6 4 7 2" xfId="2468" xr:uid="{00000000-0005-0000-0000-0000F7010000}"/>
    <cellStyle name="Comma 6 4 7 3" xfId="3635" xr:uid="{00000000-0005-0000-0000-000085020000}"/>
    <cellStyle name="Comma 6 4 7 4" xfId="7666" xr:uid="{00000000-0005-0000-0000-00007B020000}"/>
    <cellStyle name="Comma 6 4 7 5" xfId="10063" xr:uid="{00000000-0005-0000-0000-00007B020000}"/>
    <cellStyle name="Comma 6 4 8" xfId="2222" xr:uid="{00000000-0005-0000-0000-0000E6010000}"/>
    <cellStyle name="Comma 6 4 9" xfId="3867" xr:uid="{00000000-0005-0000-0000-000068010000}"/>
    <cellStyle name="Comma 6 5" xfId="1707" xr:uid="{00000000-0005-0000-0000-000086020000}"/>
    <cellStyle name="Comma 6 5 10" xfId="10166" xr:uid="{00000000-0005-0000-0000-00007C020000}"/>
    <cellStyle name="Comma 6 5 2" xfId="2675" xr:uid="{00000000-0005-0000-0000-0000F9010000}"/>
    <cellStyle name="Comma 6 5 2 2" xfId="3050" xr:uid="{00000000-0005-0000-0000-0000FA010000}"/>
    <cellStyle name="Comma 6 5 2 2 2" xfId="8367" xr:uid="{00000000-0005-0000-0000-00007E020000}"/>
    <cellStyle name="Comma 6 5 2 2 3" xfId="10764" xr:uid="{00000000-0005-0000-0000-00007E020000}"/>
    <cellStyle name="Comma 6 5 2 3" xfId="4262" xr:uid="{00000000-0005-0000-0000-0000F9010000}"/>
    <cellStyle name="Comma 6 5 2 3 2" xfId="11395" xr:uid="{00000000-0005-0000-0000-000064020000}"/>
    <cellStyle name="Comma 6 5 2 4" xfId="7893" xr:uid="{00000000-0005-0000-0000-00007D020000}"/>
    <cellStyle name="Comma 6 5 2 5" xfId="10290" xr:uid="{00000000-0005-0000-0000-00007D020000}"/>
    <cellStyle name="Comma 6 5 3" xfId="3051" xr:uid="{00000000-0005-0000-0000-0000FB010000}"/>
    <cellStyle name="Comma 6 5 3 2" xfId="4407" xr:uid="{00000000-0005-0000-0000-0000FB010000}"/>
    <cellStyle name="Comma 6 5 3 2 2" xfId="11442" xr:uid="{00000000-0005-0000-0000-000066020000}"/>
    <cellStyle name="Comma 6 5 3 3" xfId="8368" xr:uid="{00000000-0005-0000-0000-00007F020000}"/>
    <cellStyle name="Comma 6 5 3 4" xfId="10765" xr:uid="{00000000-0005-0000-0000-00007F020000}"/>
    <cellStyle name="Comma 6 5 4" xfId="3049" xr:uid="{00000000-0005-0000-0000-0000FC010000}"/>
    <cellStyle name="Comma 6 5 4 2" xfId="8366" xr:uid="{00000000-0005-0000-0000-000080020000}"/>
    <cellStyle name="Comma 6 5 4 3" xfId="10763" xr:uid="{00000000-0005-0000-0000-000080020000}"/>
    <cellStyle name="Comma 6 5 5" xfId="2571" xr:uid="{00000000-0005-0000-0000-0000F8010000}"/>
    <cellStyle name="Comma 6 5 5 2" xfId="11389" xr:uid="{00000000-0005-0000-0000-000068020000}"/>
    <cellStyle name="Comma 6 5 6" xfId="2053" xr:uid="{00000000-0005-0000-0000-000086020000}"/>
    <cellStyle name="Comma 6 5 6 2" xfId="11771" xr:uid="{00000000-0005-0000-0000-00006E020000}"/>
    <cellStyle name="Comma 6 5 7" xfId="4236" xr:uid="{00000000-0005-0000-0000-0000F8010000}"/>
    <cellStyle name="Comma 6 5 8" xfId="6508" xr:uid="{00000000-0005-0000-0000-000061020000}"/>
    <cellStyle name="Comma 6 5 9" xfId="7769" xr:uid="{00000000-0005-0000-0000-00007C020000}"/>
    <cellStyle name="Comma 6 6" xfId="2162" xr:uid="{00000000-0005-0000-0000-0000E3010000}"/>
    <cellStyle name="Comma 7" xfId="500" xr:uid="{00000000-0005-0000-0000-000087020000}"/>
    <cellStyle name="Comma 7 10" xfId="501" xr:uid="{00000000-0005-0000-0000-000088020000}"/>
    <cellStyle name="Comma 7 10 2" xfId="1710" xr:uid="{00000000-0005-0000-0000-000089020000}"/>
    <cellStyle name="Comma 7 10 2 2" xfId="3052" xr:uid="{00000000-0005-0000-0000-0000FF010000}"/>
    <cellStyle name="Comma 7 10 2 2 2" xfId="11598" xr:uid="{00000000-0005-0000-0000-000077020000}"/>
    <cellStyle name="Comma 7 10 2 3" xfId="3556" xr:uid="{00000000-0005-0000-0000-000089020000}"/>
    <cellStyle name="Comma 7 10 2 4" xfId="6358" xr:uid="{00000000-0005-0000-0000-0000FF010000}"/>
    <cellStyle name="Comma 7 10 2 5" xfId="6968" xr:uid="{00000000-0005-0000-0000-000083020000}"/>
    <cellStyle name="Comma 7 10 2 6" xfId="9376" xr:uid="{00000000-0005-0000-0000-000083020000}"/>
    <cellStyle name="Comma 7 10 3" xfId="1711" xr:uid="{00000000-0005-0000-0000-00008A020000}"/>
    <cellStyle name="Comma 7 10 3 2" xfId="6050" xr:uid="{00000000-0005-0000-0000-00008A020000}"/>
    <cellStyle name="Comma 7 10 3 3" xfId="8369" xr:uid="{00000000-0005-0000-0000-000084020000}"/>
    <cellStyle name="Comma 7 10 3 4" xfId="10766" xr:uid="{00000000-0005-0000-0000-000084020000}"/>
    <cellStyle name="Comma 7 10 3 5" xfId="4717" xr:uid="{00000000-0005-0000-0000-00009B010000}"/>
    <cellStyle name="Comma 7 10 4" xfId="1709" xr:uid="{00000000-0005-0000-0000-00008B020000}"/>
    <cellStyle name="Comma 7 10 4 2" xfId="11861" xr:uid="{00000000-0005-0000-0000-000079020000}"/>
    <cellStyle name="Comma 7 10 4 3" xfId="11639" xr:uid="{00000000-0005-0000-0000-000079020000}"/>
    <cellStyle name="Comma 7 10 5" xfId="4127" xr:uid="{00000000-0005-0000-0000-0000FE010000}"/>
    <cellStyle name="Comma 7 10 6" xfId="5557" xr:uid="{00000000-0005-0000-0000-00008C010000}"/>
    <cellStyle name="Comma 7 10 7" xfId="5049" xr:uid="{00000000-0005-0000-0000-00009F010000}"/>
    <cellStyle name="Comma 7 10 8" xfId="6755" xr:uid="{00000000-0005-0000-0000-000082020000}"/>
    <cellStyle name="Comma 7 10 9" xfId="9176" xr:uid="{00000000-0005-0000-0000-000082020000}"/>
    <cellStyle name="Comma 7 11" xfId="502" xr:uid="{00000000-0005-0000-0000-00008C020000}"/>
    <cellStyle name="Comma 7 11 2" xfId="1713" xr:uid="{00000000-0005-0000-0000-00008D020000}"/>
    <cellStyle name="Comma 7 11 2 2" xfId="6484" xr:uid="{00000000-0005-0000-0000-00006D020000}"/>
    <cellStyle name="Comma 7 11 2 3" xfId="8179" xr:uid="{00000000-0005-0000-0000-000086020000}"/>
    <cellStyle name="Comma 7 11 2 4" xfId="10576" xr:uid="{00000000-0005-0000-0000-000086020000}"/>
    <cellStyle name="Comma 7 11 3" xfId="1714" xr:uid="{00000000-0005-0000-0000-00008E020000}"/>
    <cellStyle name="Comma 7 11 4" xfId="1712" xr:uid="{00000000-0005-0000-0000-00008F020000}"/>
    <cellStyle name="Comma 7 11 5" xfId="6267" xr:uid="{00000000-0005-0000-0000-000000020000}"/>
    <cellStyle name="Comma 7 11 6" xfId="6969" xr:uid="{00000000-0005-0000-0000-000085020000}"/>
    <cellStyle name="Comma 7 11 7" xfId="9377" xr:uid="{00000000-0005-0000-0000-000085020000}"/>
    <cellStyle name="Comma 7 12" xfId="1715" xr:uid="{00000000-0005-0000-0000-000090020000}"/>
    <cellStyle name="Comma 7 12 2" xfId="2434" xr:uid="{00000000-0005-0000-0000-000001020000}"/>
    <cellStyle name="Comma 7 12 3" xfId="3597" xr:uid="{00000000-0005-0000-0000-000090020000}"/>
    <cellStyle name="Comma 7 12 4" xfId="6146" xr:uid="{00000000-0005-0000-0000-000001020000}"/>
    <cellStyle name="Comma 7 12 5" xfId="6967" xr:uid="{00000000-0005-0000-0000-000087020000}"/>
    <cellStyle name="Comma 7 12 6" xfId="9375" xr:uid="{00000000-0005-0000-0000-000087020000}"/>
    <cellStyle name="Comma 7 13" xfId="1716" xr:uid="{00000000-0005-0000-0000-000091020000}"/>
    <cellStyle name="Comma 7 13 2" xfId="2164" xr:uid="{00000000-0005-0000-0000-0000FD010000}"/>
    <cellStyle name="Comma 7 13 3" xfId="3614" xr:uid="{00000000-0005-0000-0000-000091020000}"/>
    <cellStyle name="Comma 7 13 4" xfId="7631" xr:uid="{00000000-0005-0000-0000-000088020000}"/>
    <cellStyle name="Comma 7 13 5" xfId="10028" xr:uid="{00000000-0005-0000-0000-000088020000}"/>
    <cellStyle name="Comma 7 14" xfId="1708" xr:uid="{00000000-0005-0000-0000-000092020000}"/>
    <cellStyle name="Comma 7 14 2" xfId="11793" xr:uid="{00000000-0005-0000-0000-00007E020000}"/>
    <cellStyle name="Comma 7 14 3" xfId="11629" xr:uid="{00000000-0005-0000-0000-00007E020000}"/>
    <cellStyle name="Comma 7 15" xfId="3868" xr:uid="{00000000-0005-0000-0000-00006A010000}"/>
    <cellStyle name="Comma 7 16" xfId="5311" xr:uid="{00000000-0005-0000-0000-00008B010000}"/>
    <cellStyle name="Comma 7 17" xfId="4766" xr:uid="{00000000-0005-0000-0000-00009E010000}"/>
    <cellStyle name="Comma 7 18" xfId="6530" xr:uid="{00000000-0005-0000-0000-000081020000}"/>
    <cellStyle name="Comma 7 19" xfId="8951" xr:uid="{00000000-0005-0000-0000-000081020000}"/>
    <cellStyle name="Comma 7 2" xfId="503" xr:uid="{00000000-0005-0000-0000-000093020000}"/>
    <cellStyle name="Comma 7 2 10" xfId="5371" xr:uid="{00000000-0005-0000-0000-00008D010000}"/>
    <cellStyle name="Comma 7 2 11" xfId="4827" xr:uid="{00000000-0005-0000-0000-0000A0010000}"/>
    <cellStyle name="Comma 7 2 12" xfId="6573" xr:uid="{00000000-0005-0000-0000-000089020000}"/>
    <cellStyle name="Comma 7 2 13" xfId="8994" xr:uid="{00000000-0005-0000-0000-000089020000}"/>
    <cellStyle name="Comma 7 2 2" xfId="504" xr:uid="{00000000-0005-0000-0000-000094020000}"/>
    <cellStyle name="Comma 7 2 2 10" xfId="4850" xr:uid="{00000000-0005-0000-0000-0000A1010000}"/>
    <cellStyle name="Comma 7 2 2 11" xfId="6596" xr:uid="{00000000-0005-0000-0000-00008A020000}"/>
    <cellStyle name="Comma 7 2 2 12" xfId="9017" xr:uid="{00000000-0005-0000-0000-00008A020000}"/>
    <cellStyle name="Comma 7 2 2 2" xfId="505" xr:uid="{00000000-0005-0000-0000-000095020000}"/>
    <cellStyle name="Comma 7 2 2 2 10" xfId="6757" xr:uid="{00000000-0005-0000-0000-00008B020000}"/>
    <cellStyle name="Comma 7 2 2 2 11" xfId="9178" xr:uid="{00000000-0005-0000-0000-00008B020000}"/>
    <cellStyle name="Comma 7 2 2 2 2" xfId="1720" xr:uid="{00000000-0005-0000-0000-000096020000}"/>
    <cellStyle name="Comma 7 2 2 2 2 2" xfId="3054" xr:uid="{00000000-0005-0000-0000-000006020000}"/>
    <cellStyle name="Comma 7 2 2 2 2 2 2" xfId="8371" xr:uid="{00000000-0005-0000-0000-00008D020000}"/>
    <cellStyle name="Comma 7 2 2 2 2 2 3" xfId="10768" xr:uid="{00000000-0005-0000-0000-00008D020000}"/>
    <cellStyle name="Comma 7 2 2 2 2 3" xfId="2679" xr:uid="{00000000-0005-0000-0000-000005020000}"/>
    <cellStyle name="Comma 7 2 2 2 2 3 2" xfId="7897" xr:uid="{00000000-0005-0000-0000-00008E020000}"/>
    <cellStyle name="Comma 7 2 2 2 2 3 3" xfId="10294" xr:uid="{00000000-0005-0000-0000-00008E020000}"/>
    <cellStyle name="Comma 7 2 2 2 2 3 4" xfId="11982" xr:uid="{00000000-0005-0000-0000-000039020000}"/>
    <cellStyle name="Comma 7 2 2 2 2 4" xfId="3674" xr:uid="{00000000-0005-0000-0000-000096020000}"/>
    <cellStyle name="Comma 7 2 2 2 2 4 2" xfId="11740" xr:uid="{00000000-0005-0000-0000-000082020000}"/>
    <cellStyle name="Comma 7 2 2 2 2 5" xfId="4263" xr:uid="{00000000-0005-0000-0000-000005020000}"/>
    <cellStyle name="Comma 7 2 2 2 2 6" xfId="5789" xr:uid="{00000000-0005-0000-0000-000090010000}"/>
    <cellStyle name="Comma 7 2 2 2 2 7" xfId="6972" xr:uid="{00000000-0005-0000-0000-00008C020000}"/>
    <cellStyle name="Comma 7 2 2 2 2 8" xfId="9380" xr:uid="{00000000-0005-0000-0000-00008C020000}"/>
    <cellStyle name="Comma 7 2 2 2 3" xfId="1721" xr:uid="{00000000-0005-0000-0000-000097020000}"/>
    <cellStyle name="Comma 7 2 2 2 3 2" xfId="3055" xr:uid="{00000000-0005-0000-0000-000007020000}"/>
    <cellStyle name="Comma 7 2 2 2 3 2 2" xfId="11443" xr:uid="{00000000-0005-0000-0000-000077020000}"/>
    <cellStyle name="Comma 7 2 2 2 3 3" xfId="3648" xr:uid="{00000000-0005-0000-0000-000097020000}"/>
    <cellStyle name="Comma 7 2 2 2 3 3 2" xfId="11755" xr:uid="{00000000-0005-0000-0000-000085020000}"/>
    <cellStyle name="Comma 7 2 2 2 3 4" xfId="4408" xr:uid="{00000000-0005-0000-0000-000007020000}"/>
    <cellStyle name="Comma 7 2 2 2 3 5" xfId="5754" xr:uid="{00000000-0005-0000-0000-000091010000}"/>
    <cellStyle name="Comma 7 2 2 2 3 6" xfId="8372" xr:uid="{00000000-0005-0000-0000-00008F020000}"/>
    <cellStyle name="Comma 7 2 2 2 3 7" xfId="10769" xr:uid="{00000000-0005-0000-0000-00008F020000}"/>
    <cellStyle name="Comma 7 2 2 2 4" xfId="1719" xr:uid="{00000000-0005-0000-0000-000098020000}"/>
    <cellStyle name="Comma 7 2 2 2 4 2" xfId="3053" xr:uid="{00000000-0005-0000-0000-000008020000}"/>
    <cellStyle name="Comma 7 2 2 2 4 3" xfId="3707" xr:uid="{00000000-0005-0000-0000-000098020000}"/>
    <cellStyle name="Comma 7 2 2 2 4 4" xfId="8370" xr:uid="{00000000-0005-0000-0000-000090020000}"/>
    <cellStyle name="Comma 7 2 2 2 4 5" xfId="10767" xr:uid="{00000000-0005-0000-0000-000090020000}"/>
    <cellStyle name="Comma 7 2 2 2 5" xfId="2648" xr:uid="{00000000-0005-0000-0000-000009020000}"/>
    <cellStyle name="Comma 7 2 2 2 5 2" xfId="7854" xr:uid="{00000000-0005-0000-0000-000091020000}"/>
    <cellStyle name="Comma 7 2 2 2 5 3" xfId="10251" xr:uid="{00000000-0005-0000-0000-000091020000}"/>
    <cellStyle name="Comma 7 2 2 2 6" xfId="2283" xr:uid="{00000000-0005-0000-0000-000004020000}"/>
    <cellStyle name="Comma 7 2 2 2 6 2" xfId="11599" xr:uid="{00000000-0005-0000-0000-000081020000}"/>
    <cellStyle name="Comma 7 2 2 2 7" xfId="3822" xr:uid="{00000000-0005-0000-0000-00006D010000}"/>
    <cellStyle name="Comma 7 2 2 2 8" xfId="5532" xr:uid="{00000000-0005-0000-0000-00008F010000}"/>
    <cellStyle name="Comma 7 2 2 2 9" xfId="5051" xr:uid="{00000000-0005-0000-0000-0000A2010000}"/>
    <cellStyle name="Comma 7 2 2 3" xfId="506" xr:uid="{00000000-0005-0000-0000-000099020000}"/>
    <cellStyle name="Comma 7 2 2 3 2" xfId="1723" xr:uid="{00000000-0005-0000-0000-00009A020000}"/>
    <cellStyle name="Comma 7 2 2 3 2 2" xfId="3056" xr:uid="{00000000-0005-0000-0000-00000B020000}"/>
    <cellStyle name="Comma 7 2 2 3 2 2 2" xfId="11862" xr:uid="{00000000-0005-0000-0000-00008B020000}"/>
    <cellStyle name="Comma 7 2 2 3 2 3" xfId="3661" xr:uid="{00000000-0005-0000-0000-00009A020000}"/>
    <cellStyle name="Comma 7 2 2 3 2 3 2" xfId="11741" xr:uid="{00000000-0005-0000-0000-00008A020000}"/>
    <cellStyle name="Comma 7 2 2 3 2 4" xfId="8373" xr:uid="{00000000-0005-0000-0000-000093020000}"/>
    <cellStyle name="Comma 7 2 2 3 2 5" xfId="10770" xr:uid="{00000000-0005-0000-0000-000093020000}"/>
    <cellStyle name="Comma 7 2 2 3 3" xfId="1724" xr:uid="{00000000-0005-0000-0000-00009B020000}"/>
    <cellStyle name="Comma 7 2 2 3 3 2" xfId="2678" xr:uid="{00000000-0005-0000-0000-00000C020000}"/>
    <cellStyle name="Comma 7 2 2 3 3 3" xfId="3609" xr:uid="{00000000-0005-0000-0000-00009B020000}"/>
    <cellStyle name="Comma 7 2 2 3 3 4" xfId="7896" xr:uid="{00000000-0005-0000-0000-000094020000}"/>
    <cellStyle name="Comma 7 2 2 3 3 5" xfId="10293" xr:uid="{00000000-0005-0000-0000-000094020000}"/>
    <cellStyle name="Comma 7 2 2 3 4" xfId="1722" xr:uid="{00000000-0005-0000-0000-00009C020000}"/>
    <cellStyle name="Comma 7 2 2 3 4 2" xfId="4654" xr:uid="{00000000-0005-0000-0000-00000A020000}"/>
    <cellStyle name="Comma 7 2 2 3 5" xfId="4129" xr:uid="{00000000-0005-0000-0000-00000A020000}"/>
    <cellStyle name="Comma 7 2 2 3 6" xfId="5788" xr:uid="{00000000-0005-0000-0000-000092010000}"/>
    <cellStyle name="Comma 7 2 2 3 7" xfId="6973" xr:uid="{00000000-0005-0000-0000-000092020000}"/>
    <cellStyle name="Comma 7 2 2 3 8" xfId="9381" xr:uid="{00000000-0005-0000-0000-000092020000}"/>
    <cellStyle name="Comma 7 2 2 4" xfId="1725" xr:uid="{00000000-0005-0000-0000-00009D020000}"/>
    <cellStyle name="Comma 7 2 2 4 2" xfId="3057" xr:uid="{00000000-0005-0000-0000-00000D020000}"/>
    <cellStyle name="Comma 7 2 2 4 2 2" xfId="8374" xr:uid="{00000000-0005-0000-0000-000096020000}"/>
    <cellStyle name="Comma 7 2 2 4 2 3" xfId="10771" xr:uid="{00000000-0005-0000-0000-000096020000}"/>
    <cellStyle name="Comma 7 2 2 4 3" xfId="3680" xr:uid="{00000000-0005-0000-0000-00009D020000}"/>
    <cellStyle name="Comma 7 2 2 4 3 2" xfId="11774" xr:uid="{00000000-0005-0000-0000-00008D020000}"/>
    <cellStyle name="Comma 7 2 2 4 4" xfId="4409" xr:uid="{00000000-0005-0000-0000-00000D020000}"/>
    <cellStyle name="Comma 7 2 2 4 5" xfId="5669" xr:uid="{00000000-0005-0000-0000-000093010000}"/>
    <cellStyle name="Comma 7 2 2 4 6" xfId="6971" xr:uid="{00000000-0005-0000-0000-000095020000}"/>
    <cellStyle name="Comma 7 2 2 4 7" xfId="9379" xr:uid="{00000000-0005-0000-0000-000095020000}"/>
    <cellStyle name="Comma 7 2 2 5" xfId="1726" xr:uid="{00000000-0005-0000-0000-00009E020000}"/>
    <cellStyle name="Comma 7 2 2 5 2" xfId="2875" xr:uid="{00000000-0005-0000-0000-00000E020000}"/>
    <cellStyle name="Comma 7 2 2 5 3" xfId="3664" xr:uid="{00000000-0005-0000-0000-00009E020000}"/>
    <cellStyle name="Comma 7 2 2 5 4" xfId="8181" xr:uid="{00000000-0005-0000-0000-000097020000}"/>
    <cellStyle name="Comma 7 2 2 5 5" xfId="10578" xr:uid="{00000000-0005-0000-0000-000097020000}"/>
    <cellStyle name="Comma 7 2 2 6" xfId="1718" xr:uid="{00000000-0005-0000-0000-00009F020000}"/>
    <cellStyle name="Comma 7 2 2 6 2" xfId="2553" xr:uid="{00000000-0005-0000-0000-00000F020000}"/>
    <cellStyle name="Comma 7 2 2 6 3" xfId="2054" xr:uid="{00000000-0005-0000-0000-00009F020000}"/>
    <cellStyle name="Comma 7 2 2 6 4" xfId="7751" xr:uid="{00000000-0005-0000-0000-000098020000}"/>
    <cellStyle name="Comma 7 2 2 6 5" xfId="10148" xr:uid="{00000000-0005-0000-0000-000098020000}"/>
    <cellStyle name="Comma 7 2 2 7" xfId="2247" xr:uid="{00000000-0005-0000-0000-000003020000}"/>
    <cellStyle name="Comma 7 2 2 8" xfId="3870" xr:uid="{00000000-0005-0000-0000-00006C010000}"/>
    <cellStyle name="Comma 7 2 2 9" xfId="5431" xr:uid="{00000000-0005-0000-0000-00008E010000}"/>
    <cellStyle name="Comma 7 2 3" xfId="507" xr:uid="{00000000-0005-0000-0000-0000A0020000}"/>
    <cellStyle name="Comma 7 2 3 10" xfId="6595" xr:uid="{00000000-0005-0000-0000-000099020000}"/>
    <cellStyle name="Comma 7 2 3 11" xfId="9016" xr:uid="{00000000-0005-0000-0000-000099020000}"/>
    <cellStyle name="Comma 7 2 3 2" xfId="1728" xr:uid="{00000000-0005-0000-0000-0000A1020000}"/>
    <cellStyle name="Comma 7 2 3 2 2" xfId="3059" xr:uid="{00000000-0005-0000-0000-000012020000}"/>
    <cellStyle name="Comma 7 2 3 2 2 2" xfId="6483" xr:uid="{00000000-0005-0000-0000-000084020000}"/>
    <cellStyle name="Comma 7 2 3 2 2 2 2" xfId="11445" xr:uid="{00000000-0005-0000-0000-000084020000}"/>
    <cellStyle name="Comma 7 2 3 2 2 3" xfId="8376" xr:uid="{00000000-0005-0000-0000-00009B020000}"/>
    <cellStyle name="Comma 7 2 3 2 2 4" xfId="10773" xr:uid="{00000000-0005-0000-0000-00009B020000}"/>
    <cellStyle name="Comma 7 2 3 2 2 5" xfId="11342" xr:uid="{00000000-0005-0000-0000-0000DE2C0000}"/>
    <cellStyle name="Comma 7 2 3 2 3" xfId="2680" xr:uid="{00000000-0005-0000-0000-000011020000}"/>
    <cellStyle name="Comma 7 2 3 2 3 2" xfId="7898" xr:uid="{00000000-0005-0000-0000-00009C020000}"/>
    <cellStyle name="Comma 7 2 3 2 3 3" xfId="10295" xr:uid="{00000000-0005-0000-0000-00009C020000}"/>
    <cellStyle name="Comma 7 2 3 2 3 4" xfId="11983" xr:uid="{00000000-0005-0000-0000-000042020000}"/>
    <cellStyle name="Comma 7 2 3 2 4" xfId="3572" xr:uid="{00000000-0005-0000-0000-0000A1020000}"/>
    <cellStyle name="Comma 7 2 3 2 5" xfId="4264" xr:uid="{00000000-0005-0000-0000-000011020000}"/>
    <cellStyle name="Comma 7 2 3 2 6" xfId="5790" xr:uid="{00000000-0005-0000-0000-000095010000}"/>
    <cellStyle name="Comma 7 2 3 2 7" xfId="5052" xr:uid="{00000000-0005-0000-0000-0000A4010000}"/>
    <cellStyle name="Comma 7 2 3 2 8" xfId="6974" xr:uid="{00000000-0005-0000-0000-00009A020000}"/>
    <cellStyle name="Comma 7 2 3 2 9" xfId="9382" xr:uid="{00000000-0005-0000-0000-00009A020000}"/>
    <cellStyle name="Comma 7 2 3 3" xfId="1729" xr:uid="{00000000-0005-0000-0000-0000A2020000}"/>
    <cellStyle name="Comma 7 2 3 3 2" xfId="3060" xr:uid="{00000000-0005-0000-0000-000013020000}"/>
    <cellStyle name="Comma 7 2 3 3 2 2" xfId="11446" xr:uid="{00000000-0005-0000-0000-000087020000}"/>
    <cellStyle name="Comma 7 2 3 3 3" xfId="3565" xr:uid="{00000000-0005-0000-0000-0000A2020000}"/>
    <cellStyle name="Comma 7 2 3 3 4" xfId="4410" xr:uid="{00000000-0005-0000-0000-000013020000}"/>
    <cellStyle name="Comma 7 2 3 3 5" xfId="5703" xr:uid="{00000000-0005-0000-0000-000096010000}"/>
    <cellStyle name="Comma 7 2 3 3 6" xfId="8377" xr:uid="{00000000-0005-0000-0000-00009D020000}"/>
    <cellStyle name="Comma 7 2 3 3 7" xfId="10774" xr:uid="{00000000-0005-0000-0000-00009D020000}"/>
    <cellStyle name="Comma 7 2 3 4" xfId="1727" xr:uid="{00000000-0005-0000-0000-0000A3020000}"/>
    <cellStyle name="Comma 7 2 3 4 2" xfId="3058" xr:uid="{00000000-0005-0000-0000-000014020000}"/>
    <cellStyle name="Comma 7 2 3 4 2 2" xfId="11444" xr:uid="{00000000-0005-0000-0000-000089020000}"/>
    <cellStyle name="Comma 7 2 3 4 3" xfId="3601" xr:uid="{00000000-0005-0000-0000-0000A3020000}"/>
    <cellStyle name="Comma 7 2 3 4 3 2" xfId="11767" xr:uid="{00000000-0005-0000-0000-000098020000}"/>
    <cellStyle name="Comma 7 2 3 4 4" xfId="8375" xr:uid="{00000000-0005-0000-0000-00009E020000}"/>
    <cellStyle name="Comma 7 2 3 4 5" xfId="10772" xr:uid="{00000000-0005-0000-0000-00009E020000}"/>
    <cellStyle name="Comma 7 2 3 5" xfId="2596" xr:uid="{00000000-0005-0000-0000-000015020000}"/>
    <cellStyle name="Comma 7 2 3 5 2" xfId="7794" xr:uid="{00000000-0005-0000-0000-00009F020000}"/>
    <cellStyle name="Comma 7 2 3 5 3" xfId="10191" xr:uid="{00000000-0005-0000-0000-00009F020000}"/>
    <cellStyle name="Comma 7 2 3 6" xfId="2282" xr:uid="{00000000-0005-0000-0000-000010020000}"/>
    <cellStyle name="Comma 7 2 3 7" xfId="3821" xr:uid="{00000000-0005-0000-0000-00006E010000}"/>
    <cellStyle name="Comma 7 2 3 8" xfId="5472" xr:uid="{00000000-0005-0000-0000-000094010000}"/>
    <cellStyle name="Comma 7 2 3 9" xfId="4849" xr:uid="{00000000-0005-0000-0000-0000A3010000}"/>
    <cellStyle name="Comma 7 2 4" xfId="508" xr:uid="{00000000-0005-0000-0000-0000A4020000}"/>
    <cellStyle name="Comma 7 2 4 2" xfId="1731" xr:uid="{00000000-0005-0000-0000-0000A5020000}"/>
    <cellStyle name="Comma 7 2 4 2 2" xfId="3061" xr:uid="{00000000-0005-0000-0000-000017020000}"/>
    <cellStyle name="Comma 7 2 4 2 2 2" xfId="8378" xr:uid="{00000000-0005-0000-0000-0000A2020000}"/>
    <cellStyle name="Comma 7 2 4 2 2 3" xfId="10775" xr:uid="{00000000-0005-0000-0000-0000A2020000}"/>
    <cellStyle name="Comma 7 2 4 2 2 4" xfId="11984" xr:uid="{00000000-0005-0000-0000-000047020000}"/>
    <cellStyle name="Comma 7 2 4 2 3" xfId="3578" xr:uid="{00000000-0005-0000-0000-0000A5020000}"/>
    <cellStyle name="Comma 7 2 4 2 4" xfId="6359" xr:uid="{00000000-0005-0000-0000-000017020000}"/>
    <cellStyle name="Comma 7 2 4 2 5" xfId="6975" xr:uid="{00000000-0005-0000-0000-0000A1020000}"/>
    <cellStyle name="Comma 7 2 4 2 6" xfId="9383" xr:uid="{00000000-0005-0000-0000-0000A1020000}"/>
    <cellStyle name="Comma 7 2 4 3" xfId="1732" xr:uid="{00000000-0005-0000-0000-0000A6020000}"/>
    <cellStyle name="Comma 7 2 4 3 2" xfId="2677" xr:uid="{00000000-0005-0000-0000-000018020000}"/>
    <cellStyle name="Comma 7 2 4 3 3" xfId="3690" xr:uid="{00000000-0005-0000-0000-0000A6020000}"/>
    <cellStyle name="Comma 7 2 4 3 4" xfId="6163" xr:uid="{00000000-0005-0000-0000-000018020000}"/>
    <cellStyle name="Comma 7 2 4 3 5" xfId="7895" xr:uid="{00000000-0005-0000-0000-0000A3020000}"/>
    <cellStyle name="Comma 7 2 4 3 6" xfId="10292" xr:uid="{00000000-0005-0000-0000-0000A3020000}"/>
    <cellStyle name="Comma 7 2 4 4" xfId="1730" xr:uid="{00000000-0005-0000-0000-0000A7020000}"/>
    <cellStyle name="Comma 7 2 4 4 2" xfId="4677" xr:uid="{00000000-0005-0000-0000-000016020000}"/>
    <cellStyle name="Comma 7 2 4 5" xfId="4128" xr:uid="{00000000-0005-0000-0000-000016020000}"/>
    <cellStyle name="Comma 7 2 4 5 2" xfId="11800" xr:uid="{00000000-0005-0000-0000-0000A0020000}"/>
    <cellStyle name="Comma 7 2 4 6" xfId="5787" xr:uid="{00000000-0005-0000-0000-000097010000}"/>
    <cellStyle name="Comma 7 2 4 7" xfId="5050" xr:uid="{00000000-0005-0000-0000-0000A5010000}"/>
    <cellStyle name="Comma 7 2 4 8" xfId="6756" xr:uid="{00000000-0005-0000-0000-0000A0020000}"/>
    <cellStyle name="Comma 7 2 4 9" xfId="9177" xr:uid="{00000000-0005-0000-0000-0000A0020000}"/>
    <cellStyle name="Comma 7 2 5" xfId="509" xr:uid="{00000000-0005-0000-0000-0000A8020000}"/>
    <cellStyle name="Comma 7 2 5 2" xfId="1734" xr:uid="{00000000-0005-0000-0000-0000A9020000}"/>
    <cellStyle name="Comma 7 2 5 2 2" xfId="6478" xr:uid="{00000000-0005-0000-0000-000090020000}"/>
    <cellStyle name="Comma 7 2 5 2 3" xfId="8379" xr:uid="{00000000-0005-0000-0000-0000A5020000}"/>
    <cellStyle name="Comma 7 2 5 2 4" xfId="10776" xr:uid="{00000000-0005-0000-0000-0000A5020000}"/>
    <cellStyle name="Comma 7 2 5 3" xfId="1735" xr:uid="{00000000-0005-0000-0000-0000AA020000}"/>
    <cellStyle name="Comma 7 2 5 4" xfId="1733" xr:uid="{00000000-0005-0000-0000-0000AB020000}"/>
    <cellStyle name="Comma 7 2 5 5" xfId="4411" xr:uid="{00000000-0005-0000-0000-000019020000}"/>
    <cellStyle name="Comma 7 2 5 6" xfId="5617" xr:uid="{00000000-0005-0000-0000-000098010000}"/>
    <cellStyle name="Comma 7 2 5 7" xfId="6976" xr:uid="{00000000-0005-0000-0000-0000A4020000}"/>
    <cellStyle name="Comma 7 2 5 8" xfId="9384" xr:uid="{00000000-0005-0000-0000-0000A4020000}"/>
    <cellStyle name="Comma 7 2 6" xfId="1736" xr:uid="{00000000-0005-0000-0000-0000AC020000}"/>
    <cellStyle name="Comma 7 2 6 2" xfId="2874" xr:uid="{00000000-0005-0000-0000-00001A020000}"/>
    <cellStyle name="Comma 7 2 6 2 2" xfId="8180" xr:uid="{00000000-0005-0000-0000-0000A7020000}"/>
    <cellStyle name="Comma 7 2 6 2 3" xfId="10577" xr:uid="{00000000-0005-0000-0000-0000A7020000}"/>
    <cellStyle name="Comma 7 2 6 3" xfId="3684" xr:uid="{00000000-0005-0000-0000-0000AC020000}"/>
    <cellStyle name="Comma 7 2 6 4" xfId="6268" xr:uid="{00000000-0005-0000-0000-00001A020000}"/>
    <cellStyle name="Comma 7 2 6 5" xfId="6970" xr:uid="{00000000-0005-0000-0000-0000A6020000}"/>
    <cellStyle name="Comma 7 2 6 6" xfId="9378" xr:uid="{00000000-0005-0000-0000-0000A6020000}"/>
    <cellStyle name="Comma 7 2 7" xfId="1737" xr:uid="{00000000-0005-0000-0000-0000AD020000}"/>
    <cellStyle name="Comma 7 2 7 2" xfId="2493" xr:uid="{00000000-0005-0000-0000-00001B020000}"/>
    <cellStyle name="Comma 7 2 7 3" xfId="3620" xr:uid="{00000000-0005-0000-0000-0000AD020000}"/>
    <cellStyle name="Comma 7 2 7 4" xfId="7691" xr:uid="{00000000-0005-0000-0000-0000A8020000}"/>
    <cellStyle name="Comma 7 2 7 5" xfId="10088" xr:uid="{00000000-0005-0000-0000-0000A8020000}"/>
    <cellStyle name="Comma 7 2 8" xfId="1717" xr:uid="{00000000-0005-0000-0000-0000AE020000}"/>
    <cellStyle name="Comma 7 2 8 2" xfId="2187" xr:uid="{00000000-0005-0000-0000-000002020000}"/>
    <cellStyle name="Comma 7 2 8 3" xfId="3650" xr:uid="{00000000-0005-0000-0000-0000AE020000}"/>
    <cellStyle name="Comma 7 2 9" xfId="3869" xr:uid="{00000000-0005-0000-0000-00006B010000}"/>
    <cellStyle name="Comma 7 3" xfId="510" xr:uid="{00000000-0005-0000-0000-0000AF020000}"/>
    <cellStyle name="Comma 7 3 10" xfId="5348" xr:uid="{00000000-0005-0000-0000-000099010000}"/>
    <cellStyle name="Comma 7 3 11" xfId="4804" xr:uid="{00000000-0005-0000-0000-0000A6010000}"/>
    <cellStyle name="Comma 7 3 12" xfId="6550" xr:uid="{00000000-0005-0000-0000-0000A9020000}"/>
    <cellStyle name="Comma 7 3 13" xfId="8971" xr:uid="{00000000-0005-0000-0000-0000A9020000}"/>
    <cellStyle name="Comma 7 3 2" xfId="511" xr:uid="{00000000-0005-0000-0000-0000B0020000}"/>
    <cellStyle name="Comma 7 3 2 10" xfId="6597" xr:uid="{00000000-0005-0000-0000-0000AA020000}"/>
    <cellStyle name="Comma 7 3 2 11" xfId="9018" xr:uid="{00000000-0005-0000-0000-0000AA020000}"/>
    <cellStyle name="Comma 7 3 2 2" xfId="512" xr:uid="{00000000-0005-0000-0000-0000B1020000}"/>
    <cellStyle name="Comma 7 3 2 2 2" xfId="1741" xr:uid="{00000000-0005-0000-0000-0000B2020000}"/>
    <cellStyle name="Comma 7 3 2 2 2 2" xfId="3063" xr:uid="{00000000-0005-0000-0000-00001F020000}"/>
    <cellStyle name="Comma 7 3 2 2 2 2 2" xfId="11448" xr:uid="{00000000-0005-0000-0000-000098020000}"/>
    <cellStyle name="Comma 7 3 2 2 2 2 3" xfId="11985" xr:uid="{00000000-0005-0000-0000-000050020000}"/>
    <cellStyle name="Comma 7 3 2 2 2 3" xfId="3677" xr:uid="{00000000-0005-0000-0000-0000B2020000}"/>
    <cellStyle name="Comma 7 3 2 2 2 3 2" xfId="11738" xr:uid="{00000000-0005-0000-0000-0000AA020000}"/>
    <cellStyle name="Comma 7 3 2 2 2 4" xfId="8381" xr:uid="{00000000-0005-0000-0000-0000AC020000}"/>
    <cellStyle name="Comma 7 3 2 2 2 5" xfId="10778" xr:uid="{00000000-0005-0000-0000-0000AC020000}"/>
    <cellStyle name="Comma 7 3 2 2 3" xfId="1742" xr:uid="{00000000-0005-0000-0000-0000B3020000}"/>
    <cellStyle name="Comma 7 3 2 2 3 2" xfId="4631" xr:uid="{00000000-0005-0000-0000-00001E020000}"/>
    <cellStyle name="Comma 7 3 2 2 3 3" xfId="7900" xr:uid="{00000000-0005-0000-0000-0000AD020000}"/>
    <cellStyle name="Comma 7 3 2 2 3 4" xfId="10297" xr:uid="{00000000-0005-0000-0000-0000AD020000}"/>
    <cellStyle name="Comma 7 3 2 2 4" xfId="1740" xr:uid="{00000000-0005-0000-0000-0000B4020000}"/>
    <cellStyle name="Comma 7 3 2 2 4 2" xfId="12110" xr:uid="{00000000-0005-0000-0000-000052020000}"/>
    <cellStyle name="Comma 7 3 2 2 4 3" xfId="12029" xr:uid="{00000000-0005-0000-0000-000052020000}"/>
    <cellStyle name="Comma 7 3 2 2 5" xfId="4266" xr:uid="{00000000-0005-0000-0000-00001E020000}"/>
    <cellStyle name="Comma 7 3 2 2 6" xfId="5792" xr:uid="{00000000-0005-0000-0000-00009B010000}"/>
    <cellStyle name="Comma 7 3 2 2 7" xfId="5054" xr:uid="{00000000-0005-0000-0000-0000A8010000}"/>
    <cellStyle name="Comma 7 3 2 2 8" xfId="6979" xr:uid="{00000000-0005-0000-0000-0000AB020000}"/>
    <cellStyle name="Comma 7 3 2 2 9" xfId="9387" xr:uid="{00000000-0005-0000-0000-0000AB020000}"/>
    <cellStyle name="Comma 7 3 2 3" xfId="1743" xr:uid="{00000000-0005-0000-0000-0000B5020000}"/>
    <cellStyle name="Comma 7 3 2 3 2" xfId="3064" xr:uid="{00000000-0005-0000-0000-000020020000}"/>
    <cellStyle name="Comma 7 3 2 3 2 2" xfId="8382" xr:uid="{00000000-0005-0000-0000-0000AF020000}"/>
    <cellStyle name="Comma 7 3 2 3 2 3" xfId="10779" xr:uid="{00000000-0005-0000-0000-0000AF020000}"/>
    <cellStyle name="Comma 7 3 2 3 2 4" xfId="11986" xr:uid="{00000000-0005-0000-0000-000053020000}"/>
    <cellStyle name="Comma 7 3 2 3 3" xfId="3653" xr:uid="{00000000-0005-0000-0000-0000B5020000}"/>
    <cellStyle name="Comma 7 3 2 3 4" xfId="4412" xr:uid="{00000000-0005-0000-0000-000020020000}"/>
    <cellStyle name="Comma 7 3 2 3 5" xfId="5654" xr:uid="{00000000-0005-0000-0000-00009C010000}"/>
    <cellStyle name="Comma 7 3 2 3 6" xfId="6978" xr:uid="{00000000-0005-0000-0000-0000AE020000}"/>
    <cellStyle name="Comma 7 3 2 3 7" xfId="9386" xr:uid="{00000000-0005-0000-0000-0000AE020000}"/>
    <cellStyle name="Comma 7 3 2 4" xfId="1744" xr:uid="{00000000-0005-0000-0000-0000B6020000}"/>
    <cellStyle name="Comma 7 3 2 4 2" xfId="3062" xr:uid="{00000000-0005-0000-0000-000021020000}"/>
    <cellStyle name="Comma 7 3 2 4 2 2" xfId="11447" xr:uid="{00000000-0005-0000-0000-00009D020000}"/>
    <cellStyle name="Comma 7 3 2 4 3" xfId="3646" xr:uid="{00000000-0005-0000-0000-0000B6020000}"/>
    <cellStyle name="Comma 7 3 2 4 3 2" xfId="11779" xr:uid="{00000000-0005-0000-0000-0000AF020000}"/>
    <cellStyle name="Comma 7 3 2 4 4" xfId="8380" xr:uid="{00000000-0005-0000-0000-0000B0020000}"/>
    <cellStyle name="Comma 7 3 2 4 5" xfId="10777" xr:uid="{00000000-0005-0000-0000-0000B0020000}"/>
    <cellStyle name="Comma 7 3 2 5" xfId="1739" xr:uid="{00000000-0005-0000-0000-0000B7020000}"/>
    <cellStyle name="Comma 7 3 2 5 2" xfId="2530" xr:uid="{00000000-0005-0000-0000-000022020000}"/>
    <cellStyle name="Comma 7 3 2 5 3" xfId="3605" xr:uid="{00000000-0005-0000-0000-0000B7020000}"/>
    <cellStyle name="Comma 7 3 2 5 4" xfId="7728" xr:uid="{00000000-0005-0000-0000-0000B1020000}"/>
    <cellStyle name="Comma 7 3 2 5 5" xfId="10125" xr:uid="{00000000-0005-0000-0000-0000B1020000}"/>
    <cellStyle name="Comma 7 3 2 6" xfId="2284" xr:uid="{00000000-0005-0000-0000-00001D020000}"/>
    <cellStyle name="Comma 7 3 2 7" xfId="3823" xr:uid="{00000000-0005-0000-0000-000070010000}"/>
    <cellStyle name="Comma 7 3 2 8" xfId="5408" xr:uid="{00000000-0005-0000-0000-00009A010000}"/>
    <cellStyle name="Comma 7 3 2 9" xfId="4851" xr:uid="{00000000-0005-0000-0000-0000A7010000}"/>
    <cellStyle name="Comma 7 3 3" xfId="513" xr:uid="{00000000-0005-0000-0000-0000B8020000}"/>
    <cellStyle name="Comma 7 3 3 10" xfId="9179" xr:uid="{00000000-0005-0000-0000-0000B2020000}"/>
    <cellStyle name="Comma 7 3 3 2" xfId="1746" xr:uid="{00000000-0005-0000-0000-0000B9020000}"/>
    <cellStyle name="Comma 7 3 3 2 2" xfId="3066" xr:uid="{00000000-0005-0000-0000-000025020000}"/>
    <cellStyle name="Comma 7 3 3 2 2 2" xfId="8384" xr:uid="{00000000-0005-0000-0000-0000B4020000}"/>
    <cellStyle name="Comma 7 3 3 2 2 2 2" xfId="11864" xr:uid="{00000000-0005-0000-0000-0000B5020000}"/>
    <cellStyle name="Comma 7 3 3 2 2 3" xfId="10781" xr:uid="{00000000-0005-0000-0000-0000B4020000}"/>
    <cellStyle name="Comma 7 3 3 2 3" xfId="2681" xr:uid="{00000000-0005-0000-0000-000024020000}"/>
    <cellStyle name="Comma 7 3 3 2 3 2" xfId="7901" xr:uid="{00000000-0005-0000-0000-0000B5020000}"/>
    <cellStyle name="Comma 7 3 3 2 3 3" xfId="10298" xr:uid="{00000000-0005-0000-0000-0000B5020000}"/>
    <cellStyle name="Comma 7 3 3 2 3 4" xfId="11987" xr:uid="{00000000-0005-0000-0000-000057020000}"/>
    <cellStyle name="Comma 7 3 3 2 4" xfId="2064" xr:uid="{00000000-0005-0000-0000-0000B9020000}"/>
    <cellStyle name="Comma 7 3 3 2 5" xfId="4267" xr:uid="{00000000-0005-0000-0000-000024020000}"/>
    <cellStyle name="Comma 7 3 3 2 6" xfId="5793" xr:uid="{00000000-0005-0000-0000-00009E010000}"/>
    <cellStyle name="Comma 7 3 3 2 7" xfId="6980" xr:uid="{00000000-0005-0000-0000-0000B3020000}"/>
    <cellStyle name="Comma 7 3 3 2 8" xfId="9388" xr:uid="{00000000-0005-0000-0000-0000B3020000}"/>
    <cellStyle name="Comma 7 3 3 3" xfId="1747" xr:uid="{00000000-0005-0000-0000-0000BA020000}"/>
    <cellStyle name="Comma 7 3 3 3 2" xfId="3067" xr:uid="{00000000-0005-0000-0000-000026020000}"/>
    <cellStyle name="Comma 7 3 3 3 2 2" xfId="11449" xr:uid="{00000000-0005-0000-0000-0000A4020000}"/>
    <cellStyle name="Comma 7 3 3 3 3" xfId="3660" xr:uid="{00000000-0005-0000-0000-0000BA020000}"/>
    <cellStyle name="Comma 7 3 3 3 4" xfId="4413" xr:uid="{00000000-0005-0000-0000-000026020000}"/>
    <cellStyle name="Comma 7 3 3 3 5" xfId="5739" xr:uid="{00000000-0005-0000-0000-00009F010000}"/>
    <cellStyle name="Comma 7 3 3 3 6" xfId="8385" xr:uid="{00000000-0005-0000-0000-0000B6020000}"/>
    <cellStyle name="Comma 7 3 3 3 7" xfId="10782" xr:uid="{00000000-0005-0000-0000-0000B6020000}"/>
    <cellStyle name="Comma 7 3 3 4" xfId="1745" xr:uid="{00000000-0005-0000-0000-0000BB020000}"/>
    <cellStyle name="Comma 7 3 3 4 2" xfId="3065" xr:uid="{00000000-0005-0000-0000-000027020000}"/>
    <cellStyle name="Comma 7 3 3 4 2 2" xfId="11863" xr:uid="{00000000-0005-0000-0000-0000BA020000}"/>
    <cellStyle name="Comma 7 3 3 4 3" xfId="3573" xr:uid="{00000000-0005-0000-0000-0000BB020000}"/>
    <cellStyle name="Comma 7 3 3 4 3 2" xfId="11760" xr:uid="{00000000-0005-0000-0000-0000B9020000}"/>
    <cellStyle name="Comma 7 3 3 4 4" xfId="8383" xr:uid="{00000000-0005-0000-0000-0000B7020000}"/>
    <cellStyle name="Comma 7 3 3 4 5" xfId="10780" xr:uid="{00000000-0005-0000-0000-0000B7020000}"/>
    <cellStyle name="Comma 7 3 3 5" xfId="2633" xr:uid="{00000000-0005-0000-0000-000028020000}"/>
    <cellStyle name="Comma 7 3 3 5 2" xfId="7831" xr:uid="{00000000-0005-0000-0000-0000B8020000}"/>
    <cellStyle name="Comma 7 3 3 5 3" xfId="10228" xr:uid="{00000000-0005-0000-0000-0000B8020000}"/>
    <cellStyle name="Comma 7 3 3 6" xfId="4130" xr:uid="{00000000-0005-0000-0000-000023020000}"/>
    <cellStyle name="Comma 7 3 3 7" xfId="5509" xr:uid="{00000000-0005-0000-0000-00009D010000}"/>
    <cellStyle name="Comma 7 3 3 8" xfId="5053" xr:uid="{00000000-0005-0000-0000-0000A9010000}"/>
    <cellStyle name="Comma 7 3 3 9" xfId="6758" xr:uid="{00000000-0005-0000-0000-0000B2020000}"/>
    <cellStyle name="Comma 7 3 4" xfId="514" xr:uid="{00000000-0005-0000-0000-0000BC020000}"/>
    <cellStyle name="Comma 7 3 4 2" xfId="1749" xr:uid="{00000000-0005-0000-0000-0000BD020000}"/>
    <cellStyle name="Comma 7 3 4 2 2" xfId="3068" xr:uid="{00000000-0005-0000-0000-00002A020000}"/>
    <cellStyle name="Comma 7 3 4 2 2 2" xfId="11865" xr:uid="{00000000-0005-0000-0000-0000BE020000}"/>
    <cellStyle name="Comma 7 3 4 2 3" xfId="3567" xr:uid="{00000000-0005-0000-0000-0000BD020000}"/>
    <cellStyle name="Comma 7 3 4 2 3 2" xfId="11739" xr:uid="{00000000-0005-0000-0000-0000BD020000}"/>
    <cellStyle name="Comma 7 3 4 2 4" xfId="8386" xr:uid="{00000000-0005-0000-0000-0000BA020000}"/>
    <cellStyle name="Comma 7 3 4 2 5" xfId="10783" xr:uid="{00000000-0005-0000-0000-0000BA020000}"/>
    <cellStyle name="Comma 7 3 4 3" xfId="1750" xr:uid="{00000000-0005-0000-0000-0000BE020000}"/>
    <cellStyle name="Comma 7 3 4 3 2" xfId="3815" xr:uid="{00000000-0005-0000-0000-000029020000}"/>
    <cellStyle name="Comma 7 3 4 3 3" xfId="7899" xr:uid="{00000000-0005-0000-0000-0000BB020000}"/>
    <cellStyle name="Comma 7 3 4 3 4" xfId="10296" xr:uid="{00000000-0005-0000-0000-0000BB020000}"/>
    <cellStyle name="Comma 7 3 4 4" xfId="1748" xr:uid="{00000000-0005-0000-0000-0000BF020000}"/>
    <cellStyle name="Comma 7 3 4 5" xfId="4265" xr:uid="{00000000-0005-0000-0000-000029020000}"/>
    <cellStyle name="Comma 7 3 4 6" xfId="5791" xr:uid="{00000000-0005-0000-0000-0000A0010000}"/>
    <cellStyle name="Comma 7 3 4 7" xfId="6981" xr:uid="{00000000-0005-0000-0000-0000B9020000}"/>
    <cellStyle name="Comma 7 3 4 8" xfId="9389" xr:uid="{00000000-0005-0000-0000-0000B9020000}"/>
    <cellStyle name="Comma 7 3 5" xfId="1751" xr:uid="{00000000-0005-0000-0000-0000C0020000}"/>
    <cellStyle name="Comma 7 3 5 2" xfId="3069" xr:uid="{00000000-0005-0000-0000-00002B020000}"/>
    <cellStyle name="Comma 7 3 5 2 2" xfId="8387" xr:uid="{00000000-0005-0000-0000-0000BD020000}"/>
    <cellStyle name="Comma 7 3 5 2 3" xfId="10784" xr:uid="{00000000-0005-0000-0000-0000BD020000}"/>
    <cellStyle name="Comma 7 3 5 3" xfId="3678" xr:uid="{00000000-0005-0000-0000-0000C0020000}"/>
    <cellStyle name="Comma 7 3 5 4" xfId="4414" xr:uid="{00000000-0005-0000-0000-00002B020000}"/>
    <cellStyle name="Comma 7 3 5 5" xfId="5594" xr:uid="{00000000-0005-0000-0000-0000A1010000}"/>
    <cellStyle name="Comma 7 3 5 6" xfId="6977" xr:uid="{00000000-0005-0000-0000-0000BC020000}"/>
    <cellStyle name="Comma 7 3 5 7" xfId="9385" xr:uid="{00000000-0005-0000-0000-0000BC020000}"/>
    <cellStyle name="Comma 7 3 6" xfId="1752" xr:uid="{00000000-0005-0000-0000-0000C1020000}"/>
    <cellStyle name="Comma 7 3 6 2" xfId="2876" xr:uid="{00000000-0005-0000-0000-00002C020000}"/>
    <cellStyle name="Comma 7 3 6 2 2" xfId="11844" xr:uid="{00000000-0005-0000-0000-0000C3020000}"/>
    <cellStyle name="Comma 7 3 6 3" xfId="3584" xr:uid="{00000000-0005-0000-0000-0000C1020000}"/>
    <cellStyle name="Comma 7 3 6 3 2" xfId="11784" xr:uid="{00000000-0005-0000-0000-0000C2020000}"/>
    <cellStyle name="Comma 7 3 6 4" xfId="8182" xr:uid="{00000000-0005-0000-0000-0000BE020000}"/>
    <cellStyle name="Comma 7 3 6 5" xfId="10579" xr:uid="{00000000-0005-0000-0000-0000BE020000}"/>
    <cellStyle name="Comma 7 3 7" xfId="1738" xr:uid="{00000000-0005-0000-0000-0000C2020000}"/>
    <cellStyle name="Comma 7 3 7 2" xfId="2470" xr:uid="{00000000-0005-0000-0000-00002D020000}"/>
    <cellStyle name="Comma 7 3 7 3" xfId="3669" xr:uid="{00000000-0005-0000-0000-0000C2020000}"/>
    <cellStyle name="Comma 7 3 7 4" xfId="7668" xr:uid="{00000000-0005-0000-0000-0000BF020000}"/>
    <cellStyle name="Comma 7 3 7 5" xfId="10065" xr:uid="{00000000-0005-0000-0000-0000BF020000}"/>
    <cellStyle name="Comma 7 3 8" xfId="2224" xr:uid="{00000000-0005-0000-0000-00001C020000}"/>
    <cellStyle name="Comma 7 3 9" xfId="3871" xr:uid="{00000000-0005-0000-0000-00006F010000}"/>
    <cellStyle name="Comma 7 4" xfId="515" xr:uid="{00000000-0005-0000-0000-0000C3020000}"/>
    <cellStyle name="Comma 7 4 10" xfId="4784" xr:uid="{00000000-0005-0000-0000-0000AA010000}"/>
    <cellStyle name="Comma 7 4 11" xfId="6598" xr:uid="{00000000-0005-0000-0000-0000C0020000}"/>
    <cellStyle name="Comma 7 4 12" xfId="9019" xr:uid="{00000000-0005-0000-0000-0000C0020000}"/>
    <cellStyle name="Comma 7 4 2" xfId="516" xr:uid="{00000000-0005-0000-0000-0000C4020000}"/>
    <cellStyle name="Comma 7 4 2 10" xfId="6759" xr:uid="{00000000-0005-0000-0000-0000C1020000}"/>
    <cellStyle name="Comma 7 4 2 11" xfId="9180" xr:uid="{00000000-0005-0000-0000-0000C1020000}"/>
    <cellStyle name="Comma 7 4 2 2" xfId="517" xr:uid="{00000000-0005-0000-0000-0000C5020000}"/>
    <cellStyle name="Comma 7 4 2 2 2" xfId="1756" xr:uid="{00000000-0005-0000-0000-0000C6020000}"/>
    <cellStyle name="Comma 7 4 2 2 2 2" xfId="3071" xr:uid="{00000000-0005-0000-0000-000031020000}"/>
    <cellStyle name="Comma 7 4 2 2 2 2 2" xfId="11451" xr:uid="{00000000-0005-0000-0000-0000B2020000}"/>
    <cellStyle name="Comma 7 4 2 2 2 2 3" xfId="11988" xr:uid="{00000000-0005-0000-0000-000062020000}"/>
    <cellStyle name="Comma 7 4 2 2 2 3" xfId="2074" xr:uid="{00000000-0005-0000-0000-0000C6020000}"/>
    <cellStyle name="Comma 7 4 2 2 2 3 2" xfId="11737" xr:uid="{00000000-0005-0000-0000-0000C8020000}"/>
    <cellStyle name="Comma 7 4 2 2 2 4" xfId="8389" xr:uid="{00000000-0005-0000-0000-0000C3020000}"/>
    <cellStyle name="Comma 7 4 2 2 2 5" xfId="10786" xr:uid="{00000000-0005-0000-0000-0000C3020000}"/>
    <cellStyle name="Comma 7 4 2 2 3" xfId="1757" xr:uid="{00000000-0005-0000-0000-0000C7020000}"/>
    <cellStyle name="Comma 7 4 2 2 3 2" xfId="4653" xr:uid="{00000000-0005-0000-0000-000030020000}"/>
    <cellStyle name="Comma 7 4 2 2 3 3" xfId="7903" xr:uid="{00000000-0005-0000-0000-0000C4020000}"/>
    <cellStyle name="Comma 7 4 2 2 3 4" xfId="10300" xr:uid="{00000000-0005-0000-0000-0000C4020000}"/>
    <cellStyle name="Comma 7 4 2 2 4" xfId="1755" xr:uid="{00000000-0005-0000-0000-0000C8020000}"/>
    <cellStyle name="Comma 7 4 2 2 4 2" xfId="12111" xr:uid="{00000000-0005-0000-0000-000064020000}"/>
    <cellStyle name="Comma 7 4 2 2 4 3" xfId="12030" xr:uid="{00000000-0005-0000-0000-000064020000}"/>
    <cellStyle name="Comma 7 4 2 2 5" xfId="4268" xr:uid="{00000000-0005-0000-0000-000030020000}"/>
    <cellStyle name="Comma 7 4 2 2 6" xfId="5795" xr:uid="{00000000-0005-0000-0000-0000A4010000}"/>
    <cellStyle name="Comma 7 4 2 2 7" xfId="5056" xr:uid="{00000000-0005-0000-0000-0000AC010000}"/>
    <cellStyle name="Comma 7 4 2 2 8" xfId="6984" xr:uid="{00000000-0005-0000-0000-0000C2020000}"/>
    <cellStyle name="Comma 7 4 2 2 9" xfId="9392" xr:uid="{00000000-0005-0000-0000-0000C2020000}"/>
    <cellStyle name="Comma 7 4 2 3" xfId="1758" xr:uid="{00000000-0005-0000-0000-0000C9020000}"/>
    <cellStyle name="Comma 7 4 2 3 2" xfId="3072" xr:uid="{00000000-0005-0000-0000-000032020000}"/>
    <cellStyle name="Comma 7 4 2 3 2 2" xfId="8390" xr:uid="{00000000-0005-0000-0000-0000C6020000}"/>
    <cellStyle name="Comma 7 4 2 3 2 3" xfId="10787" xr:uid="{00000000-0005-0000-0000-0000C6020000}"/>
    <cellStyle name="Comma 7 4 2 3 2 4" xfId="11989" xr:uid="{00000000-0005-0000-0000-000065020000}"/>
    <cellStyle name="Comma 7 4 2 3 3" xfId="3615" xr:uid="{00000000-0005-0000-0000-0000C9020000}"/>
    <cellStyle name="Comma 7 4 2 3 4" xfId="4415" xr:uid="{00000000-0005-0000-0000-000032020000}"/>
    <cellStyle name="Comma 7 4 2 3 5" xfId="5719" xr:uid="{00000000-0005-0000-0000-0000A5010000}"/>
    <cellStyle name="Comma 7 4 2 3 6" xfId="6983" xr:uid="{00000000-0005-0000-0000-0000C5020000}"/>
    <cellStyle name="Comma 7 4 2 3 7" xfId="9391" xr:uid="{00000000-0005-0000-0000-0000C5020000}"/>
    <cellStyle name="Comma 7 4 2 4" xfId="1759" xr:uid="{00000000-0005-0000-0000-0000CA020000}"/>
    <cellStyle name="Comma 7 4 2 4 2" xfId="3070" xr:uid="{00000000-0005-0000-0000-000033020000}"/>
    <cellStyle name="Comma 7 4 2 4 2 2" xfId="11450" xr:uid="{00000000-0005-0000-0000-0000B7020000}"/>
    <cellStyle name="Comma 7 4 2 4 3" xfId="3638" xr:uid="{00000000-0005-0000-0000-0000CA020000}"/>
    <cellStyle name="Comma 7 4 2 4 3 2" xfId="11764" xr:uid="{00000000-0005-0000-0000-0000CD020000}"/>
    <cellStyle name="Comma 7 4 2 4 4" xfId="8388" xr:uid="{00000000-0005-0000-0000-0000C7020000}"/>
    <cellStyle name="Comma 7 4 2 4 5" xfId="10785" xr:uid="{00000000-0005-0000-0000-0000C7020000}"/>
    <cellStyle name="Comma 7 4 2 5" xfId="1754" xr:uid="{00000000-0005-0000-0000-0000CB020000}"/>
    <cellStyle name="Comma 7 4 2 5 2" xfId="2613" xr:uid="{00000000-0005-0000-0000-000034020000}"/>
    <cellStyle name="Comma 7 4 2 5 3" xfId="3673" xr:uid="{00000000-0005-0000-0000-0000CB020000}"/>
    <cellStyle name="Comma 7 4 2 5 4" xfId="7811" xr:uid="{00000000-0005-0000-0000-0000C8020000}"/>
    <cellStyle name="Comma 7 4 2 5 5" xfId="10208" xr:uid="{00000000-0005-0000-0000-0000C8020000}"/>
    <cellStyle name="Comma 7 4 2 6" xfId="2285" xr:uid="{00000000-0005-0000-0000-00002F020000}"/>
    <cellStyle name="Comma 7 4 2 7" xfId="3824" xr:uid="{00000000-0005-0000-0000-000072010000}"/>
    <cellStyle name="Comma 7 4 2 8" xfId="5489" xr:uid="{00000000-0005-0000-0000-0000A3010000}"/>
    <cellStyle name="Comma 7 4 2 9" xfId="4852" xr:uid="{00000000-0005-0000-0000-0000AB010000}"/>
    <cellStyle name="Comma 7 4 3" xfId="518" xr:uid="{00000000-0005-0000-0000-0000CC020000}"/>
    <cellStyle name="Comma 7 4 3 2" xfId="1761" xr:uid="{00000000-0005-0000-0000-0000CD020000}"/>
    <cellStyle name="Comma 7 4 3 2 2" xfId="3073" xr:uid="{00000000-0005-0000-0000-000036020000}"/>
    <cellStyle name="Comma 7 4 3 2 2 2" xfId="11452" xr:uid="{00000000-0005-0000-0000-0000BB020000}"/>
    <cellStyle name="Comma 7 4 3 2 2 3" xfId="11990" xr:uid="{00000000-0005-0000-0000-000069020000}"/>
    <cellStyle name="Comma 7 4 3 2 3" xfId="3666" xr:uid="{00000000-0005-0000-0000-0000CD020000}"/>
    <cellStyle name="Comma 7 4 3 2 4" xfId="8391" xr:uid="{00000000-0005-0000-0000-0000CA020000}"/>
    <cellStyle name="Comma 7 4 3 2 5" xfId="10788" xr:uid="{00000000-0005-0000-0000-0000CA020000}"/>
    <cellStyle name="Comma 7 4 3 3" xfId="1762" xr:uid="{00000000-0005-0000-0000-0000CE020000}"/>
    <cellStyle name="Comma 7 4 3 3 2" xfId="2682" xr:uid="{00000000-0005-0000-0000-000037020000}"/>
    <cellStyle name="Comma 7 4 3 3 3" xfId="3617" xr:uid="{00000000-0005-0000-0000-0000CE020000}"/>
    <cellStyle name="Comma 7 4 3 3 4" xfId="7902" xr:uid="{00000000-0005-0000-0000-0000CB020000}"/>
    <cellStyle name="Comma 7 4 3 3 5" xfId="10299" xr:uid="{00000000-0005-0000-0000-0000CB020000}"/>
    <cellStyle name="Comma 7 4 3 4" xfId="1760" xr:uid="{00000000-0005-0000-0000-0000CF020000}"/>
    <cellStyle name="Comma 7 4 3 4 2" xfId="3816" xr:uid="{00000000-0005-0000-0000-000035020000}"/>
    <cellStyle name="Comma 7 4 3 5" xfId="4131" xr:uid="{00000000-0005-0000-0000-000035020000}"/>
    <cellStyle name="Comma 7 4 3 5 2" xfId="11801" xr:uid="{00000000-0005-0000-0000-0000D5020000}"/>
    <cellStyle name="Comma 7 4 3 6" xfId="5794" xr:uid="{00000000-0005-0000-0000-0000A6010000}"/>
    <cellStyle name="Comma 7 4 3 7" xfId="5055" xr:uid="{00000000-0005-0000-0000-0000AD010000}"/>
    <cellStyle name="Comma 7 4 3 8" xfId="6985" xr:uid="{00000000-0005-0000-0000-0000C9020000}"/>
    <cellStyle name="Comma 7 4 3 9" xfId="9393" xr:uid="{00000000-0005-0000-0000-0000C9020000}"/>
    <cellStyle name="Comma 7 4 4" xfId="519" xr:uid="{00000000-0005-0000-0000-0000D0020000}"/>
    <cellStyle name="Comma 7 4 4 2" xfId="1764" xr:uid="{00000000-0005-0000-0000-0000D1020000}"/>
    <cellStyle name="Comma 7 4 4 2 2" xfId="6453" xr:uid="{00000000-0005-0000-0000-0000BE020000}"/>
    <cellStyle name="Comma 7 4 4 2 3" xfId="8392" xr:uid="{00000000-0005-0000-0000-0000CD020000}"/>
    <cellStyle name="Comma 7 4 4 2 4" xfId="10789" xr:uid="{00000000-0005-0000-0000-0000CD020000}"/>
    <cellStyle name="Comma 7 4 4 3" xfId="1765" xr:uid="{00000000-0005-0000-0000-0000D2020000}"/>
    <cellStyle name="Comma 7 4 4 4" xfId="1763" xr:uid="{00000000-0005-0000-0000-0000D3020000}"/>
    <cellStyle name="Comma 7 4 4 5" xfId="4416" xr:uid="{00000000-0005-0000-0000-000038020000}"/>
    <cellStyle name="Comma 7 4 4 6" xfId="5574" xr:uid="{00000000-0005-0000-0000-0000A7010000}"/>
    <cellStyle name="Comma 7 4 4 7" xfId="6986" xr:uid="{00000000-0005-0000-0000-0000CC020000}"/>
    <cellStyle name="Comma 7 4 4 8" xfId="9394" xr:uid="{00000000-0005-0000-0000-0000CC020000}"/>
    <cellStyle name="Comma 7 4 5" xfId="1766" xr:uid="{00000000-0005-0000-0000-0000D4020000}"/>
    <cellStyle name="Comma 7 4 5 2" xfId="2877" xr:uid="{00000000-0005-0000-0000-000039020000}"/>
    <cellStyle name="Comma 7 4 5 2 2" xfId="8183" xr:uid="{00000000-0005-0000-0000-0000CF020000}"/>
    <cellStyle name="Comma 7 4 5 2 3" xfId="10580" xr:uid="{00000000-0005-0000-0000-0000CF020000}"/>
    <cellStyle name="Comma 7 4 5 3" xfId="3557" xr:uid="{00000000-0005-0000-0000-0000D4020000}"/>
    <cellStyle name="Comma 7 4 5 4" xfId="6982" xr:uid="{00000000-0005-0000-0000-0000CE020000}"/>
    <cellStyle name="Comma 7 4 5 5" xfId="9390" xr:uid="{00000000-0005-0000-0000-0000CE020000}"/>
    <cellStyle name="Comma 7 4 6" xfId="1767" xr:uid="{00000000-0005-0000-0000-0000D5020000}"/>
    <cellStyle name="Comma 7 4 6 2" xfId="2450" xr:uid="{00000000-0005-0000-0000-00003A020000}"/>
    <cellStyle name="Comma 7 4 6 3" xfId="3598" xr:uid="{00000000-0005-0000-0000-0000D5020000}"/>
    <cellStyle name="Comma 7 4 6 4" xfId="7648" xr:uid="{00000000-0005-0000-0000-0000D0020000}"/>
    <cellStyle name="Comma 7 4 6 5" xfId="10045" xr:uid="{00000000-0005-0000-0000-0000D0020000}"/>
    <cellStyle name="Comma 7 4 7" xfId="1753" xr:uid="{00000000-0005-0000-0000-0000D6020000}"/>
    <cellStyle name="Comma 7 4 7 2" xfId="2204" xr:uid="{00000000-0005-0000-0000-00002E020000}"/>
    <cellStyle name="Comma 7 4 7 3" xfId="3586" xr:uid="{00000000-0005-0000-0000-0000D6020000}"/>
    <cellStyle name="Comma 7 4 8" xfId="3872" xr:uid="{00000000-0005-0000-0000-000071010000}"/>
    <cellStyle name="Comma 7 4 9" xfId="5328" xr:uid="{00000000-0005-0000-0000-0000A2010000}"/>
    <cellStyle name="Comma 7 5" xfId="520" xr:uid="{00000000-0005-0000-0000-0000D7020000}"/>
    <cellStyle name="Comma 7 5 10" xfId="4853" xr:uid="{00000000-0005-0000-0000-0000AE010000}"/>
    <cellStyle name="Comma 7 5 11" xfId="6599" xr:uid="{00000000-0005-0000-0000-0000D1020000}"/>
    <cellStyle name="Comma 7 5 12" xfId="9020" xr:uid="{00000000-0005-0000-0000-0000D1020000}"/>
    <cellStyle name="Comma 7 5 2" xfId="521" xr:uid="{00000000-0005-0000-0000-0000D8020000}"/>
    <cellStyle name="Comma 7 5 2 10" xfId="9181" xr:uid="{00000000-0005-0000-0000-0000D2020000}"/>
    <cellStyle name="Comma 7 5 2 2" xfId="522" xr:uid="{00000000-0005-0000-0000-0000D9020000}"/>
    <cellStyle name="Comma 7 5 2 2 2" xfId="1771" xr:uid="{00000000-0005-0000-0000-0000DA020000}"/>
    <cellStyle name="Comma 7 5 2 2 2 2" xfId="6501" xr:uid="{00000000-0005-0000-0000-0000C5020000}"/>
    <cellStyle name="Comma 7 5 2 2 2 2 2" xfId="11991" xr:uid="{00000000-0005-0000-0000-000072020000}"/>
    <cellStyle name="Comma 7 5 2 2 2 3" xfId="8393" xr:uid="{00000000-0005-0000-0000-0000D4020000}"/>
    <cellStyle name="Comma 7 5 2 2 2 4" xfId="10790" xr:uid="{00000000-0005-0000-0000-0000D4020000}"/>
    <cellStyle name="Comma 7 5 2 2 3" xfId="1772" xr:uid="{00000000-0005-0000-0000-0000DB020000}"/>
    <cellStyle name="Comma 7 5 2 2 4" xfId="1770" xr:uid="{00000000-0005-0000-0000-0000DC020000}"/>
    <cellStyle name="Comma 7 5 2 2 4 2" xfId="11958" xr:uid="{00000000-0005-0000-0000-000071020000}"/>
    <cellStyle name="Comma 7 5 2 2 5" xfId="6360" xr:uid="{00000000-0005-0000-0000-00003D020000}"/>
    <cellStyle name="Comma 7 5 2 2 6" xfId="6989" xr:uid="{00000000-0005-0000-0000-0000D3020000}"/>
    <cellStyle name="Comma 7 5 2 2 7" xfId="9397" xr:uid="{00000000-0005-0000-0000-0000D3020000}"/>
    <cellStyle name="Comma 7 5 2 3" xfId="1773" xr:uid="{00000000-0005-0000-0000-0000DD020000}"/>
    <cellStyle name="Comma 7 5 2 3 2" xfId="2683" xr:uid="{00000000-0005-0000-0000-00003E020000}"/>
    <cellStyle name="Comma 7 5 2 3 2 2" xfId="11992" xr:uid="{00000000-0005-0000-0000-000074020000}"/>
    <cellStyle name="Comma 7 5 2 3 3" xfId="3604" xr:uid="{00000000-0005-0000-0000-0000DD020000}"/>
    <cellStyle name="Comma 7 5 2 3 4" xfId="6164" xr:uid="{00000000-0005-0000-0000-00003E020000}"/>
    <cellStyle name="Comma 7 5 2 3 5" xfId="6988" xr:uid="{00000000-0005-0000-0000-0000D5020000}"/>
    <cellStyle name="Comma 7 5 2 3 6" xfId="9396" xr:uid="{00000000-0005-0000-0000-0000D5020000}"/>
    <cellStyle name="Comma 7 5 2 4" xfId="1774" xr:uid="{00000000-0005-0000-0000-0000DE020000}"/>
    <cellStyle name="Comma 7 5 2 4 2" xfId="4661" xr:uid="{00000000-0005-0000-0000-00003C020000}"/>
    <cellStyle name="Comma 7 5 2 4 3" xfId="7904" xr:uid="{00000000-0005-0000-0000-0000D6020000}"/>
    <cellStyle name="Comma 7 5 2 4 4" xfId="10301" xr:uid="{00000000-0005-0000-0000-0000D6020000}"/>
    <cellStyle name="Comma 7 5 2 5" xfId="1769" xr:uid="{00000000-0005-0000-0000-0000DF020000}"/>
    <cellStyle name="Comma 7 5 2 5 2" xfId="11802" xr:uid="{00000000-0005-0000-0000-0000E2020000}"/>
    <cellStyle name="Comma 7 5 2 5 3" xfId="11634" xr:uid="{00000000-0005-0000-0000-0000E2020000}"/>
    <cellStyle name="Comma 7 5 2 6" xfId="4132" xr:uid="{00000000-0005-0000-0000-00003C020000}"/>
    <cellStyle name="Comma 7 5 2 7" xfId="5796" xr:uid="{00000000-0005-0000-0000-0000A9010000}"/>
    <cellStyle name="Comma 7 5 2 8" xfId="5057" xr:uid="{00000000-0005-0000-0000-0000AF010000}"/>
    <cellStyle name="Comma 7 5 2 9" xfId="6760" xr:uid="{00000000-0005-0000-0000-0000D2020000}"/>
    <cellStyle name="Comma 7 5 3" xfId="523" xr:uid="{00000000-0005-0000-0000-0000E0020000}"/>
    <cellStyle name="Comma 7 5 3 2" xfId="1776" xr:uid="{00000000-0005-0000-0000-0000E1020000}"/>
    <cellStyle name="Comma 7 5 3 2 2" xfId="6463" xr:uid="{00000000-0005-0000-0000-0000C8020000}"/>
    <cellStyle name="Comma 7 5 3 2 2 2" xfId="11600" xr:uid="{00000000-0005-0000-0000-0000E4020000}"/>
    <cellStyle name="Comma 7 5 3 2 3" xfId="8394" xr:uid="{00000000-0005-0000-0000-0000D8020000}"/>
    <cellStyle name="Comma 7 5 3 2 4" xfId="10791" xr:uid="{00000000-0005-0000-0000-0000D8020000}"/>
    <cellStyle name="Comma 7 5 3 3" xfId="1777" xr:uid="{00000000-0005-0000-0000-0000E2020000}"/>
    <cellStyle name="Comma 7 5 3 4" xfId="1775" xr:uid="{00000000-0005-0000-0000-0000E3020000}"/>
    <cellStyle name="Comma 7 5 3 4 2" xfId="11866" xr:uid="{00000000-0005-0000-0000-0000E6020000}"/>
    <cellStyle name="Comma 7 5 3 4 3" xfId="11640" xr:uid="{00000000-0005-0000-0000-0000E6020000}"/>
    <cellStyle name="Comma 7 5 3 5" xfId="4417" xr:uid="{00000000-0005-0000-0000-00003F020000}"/>
    <cellStyle name="Comma 7 5 3 6" xfId="5634" xr:uid="{00000000-0005-0000-0000-0000AA010000}"/>
    <cellStyle name="Comma 7 5 3 7" xfId="6990" xr:uid="{00000000-0005-0000-0000-0000D7020000}"/>
    <cellStyle name="Comma 7 5 3 8" xfId="9398" xr:uid="{00000000-0005-0000-0000-0000D7020000}"/>
    <cellStyle name="Comma 7 5 4" xfId="524" xr:uid="{00000000-0005-0000-0000-0000E4020000}"/>
    <cellStyle name="Comma 7 5 4 2" xfId="1779" xr:uid="{00000000-0005-0000-0000-0000E5020000}"/>
    <cellStyle name="Comma 7 5 4 2 2" xfId="6485" xr:uid="{00000000-0005-0000-0000-0000CA020000}"/>
    <cellStyle name="Comma 7 5 4 2 3" xfId="8184" xr:uid="{00000000-0005-0000-0000-0000DA020000}"/>
    <cellStyle name="Comma 7 5 4 2 4" xfId="10581" xr:uid="{00000000-0005-0000-0000-0000DA020000}"/>
    <cellStyle name="Comma 7 5 4 3" xfId="1780" xr:uid="{00000000-0005-0000-0000-0000E6020000}"/>
    <cellStyle name="Comma 7 5 4 4" xfId="1778" xr:uid="{00000000-0005-0000-0000-0000E7020000}"/>
    <cellStyle name="Comma 7 5 4 5" xfId="6269" xr:uid="{00000000-0005-0000-0000-000040020000}"/>
    <cellStyle name="Comma 7 5 4 6" xfId="6991" xr:uid="{00000000-0005-0000-0000-0000D9020000}"/>
    <cellStyle name="Comma 7 5 4 7" xfId="9399" xr:uid="{00000000-0005-0000-0000-0000D9020000}"/>
    <cellStyle name="Comma 7 5 5" xfId="1781" xr:uid="{00000000-0005-0000-0000-0000E8020000}"/>
    <cellStyle name="Comma 7 5 5 2" xfId="2510" xr:uid="{00000000-0005-0000-0000-000041020000}"/>
    <cellStyle name="Comma 7 5 5 3" xfId="3668" xr:uid="{00000000-0005-0000-0000-0000E8020000}"/>
    <cellStyle name="Comma 7 5 5 4" xfId="6987" xr:uid="{00000000-0005-0000-0000-0000DB020000}"/>
    <cellStyle name="Comma 7 5 5 5" xfId="9395" xr:uid="{00000000-0005-0000-0000-0000DB020000}"/>
    <cellStyle name="Comma 7 5 6" xfId="1782" xr:uid="{00000000-0005-0000-0000-0000E9020000}"/>
    <cellStyle name="Comma 7 5 6 2" xfId="2286" xr:uid="{00000000-0005-0000-0000-00003B020000}"/>
    <cellStyle name="Comma 7 5 6 3" xfId="3709" xr:uid="{00000000-0005-0000-0000-0000E9020000}"/>
    <cellStyle name="Comma 7 5 6 4" xfId="7708" xr:uid="{00000000-0005-0000-0000-0000DC020000}"/>
    <cellStyle name="Comma 7 5 6 5" xfId="10105" xr:uid="{00000000-0005-0000-0000-0000DC020000}"/>
    <cellStyle name="Comma 7 5 7" xfId="1768" xr:uid="{00000000-0005-0000-0000-0000EA020000}"/>
    <cellStyle name="Comma 7 5 7 2" xfId="11795" xr:uid="{00000000-0005-0000-0000-0000EB020000}"/>
    <cellStyle name="Comma 7 5 7 3" xfId="11631" xr:uid="{00000000-0005-0000-0000-0000EB020000}"/>
    <cellStyle name="Comma 7 5 8" xfId="3873" xr:uid="{00000000-0005-0000-0000-000073010000}"/>
    <cellStyle name="Comma 7 5 9" xfId="5388" xr:uid="{00000000-0005-0000-0000-0000A8010000}"/>
    <cellStyle name="Comma 7 6" xfId="525" xr:uid="{00000000-0005-0000-0000-0000EB020000}"/>
    <cellStyle name="Comma 7 6 10" xfId="4854" xr:uid="{00000000-0005-0000-0000-0000B0010000}"/>
    <cellStyle name="Comma 7 6 11" xfId="6600" xr:uid="{00000000-0005-0000-0000-0000DD020000}"/>
    <cellStyle name="Comma 7 6 12" xfId="9021" xr:uid="{00000000-0005-0000-0000-0000DD020000}"/>
    <cellStyle name="Comma 7 6 2" xfId="526" xr:uid="{00000000-0005-0000-0000-0000EC020000}"/>
    <cellStyle name="Comma 7 6 2 10" xfId="9182" xr:uid="{00000000-0005-0000-0000-0000DE020000}"/>
    <cellStyle name="Comma 7 6 2 2" xfId="527" xr:uid="{00000000-0005-0000-0000-0000ED020000}"/>
    <cellStyle name="Comma 7 6 2 2 2" xfId="1786" xr:uid="{00000000-0005-0000-0000-0000EE020000}"/>
    <cellStyle name="Comma 7 6 2 2 2 2" xfId="6464" xr:uid="{00000000-0005-0000-0000-0000CF020000}"/>
    <cellStyle name="Comma 7 6 2 2 2 2 2" xfId="11993" xr:uid="{00000000-0005-0000-0000-000080020000}"/>
    <cellStyle name="Comma 7 6 2 2 2 3" xfId="8395" xr:uid="{00000000-0005-0000-0000-0000E0020000}"/>
    <cellStyle name="Comma 7 6 2 2 2 4" xfId="10792" xr:uid="{00000000-0005-0000-0000-0000E0020000}"/>
    <cellStyle name="Comma 7 6 2 2 3" xfId="1787" xr:uid="{00000000-0005-0000-0000-0000EF020000}"/>
    <cellStyle name="Comma 7 6 2 2 4" xfId="1785" xr:uid="{00000000-0005-0000-0000-0000F0020000}"/>
    <cellStyle name="Comma 7 6 2 2 4 2" xfId="11959" xr:uid="{00000000-0005-0000-0000-00007F020000}"/>
    <cellStyle name="Comma 7 6 2 2 5" xfId="6361" xr:uid="{00000000-0005-0000-0000-000044020000}"/>
    <cellStyle name="Comma 7 6 2 2 6" xfId="6994" xr:uid="{00000000-0005-0000-0000-0000DF020000}"/>
    <cellStyle name="Comma 7 6 2 2 7" xfId="9402" xr:uid="{00000000-0005-0000-0000-0000DF020000}"/>
    <cellStyle name="Comma 7 6 2 3" xfId="1788" xr:uid="{00000000-0005-0000-0000-0000F1020000}"/>
    <cellStyle name="Comma 7 6 2 3 2" xfId="2684" xr:uid="{00000000-0005-0000-0000-000045020000}"/>
    <cellStyle name="Comma 7 6 2 3 2 2" xfId="11994" xr:uid="{00000000-0005-0000-0000-000082020000}"/>
    <cellStyle name="Comma 7 6 2 3 3" xfId="3618" xr:uid="{00000000-0005-0000-0000-0000F1020000}"/>
    <cellStyle name="Comma 7 6 2 3 4" xfId="6165" xr:uid="{00000000-0005-0000-0000-000045020000}"/>
    <cellStyle name="Comma 7 6 2 3 5" xfId="6993" xr:uid="{00000000-0005-0000-0000-0000E1020000}"/>
    <cellStyle name="Comma 7 6 2 3 6" xfId="9401" xr:uid="{00000000-0005-0000-0000-0000E1020000}"/>
    <cellStyle name="Comma 7 6 2 4" xfId="1789" xr:uid="{00000000-0005-0000-0000-0000F2020000}"/>
    <cellStyle name="Comma 7 6 2 4 2" xfId="4664" xr:uid="{00000000-0005-0000-0000-000043020000}"/>
    <cellStyle name="Comma 7 6 2 4 3" xfId="7905" xr:uid="{00000000-0005-0000-0000-0000E2020000}"/>
    <cellStyle name="Comma 7 6 2 4 4" xfId="10302" xr:uid="{00000000-0005-0000-0000-0000E2020000}"/>
    <cellStyle name="Comma 7 6 2 5" xfId="1784" xr:uid="{00000000-0005-0000-0000-0000F3020000}"/>
    <cellStyle name="Comma 7 6 2 5 2" xfId="11803" xr:uid="{00000000-0005-0000-0000-0000F2020000}"/>
    <cellStyle name="Comma 7 6 2 5 3" xfId="11635" xr:uid="{00000000-0005-0000-0000-0000F2020000}"/>
    <cellStyle name="Comma 7 6 2 6" xfId="4133" xr:uid="{00000000-0005-0000-0000-000043020000}"/>
    <cellStyle name="Comma 7 6 2 7" xfId="5797" xr:uid="{00000000-0005-0000-0000-0000AC010000}"/>
    <cellStyle name="Comma 7 6 2 8" xfId="5058" xr:uid="{00000000-0005-0000-0000-0000B1010000}"/>
    <cellStyle name="Comma 7 6 2 9" xfId="6761" xr:uid="{00000000-0005-0000-0000-0000DE020000}"/>
    <cellStyle name="Comma 7 6 3" xfId="528" xr:uid="{00000000-0005-0000-0000-0000F4020000}"/>
    <cellStyle name="Comma 7 6 3 2" xfId="1791" xr:uid="{00000000-0005-0000-0000-0000F5020000}"/>
    <cellStyle name="Comma 7 6 3 2 2" xfId="6473" xr:uid="{00000000-0005-0000-0000-0000D2020000}"/>
    <cellStyle name="Comma 7 6 3 2 2 2" xfId="11995" xr:uid="{00000000-0005-0000-0000-000086020000}"/>
    <cellStyle name="Comma 7 6 3 2 3" xfId="8396" xr:uid="{00000000-0005-0000-0000-0000E4020000}"/>
    <cellStyle name="Comma 7 6 3 2 4" xfId="10793" xr:uid="{00000000-0005-0000-0000-0000E4020000}"/>
    <cellStyle name="Comma 7 6 3 3" xfId="1792" xr:uid="{00000000-0005-0000-0000-0000F6020000}"/>
    <cellStyle name="Comma 7 6 3 4" xfId="1790" xr:uid="{00000000-0005-0000-0000-0000F7020000}"/>
    <cellStyle name="Comma 7 6 3 4 2" xfId="11951" xr:uid="{00000000-0005-0000-0000-000085020000}"/>
    <cellStyle name="Comma 7 6 3 5" xfId="4418" xr:uid="{00000000-0005-0000-0000-000046020000}"/>
    <cellStyle name="Comma 7 6 3 6" xfId="5680" xr:uid="{00000000-0005-0000-0000-0000AD010000}"/>
    <cellStyle name="Comma 7 6 3 7" xfId="6995" xr:uid="{00000000-0005-0000-0000-0000E3020000}"/>
    <cellStyle name="Comma 7 6 3 8" xfId="9403" xr:uid="{00000000-0005-0000-0000-0000E3020000}"/>
    <cellStyle name="Comma 7 6 4" xfId="529" xr:uid="{00000000-0005-0000-0000-0000F8020000}"/>
    <cellStyle name="Comma 7 6 4 2" xfId="1794" xr:uid="{00000000-0005-0000-0000-0000F9020000}"/>
    <cellStyle name="Comma 7 6 4 2 2" xfId="6480" xr:uid="{00000000-0005-0000-0000-0000D4020000}"/>
    <cellStyle name="Comma 7 6 4 2 3" xfId="8185" xr:uid="{00000000-0005-0000-0000-0000E6020000}"/>
    <cellStyle name="Comma 7 6 4 2 4" xfId="10582" xr:uid="{00000000-0005-0000-0000-0000E6020000}"/>
    <cellStyle name="Comma 7 6 4 3" xfId="1795" xr:uid="{00000000-0005-0000-0000-0000FA020000}"/>
    <cellStyle name="Comma 7 6 4 4" xfId="1793" xr:uid="{00000000-0005-0000-0000-0000FB020000}"/>
    <cellStyle name="Comma 7 6 4 5" xfId="6270" xr:uid="{00000000-0005-0000-0000-000047020000}"/>
    <cellStyle name="Comma 7 6 4 6" xfId="6996" xr:uid="{00000000-0005-0000-0000-0000E5020000}"/>
    <cellStyle name="Comma 7 6 4 7" xfId="9404" xr:uid="{00000000-0005-0000-0000-0000E5020000}"/>
    <cellStyle name="Comma 7 6 5" xfId="1796" xr:uid="{00000000-0005-0000-0000-0000FC020000}"/>
    <cellStyle name="Comma 7 6 5 2" xfId="2573" xr:uid="{00000000-0005-0000-0000-000048020000}"/>
    <cellStyle name="Comma 7 6 5 3" xfId="2063" xr:uid="{00000000-0005-0000-0000-0000FC020000}"/>
    <cellStyle name="Comma 7 6 5 4" xfId="6992" xr:uid="{00000000-0005-0000-0000-0000E7020000}"/>
    <cellStyle name="Comma 7 6 5 5" xfId="9400" xr:uid="{00000000-0005-0000-0000-0000E7020000}"/>
    <cellStyle name="Comma 7 6 6" xfId="1797" xr:uid="{00000000-0005-0000-0000-0000FD020000}"/>
    <cellStyle name="Comma 7 6 6 2" xfId="2287" xr:uid="{00000000-0005-0000-0000-000042020000}"/>
    <cellStyle name="Comma 7 6 6 3" xfId="3566" xr:uid="{00000000-0005-0000-0000-0000FD020000}"/>
    <cellStyle name="Comma 7 6 6 4" xfId="7771" xr:uid="{00000000-0005-0000-0000-0000E8020000}"/>
    <cellStyle name="Comma 7 6 6 5" xfId="10168" xr:uid="{00000000-0005-0000-0000-0000E8020000}"/>
    <cellStyle name="Comma 7 6 7" xfId="1783" xr:uid="{00000000-0005-0000-0000-0000FE020000}"/>
    <cellStyle name="Comma 7 6 7 2" xfId="11580" xr:uid="{00000000-0005-0000-0000-0000EC020000}"/>
    <cellStyle name="Comma 7 6 8" xfId="3874" xr:uid="{00000000-0005-0000-0000-000074010000}"/>
    <cellStyle name="Comma 7 6 9" xfId="5449" xr:uid="{00000000-0005-0000-0000-0000AB010000}"/>
    <cellStyle name="Comma 7 7" xfId="530" xr:uid="{00000000-0005-0000-0000-0000FF020000}"/>
    <cellStyle name="Comma 7 7 10" xfId="6601" xr:uid="{00000000-0005-0000-0000-0000E9020000}"/>
    <cellStyle name="Comma 7 7 11" xfId="9022" xr:uid="{00000000-0005-0000-0000-0000E9020000}"/>
    <cellStyle name="Comma 7 7 2" xfId="531" xr:uid="{00000000-0005-0000-0000-000000030000}"/>
    <cellStyle name="Comma 7 7 2 2" xfId="1800" xr:uid="{00000000-0005-0000-0000-000001030000}"/>
    <cellStyle name="Comma 7 7 2 2 2" xfId="2878" xr:uid="{00000000-0005-0000-0000-00004B020000}"/>
    <cellStyle name="Comma 7 7 2 2 2 2" xfId="11996" xr:uid="{00000000-0005-0000-0000-00008D020000}"/>
    <cellStyle name="Comma 7 7 2 2 3" xfId="3580" xr:uid="{00000000-0005-0000-0000-000001030000}"/>
    <cellStyle name="Comma 7 7 2 2 4" xfId="6271" xr:uid="{00000000-0005-0000-0000-00004B020000}"/>
    <cellStyle name="Comma 7 7 2 2 5" xfId="6998" xr:uid="{00000000-0005-0000-0000-0000EB020000}"/>
    <cellStyle name="Comma 7 7 2 2 6" xfId="9406" xr:uid="{00000000-0005-0000-0000-0000EB020000}"/>
    <cellStyle name="Comma 7 7 2 3" xfId="1801" xr:uid="{00000000-0005-0000-0000-000002030000}"/>
    <cellStyle name="Comma 7 7 2 3 2" xfId="6438" xr:uid="{00000000-0005-0000-0000-000002030000}"/>
    <cellStyle name="Comma 7 7 2 3 3" xfId="8186" xr:uid="{00000000-0005-0000-0000-0000EC020000}"/>
    <cellStyle name="Comma 7 7 2 3 4" xfId="10583" xr:uid="{00000000-0005-0000-0000-0000EC020000}"/>
    <cellStyle name="Comma 7 7 2 3 5" xfId="4718" xr:uid="{00000000-0005-0000-0000-0000CB010000}"/>
    <cellStyle name="Comma 7 7 2 4" xfId="1799" xr:uid="{00000000-0005-0000-0000-000003030000}"/>
    <cellStyle name="Comma 7 7 2 4 2" xfId="11952" xr:uid="{00000000-0005-0000-0000-00008C020000}"/>
    <cellStyle name="Comma 7 7 2 5" xfId="6096" xr:uid="{00000000-0005-0000-0000-00004A020000}"/>
    <cellStyle name="Comma 7 7 2 6" xfId="5059" xr:uid="{00000000-0005-0000-0000-0000B3010000}"/>
    <cellStyle name="Comma 7 7 2 7" xfId="6762" xr:uid="{00000000-0005-0000-0000-0000EA020000}"/>
    <cellStyle name="Comma 7 7 2 8" xfId="9183" xr:uid="{00000000-0005-0000-0000-0000EA020000}"/>
    <cellStyle name="Comma 7 7 3" xfId="532" xr:uid="{00000000-0005-0000-0000-000004030000}"/>
    <cellStyle name="Comma 7 7 3 2" xfId="1803" xr:uid="{00000000-0005-0000-0000-000005030000}"/>
    <cellStyle name="Comma 7 7 3 3" xfId="1804" xr:uid="{00000000-0005-0000-0000-000006030000}"/>
    <cellStyle name="Comma 7 7 3 4" xfId="1802" xr:uid="{00000000-0005-0000-0000-000007030000}"/>
    <cellStyle name="Comma 7 7 3 5" xfId="6166" xr:uid="{00000000-0005-0000-0000-00004C020000}"/>
    <cellStyle name="Comma 7 7 3 6" xfId="6999" xr:uid="{00000000-0005-0000-0000-0000ED020000}"/>
    <cellStyle name="Comma 7 7 3 7" xfId="9407" xr:uid="{00000000-0005-0000-0000-0000ED020000}"/>
    <cellStyle name="Comma 7 7 4" xfId="1805" xr:uid="{00000000-0005-0000-0000-000008030000}"/>
    <cellStyle name="Comma 7 7 4 2" xfId="2288" xr:uid="{00000000-0005-0000-0000-000049020000}"/>
    <cellStyle name="Comma 7 7 4 3" xfId="2059" xr:uid="{00000000-0005-0000-0000-000008030000}"/>
    <cellStyle name="Comma 7 7 4 4" xfId="6055" xr:uid="{00000000-0005-0000-0000-000049020000}"/>
    <cellStyle name="Comma 7 7 4 5" xfId="6997" xr:uid="{00000000-0005-0000-0000-0000EE020000}"/>
    <cellStyle name="Comma 7 7 4 6" xfId="9405" xr:uid="{00000000-0005-0000-0000-0000EE020000}"/>
    <cellStyle name="Comma 7 7 5" xfId="1806" xr:uid="{00000000-0005-0000-0000-000009030000}"/>
    <cellStyle name="Comma 7 7 5 2" xfId="6511" xr:uid="{00000000-0005-0000-0000-0000DB020000}"/>
    <cellStyle name="Comma 7 7 5 3" xfId="7906" xr:uid="{00000000-0005-0000-0000-0000EF020000}"/>
    <cellStyle name="Comma 7 7 5 4" xfId="10303" xr:uid="{00000000-0005-0000-0000-0000EF020000}"/>
    <cellStyle name="Comma 7 7 6" xfId="1798" xr:uid="{00000000-0005-0000-0000-00000A030000}"/>
    <cellStyle name="Comma 7 7 6 2" xfId="11584" xr:uid="{00000000-0005-0000-0000-0000F9020000}"/>
    <cellStyle name="Comma 7 7 7" xfId="3875" xr:uid="{00000000-0005-0000-0000-000075010000}"/>
    <cellStyle name="Comma 7 7 8" xfId="5798" xr:uid="{00000000-0005-0000-0000-0000AE010000}"/>
    <cellStyle name="Comma 7 7 9" xfId="4855" xr:uid="{00000000-0005-0000-0000-0000B2010000}"/>
    <cellStyle name="Comma 7 8" xfId="533" xr:uid="{00000000-0005-0000-0000-00000B030000}"/>
    <cellStyle name="Comma 7 8 10" xfId="6602" xr:uid="{00000000-0005-0000-0000-0000F0020000}"/>
    <cellStyle name="Comma 7 8 11" xfId="9023" xr:uid="{00000000-0005-0000-0000-0000F0020000}"/>
    <cellStyle name="Comma 7 8 2" xfId="534" xr:uid="{00000000-0005-0000-0000-00000C030000}"/>
    <cellStyle name="Comma 7 8 2 2" xfId="1809" xr:uid="{00000000-0005-0000-0000-00000D030000}"/>
    <cellStyle name="Comma 7 8 2 2 2" xfId="2879" xr:uid="{00000000-0005-0000-0000-00004F020000}"/>
    <cellStyle name="Comma 7 8 2 2 2 2" xfId="11997" xr:uid="{00000000-0005-0000-0000-000094020000}"/>
    <cellStyle name="Comma 7 8 2 2 3" xfId="3672" xr:uid="{00000000-0005-0000-0000-00000D030000}"/>
    <cellStyle name="Comma 7 8 2 2 4" xfId="6272" xr:uid="{00000000-0005-0000-0000-00004F020000}"/>
    <cellStyle name="Comma 7 8 2 2 5" xfId="7001" xr:uid="{00000000-0005-0000-0000-0000F2020000}"/>
    <cellStyle name="Comma 7 8 2 2 6" xfId="9409" xr:uid="{00000000-0005-0000-0000-0000F2020000}"/>
    <cellStyle name="Comma 7 8 2 3" xfId="1810" xr:uid="{00000000-0005-0000-0000-00000E030000}"/>
    <cellStyle name="Comma 7 8 2 3 2" xfId="6445" xr:uid="{00000000-0005-0000-0000-00000E030000}"/>
    <cellStyle name="Comma 7 8 2 3 3" xfId="8187" xr:uid="{00000000-0005-0000-0000-0000F3020000}"/>
    <cellStyle name="Comma 7 8 2 3 4" xfId="10584" xr:uid="{00000000-0005-0000-0000-0000F3020000}"/>
    <cellStyle name="Comma 7 8 2 3 5" xfId="4719" xr:uid="{00000000-0005-0000-0000-0000D1010000}"/>
    <cellStyle name="Comma 7 8 2 4" xfId="1808" xr:uid="{00000000-0005-0000-0000-00000F030000}"/>
    <cellStyle name="Comma 7 8 2 4 2" xfId="11953" xr:uid="{00000000-0005-0000-0000-000093020000}"/>
    <cellStyle name="Comma 7 8 2 5" xfId="6097" xr:uid="{00000000-0005-0000-0000-00004E020000}"/>
    <cellStyle name="Comma 7 8 2 6" xfId="5060" xr:uid="{00000000-0005-0000-0000-0000B5010000}"/>
    <cellStyle name="Comma 7 8 2 7" xfId="6763" xr:uid="{00000000-0005-0000-0000-0000F1020000}"/>
    <cellStyle name="Comma 7 8 2 8" xfId="9184" xr:uid="{00000000-0005-0000-0000-0000F1020000}"/>
    <cellStyle name="Comma 7 8 3" xfId="535" xr:uid="{00000000-0005-0000-0000-000010030000}"/>
    <cellStyle name="Comma 7 8 3 2" xfId="1812" xr:uid="{00000000-0005-0000-0000-000011030000}"/>
    <cellStyle name="Comma 7 8 3 3" xfId="1813" xr:uid="{00000000-0005-0000-0000-000012030000}"/>
    <cellStyle name="Comma 7 8 3 4" xfId="1811" xr:uid="{00000000-0005-0000-0000-000013030000}"/>
    <cellStyle name="Comma 7 8 3 5" xfId="6167" xr:uid="{00000000-0005-0000-0000-000050020000}"/>
    <cellStyle name="Comma 7 8 3 6" xfId="7002" xr:uid="{00000000-0005-0000-0000-0000F4020000}"/>
    <cellStyle name="Comma 7 8 3 7" xfId="9410" xr:uid="{00000000-0005-0000-0000-0000F4020000}"/>
    <cellStyle name="Comma 7 8 4" xfId="1814" xr:uid="{00000000-0005-0000-0000-000014030000}"/>
    <cellStyle name="Comma 7 8 4 2" xfId="2289" xr:uid="{00000000-0005-0000-0000-00004D020000}"/>
    <cellStyle name="Comma 7 8 4 3" xfId="3599" xr:uid="{00000000-0005-0000-0000-000014030000}"/>
    <cellStyle name="Comma 7 8 4 4" xfId="6056" xr:uid="{00000000-0005-0000-0000-00004D020000}"/>
    <cellStyle name="Comma 7 8 4 5" xfId="7000" xr:uid="{00000000-0005-0000-0000-0000F5020000}"/>
    <cellStyle name="Comma 7 8 4 6" xfId="9408" xr:uid="{00000000-0005-0000-0000-0000F5020000}"/>
    <cellStyle name="Comma 7 8 5" xfId="1815" xr:uid="{00000000-0005-0000-0000-000015030000}"/>
    <cellStyle name="Comma 7 8 5 2" xfId="6515" xr:uid="{00000000-0005-0000-0000-0000E1020000}"/>
    <cellStyle name="Comma 7 8 5 3" xfId="7907" xr:uid="{00000000-0005-0000-0000-0000F6020000}"/>
    <cellStyle name="Comma 7 8 5 4" xfId="10304" xr:uid="{00000000-0005-0000-0000-0000F6020000}"/>
    <cellStyle name="Comma 7 8 6" xfId="1807" xr:uid="{00000000-0005-0000-0000-000016030000}"/>
    <cellStyle name="Comma 7 8 6 2" xfId="11585" xr:uid="{00000000-0005-0000-0000-0000FF020000}"/>
    <cellStyle name="Comma 7 8 7" xfId="3876" xr:uid="{00000000-0005-0000-0000-000076010000}"/>
    <cellStyle name="Comma 7 8 8" xfId="5799" xr:uid="{00000000-0005-0000-0000-0000AF010000}"/>
    <cellStyle name="Comma 7 8 9" xfId="4856" xr:uid="{00000000-0005-0000-0000-0000B4010000}"/>
    <cellStyle name="Comma 7 9" xfId="536" xr:uid="{00000000-0005-0000-0000-000017030000}"/>
    <cellStyle name="Comma 7 9 2" xfId="1817" xr:uid="{00000000-0005-0000-0000-000018030000}"/>
    <cellStyle name="Comma 7 9 2 2" xfId="3074" xr:uid="{00000000-0005-0000-0000-000052020000}"/>
    <cellStyle name="Comma 7 9 2 2 2" xfId="8397" xr:uid="{00000000-0005-0000-0000-0000F9020000}"/>
    <cellStyle name="Comma 7 9 2 2 3" xfId="10794" xr:uid="{00000000-0005-0000-0000-0000F9020000}"/>
    <cellStyle name="Comma 7 9 2 2 4" xfId="11344" xr:uid="{00000000-0005-0000-0000-0000DF2C0000}"/>
    <cellStyle name="Comma 7 9 2 3" xfId="3539" xr:uid="{00000000-0005-0000-0000-000018030000}"/>
    <cellStyle name="Comma 7 9 2 4" xfId="6362" xr:uid="{00000000-0005-0000-0000-000052020000}"/>
    <cellStyle name="Comma 7 9 2 5" xfId="5061" xr:uid="{00000000-0005-0000-0000-0000B7010000}"/>
    <cellStyle name="Comma 7 9 2 6" xfId="7003" xr:uid="{00000000-0005-0000-0000-0000F8020000}"/>
    <cellStyle name="Comma 7 9 2 7" xfId="9411" xr:uid="{00000000-0005-0000-0000-0000F8020000}"/>
    <cellStyle name="Comma 7 9 3" xfId="1818" xr:uid="{00000000-0005-0000-0000-000019030000}"/>
    <cellStyle name="Comma 7 9 3 2" xfId="2676" xr:uid="{00000000-0005-0000-0000-000053020000}"/>
    <cellStyle name="Comma 7 9 3 3" xfId="3679" xr:uid="{00000000-0005-0000-0000-000019030000}"/>
    <cellStyle name="Comma 7 9 3 4" xfId="6162" xr:uid="{00000000-0005-0000-0000-000053020000}"/>
    <cellStyle name="Comma 7 9 3 5" xfId="7894" xr:uid="{00000000-0005-0000-0000-0000FA020000}"/>
    <cellStyle name="Comma 7 9 3 6" xfId="10291" xr:uid="{00000000-0005-0000-0000-0000FA020000}"/>
    <cellStyle name="Comma 7 9 4" xfId="1816" xr:uid="{00000000-0005-0000-0000-00001A030000}"/>
    <cellStyle name="Comma 7 9 4 2" xfId="2281" xr:uid="{00000000-0005-0000-0000-000051020000}"/>
    <cellStyle name="Comma 7 9 4 3" xfId="3554" xr:uid="{00000000-0005-0000-0000-00001A030000}"/>
    <cellStyle name="Comma 7 9 4 4" xfId="11561" xr:uid="{00000000-0005-0000-0000-000030020000}"/>
    <cellStyle name="Comma 7 9 5" xfId="3820" xr:uid="{00000000-0005-0000-0000-000077010000}"/>
    <cellStyle name="Comma 7 9 5 2" xfId="11396" xr:uid="{00000000-0005-0000-0000-0000E7020000}"/>
    <cellStyle name="Comma 7 9 6" xfId="5786" xr:uid="{00000000-0005-0000-0000-0000B0010000}"/>
    <cellStyle name="Comma 7 9 7" xfId="4848" xr:uid="{00000000-0005-0000-0000-0000B6010000}"/>
    <cellStyle name="Comma 7 9 8" xfId="6594" xr:uid="{00000000-0005-0000-0000-0000F7020000}"/>
    <cellStyle name="Comma 7 9 9" xfId="9015" xr:uid="{00000000-0005-0000-0000-0000F7020000}"/>
    <cellStyle name="Comma 8" xfId="537" xr:uid="{00000000-0005-0000-0000-00001B030000}"/>
    <cellStyle name="Comma 9" xfId="538" xr:uid="{00000000-0005-0000-0000-00001C030000}"/>
    <cellStyle name="Comma 9 10" xfId="5358" xr:uid="{00000000-0005-0000-0000-0000B2010000}"/>
    <cellStyle name="Comma 9 11" xfId="4814" xr:uid="{00000000-0005-0000-0000-0000B9010000}"/>
    <cellStyle name="Comma 9 12" xfId="6560" xr:uid="{00000000-0005-0000-0000-0000FC020000}"/>
    <cellStyle name="Comma 9 13" xfId="8981" xr:uid="{00000000-0005-0000-0000-0000FC020000}"/>
    <cellStyle name="Comma 9 2" xfId="539" xr:uid="{00000000-0005-0000-0000-00001D030000}"/>
    <cellStyle name="Comma 9 2 10" xfId="4858" xr:uid="{00000000-0005-0000-0000-0000BA010000}"/>
    <cellStyle name="Comma 9 2 11" xfId="6604" xr:uid="{00000000-0005-0000-0000-0000FD020000}"/>
    <cellStyle name="Comma 9 2 12" xfId="9025" xr:uid="{00000000-0005-0000-0000-0000FD020000}"/>
    <cellStyle name="Comma 9 2 2" xfId="540" xr:uid="{00000000-0005-0000-0000-00001E030000}"/>
    <cellStyle name="Comma 9 2 2 10" xfId="6765" xr:uid="{00000000-0005-0000-0000-0000FE020000}"/>
    <cellStyle name="Comma 9 2 2 11" xfId="9186" xr:uid="{00000000-0005-0000-0000-0000FE020000}"/>
    <cellStyle name="Comma 9 2 2 2" xfId="1822" xr:uid="{00000000-0005-0000-0000-00001F030000}"/>
    <cellStyle name="Comma 9 2 2 2 2" xfId="3076" xr:uid="{00000000-0005-0000-0000-000059020000}"/>
    <cellStyle name="Comma 9 2 2 2 2 2" xfId="8399" xr:uid="{00000000-0005-0000-0000-000000030000}"/>
    <cellStyle name="Comma 9 2 2 2 2 3" xfId="10796" xr:uid="{00000000-0005-0000-0000-000000030000}"/>
    <cellStyle name="Comma 9 2 2 2 3" xfId="2687" xr:uid="{00000000-0005-0000-0000-000058020000}"/>
    <cellStyle name="Comma 9 2 2 2 3 2" xfId="7910" xr:uid="{00000000-0005-0000-0000-000001030000}"/>
    <cellStyle name="Comma 9 2 2 2 3 3" xfId="10307" xr:uid="{00000000-0005-0000-0000-000001030000}"/>
    <cellStyle name="Comma 9 2 2 2 3 4" xfId="11998" xr:uid="{00000000-0005-0000-0000-0000A1020000}"/>
    <cellStyle name="Comma 9 2 2 2 4" xfId="2046" xr:uid="{00000000-0005-0000-0000-00001F030000}"/>
    <cellStyle name="Comma 9 2 2 2 4 2" xfId="11735" xr:uid="{00000000-0005-0000-0000-00000F030000}"/>
    <cellStyle name="Comma 9 2 2 2 5" xfId="4269" xr:uid="{00000000-0005-0000-0000-000058020000}"/>
    <cellStyle name="Comma 9 2 2 2 6" xfId="5802" xr:uid="{00000000-0005-0000-0000-0000B5010000}"/>
    <cellStyle name="Comma 9 2 2 2 7" xfId="7006" xr:uid="{00000000-0005-0000-0000-0000FF020000}"/>
    <cellStyle name="Comma 9 2 2 2 8" xfId="9414" xr:uid="{00000000-0005-0000-0000-0000FF020000}"/>
    <cellStyle name="Comma 9 2 2 3" xfId="1823" xr:uid="{00000000-0005-0000-0000-000020030000}"/>
    <cellStyle name="Comma 9 2 2 3 2" xfId="3077" xr:uid="{00000000-0005-0000-0000-00005A020000}"/>
    <cellStyle name="Comma 9 2 2 3 2 2" xfId="11453" xr:uid="{00000000-0005-0000-0000-0000F0020000}"/>
    <cellStyle name="Comma 9 2 2 3 3" xfId="2090" xr:uid="{00000000-0005-0000-0000-000020030000}"/>
    <cellStyle name="Comma 9 2 2 3 3 2" xfId="11758" xr:uid="{00000000-0005-0000-0000-000012030000}"/>
    <cellStyle name="Comma 9 2 2 3 4" xfId="4419" xr:uid="{00000000-0005-0000-0000-00005A020000}"/>
    <cellStyle name="Comma 9 2 2 3 5" xfId="5748" xr:uid="{00000000-0005-0000-0000-0000B6010000}"/>
    <cellStyle name="Comma 9 2 2 3 6" xfId="8400" xr:uid="{00000000-0005-0000-0000-000002030000}"/>
    <cellStyle name="Comma 9 2 2 3 7" xfId="10797" xr:uid="{00000000-0005-0000-0000-000002030000}"/>
    <cellStyle name="Comma 9 2 2 4" xfId="1821" xr:uid="{00000000-0005-0000-0000-000021030000}"/>
    <cellStyle name="Comma 9 2 2 4 2" xfId="3075" xr:uid="{00000000-0005-0000-0000-00005B020000}"/>
    <cellStyle name="Comma 9 2 2 4 3" xfId="3607" xr:uid="{00000000-0005-0000-0000-000021030000}"/>
    <cellStyle name="Comma 9 2 2 4 4" xfId="8398" xr:uid="{00000000-0005-0000-0000-000003030000}"/>
    <cellStyle name="Comma 9 2 2 4 5" xfId="10795" xr:uid="{00000000-0005-0000-0000-000003030000}"/>
    <cellStyle name="Comma 9 2 2 5" xfId="2642" xr:uid="{00000000-0005-0000-0000-00005C020000}"/>
    <cellStyle name="Comma 9 2 2 5 2" xfId="7841" xr:uid="{00000000-0005-0000-0000-000004030000}"/>
    <cellStyle name="Comma 9 2 2 5 3" xfId="10238" xr:uid="{00000000-0005-0000-0000-000004030000}"/>
    <cellStyle name="Comma 9 2 2 6" xfId="2291" xr:uid="{00000000-0005-0000-0000-000057020000}"/>
    <cellStyle name="Comma 9 2 2 6 2" xfId="11601" xr:uid="{00000000-0005-0000-0000-00000E030000}"/>
    <cellStyle name="Comma 9 2 2 7" xfId="3826" xr:uid="{00000000-0005-0000-0000-00007B010000}"/>
    <cellStyle name="Comma 9 2 2 8" xfId="5519" xr:uid="{00000000-0005-0000-0000-0000B4010000}"/>
    <cellStyle name="Comma 9 2 2 9" xfId="5063" xr:uid="{00000000-0005-0000-0000-0000BB010000}"/>
    <cellStyle name="Comma 9 2 3" xfId="541" xr:uid="{00000000-0005-0000-0000-000022030000}"/>
    <cellStyle name="Comma 9 2 3 2" xfId="1825" xr:uid="{00000000-0005-0000-0000-000023030000}"/>
    <cellStyle name="Comma 9 2 3 2 2" xfId="3078" xr:uid="{00000000-0005-0000-0000-00005E020000}"/>
    <cellStyle name="Comma 9 2 3 2 2 2" xfId="11867" xr:uid="{00000000-0005-0000-0000-000018030000}"/>
    <cellStyle name="Comma 9 2 3 2 3" xfId="3698" xr:uid="{00000000-0005-0000-0000-000023030000}"/>
    <cellStyle name="Comma 9 2 3 2 3 2" xfId="11736" xr:uid="{00000000-0005-0000-0000-000017030000}"/>
    <cellStyle name="Comma 9 2 3 2 4" xfId="8401" xr:uid="{00000000-0005-0000-0000-000006030000}"/>
    <cellStyle name="Comma 9 2 3 2 5" xfId="10798" xr:uid="{00000000-0005-0000-0000-000006030000}"/>
    <cellStyle name="Comma 9 2 3 3" xfId="1826" xr:uid="{00000000-0005-0000-0000-000024030000}"/>
    <cellStyle name="Comma 9 2 3 3 2" xfId="2686" xr:uid="{00000000-0005-0000-0000-00005F020000}"/>
    <cellStyle name="Comma 9 2 3 3 3" xfId="2079" xr:uid="{00000000-0005-0000-0000-000024030000}"/>
    <cellStyle name="Comma 9 2 3 3 4" xfId="7909" xr:uid="{00000000-0005-0000-0000-000007030000}"/>
    <cellStyle name="Comma 9 2 3 3 5" xfId="10306" xr:uid="{00000000-0005-0000-0000-000007030000}"/>
    <cellStyle name="Comma 9 2 3 4" xfId="1824" xr:uid="{00000000-0005-0000-0000-000025030000}"/>
    <cellStyle name="Comma 9 2 3 4 2" xfId="4655" xr:uid="{00000000-0005-0000-0000-00005D020000}"/>
    <cellStyle name="Comma 9 2 3 5" xfId="4135" xr:uid="{00000000-0005-0000-0000-00005D020000}"/>
    <cellStyle name="Comma 9 2 3 6" xfId="5801" xr:uid="{00000000-0005-0000-0000-0000B7010000}"/>
    <cellStyle name="Comma 9 2 3 7" xfId="7007" xr:uid="{00000000-0005-0000-0000-000005030000}"/>
    <cellStyle name="Comma 9 2 3 8" xfId="9415" xr:uid="{00000000-0005-0000-0000-000005030000}"/>
    <cellStyle name="Comma 9 2 4" xfId="1827" xr:uid="{00000000-0005-0000-0000-000026030000}"/>
    <cellStyle name="Comma 9 2 4 2" xfId="3079" xr:uid="{00000000-0005-0000-0000-000060020000}"/>
    <cellStyle name="Comma 9 2 4 2 2" xfId="8402" xr:uid="{00000000-0005-0000-0000-000009030000}"/>
    <cellStyle name="Comma 9 2 4 2 3" xfId="10799" xr:uid="{00000000-0005-0000-0000-000009030000}"/>
    <cellStyle name="Comma 9 2 4 3" xfId="3619" xr:uid="{00000000-0005-0000-0000-000026030000}"/>
    <cellStyle name="Comma 9 2 4 3 2" xfId="11777" xr:uid="{00000000-0005-0000-0000-00001A030000}"/>
    <cellStyle name="Comma 9 2 4 4" xfId="4420" xr:uid="{00000000-0005-0000-0000-000060020000}"/>
    <cellStyle name="Comma 9 2 4 5" xfId="5663" xr:uid="{00000000-0005-0000-0000-0000B8010000}"/>
    <cellStyle name="Comma 9 2 4 6" xfId="7005" xr:uid="{00000000-0005-0000-0000-000008030000}"/>
    <cellStyle name="Comma 9 2 4 7" xfId="9413" xr:uid="{00000000-0005-0000-0000-000008030000}"/>
    <cellStyle name="Comma 9 2 5" xfId="1828" xr:uid="{00000000-0005-0000-0000-000027030000}"/>
    <cellStyle name="Comma 9 2 5 2" xfId="2881" xr:uid="{00000000-0005-0000-0000-000061020000}"/>
    <cellStyle name="Comma 9 2 5 3" xfId="3537" xr:uid="{00000000-0005-0000-0000-000027030000}"/>
    <cellStyle name="Comma 9 2 5 4" xfId="8189" xr:uid="{00000000-0005-0000-0000-00000A030000}"/>
    <cellStyle name="Comma 9 2 5 5" xfId="10586" xr:uid="{00000000-0005-0000-0000-00000A030000}"/>
    <cellStyle name="Comma 9 2 6" xfId="1820" xr:uid="{00000000-0005-0000-0000-000028030000}"/>
    <cellStyle name="Comma 9 2 6 2" xfId="2540" xr:uid="{00000000-0005-0000-0000-000062020000}"/>
    <cellStyle name="Comma 9 2 6 3" xfId="3706" xr:uid="{00000000-0005-0000-0000-000028030000}"/>
    <cellStyle name="Comma 9 2 6 4" xfId="7738" xr:uid="{00000000-0005-0000-0000-00000B030000}"/>
    <cellStyle name="Comma 9 2 6 5" xfId="10135" xr:uid="{00000000-0005-0000-0000-00000B030000}"/>
    <cellStyle name="Comma 9 2 7" xfId="2234" xr:uid="{00000000-0005-0000-0000-000056020000}"/>
    <cellStyle name="Comma 9 2 8" xfId="3878" xr:uid="{00000000-0005-0000-0000-00007A010000}"/>
    <cellStyle name="Comma 9 2 9" xfId="5418" xr:uid="{00000000-0005-0000-0000-0000B3010000}"/>
    <cellStyle name="Comma 9 3" xfId="542" xr:uid="{00000000-0005-0000-0000-000029030000}"/>
    <cellStyle name="Comma 9 3 10" xfId="6603" xr:uid="{00000000-0005-0000-0000-00000C030000}"/>
    <cellStyle name="Comma 9 3 11" xfId="9024" xr:uid="{00000000-0005-0000-0000-00000C030000}"/>
    <cellStyle name="Comma 9 3 2" xfId="1830" xr:uid="{00000000-0005-0000-0000-00002A030000}"/>
    <cellStyle name="Comma 9 3 2 2" xfId="3081" xr:uid="{00000000-0005-0000-0000-000065020000}"/>
    <cellStyle name="Comma 9 3 2 2 2" xfId="6482" xr:uid="{00000000-0005-0000-0000-0000FD020000}"/>
    <cellStyle name="Comma 9 3 2 2 2 2" xfId="11455" xr:uid="{00000000-0005-0000-0000-0000FD020000}"/>
    <cellStyle name="Comma 9 3 2 2 3" xfId="8404" xr:uid="{00000000-0005-0000-0000-00000E030000}"/>
    <cellStyle name="Comma 9 3 2 2 4" xfId="10801" xr:uid="{00000000-0005-0000-0000-00000E030000}"/>
    <cellStyle name="Comma 9 3 2 2 5" xfId="11347" xr:uid="{00000000-0005-0000-0000-0000E02C0000}"/>
    <cellStyle name="Comma 9 3 2 3" xfId="2688" xr:uid="{00000000-0005-0000-0000-000064020000}"/>
    <cellStyle name="Comma 9 3 2 3 2" xfId="7911" xr:uid="{00000000-0005-0000-0000-00000F030000}"/>
    <cellStyle name="Comma 9 3 2 3 3" xfId="10308" xr:uid="{00000000-0005-0000-0000-00000F030000}"/>
    <cellStyle name="Comma 9 3 2 3 4" xfId="11999" xr:uid="{00000000-0005-0000-0000-0000AA020000}"/>
    <cellStyle name="Comma 9 3 2 4" xfId="3695" xr:uid="{00000000-0005-0000-0000-00002A030000}"/>
    <cellStyle name="Comma 9 3 2 5" xfId="4270" xr:uid="{00000000-0005-0000-0000-000064020000}"/>
    <cellStyle name="Comma 9 3 2 6" xfId="5803" xr:uid="{00000000-0005-0000-0000-0000BA010000}"/>
    <cellStyle name="Comma 9 3 2 7" xfId="5064" xr:uid="{00000000-0005-0000-0000-0000BD010000}"/>
    <cellStyle name="Comma 9 3 2 8" xfId="7008" xr:uid="{00000000-0005-0000-0000-00000D030000}"/>
    <cellStyle name="Comma 9 3 2 9" xfId="9416" xr:uid="{00000000-0005-0000-0000-00000D030000}"/>
    <cellStyle name="Comma 9 3 3" xfId="1831" xr:uid="{00000000-0005-0000-0000-00002B030000}"/>
    <cellStyle name="Comma 9 3 3 2" xfId="3082" xr:uid="{00000000-0005-0000-0000-000066020000}"/>
    <cellStyle name="Comma 9 3 3 2 2" xfId="11456" xr:uid="{00000000-0005-0000-0000-000000030000}"/>
    <cellStyle name="Comma 9 3 3 3" xfId="3705" xr:uid="{00000000-0005-0000-0000-00002B030000}"/>
    <cellStyle name="Comma 9 3 3 4" xfId="4421" xr:uid="{00000000-0005-0000-0000-000066020000}"/>
    <cellStyle name="Comma 9 3 3 5" xfId="5690" xr:uid="{00000000-0005-0000-0000-0000BB010000}"/>
    <cellStyle name="Comma 9 3 3 6" xfId="8405" xr:uid="{00000000-0005-0000-0000-000010030000}"/>
    <cellStyle name="Comma 9 3 3 7" xfId="10802" xr:uid="{00000000-0005-0000-0000-000010030000}"/>
    <cellStyle name="Comma 9 3 4" xfId="1829" xr:uid="{00000000-0005-0000-0000-00002C030000}"/>
    <cellStyle name="Comma 9 3 4 2" xfId="3080" xr:uid="{00000000-0005-0000-0000-000067020000}"/>
    <cellStyle name="Comma 9 3 4 2 2" xfId="11454" xr:uid="{00000000-0005-0000-0000-000002030000}"/>
    <cellStyle name="Comma 9 3 4 3" xfId="3670" xr:uid="{00000000-0005-0000-0000-00002C030000}"/>
    <cellStyle name="Comma 9 3 4 3 2" xfId="11770" xr:uid="{00000000-0005-0000-0000-000025030000}"/>
    <cellStyle name="Comma 9 3 4 4" xfId="8403" xr:uid="{00000000-0005-0000-0000-000011030000}"/>
    <cellStyle name="Comma 9 3 4 5" xfId="10800" xr:uid="{00000000-0005-0000-0000-000011030000}"/>
    <cellStyle name="Comma 9 3 5" xfId="2583" xr:uid="{00000000-0005-0000-0000-000068020000}"/>
    <cellStyle name="Comma 9 3 5 2" xfId="7781" xr:uid="{00000000-0005-0000-0000-000012030000}"/>
    <cellStyle name="Comma 9 3 5 3" xfId="10178" xr:uid="{00000000-0005-0000-0000-000012030000}"/>
    <cellStyle name="Comma 9 3 6" xfId="2290" xr:uid="{00000000-0005-0000-0000-000063020000}"/>
    <cellStyle name="Comma 9 3 7" xfId="3825" xr:uid="{00000000-0005-0000-0000-00007C010000}"/>
    <cellStyle name="Comma 9 3 8" xfId="5459" xr:uid="{00000000-0005-0000-0000-0000B9010000}"/>
    <cellStyle name="Comma 9 3 9" xfId="4857" xr:uid="{00000000-0005-0000-0000-0000BC010000}"/>
    <cellStyle name="Comma 9 4" xfId="543" xr:uid="{00000000-0005-0000-0000-00002D030000}"/>
    <cellStyle name="Comma 9 4 2" xfId="1833" xr:uid="{00000000-0005-0000-0000-00002E030000}"/>
    <cellStyle name="Comma 9 4 2 2" xfId="3083" xr:uid="{00000000-0005-0000-0000-00006A020000}"/>
    <cellStyle name="Comma 9 4 2 2 2" xfId="8406" xr:uid="{00000000-0005-0000-0000-000015030000}"/>
    <cellStyle name="Comma 9 4 2 2 3" xfId="10803" xr:uid="{00000000-0005-0000-0000-000015030000}"/>
    <cellStyle name="Comma 9 4 2 2 4" xfId="12000" xr:uid="{00000000-0005-0000-0000-0000AF020000}"/>
    <cellStyle name="Comma 9 4 2 3" xfId="2863" xr:uid="{00000000-0005-0000-0000-00002E030000}"/>
    <cellStyle name="Comma 9 4 2 4" xfId="6363" xr:uid="{00000000-0005-0000-0000-00006A020000}"/>
    <cellStyle name="Comma 9 4 2 5" xfId="7009" xr:uid="{00000000-0005-0000-0000-000014030000}"/>
    <cellStyle name="Comma 9 4 2 6" xfId="9417" xr:uid="{00000000-0005-0000-0000-000014030000}"/>
    <cellStyle name="Comma 9 4 3" xfId="1834" xr:uid="{00000000-0005-0000-0000-00002F030000}"/>
    <cellStyle name="Comma 9 4 3 2" xfId="2685" xr:uid="{00000000-0005-0000-0000-00006B020000}"/>
    <cellStyle name="Comma 9 4 3 3" xfId="2865" xr:uid="{00000000-0005-0000-0000-00002F030000}"/>
    <cellStyle name="Comma 9 4 3 4" xfId="6168" xr:uid="{00000000-0005-0000-0000-00006B020000}"/>
    <cellStyle name="Comma 9 4 3 5" xfId="7908" xr:uid="{00000000-0005-0000-0000-000016030000}"/>
    <cellStyle name="Comma 9 4 3 6" xfId="10305" xr:uid="{00000000-0005-0000-0000-000016030000}"/>
    <cellStyle name="Comma 9 4 4" xfId="1832" xr:uid="{00000000-0005-0000-0000-000030030000}"/>
    <cellStyle name="Comma 9 4 4 2" xfId="4625" xr:uid="{00000000-0005-0000-0000-000069020000}"/>
    <cellStyle name="Comma 9 4 5" xfId="4134" xr:uid="{00000000-0005-0000-0000-000069020000}"/>
    <cellStyle name="Comma 9 4 5 2" xfId="11804" xr:uid="{00000000-0005-0000-0000-00002D030000}"/>
    <cellStyle name="Comma 9 4 6" xfId="5800" xr:uid="{00000000-0005-0000-0000-0000BC010000}"/>
    <cellStyle name="Comma 9 4 7" xfId="5062" xr:uid="{00000000-0005-0000-0000-0000BE010000}"/>
    <cellStyle name="Comma 9 4 8" xfId="6764" xr:uid="{00000000-0005-0000-0000-000013030000}"/>
    <cellStyle name="Comma 9 4 9" xfId="9185" xr:uid="{00000000-0005-0000-0000-000013030000}"/>
    <cellStyle name="Comma 9 5" xfId="544" xr:uid="{00000000-0005-0000-0000-000031030000}"/>
    <cellStyle name="Comma 9 5 2" xfId="1836" xr:uid="{00000000-0005-0000-0000-000032030000}"/>
    <cellStyle name="Comma 9 5 2 2" xfId="5964" xr:uid="{00000000-0005-0000-0000-000009030000}"/>
    <cellStyle name="Comma 9 5 2 3" xfId="8407" xr:uid="{00000000-0005-0000-0000-000018030000}"/>
    <cellStyle name="Comma 9 5 2 4" xfId="10804" xr:uid="{00000000-0005-0000-0000-000018030000}"/>
    <cellStyle name="Comma 9 5 3" xfId="1837" xr:uid="{00000000-0005-0000-0000-000033030000}"/>
    <cellStyle name="Comma 9 5 4" xfId="1835" xr:uid="{00000000-0005-0000-0000-000034030000}"/>
    <cellStyle name="Comma 9 5 5" xfId="4422" xr:uid="{00000000-0005-0000-0000-00006C020000}"/>
    <cellStyle name="Comma 9 5 6" xfId="5604" xr:uid="{00000000-0005-0000-0000-0000BD010000}"/>
    <cellStyle name="Comma 9 5 7" xfId="7010" xr:uid="{00000000-0005-0000-0000-000017030000}"/>
    <cellStyle name="Comma 9 5 8" xfId="9418" xr:uid="{00000000-0005-0000-0000-000017030000}"/>
    <cellStyle name="Comma 9 6" xfId="1838" xr:uid="{00000000-0005-0000-0000-000035030000}"/>
    <cellStyle name="Comma 9 6 2" xfId="2880" xr:uid="{00000000-0005-0000-0000-00006D020000}"/>
    <cellStyle name="Comma 9 6 2 2" xfId="8188" xr:uid="{00000000-0005-0000-0000-00001A030000}"/>
    <cellStyle name="Comma 9 6 2 3" xfId="10585" xr:uid="{00000000-0005-0000-0000-00001A030000}"/>
    <cellStyle name="Comma 9 6 3" xfId="3701" xr:uid="{00000000-0005-0000-0000-000035030000}"/>
    <cellStyle name="Comma 9 6 4" xfId="6273" xr:uid="{00000000-0005-0000-0000-00006D020000}"/>
    <cellStyle name="Comma 9 6 5" xfId="7004" xr:uid="{00000000-0005-0000-0000-000019030000}"/>
    <cellStyle name="Comma 9 6 6" xfId="9412" xr:uid="{00000000-0005-0000-0000-000019030000}"/>
    <cellStyle name="Comma 9 7" xfId="1839" xr:uid="{00000000-0005-0000-0000-000036030000}"/>
    <cellStyle name="Comma 9 7 2" xfId="2480" xr:uid="{00000000-0005-0000-0000-00006E020000}"/>
    <cellStyle name="Comma 9 7 3" xfId="3659" xr:uid="{00000000-0005-0000-0000-000036030000}"/>
    <cellStyle name="Comma 9 7 4" xfId="7678" xr:uid="{00000000-0005-0000-0000-00001B030000}"/>
    <cellStyle name="Comma 9 7 5" xfId="10075" xr:uid="{00000000-0005-0000-0000-00001B030000}"/>
    <cellStyle name="Comma 9 8" xfId="1819" xr:uid="{00000000-0005-0000-0000-000037030000}"/>
    <cellStyle name="Comma 9 8 2" xfId="2174" xr:uid="{00000000-0005-0000-0000-000055020000}"/>
    <cellStyle name="Comma 9 8 3" xfId="3546" xr:uid="{00000000-0005-0000-0000-000037030000}"/>
    <cellStyle name="Comma 9 9" xfId="3877" xr:uid="{00000000-0005-0000-0000-000079010000}"/>
    <cellStyle name="Currency" xfId="545" builtinId="4"/>
    <cellStyle name="Currency 2" xfId="546" xr:uid="{00000000-0005-0000-0000-000039030000}"/>
    <cellStyle name="Currency 2 2" xfId="547" xr:uid="{00000000-0005-0000-0000-00003A030000}"/>
    <cellStyle name="Currency 2 2 2" xfId="1841" xr:uid="{00000000-0005-0000-0000-00003B030000}"/>
    <cellStyle name="Currency 2 2 2 2" xfId="5291" xr:uid="{00000000-0005-0000-0000-00000F030000}"/>
    <cellStyle name="Currency 2 2 3" xfId="1842" xr:uid="{00000000-0005-0000-0000-00003C030000}"/>
    <cellStyle name="Currency 2 2 4" xfId="1840" xr:uid="{00000000-0005-0000-0000-00003D030000}"/>
    <cellStyle name="Currency 2 3" xfId="548" xr:uid="{00000000-0005-0000-0000-00003E030000}"/>
    <cellStyle name="Currency 2 4" xfId="549" xr:uid="{00000000-0005-0000-0000-00003F030000}"/>
    <cellStyle name="Currency 2 4 2" xfId="550" xr:uid="{00000000-0005-0000-0000-000040030000}"/>
    <cellStyle name="Currency 2 4 2 2" xfId="1845" xr:uid="{00000000-0005-0000-0000-000041030000}"/>
    <cellStyle name="Currency 2 4 2 3" xfId="1846" xr:uid="{00000000-0005-0000-0000-000042030000}"/>
    <cellStyle name="Currency 2 4 2 4" xfId="1844" xr:uid="{00000000-0005-0000-0000-000043030000}"/>
    <cellStyle name="Currency 2 4 2 5" xfId="7013" xr:uid="{00000000-0005-0000-0000-000020030000}"/>
    <cellStyle name="Currency 2 4 2 6" xfId="9421" xr:uid="{00000000-0005-0000-0000-000020030000}"/>
    <cellStyle name="Currency 2 4 3" xfId="1847" xr:uid="{00000000-0005-0000-0000-000044030000}"/>
    <cellStyle name="Currency 2 4 4" xfId="1848" xr:uid="{00000000-0005-0000-0000-000045030000}"/>
    <cellStyle name="Currency 2 4 5" xfId="1843" xr:uid="{00000000-0005-0000-0000-000046030000}"/>
    <cellStyle name="Currency 2 4 6" xfId="6502" xr:uid="{00000000-0005-0000-0000-000012030000}"/>
    <cellStyle name="Currency 2 4 7" xfId="7012" xr:uid="{00000000-0005-0000-0000-00001F030000}"/>
    <cellStyle name="Currency 2 4 8" xfId="9420" xr:uid="{00000000-0005-0000-0000-00001F030000}"/>
    <cellStyle name="Currency 2 5" xfId="1849" xr:uid="{00000000-0005-0000-0000-000047030000}"/>
    <cellStyle name="Currency 3" xfId="551" xr:uid="{00000000-0005-0000-0000-000048030000}"/>
    <cellStyle name="Currency 3 2" xfId="552" xr:uid="{00000000-0005-0000-0000-000049030000}"/>
    <cellStyle name="Currency 3 2 2" xfId="1851" xr:uid="{00000000-0005-0000-0000-00004A030000}"/>
    <cellStyle name="Currency 3 2 3" xfId="1852" xr:uid="{00000000-0005-0000-0000-00004B030000}"/>
    <cellStyle name="Currency 3 2 4" xfId="1850" xr:uid="{00000000-0005-0000-0000-00004C030000}"/>
    <cellStyle name="Currency 3 2 5" xfId="7014" xr:uid="{00000000-0005-0000-0000-000022030000}"/>
    <cellStyle name="Currency 3 2 6" xfId="9422" xr:uid="{00000000-0005-0000-0000-000022030000}"/>
    <cellStyle name="Currency 4" xfId="553" xr:uid="{00000000-0005-0000-0000-00004D030000}"/>
    <cellStyle name="Currency 4 10" xfId="554" xr:uid="{00000000-0005-0000-0000-00004E030000}"/>
    <cellStyle name="Currency 4 10 2" xfId="1855" xr:uid="{00000000-0005-0000-0000-00004F030000}"/>
    <cellStyle name="Currency 4 10 2 2" xfId="3084" xr:uid="{00000000-0005-0000-0000-000075020000}"/>
    <cellStyle name="Currency 4 10 2 2 2" xfId="11602" xr:uid="{00000000-0005-0000-0000-00003B030000}"/>
    <cellStyle name="Currency 4 10 2 3" xfId="2052" xr:uid="{00000000-0005-0000-0000-00004F030000}"/>
    <cellStyle name="Currency 4 10 2 4" xfId="6364" xr:uid="{00000000-0005-0000-0000-000075020000}"/>
    <cellStyle name="Currency 4 10 2 5" xfId="7016" xr:uid="{00000000-0005-0000-0000-000025030000}"/>
    <cellStyle name="Currency 4 10 2 6" xfId="9424" xr:uid="{00000000-0005-0000-0000-000025030000}"/>
    <cellStyle name="Currency 4 10 3" xfId="1856" xr:uid="{00000000-0005-0000-0000-000050030000}"/>
    <cellStyle name="Currency 4 10 3 2" xfId="6088" xr:uid="{00000000-0005-0000-0000-000050030000}"/>
    <cellStyle name="Currency 4 10 3 3" xfId="8408" xr:uid="{00000000-0005-0000-0000-000026030000}"/>
    <cellStyle name="Currency 4 10 3 4" xfId="10805" xr:uid="{00000000-0005-0000-0000-000026030000}"/>
    <cellStyle name="Currency 4 10 3 5" xfId="4720" xr:uid="{00000000-0005-0000-0000-0000EE010000}"/>
    <cellStyle name="Currency 4 10 4" xfId="1854" xr:uid="{00000000-0005-0000-0000-000051030000}"/>
    <cellStyle name="Currency 4 10 4 2" xfId="11868" xr:uid="{00000000-0005-0000-0000-00003D030000}"/>
    <cellStyle name="Currency 4 10 4 3" xfId="11641" xr:uid="{00000000-0005-0000-0000-00003D030000}"/>
    <cellStyle name="Currency 4 10 5" xfId="4136" xr:uid="{00000000-0005-0000-0000-000074020000}"/>
    <cellStyle name="Currency 4 10 6" xfId="5558" xr:uid="{00000000-0005-0000-0000-0000C3010000}"/>
    <cellStyle name="Currency 4 10 7" xfId="5066" xr:uid="{00000000-0005-0000-0000-0000C4010000}"/>
    <cellStyle name="Currency 4 10 8" xfId="6767" xr:uid="{00000000-0005-0000-0000-000024030000}"/>
    <cellStyle name="Currency 4 10 9" xfId="9188" xr:uid="{00000000-0005-0000-0000-000024030000}"/>
    <cellStyle name="Currency 4 11" xfId="555" xr:uid="{00000000-0005-0000-0000-000052030000}"/>
    <cellStyle name="Currency 4 11 2" xfId="1858" xr:uid="{00000000-0005-0000-0000-000053030000}"/>
    <cellStyle name="Currency 4 11 2 2" xfId="6460" xr:uid="{00000000-0005-0000-0000-000018030000}"/>
    <cellStyle name="Currency 4 11 2 3" xfId="8190" xr:uid="{00000000-0005-0000-0000-000028030000}"/>
    <cellStyle name="Currency 4 11 2 4" xfId="10587" xr:uid="{00000000-0005-0000-0000-000028030000}"/>
    <cellStyle name="Currency 4 11 3" xfId="1859" xr:uid="{00000000-0005-0000-0000-000054030000}"/>
    <cellStyle name="Currency 4 11 4" xfId="1857" xr:uid="{00000000-0005-0000-0000-000055030000}"/>
    <cellStyle name="Currency 4 11 5" xfId="6274" xr:uid="{00000000-0005-0000-0000-000076020000}"/>
    <cellStyle name="Currency 4 11 6" xfId="7017" xr:uid="{00000000-0005-0000-0000-000027030000}"/>
    <cellStyle name="Currency 4 11 7" xfId="9425" xr:uid="{00000000-0005-0000-0000-000027030000}"/>
    <cellStyle name="Currency 4 12" xfId="1860" xr:uid="{00000000-0005-0000-0000-000056030000}"/>
    <cellStyle name="Currency 4 12 2" xfId="2435" xr:uid="{00000000-0005-0000-0000-000077020000}"/>
    <cellStyle name="Currency 4 12 3" xfId="3606" xr:uid="{00000000-0005-0000-0000-000056030000}"/>
    <cellStyle name="Currency 4 12 4" xfId="6147" xr:uid="{00000000-0005-0000-0000-000077020000}"/>
    <cellStyle name="Currency 4 12 5" xfId="7015" xr:uid="{00000000-0005-0000-0000-000029030000}"/>
    <cellStyle name="Currency 4 12 6" xfId="9423" xr:uid="{00000000-0005-0000-0000-000029030000}"/>
    <cellStyle name="Currency 4 13" xfId="1861" xr:uid="{00000000-0005-0000-0000-000057030000}"/>
    <cellStyle name="Currency 4 13 2" xfId="2165" xr:uid="{00000000-0005-0000-0000-000073020000}"/>
    <cellStyle name="Currency 4 13 3" xfId="2077" xr:uid="{00000000-0005-0000-0000-000057030000}"/>
    <cellStyle name="Currency 4 13 4" xfId="7632" xr:uid="{00000000-0005-0000-0000-00002A030000}"/>
    <cellStyle name="Currency 4 13 5" xfId="10029" xr:uid="{00000000-0005-0000-0000-00002A030000}"/>
    <cellStyle name="Currency 4 14" xfId="1853" xr:uid="{00000000-0005-0000-0000-000058030000}"/>
    <cellStyle name="Currency 4 14 2" xfId="11794" xr:uid="{00000000-0005-0000-0000-000042030000}"/>
    <cellStyle name="Currency 4 14 3" xfId="11630" xr:uid="{00000000-0005-0000-0000-000042030000}"/>
    <cellStyle name="Currency 4 15" xfId="3881" xr:uid="{00000000-0005-0000-0000-000081010000}"/>
    <cellStyle name="Currency 4 16" xfId="5312" xr:uid="{00000000-0005-0000-0000-0000C2010000}"/>
    <cellStyle name="Currency 4 17" xfId="4767" xr:uid="{00000000-0005-0000-0000-0000C3010000}"/>
    <cellStyle name="Currency 4 18" xfId="6531" xr:uid="{00000000-0005-0000-0000-000023030000}"/>
    <cellStyle name="Currency 4 19" xfId="8952" xr:uid="{00000000-0005-0000-0000-000023030000}"/>
    <cellStyle name="Currency 4 2" xfId="556" xr:uid="{00000000-0005-0000-0000-000059030000}"/>
    <cellStyle name="Currency 4 2 10" xfId="5372" xr:uid="{00000000-0005-0000-0000-0000C4010000}"/>
    <cellStyle name="Currency 4 2 11" xfId="4828" xr:uid="{00000000-0005-0000-0000-0000C5010000}"/>
    <cellStyle name="Currency 4 2 12" xfId="6574" xr:uid="{00000000-0005-0000-0000-00002B030000}"/>
    <cellStyle name="Currency 4 2 13" xfId="8995" xr:uid="{00000000-0005-0000-0000-00002B030000}"/>
    <cellStyle name="Currency 4 2 2" xfId="557" xr:uid="{00000000-0005-0000-0000-00005A030000}"/>
    <cellStyle name="Currency 4 2 2 10" xfId="4862" xr:uid="{00000000-0005-0000-0000-0000C6010000}"/>
    <cellStyle name="Currency 4 2 2 11" xfId="6608" xr:uid="{00000000-0005-0000-0000-00002C030000}"/>
    <cellStyle name="Currency 4 2 2 12" xfId="9029" xr:uid="{00000000-0005-0000-0000-00002C030000}"/>
    <cellStyle name="Currency 4 2 2 2" xfId="558" xr:uid="{00000000-0005-0000-0000-00005B030000}"/>
    <cellStyle name="Currency 4 2 2 2 10" xfId="6769" xr:uid="{00000000-0005-0000-0000-00002D030000}"/>
    <cellStyle name="Currency 4 2 2 2 11" xfId="9190" xr:uid="{00000000-0005-0000-0000-00002D030000}"/>
    <cellStyle name="Currency 4 2 2 2 2" xfId="1865" xr:uid="{00000000-0005-0000-0000-00005C030000}"/>
    <cellStyle name="Currency 4 2 2 2 2 2" xfId="3086" xr:uid="{00000000-0005-0000-0000-00007C020000}"/>
    <cellStyle name="Currency 4 2 2 2 2 2 2" xfId="8410" xr:uid="{00000000-0005-0000-0000-00002F030000}"/>
    <cellStyle name="Currency 4 2 2 2 2 2 3" xfId="10807" xr:uid="{00000000-0005-0000-0000-00002F030000}"/>
    <cellStyle name="Currency 4 2 2 2 2 3" xfId="2693" xr:uid="{00000000-0005-0000-0000-00007B020000}"/>
    <cellStyle name="Currency 4 2 2 2 2 3 2" xfId="7916" xr:uid="{00000000-0005-0000-0000-000030030000}"/>
    <cellStyle name="Currency 4 2 2 2 2 3 3" xfId="10313" xr:uid="{00000000-0005-0000-0000-000030030000}"/>
    <cellStyle name="Currency 4 2 2 2 2 3 4" xfId="12001" xr:uid="{00000000-0005-0000-0000-0000C4020000}"/>
    <cellStyle name="Currency 4 2 2 2 2 4" xfId="3703" xr:uid="{00000000-0005-0000-0000-00005C030000}"/>
    <cellStyle name="Currency 4 2 2 2 2 4 2" xfId="11733" xr:uid="{00000000-0005-0000-0000-000046030000}"/>
    <cellStyle name="Currency 4 2 2 2 2 5" xfId="4272" xr:uid="{00000000-0005-0000-0000-00007B020000}"/>
    <cellStyle name="Currency 4 2 2 2 2 6" xfId="5808" xr:uid="{00000000-0005-0000-0000-0000C7010000}"/>
    <cellStyle name="Currency 4 2 2 2 2 7" xfId="7020" xr:uid="{00000000-0005-0000-0000-00002E030000}"/>
    <cellStyle name="Currency 4 2 2 2 2 8" xfId="9428" xr:uid="{00000000-0005-0000-0000-00002E030000}"/>
    <cellStyle name="Currency 4 2 2 2 3" xfId="1866" xr:uid="{00000000-0005-0000-0000-00005D030000}"/>
    <cellStyle name="Currency 4 2 2 2 3 2" xfId="3087" xr:uid="{00000000-0005-0000-0000-00007D020000}"/>
    <cellStyle name="Currency 4 2 2 2 3 2 2" xfId="11457" xr:uid="{00000000-0005-0000-0000-000022030000}"/>
    <cellStyle name="Currency 4 2 2 2 3 3" xfId="2088" xr:uid="{00000000-0005-0000-0000-00005D030000}"/>
    <cellStyle name="Currency 4 2 2 2 3 3 2" xfId="11754" xr:uid="{00000000-0005-0000-0000-000049030000}"/>
    <cellStyle name="Currency 4 2 2 2 3 4" xfId="4423" xr:uid="{00000000-0005-0000-0000-00007D020000}"/>
    <cellStyle name="Currency 4 2 2 2 3 5" xfId="5755" xr:uid="{00000000-0005-0000-0000-0000C8010000}"/>
    <cellStyle name="Currency 4 2 2 2 3 6" xfId="8411" xr:uid="{00000000-0005-0000-0000-000031030000}"/>
    <cellStyle name="Currency 4 2 2 2 3 7" xfId="10808" xr:uid="{00000000-0005-0000-0000-000031030000}"/>
    <cellStyle name="Currency 4 2 2 2 4" xfId="1864" xr:uid="{00000000-0005-0000-0000-00005E030000}"/>
    <cellStyle name="Currency 4 2 2 2 4 2" xfId="3085" xr:uid="{00000000-0005-0000-0000-00007E020000}"/>
    <cellStyle name="Currency 4 2 2 2 4 3" xfId="3587" xr:uid="{00000000-0005-0000-0000-00005E030000}"/>
    <cellStyle name="Currency 4 2 2 2 4 4" xfId="8409" xr:uid="{00000000-0005-0000-0000-000032030000}"/>
    <cellStyle name="Currency 4 2 2 2 4 5" xfId="10806" xr:uid="{00000000-0005-0000-0000-000032030000}"/>
    <cellStyle name="Currency 4 2 2 2 5" xfId="2649" xr:uid="{00000000-0005-0000-0000-00007F020000}"/>
    <cellStyle name="Currency 4 2 2 2 5 2" xfId="7855" xr:uid="{00000000-0005-0000-0000-000033030000}"/>
    <cellStyle name="Currency 4 2 2 2 5 3" xfId="10252" xr:uid="{00000000-0005-0000-0000-000033030000}"/>
    <cellStyle name="Currency 4 2 2 2 6" xfId="2294" xr:uid="{00000000-0005-0000-0000-00007A020000}"/>
    <cellStyle name="Currency 4 2 2 2 6 2" xfId="11603" xr:uid="{00000000-0005-0000-0000-000045030000}"/>
    <cellStyle name="Currency 4 2 2 2 7" xfId="3829" xr:uid="{00000000-0005-0000-0000-000084010000}"/>
    <cellStyle name="Currency 4 2 2 2 8" xfId="5533" xr:uid="{00000000-0005-0000-0000-0000C6010000}"/>
    <cellStyle name="Currency 4 2 2 2 9" xfId="5068" xr:uid="{00000000-0005-0000-0000-0000C7010000}"/>
    <cellStyle name="Currency 4 2 2 3" xfId="559" xr:uid="{00000000-0005-0000-0000-00005F030000}"/>
    <cellStyle name="Currency 4 2 2 3 2" xfId="1868" xr:uid="{00000000-0005-0000-0000-000060030000}"/>
    <cellStyle name="Currency 4 2 2 3 2 2" xfId="3088" xr:uid="{00000000-0005-0000-0000-000081020000}"/>
    <cellStyle name="Currency 4 2 2 3 2 2 2" xfId="11869" xr:uid="{00000000-0005-0000-0000-00004F030000}"/>
    <cellStyle name="Currency 4 2 2 3 2 3" xfId="3588" xr:uid="{00000000-0005-0000-0000-000060030000}"/>
    <cellStyle name="Currency 4 2 2 3 2 3 2" xfId="11734" xr:uid="{00000000-0005-0000-0000-00004E030000}"/>
    <cellStyle name="Currency 4 2 2 3 2 4" xfId="8412" xr:uid="{00000000-0005-0000-0000-000035030000}"/>
    <cellStyle name="Currency 4 2 2 3 2 5" xfId="10809" xr:uid="{00000000-0005-0000-0000-000035030000}"/>
    <cellStyle name="Currency 4 2 2 3 3" xfId="1869" xr:uid="{00000000-0005-0000-0000-000061030000}"/>
    <cellStyle name="Currency 4 2 2 3 3 2" xfId="2692" xr:uid="{00000000-0005-0000-0000-000082020000}"/>
    <cellStyle name="Currency 4 2 2 3 3 3" xfId="3657" xr:uid="{00000000-0005-0000-0000-000061030000}"/>
    <cellStyle name="Currency 4 2 2 3 3 4" xfId="7915" xr:uid="{00000000-0005-0000-0000-000036030000}"/>
    <cellStyle name="Currency 4 2 2 3 3 5" xfId="10312" xr:uid="{00000000-0005-0000-0000-000036030000}"/>
    <cellStyle name="Currency 4 2 2 3 4" xfId="1867" xr:uid="{00000000-0005-0000-0000-000062030000}"/>
    <cellStyle name="Currency 4 2 2 3 4 2" xfId="4657" xr:uid="{00000000-0005-0000-0000-000080020000}"/>
    <cellStyle name="Currency 4 2 2 3 5" xfId="4138" xr:uid="{00000000-0005-0000-0000-000080020000}"/>
    <cellStyle name="Currency 4 2 2 3 6" xfId="5807" xr:uid="{00000000-0005-0000-0000-0000C9010000}"/>
    <cellStyle name="Currency 4 2 2 3 7" xfId="7021" xr:uid="{00000000-0005-0000-0000-000034030000}"/>
    <cellStyle name="Currency 4 2 2 3 8" xfId="9429" xr:uid="{00000000-0005-0000-0000-000034030000}"/>
    <cellStyle name="Currency 4 2 2 4" xfId="1870" xr:uid="{00000000-0005-0000-0000-000063030000}"/>
    <cellStyle name="Currency 4 2 2 4 2" xfId="3089" xr:uid="{00000000-0005-0000-0000-000083020000}"/>
    <cellStyle name="Currency 4 2 2 4 2 2" xfId="8413" xr:uid="{00000000-0005-0000-0000-000038030000}"/>
    <cellStyle name="Currency 4 2 2 4 2 3" xfId="10810" xr:uid="{00000000-0005-0000-0000-000038030000}"/>
    <cellStyle name="Currency 4 2 2 4 3" xfId="3658" xr:uid="{00000000-0005-0000-0000-000063030000}"/>
    <cellStyle name="Currency 4 2 2 4 3 2" xfId="11773" xr:uid="{00000000-0005-0000-0000-000051030000}"/>
    <cellStyle name="Currency 4 2 2 4 4" xfId="4424" xr:uid="{00000000-0005-0000-0000-000083020000}"/>
    <cellStyle name="Currency 4 2 2 4 5" xfId="5670" xr:uid="{00000000-0005-0000-0000-0000CA010000}"/>
    <cellStyle name="Currency 4 2 2 4 6" xfId="7019" xr:uid="{00000000-0005-0000-0000-000037030000}"/>
    <cellStyle name="Currency 4 2 2 4 7" xfId="9427" xr:uid="{00000000-0005-0000-0000-000037030000}"/>
    <cellStyle name="Currency 4 2 2 5" xfId="1871" xr:uid="{00000000-0005-0000-0000-000064030000}"/>
    <cellStyle name="Currency 4 2 2 5 2" xfId="2883" xr:uid="{00000000-0005-0000-0000-000084020000}"/>
    <cellStyle name="Currency 4 2 2 5 3" xfId="3583" xr:uid="{00000000-0005-0000-0000-000064030000}"/>
    <cellStyle name="Currency 4 2 2 5 4" xfId="8192" xr:uid="{00000000-0005-0000-0000-000039030000}"/>
    <cellStyle name="Currency 4 2 2 5 5" xfId="10589" xr:uid="{00000000-0005-0000-0000-000039030000}"/>
    <cellStyle name="Currency 4 2 2 6" xfId="1863" xr:uid="{00000000-0005-0000-0000-000065030000}"/>
    <cellStyle name="Currency 4 2 2 6 2" xfId="2554" xr:uid="{00000000-0005-0000-0000-000085020000}"/>
    <cellStyle name="Currency 4 2 2 6 3" xfId="3622" xr:uid="{00000000-0005-0000-0000-000065030000}"/>
    <cellStyle name="Currency 4 2 2 6 4" xfId="7752" xr:uid="{00000000-0005-0000-0000-00003A030000}"/>
    <cellStyle name="Currency 4 2 2 6 5" xfId="10149" xr:uid="{00000000-0005-0000-0000-00003A030000}"/>
    <cellStyle name="Currency 4 2 2 7" xfId="2248" xr:uid="{00000000-0005-0000-0000-000079020000}"/>
    <cellStyle name="Currency 4 2 2 8" xfId="3883" xr:uid="{00000000-0005-0000-0000-000083010000}"/>
    <cellStyle name="Currency 4 2 2 9" xfId="5432" xr:uid="{00000000-0005-0000-0000-0000C5010000}"/>
    <cellStyle name="Currency 4 2 3" xfId="560" xr:uid="{00000000-0005-0000-0000-000066030000}"/>
    <cellStyle name="Currency 4 2 3 10" xfId="6607" xr:uid="{00000000-0005-0000-0000-00003B030000}"/>
    <cellStyle name="Currency 4 2 3 11" xfId="9028" xr:uid="{00000000-0005-0000-0000-00003B030000}"/>
    <cellStyle name="Currency 4 2 3 2" xfId="1873" xr:uid="{00000000-0005-0000-0000-000067030000}"/>
    <cellStyle name="Currency 4 2 3 2 2" xfId="3091" xr:uid="{00000000-0005-0000-0000-000088020000}"/>
    <cellStyle name="Currency 4 2 3 2 2 2" xfId="6503" xr:uid="{00000000-0005-0000-0000-00002F030000}"/>
    <cellStyle name="Currency 4 2 3 2 2 2 2" xfId="11459" xr:uid="{00000000-0005-0000-0000-00002F030000}"/>
    <cellStyle name="Currency 4 2 3 2 2 3" xfId="8415" xr:uid="{00000000-0005-0000-0000-00003D030000}"/>
    <cellStyle name="Currency 4 2 3 2 2 4" xfId="10812" xr:uid="{00000000-0005-0000-0000-00003D030000}"/>
    <cellStyle name="Currency 4 2 3 2 2 5" xfId="11367" xr:uid="{00000000-0005-0000-0000-0000E12C0000}"/>
    <cellStyle name="Currency 4 2 3 2 3" xfId="2694" xr:uid="{00000000-0005-0000-0000-000087020000}"/>
    <cellStyle name="Currency 4 2 3 2 3 2" xfId="7917" xr:uid="{00000000-0005-0000-0000-00003E030000}"/>
    <cellStyle name="Currency 4 2 3 2 3 3" xfId="10314" xr:uid="{00000000-0005-0000-0000-00003E030000}"/>
    <cellStyle name="Currency 4 2 3 2 3 4" xfId="12002" xr:uid="{00000000-0005-0000-0000-0000CD020000}"/>
    <cellStyle name="Currency 4 2 3 2 4" xfId="3616" xr:uid="{00000000-0005-0000-0000-000067030000}"/>
    <cellStyle name="Currency 4 2 3 2 5" xfId="4273" xr:uid="{00000000-0005-0000-0000-000087020000}"/>
    <cellStyle name="Currency 4 2 3 2 6" xfId="5809" xr:uid="{00000000-0005-0000-0000-0000CC010000}"/>
    <cellStyle name="Currency 4 2 3 2 7" xfId="5069" xr:uid="{00000000-0005-0000-0000-0000C9010000}"/>
    <cellStyle name="Currency 4 2 3 2 8" xfId="7022" xr:uid="{00000000-0005-0000-0000-00003C030000}"/>
    <cellStyle name="Currency 4 2 3 2 9" xfId="9430" xr:uid="{00000000-0005-0000-0000-00003C030000}"/>
    <cellStyle name="Currency 4 2 3 3" xfId="1874" xr:uid="{00000000-0005-0000-0000-000068030000}"/>
    <cellStyle name="Currency 4 2 3 3 2" xfId="3092" xr:uid="{00000000-0005-0000-0000-000089020000}"/>
    <cellStyle name="Currency 4 2 3 3 2 2" xfId="11460" xr:uid="{00000000-0005-0000-0000-000032030000}"/>
    <cellStyle name="Currency 4 2 3 3 3" xfId="3696" xr:uid="{00000000-0005-0000-0000-000068030000}"/>
    <cellStyle name="Currency 4 2 3 3 4" xfId="4425" xr:uid="{00000000-0005-0000-0000-000089020000}"/>
    <cellStyle name="Currency 4 2 3 3 5" xfId="5704" xr:uid="{00000000-0005-0000-0000-0000CD010000}"/>
    <cellStyle name="Currency 4 2 3 3 6" xfId="8416" xr:uid="{00000000-0005-0000-0000-00003F030000}"/>
    <cellStyle name="Currency 4 2 3 3 7" xfId="10813" xr:uid="{00000000-0005-0000-0000-00003F030000}"/>
    <cellStyle name="Currency 4 2 3 4" xfId="1872" xr:uid="{00000000-0005-0000-0000-000069030000}"/>
    <cellStyle name="Currency 4 2 3 4 2" xfId="3090" xr:uid="{00000000-0005-0000-0000-00008A020000}"/>
    <cellStyle name="Currency 4 2 3 4 2 2" xfId="11458" xr:uid="{00000000-0005-0000-0000-000034030000}"/>
    <cellStyle name="Currency 4 2 3 4 3" xfId="2078" xr:uid="{00000000-0005-0000-0000-000069030000}"/>
    <cellStyle name="Currency 4 2 3 4 3 2" xfId="11766" xr:uid="{00000000-0005-0000-0000-00005C030000}"/>
    <cellStyle name="Currency 4 2 3 4 4" xfId="8414" xr:uid="{00000000-0005-0000-0000-000040030000}"/>
    <cellStyle name="Currency 4 2 3 4 5" xfId="10811" xr:uid="{00000000-0005-0000-0000-000040030000}"/>
    <cellStyle name="Currency 4 2 3 5" xfId="2597" xr:uid="{00000000-0005-0000-0000-00008B020000}"/>
    <cellStyle name="Currency 4 2 3 5 2" xfId="7795" xr:uid="{00000000-0005-0000-0000-000041030000}"/>
    <cellStyle name="Currency 4 2 3 5 3" xfId="10192" xr:uid="{00000000-0005-0000-0000-000041030000}"/>
    <cellStyle name="Currency 4 2 3 6" xfId="2293" xr:uid="{00000000-0005-0000-0000-000086020000}"/>
    <cellStyle name="Currency 4 2 3 7" xfId="3828" xr:uid="{00000000-0005-0000-0000-000085010000}"/>
    <cellStyle name="Currency 4 2 3 8" xfId="5473" xr:uid="{00000000-0005-0000-0000-0000CB010000}"/>
    <cellStyle name="Currency 4 2 3 9" xfId="4861" xr:uid="{00000000-0005-0000-0000-0000C8010000}"/>
    <cellStyle name="Currency 4 2 4" xfId="561" xr:uid="{00000000-0005-0000-0000-00006A030000}"/>
    <cellStyle name="Currency 4 2 4 2" xfId="1876" xr:uid="{00000000-0005-0000-0000-00006B030000}"/>
    <cellStyle name="Currency 4 2 4 2 2" xfId="3093" xr:uid="{00000000-0005-0000-0000-00008D020000}"/>
    <cellStyle name="Currency 4 2 4 2 2 2" xfId="8417" xr:uid="{00000000-0005-0000-0000-000044030000}"/>
    <cellStyle name="Currency 4 2 4 2 2 3" xfId="10814" xr:uid="{00000000-0005-0000-0000-000044030000}"/>
    <cellStyle name="Currency 4 2 4 2 2 4" xfId="12003" xr:uid="{00000000-0005-0000-0000-0000D2020000}"/>
    <cellStyle name="Currency 4 2 4 2 3" xfId="2862" xr:uid="{00000000-0005-0000-0000-00006B030000}"/>
    <cellStyle name="Currency 4 2 4 2 4" xfId="6365" xr:uid="{00000000-0005-0000-0000-00008D020000}"/>
    <cellStyle name="Currency 4 2 4 2 5" xfId="7023" xr:uid="{00000000-0005-0000-0000-000043030000}"/>
    <cellStyle name="Currency 4 2 4 2 6" xfId="9431" xr:uid="{00000000-0005-0000-0000-000043030000}"/>
    <cellStyle name="Currency 4 2 4 3" xfId="1877" xr:uid="{00000000-0005-0000-0000-00006C030000}"/>
    <cellStyle name="Currency 4 2 4 3 2" xfId="2691" xr:uid="{00000000-0005-0000-0000-00008E020000}"/>
    <cellStyle name="Currency 4 2 4 3 3" xfId="3544" xr:uid="{00000000-0005-0000-0000-00006C030000}"/>
    <cellStyle name="Currency 4 2 4 3 4" xfId="6171" xr:uid="{00000000-0005-0000-0000-00008E020000}"/>
    <cellStyle name="Currency 4 2 4 3 5" xfId="7914" xr:uid="{00000000-0005-0000-0000-000045030000}"/>
    <cellStyle name="Currency 4 2 4 3 6" xfId="10311" xr:uid="{00000000-0005-0000-0000-000045030000}"/>
    <cellStyle name="Currency 4 2 4 4" xfId="1875" xr:uid="{00000000-0005-0000-0000-00006D030000}"/>
    <cellStyle name="Currency 4 2 4 4 2" xfId="4674" xr:uid="{00000000-0005-0000-0000-00008C020000}"/>
    <cellStyle name="Currency 4 2 4 5" xfId="4137" xr:uid="{00000000-0005-0000-0000-00008C020000}"/>
    <cellStyle name="Currency 4 2 4 5 2" xfId="11805" xr:uid="{00000000-0005-0000-0000-000064030000}"/>
    <cellStyle name="Currency 4 2 4 6" xfId="5806" xr:uid="{00000000-0005-0000-0000-0000CE010000}"/>
    <cellStyle name="Currency 4 2 4 7" xfId="5067" xr:uid="{00000000-0005-0000-0000-0000CA010000}"/>
    <cellStyle name="Currency 4 2 4 8" xfId="6768" xr:uid="{00000000-0005-0000-0000-000042030000}"/>
    <cellStyle name="Currency 4 2 4 9" xfId="9189" xr:uid="{00000000-0005-0000-0000-000042030000}"/>
    <cellStyle name="Currency 4 2 5" xfId="562" xr:uid="{00000000-0005-0000-0000-00006E030000}"/>
    <cellStyle name="Currency 4 2 5 2" xfId="1879" xr:uid="{00000000-0005-0000-0000-00006F030000}"/>
    <cellStyle name="Currency 4 2 5 2 2" xfId="5296" xr:uid="{00000000-0005-0000-0000-00003B030000}"/>
    <cellStyle name="Currency 4 2 5 2 3" xfId="8418" xr:uid="{00000000-0005-0000-0000-000047030000}"/>
    <cellStyle name="Currency 4 2 5 2 4" xfId="10815" xr:uid="{00000000-0005-0000-0000-000047030000}"/>
    <cellStyle name="Currency 4 2 5 3" xfId="1880" xr:uid="{00000000-0005-0000-0000-000070030000}"/>
    <cellStyle name="Currency 4 2 5 4" xfId="1878" xr:uid="{00000000-0005-0000-0000-000071030000}"/>
    <cellStyle name="Currency 4 2 5 5" xfId="4426" xr:uid="{00000000-0005-0000-0000-00008F020000}"/>
    <cellStyle name="Currency 4 2 5 6" xfId="5618" xr:uid="{00000000-0005-0000-0000-0000CF010000}"/>
    <cellStyle name="Currency 4 2 5 7" xfId="7024" xr:uid="{00000000-0005-0000-0000-000046030000}"/>
    <cellStyle name="Currency 4 2 5 8" xfId="9432" xr:uid="{00000000-0005-0000-0000-000046030000}"/>
    <cellStyle name="Currency 4 2 6" xfId="1881" xr:uid="{00000000-0005-0000-0000-000072030000}"/>
    <cellStyle name="Currency 4 2 6 2" xfId="2882" xr:uid="{00000000-0005-0000-0000-000090020000}"/>
    <cellStyle name="Currency 4 2 6 2 2" xfId="8191" xr:uid="{00000000-0005-0000-0000-000049030000}"/>
    <cellStyle name="Currency 4 2 6 2 3" xfId="10588" xr:uid="{00000000-0005-0000-0000-000049030000}"/>
    <cellStyle name="Currency 4 2 6 3" xfId="3621" xr:uid="{00000000-0005-0000-0000-000072030000}"/>
    <cellStyle name="Currency 4 2 6 4" xfId="6275" xr:uid="{00000000-0005-0000-0000-000090020000}"/>
    <cellStyle name="Currency 4 2 6 5" xfId="7018" xr:uid="{00000000-0005-0000-0000-000048030000}"/>
    <cellStyle name="Currency 4 2 6 6" xfId="9426" xr:uid="{00000000-0005-0000-0000-000048030000}"/>
    <cellStyle name="Currency 4 2 7" xfId="1882" xr:uid="{00000000-0005-0000-0000-000073030000}"/>
    <cellStyle name="Currency 4 2 7 2" xfId="2494" xr:uid="{00000000-0005-0000-0000-000091020000}"/>
    <cellStyle name="Currency 4 2 7 3" xfId="3603" xr:uid="{00000000-0005-0000-0000-000073030000}"/>
    <cellStyle name="Currency 4 2 7 4" xfId="7692" xr:uid="{00000000-0005-0000-0000-00004A030000}"/>
    <cellStyle name="Currency 4 2 7 5" xfId="10089" xr:uid="{00000000-0005-0000-0000-00004A030000}"/>
    <cellStyle name="Currency 4 2 8" xfId="1862" xr:uid="{00000000-0005-0000-0000-000074030000}"/>
    <cellStyle name="Currency 4 2 8 2" xfId="2188" xr:uid="{00000000-0005-0000-0000-000078020000}"/>
    <cellStyle name="Currency 4 2 8 3" xfId="3651" xr:uid="{00000000-0005-0000-0000-000074030000}"/>
    <cellStyle name="Currency 4 2 9" xfId="3882" xr:uid="{00000000-0005-0000-0000-000082010000}"/>
    <cellStyle name="Currency 4 3" xfId="563" xr:uid="{00000000-0005-0000-0000-000075030000}"/>
    <cellStyle name="Currency 4 3 10" xfId="5349" xr:uid="{00000000-0005-0000-0000-0000D0010000}"/>
    <cellStyle name="Currency 4 3 11" xfId="4805" xr:uid="{00000000-0005-0000-0000-0000CB010000}"/>
    <cellStyle name="Currency 4 3 12" xfId="6551" xr:uid="{00000000-0005-0000-0000-00004B030000}"/>
    <cellStyle name="Currency 4 3 13" xfId="8972" xr:uid="{00000000-0005-0000-0000-00004B030000}"/>
    <cellStyle name="Currency 4 3 2" xfId="564" xr:uid="{00000000-0005-0000-0000-000076030000}"/>
    <cellStyle name="Currency 4 3 2 10" xfId="6609" xr:uid="{00000000-0005-0000-0000-00004C030000}"/>
    <cellStyle name="Currency 4 3 2 11" xfId="9030" xr:uid="{00000000-0005-0000-0000-00004C030000}"/>
    <cellStyle name="Currency 4 3 2 2" xfId="565" xr:uid="{00000000-0005-0000-0000-000077030000}"/>
    <cellStyle name="Currency 4 3 2 2 2" xfId="1886" xr:uid="{00000000-0005-0000-0000-000078030000}"/>
    <cellStyle name="Currency 4 3 2 2 2 2" xfId="3095" xr:uid="{00000000-0005-0000-0000-000095020000}"/>
    <cellStyle name="Currency 4 3 2 2 2 2 2" xfId="11462" xr:uid="{00000000-0005-0000-0000-000043030000}"/>
    <cellStyle name="Currency 4 3 2 2 2 2 3" xfId="12004" xr:uid="{00000000-0005-0000-0000-0000DB020000}"/>
    <cellStyle name="Currency 4 3 2 2 2 3" xfId="2051" xr:uid="{00000000-0005-0000-0000-000078030000}"/>
    <cellStyle name="Currency 4 3 2 2 2 3 2" xfId="11731" xr:uid="{00000000-0005-0000-0000-00006E030000}"/>
    <cellStyle name="Currency 4 3 2 2 2 4" xfId="8420" xr:uid="{00000000-0005-0000-0000-00004E030000}"/>
    <cellStyle name="Currency 4 3 2 2 2 5" xfId="10817" xr:uid="{00000000-0005-0000-0000-00004E030000}"/>
    <cellStyle name="Currency 4 3 2 2 3" xfId="1887" xr:uid="{00000000-0005-0000-0000-000079030000}"/>
    <cellStyle name="Currency 4 3 2 2 3 2" xfId="4683" xr:uid="{00000000-0005-0000-0000-000094020000}"/>
    <cellStyle name="Currency 4 3 2 2 3 3" xfId="7919" xr:uid="{00000000-0005-0000-0000-00004F030000}"/>
    <cellStyle name="Currency 4 3 2 2 3 4" xfId="10316" xr:uid="{00000000-0005-0000-0000-00004F030000}"/>
    <cellStyle name="Currency 4 3 2 2 4" xfId="1885" xr:uid="{00000000-0005-0000-0000-00007A030000}"/>
    <cellStyle name="Currency 4 3 2 2 4 2" xfId="12112" xr:uid="{00000000-0005-0000-0000-0000DD020000}"/>
    <cellStyle name="Currency 4 3 2 2 4 3" xfId="12031" xr:uid="{00000000-0005-0000-0000-0000DD020000}"/>
    <cellStyle name="Currency 4 3 2 2 5" xfId="4275" xr:uid="{00000000-0005-0000-0000-000094020000}"/>
    <cellStyle name="Currency 4 3 2 2 6" xfId="5811" xr:uid="{00000000-0005-0000-0000-0000D2010000}"/>
    <cellStyle name="Currency 4 3 2 2 7" xfId="5071" xr:uid="{00000000-0005-0000-0000-0000CD010000}"/>
    <cellStyle name="Currency 4 3 2 2 8" xfId="7027" xr:uid="{00000000-0005-0000-0000-00004D030000}"/>
    <cellStyle name="Currency 4 3 2 2 9" xfId="9435" xr:uid="{00000000-0005-0000-0000-00004D030000}"/>
    <cellStyle name="Currency 4 3 2 3" xfId="1888" xr:uid="{00000000-0005-0000-0000-00007B030000}"/>
    <cellStyle name="Currency 4 3 2 3 2" xfId="3096" xr:uid="{00000000-0005-0000-0000-000096020000}"/>
    <cellStyle name="Currency 4 3 2 3 2 2" xfId="8421" xr:uid="{00000000-0005-0000-0000-000051030000}"/>
    <cellStyle name="Currency 4 3 2 3 2 3" xfId="10818" xr:uid="{00000000-0005-0000-0000-000051030000}"/>
    <cellStyle name="Currency 4 3 2 3 2 4" xfId="12005" xr:uid="{00000000-0005-0000-0000-0000DE020000}"/>
    <cellStyle name="Currency 4 3 2 3 3" xfId="3600" xr:uid="{00000000-0005-0000-0000-00007B030000}"/>
    <cellStyle name="Currency 4 3 2 3 4" xfId="4427" xr:uid="{00000000-0005-0000-0000-000096020000}"/>
    <cellStyle name="Currency 4 3 2 3 5" xfId="5655" xr:uid="{00000000-0005-0000-0000-0000D3010000}"/>
    <cellStyle name="Currency 4 3 2 3 6" xfId="7026" xr:uid="{00000000-0005-0000-0000-000050030000}"/>
    <cellStyle name="Currency 4 3 2 3 7" xfId="9434" xr:uid="{00000000-0005-0000-0000-000050030000}"/>
    <cellStyle name="Currency 4 3 2 4" xfId="1889" xr:uid="{00000000-0005-0000-0000-00007C030000}"/>
    <cellStyle name="Currency 4 3 2 4 2" xfId="3094" xr:uid="{00000000-0005-0000-0000-000097020000}"/>
    <cellStyle name="Currency 4 3 2 4 2 2" xfId="11461" xr:uid="{00000000-0005-0000-0000-000048030000}"/>
    <cellStyle name="Currency 4 3 2 4 3" xfId="3643" xr:uid="{00000000-0005-0000-0000-00007C030000}"/>
    <cellStyle name="Currency 4 3 2 4 3 2" xfId="11778" xr:uid="{00000000-0005-0000-0000-000073030000}"/>
    <cellStyle name="Currency 4 3 2 4 4" xfId="8419" xr:uid="{00000000-0005-0000-0000-000052030000}"/>
    <cellStyle name="Currency 4 3 2 4 5" xfId="10816" xr:uid="{00000000-0005-0000-0000-000052030000}"/>
    <cellStyle name="Currency 4 3 2 5" xfId="1884" xr:uid="{00000000-0005-0000-0000-00007D030000}"/>
    <cellStyle name="Currency 4 3 2 5 2" xfId="2531" xr:uid="{00000000-0005-0000-0000-000098020000}"/>
    <cellStyle name="Currency 4 3 2 5 3" xfId="3595" xr:uid="{00000000-0005-0000-0000-00007D030000}"/>
    <cellStyle name="Currency 4 3 2 5 4" xfId="7729" xr:uid="{00000000-0005-0000-0000-000053030000}"/>
    <cellStyle name="Currency 4 3 2 5 5" xfId="10126" xr:uid="{00000000-0005-0000-0000-000053030000}"/>
    <cellStyle name="Currency 4 3 2 6" xfId="2295" xr:uid="{00000000-0005-0000-0000-000093020000}"/>
    <cellStyle name="Currency 4 3 2 7" xfId="3830" xr:uid="{00000000-0005-0000-0000-000087010000}"/>
    <cellStyle name="Currency 4 3 2 8" xfId="5409" xr:uid="{00000000-0005-0000-0000-0000D1010000}"/>
    <cellStyle name="Currency 4 3 2 9" xfId="4863" xr:uid="{00000000-0005-0000-0000-0000CC010000}"/>
    <cellStyle name="Currency 4 3 3" xfId="566" xr:uid="{00000000-0005-0000-0000-00007E030000}"/>
    <cellStyle name="Currency 4 3 3 10" xfId="9191" xr:uid="{00000000-0005-0000-0000-000054030000}"/>
    <cellStyle name="Currency 4 3 3 2" xfId="1891" xr:uid="{00000000-0005-0000-0000-00007F030000}"/>
    <cellStyle name="Currency 4 3 3 2 2" xfId="3098" xr:uid="{00000000-0005-0000-0000-00009B020000}"/>
    <cellStyle name="Currency 4 3 3 2 2 2" xfId="8423" xr:uid="{00000000-0005-0000-0000-000056030000}"/>
    <cellStyle name="Currency 4 3 3 2 2 2 2" xfId="11871" xr:uid="{00000000-0005-0000-0000-000079030000}"/>
    <cellStyle name="Currency 4 3 3 2 2 3" xfId="10820" xr:uid="{00000000-0005-0000-0000-000056030000}"/>
    <cellStyle name="Currency 4 3 3 2 3" xfId="2695" xr:uid="{00000000-0005-0000-0000-00009A020000}"/>
    <cellStyle name="Currency 4 3 3 2 3 2" xfId="7920" xr:uid="{00000000-0005-0000-0000-000057030000}"/>
    <cellStyle name="Currency 4 3 3 2 3 3" xfId="10317" xr:uid="{00000000-0005-0000-0000-000057030000}"/>
    <cellStyle name="Currency 4 3 3 2 3 4" xfId="12006" xr:uid="{00000000-0005-0000-0000-0000E2020000}"/>
    <cellStyle name="Currency 4 3 3 2 4" xfId="2062" xr:uid="{00000000-0005-0000-0000-00007F030000}"/>
    <cellStyle name="Currency 4 3 3 2 5" xfId="4276" xr:uid="{00000000-0005-0000-0000-00009A020000}"/>
    <cellStyle name="Currency 4 3 3 2 6" xfId="5812" xr:uid="{00000000-0005-0000-0000-0000D5010000}"/>
    <cellStyle name="Currency 4 3 3 2 7" xfId="7028" xr:uid="{00000000-0005-0000-0000-000055030000}"/>
    <cellStyle name="Currency 4 3 3 2 8" xfId="9436" xr:uid="{00000000-0005-0000-0000-000055030000}"/>
    <cellStyle name="Currency 4 3 3 3" xfId="1892" xr:uid="{00000000-0005-0000-0000-000080030000}"/>
    <cellStyle name="Currency 4 3 3 3 2" xfId="3099" xr:uid="{00000000-0005-0000-0000-00009C020000}"/>
    <cellStyle name="Currency 4 3 3 3 2 2" xfId="11463" xr:uid="{00000000-0005-0000-0000-00004F030000}"/>
    <cellStyle name="Currency 4 3 3 3 3" xfId="3663" xr:uid="{00000000-0005-0000-0000-000080030000}"/>
    <cellStyle name="Currency 4 3 3 3 4" xfId="4428" xr:uid="{00000000-0005-0000-0000-00009C020000}"/>
    <cellStyle name="Currency 4 3 3 3 5" xfId="5740" xr:uid="{00000000-0005-0000-0000-0000D6010000}"/>
    <cellStyle name="Currency 4 3 3 3 6" xfId="8424" xr:uid="{00000000-0005-0000-0000-000058030000}"/>
    <cellStyle name="Currency 4 3 3 3 7" xfId="10821" xr:uid="{00000000-0005-0000-0000-000058030000}"/>
    <cellStyle name="Currency 4 3 3 4" xfId="1890" xr:uid="{00000000-0005-0000-0000-000081030000}"/>
    <cellStyle name="Currency 4 3 3 4 2" xfId="3097" xr:uid="{00000000-0005-0000-0000-00009D020000}"/>
    <cellStyle name="Currency 4 3 3 4 2 2" xfId="11870" xr:uid="{00000000-0005-0000-0000-00007E030000}"/>
    <cellStyle name="Currency 4 3 3 4 3" xfId="3692" xr:uid="{00000000-0005-0000-0000-000081030000}"/>
    <cellStyle name="Currency 4 3 3 4 3 2" xfId="11759" xr:uid="{00000000-0005-0000-0000-00007D030000}"/>
    <cellStyle name="Currency 4 3 3 4 4" xfId="8422" xr:uid="{00000000-0005-0000-0000-000059030000}"/>
    <cellStyle name="Currency 4 3 3 4 5" xfId="10819" xr:uid="{00000000-0005-0000-0000-000059030000}"/>
    <cellStyle name="Currency 4 3 3 5" xfId="2634" xr:uid="{00000000-0005-0000-0000-00009E020000}"/>
    <cellStyle name="Currency 4 3 3 5 2" xfId="7832" xr:uid="{00000000-0005-0000-0000-00005A030000}"/>
    <cellStyle name="Currency 4 3 3 5 3" xfId="10229" xr:uid="{00000000-0005-0000-0000-00005A030000}"/>
    <cellStyle name="Currency 4 3 3 6" xfId="4139" xr:uid="{00000000-0005-0000-0000-000099020000}"/>
    <cellStyle name="Currency 4 3 3 7" xfId="5510" xr:uid="{00000000-0005-0000-0000-0000D4010000}"/>
    <cellStyle name="Currency 4 3 3 8" xfId="5070" xr:uid="{00000000-0005-0000-0000-0000CE010000}"/>
    <cellStyle name="Currency 4 3 3 9" xfId="6770" xr:uid="{00000000-0005-0000-0000-000054030000}"/>
    <cellStyle name="Currency 4 3 4" xfId="567" xr:uid="{00000000-0005-0000-0000-000082030000}"/>
    <cellStyle name="Currency 4 3 4 2" xfId="1894" xr:uid="{00000000-0005-0000-0000-000083030000}"/>
    <cellStyle name="Currency 4 3 4 2 2" xfId="3100" xr:uid="{00000000-0005-0000-0000-0000A0020000}"/>
    <cellStyle name="Currency 4 3 4 2 2 2" xfId="11872" xr:uid="{00000000-0005-0000-0000-000082030000}"/>
    <cellStyle name="Currency 4 3 4 2 3" xfId="3628" xr:uid="{00000000-0005-0000-0000-000083030000}"/>
    <cellStyle name="Currency 4 3 4 2 3 2" xfId="11732" xr:uid="{00000000-0005-0000-0000-000081030000}"/>
    <cellStyle name="Currency 4 3 4 2 4" xfId="8425" xr:uid="{00000000-0005-0000-0000-00005C030000}"/>
    <cellStyle name="Currency 4 3 4 2 5" xfId="10822" xr:uid="{00000000-0005-0000-0000-00005C030000}"/>
    <cellStyle name="Currency 4 3 4 3" xfId="1895" xr:uid="{00000000-0005-0000-0000-000084030000}"/>
    <cellStyle name="Currency 4 3 4 3 2" xfId="4673" xr:uid="{00000000-0005-0000-0000-00009F020000}"/>
    <cellStyle name="Currency 4 3 4 3 3" xfId="7918" xr:uid="{00000000-0005-0000-0000-00005D030000}"/>
    <cellStyle name="Currency 4 3 4 3 4" xfId="10315" xr:uid="{00000000-0005-0000-0000-00005D030000}"/>
    <cellStyle name="Currency 4 3 4 4" xfId="1893" xr:uid="{00000000-0005-0000-0000-000085030000}"/>
    <cellStyle name="Currency 4 3 4 5" xfId="4274" xr:uid="{00000000-0005-0000-0000-00009F020000}"/>
    <cellStyle name="Currency 4 3 4 6" xfId="5810" xr:uid="{00000000-0005-0000-0000-0000D7010000}"/>
    <cellStyle name="Currency 4 3 4 7" xfId="7029" xr:uid="{00000000-0005-0000-0000-00005B030000}"/>
    <cellStyle name="Currency 4 3 4 8" xfId="9437" xr:uid="{00000000-0005-0000-0000-00005B030000}"/>
    <cellStyle name="Currency 4 3 5" xfId="1896" xr:uid="{00000000-0005-0000-0000-000086030000}"/>
    <cellStyle name="Currency 4 3 5 2" xfId="3101" xr:uid="{00000000-0005-0000-0000-0000A1020000}"/>
    <cellStyle name="Currency 4 3 5 2 2" xfId="8426" xr:uid="{00000000-0005-0000-0000-00005F030000}"/>
    <cellStyle name="Currency 4 3 5 2 3" xfId="10823" xr:uid="{00000000-0005-0000-0000-00005F030000}"/>
    <cellStyle name="Currency 4 3 5 3" xfId="3560" xr:uid="{00000000-0005-0000-0000-000086030000}"/>
    <cellStyle name="Currency 4 3 5 4" xfId="4429" xr:uid="{00000000-0005-0000-0000-0000A1020000}"/>
    <cellStyle name="Currency 4 3 5 5" xfId="5595" xr:uid="{00000000-0005-0000-0000-0000D8010000}"/>
    <cellStyle name="Currency 4 3 5 6" xfId="7025" xr:uid="{00000000-0005-0000-0000-00005E030000}"/>
    <cellStyle name="Currency 4 3 5 7" xfId="9433" xr:uid="{00000000-0005-0000-0000-00005E030000}"/>
    <cellStyle name="Currency 4 3 6" xfId="1897" xr:uid="{00000000-0005-0000-0000-000087030000}"/>
    <cellStyle name="Currency 4 3 6 2" xfId="2884" xr:uid="{00000000-0005-0000-0000-0000A2020000}"/>
    <cellStyle name="Currency 4 3 6 2 2" xfId="11845" xr:uid="{00000000-0005-0000-0000-000087030000}"/>
    <cellStyle name="Currency 4 3 6 3" xfId="3589" xr:uid="{00000000-0005-0000-0000-000087030000}"/>
    <cellStyle name="Currency 4 3 6 3 2" xfId="11783" xr:uid="{00000000-0005-0000-0000-000086030000}"/>
    <cellStyle name="Currency 4 3 6 4" xfId="8193" xr:uid="{00000000-0005-0000-0000-000060030000}"/>
    <cellStyle name="Currency 4 3 6 5" xfId="10590" xr:uid="{00000000-0005-0000-0000-000060030000}"/>
    <cellStyle name="Currency 4 3 7" xfId="1883" xr:uid="{00000000-0005-0000-0000-000088030000}"/>
    <cellStyle name="Currency 4 3 7 2" xfId="2471" xr:uid="{00000000-0005-0000-0000-0000A3020000}"/>
    <cellStyle name="Currency 4 3 7 3" xfId="3702" xr:uid="{00000000-0005-0000-0000-000088030000}"/>
    <cellStyle name="Currency 4 3 7 4" xfId="7669" xr:uid="{00000000-0005-0000-0000-000061030000}"/>
    <cellStyle name="Currency 4 3 7 5" xfId="10066" xr:uid="{00000000-0005-0000-0000-000061030000}"/>
    <cellStyle name="Currency 4 3 8" xfId="2225" xr:uid="{00000000-0005-0000-0000-000092020000}"/>
    <cellStyle name="Currency 4 3 9" xfId="3884" xr:uid="{00000000-0005-0000-0000-000086010000}"/>
    <cellStyle name="Currency 4 4" xfId="568" xr:uid="{00000000-0005-0000-0000-000089030000}"/>
    <cellStyle name="Currency 4 4 10" xfId="4785" xr:uid="{00000000-0005-0000-0000-0000CF010000}"/>
    <cellStyle name="Currency 4 4 11" xfId="6610" xr:uid="{00000000-0005-0000-0000-000062030000}"/>
    <cellStyle name="Currency 4 4 12" xfId="9031" xr:uid="{00000000-0005-0000-0000-000062030000}"/>
    <cellStyle name="Currency 4 4 2" xfId="569" xr:uid="{00000000-0005-0000-0000-00008A030000}"/>
    <cellStyle name="Currency 4 4 2 10" xfId="6771" xr:uid="{00000000-0005-0000-0000-000063030000}"/>
    <cellStyle name="Currency 4 4 2 11" xfId="9192" xr:uid="{00000000-0005-0000-0000-000063030000}"/>
    <cellStyle name="Currency 4 4 2 2" xfId="570" xr:uid="{00000000-0005-0000-0000-00008B030000}"/>
    <cellStyle name="Currency 4 4 2 2 2" xfId="1901" xr:uid="{00000000-0005-0000-0000-00008C030000}"/>
    <cellStyle name="Currency 4 4 2 2 2 2" xfId="3103" xr:uid="{00000000-0005-0000-0000-0000A7020000}"/>
    <cellStyle name="Currency 4 4 2 2 2 2 2" xfId="11465" xr:uid="{00000000-0005-0000-0000-00005D030000}"/>
    <cellStyle name="Currency 4 4 2 2 2 2 3" xfId="12007" xr:uid="{00000000-0005-0000-0000-0000ED020000}"/>
    <cellStyle name="Currency 4 4 2 2 2 3" xfId="2060" xr:uid="{00000000-0005-0000-0000-00008C030000}"/>
    <cellStyle name="Currency 4 4 2 2 2 3 2" xfId="11730" xr:uid="{00000000-0005-0000-0000-00008C030000}"/>
    <cellStyle name="Currency 4 4 2 2 2 4" xfId="8428" xr:uid="{00000000-0005-0000-0000-000065030000}"/>
    <cellStyle name="Currency 4 4 2 2 2 5" xfId="10825" xr:uid="{00000000-0005-0000-0000-000065030000}"/>
    <cellStyle name="Currency 4 4 2 2 3" xfId="1902" xr:uid="{00000000-0005-0000-0000-00008D030000}"/>
    <cellStyle name="Currency 4 4 2 2 3 2" xfId="4638" xr:uid="{00000000-0005-0000-0000-0000A6020000}"/>
    <cellStyle name="Currency 4 4 2 2 3 3" xfId="7922" xr:uid="{00000000-0005-0000-0000-000066030000}"/>
    <cellStyle name="Currency 4 4 2 2 3 4" xfId="10319" xr:uid="{00000000-0005-0000-0000-000066030000}"/>
    <cellStyle name="Currency 4 4 2 2 4" xfId="1900" xr:uid="{00000000-0005-0000-0000-00008E030000}"/>
    <cellStyle name="Currency 4 4 2 2 4 2" xfId="12113" xr:uid="{00000000-0005-0000-0000-0000EF020000}"/>
    <cellStyle name="Currency 4 4 2 2 4 3" xfId="12032" xr:uid="{00000000-0005-0000-0000-0000EF020000}"/>
    <cellStyle name="Currency 4 4 2 2 5" xfId="4277" xr:uid="{00000000-0005-0000-0000-0000A6020000}"/>
    <cellStyle name="Currency 4 4 2 2 6" xfId="5814" xr:uid="{00000000-0005-0000-0000-0000DB010000}"/>
    <cellStyle name="Currency 4 4 2 2 7" xfId="5073" xr:uid="{00000000-0005-0000-0000-0000D1010000}"/>
    <cellStyle name="Currency 4 4 2 2 8" xfId="7032" xr:uid="{00000000-0005-0000-0000-000064030000}"/>
    <cellStyle name="Currency 4 4 2 2 9" xfId="9440" xr:uid="{00000000-0005-0000-0000-000064030000}"/>
    <cellStyle name="Currency 4 4 2 3" xfId="1903" xr:uid="{00000000-0005-0000-0000-00008F030000}"/>
    <cellStyle name="Currency 4 4 2 3 2" xfId="3104" xr:uid="{00000000-0005-0000-0000-0000A8020000}"/>
    <cellStyle name="Currency 4 4 2 3 2 2" xfId="8429" xr:uid="{00000000-0005-0000-0000-000068030000}"/>
    <cellStyle name="Currency 4 4 2 3 2 3" xfId="10826" xr:uid="{00000000-0005-0000-0000-000068030000}"/>
    <cellStyle name="Currency 4 4 2 3 2 4" xfId="12008" xr:uid="{00000000-0005-0000-0000-0000F0020000}"/>
    <cellStyle name="Currency 4 4 2 3 3" xfId="3693" xr:uid="{00000000-0005-0000-0000-00008F030000}"/>
    <cellStyle name="Currency 4 4 2 3 4" xfId="4430" xr:uid="{00000000-0005-0000-0000-0000A8020000}"/>
    <cellStyle name="Currency 4 4 2 3 5" xfId="5720" xr:uid="{00000000-0005-0000-0000-0000DC010000}"/>
    <cellStyle name="Currency 4 4 2 3 6" xfId="7031" xr:uid="{00000000-0005-0000-0000-000067030000}"/>
    <cellStyle name="Currency 4 4 2 3 7" xfId="9439" xr:uid="{00000000-0005-0000-0000-000067030000}"/>
    <cellStyle name="Currency 4 4 2 4" xfId="1904" xr:uid="{00000000-0005-0000-0000-000090030000}"/>
    <cellStyle name="Currency 4 4 2 4 2" xfId="3102" xr:uid="{00000000-0005-0000-0000-0000A9020000}"/>
    <cellStyle name="Currency 4 4 2 4 2 2" xfId="11464" xr:uid="{00000000-0005-0000-0000-000062030000}"/>
    <cellStyle name="Currency 4 4 2 4 3" xfId="3558" xr:uid="{00000000-0005-0000-0000-000090030000}"/>
    <cellStyle name="Currency 4 4 2 4 3 2" xfId="11763" xr:uid="{00000000-0005-0000-0000-000091030000}"/>
    <cellStyle name="Currency 4 4 2 4 4" xfId="8427" xr:uid="{00000000-0005-0000-0000-000069030000}"/>
    <cellStyle name="Currency 4 4 2 4 5" xfId="10824" xr:uid="{00000000-0005-0000-0000-000069030000}"/>
    <cellStyle name="Currency 4 4 2 5" xfId="1899" xr:uid="{00000000-0005-0000-0000-000091030000}"/>
    <cellStyle name="Currency 4 4 2 5 2" xfId="2614" xr:uid="{00000000-0005-0000-0000-0000AA020000}"/>
    <cellStyle name="Currency 4 4 2 5 3" xfId="3662" xr:uid="{00000000-0005-0000-0000-000091030000}"/>
    <cellStyle name="Currency 4 4 2 5 4" xfId="7812" xr:uid="{00000000-0005-0000-0000-00006A030000}"/>
    <cellStyle name="Currency 4 4 2 5 5" xfId="10209" xr:uid="{00000000-0005-0000-0000-00006A030000}"/>
    <cellStyle name="Currency 4 4 2 6" xfId="2296" xr:uid="{00000000-0005-0000-0000-0000A5020000}"/>
    <cellStyle name="Currency 4 4 2 7" xfId="3831" xr:uid="{00000000-0005-0000-0000-000089010000}"/>
    <cellStyle name="Currency 4 4 2 8" xfId="5490" xr:uid="{00000000-0005-0000-0000-0000DA010000}"/>
    <cellStyle name="Currency 4 4 2 9" xfId="4864" xr:uid="{00000000-0005-0000-0000-0000D0010000}"/>
    <cellStyle name="Currency 4 4 3" xfId="571" xr:uid="{00000000-0005-0000-0000-000092030000}"/>
    <cellStyle name="Currency 4 4 3 2" xfId="1906" xr:uid="{00000000-0005-0000-0000-000093030000}"/>
    <cellStyle name="Currency 4 4 3 2 2" xfId="3105" xr:uid="{00000000-0005-0000-0000-0000AC020000}"/>
    <cellStyle name="Currency 4 4 3 2 2 2" xfId="11466" xr:uid="{00000000-0005-0000-0000-000066030000}"/>
    <cellStyle name="Currency 4 4 3 2 2 3" xfId="12009" xr:uid="{00000000-0005-0000-0000-0000F4020000}"/>
    <cellStyle name="Currency 4 4 3 2 3" xfId="3555" xr:uid="{00000000-0005-0000-0000-000093030000}"/>
    <cellStyle name="Currency 4 4 3 2 4" xfId="8430" xr:uid="{00000000-0005-0000-0000-00006C030000}"/>
    <cellStyle name="Currency 4 4 3 2 5" xfId="10827" xr:uid="{00000000-0005-0000-0000-00006C030000}"/>
    <cellStyle name="Currency 4 4 3 3" xfId="1907" xr:uid="{00000000-0005-0000-0000-000094030000}"/>
    <cellStyle name="Currency 4 4 3 3 2" xfId="2696" xr:uid="{00000000-0005-0000-0000-0000AD020000}"/>
    <cellStyle name="Currency 4 4 3 3 3" xfId="3585" xr:uid="{00000000-0005-0000-0000-000094030000}"/>
    <cellStyle name="Currency 4 4 3 3 4" xfId="7921" xr:uid="{00000000-0005-0000-0000-00006D030000}"/>
    <cellStyle name="Currency 4 4 3 3 5" xfId="10318" xr:uid="{00000000-0005-0000-0000-00006D030000}"/>
    <cellStyle name="Currency 4 4 3 4" xfId="1905" xr:uid="{00000000-0005-0000-0000-000095030000}"/>
    <cellStyle name="Currency 4 4 3 4 2" xfId="3771" xr:uid="{00000000-0005-0000-0000-0000AB020000}"/>
    <cellStyle name="Currency 4 4 3 5" xfId="4140" xr:uid="{00000000-0005-0000-0000-0000AB020000}"/>
    <cellStyle name="Currency 4 4 3 5 2" xfId="11806" xr:uid="{00000000-0005-0000-0000-000099030000}"/>
    <cellStyle name="Currency 4 4 3 6" xfId="5813" xr:uid="{00000000-0005-0000-0000-0000DD010000}"/>
    <cellStyle name="Currency 4 4 3 7" xfId="5072" xr:uid="{00000000-0005-0000-0000-0000D2010000}"/>
    <cellStyle name="Currency 4 4 3 8" xfId="7033" xr:uid="{00000000-0005-0000-0000-00006B030000}"/>
    <cellStyle name="Currency 4 4 3 9" xfId="9441" xr:uid="{00000000-0005-0000-0000-00006B030000}"/>
    <cellStyle name="Currency 4 4 4" xfId="572" xr:uid="{00000000-0005-0000-0000-000096030000}"/>
    <cellStyle name="Currency 4 4 4 2" xfId="1909" xr:uid="{00000000-0005-0000-0000-000097030000}"/>
    <cellStyle name="Currency 4 4 4 2 2" xfId="6455" xr:uid="{00000000-0005-0000-0000-000069030000}"/>
    <cellStyle name="Currency 4 4 4 2 3" xfId="8431" xr:uid="{00000000-0005-0000-0000-00006F030000}"/>
    <cellStyle name="Currency 4 4 4 2 4" xfId="10828" xr:uid="{00000000-0005-0000-0000-00006F030000}"/>
    <cellStyle name="Currency 4 4 4 3" xfId="1910" xr:uid="{00000000-0005-0000-0000-000098030000}"/>
    <cellStyle name="Currency 4 4 4 4" xfId="1908" xr:uid="{00000000-0005-0000-0000-000099030000}"/>
    <cellStyle name="Currency 4 4 4 5" xfId="4431" xr:uid="{00000000-0005-0000-0000-0000AE020000}"/>
    <cellStyle name="Currency 4 4 4 6" xfId="5575" xr:uid="{00000000-0005-0000-0000-0000DE010000}"/>
    <cellStyle name="Currency 4 4 4 7" xfId="7034" xr:uid="{00000000-0005-0000-0000-00006E030000}"/>
    <cellStyle name="Currency 4 4 4 8" xfId="9442" xr:uid="{00000000-0005-0000-0000-00006E030000}"/>
    <cellStyle name="Currency 4 4 5" xfId="1911" xr:uid="{00000000-0005-0000-0000-00009A030000}"/>
    <cellStyle name="Currency 4 4 5 2" xfId="2885" xr:uid="{00000000-0005-0000-0000-0000AF020000}"/>
    <cellStyle name="Currency 4 4 5 2 2" xfId="8194" xr:uid="{00000000-0005-0000-0000-000071030000}"/>
    <cellStyle name="Currency 4 4 5 2 3" xfId="10591" xr:uid="{00000000-0005-0000-0000-000071030000}"/>
    <cellStyle name="Currency 4 4 5 3" xfId="3561" xr:uid="{00000000-0005-0000-0000-00009A030000}"/>
    <cellStyle name="Currency 4 4 5 4" xfId="7030" xr:uid="{00000000-0005-0000-0000-000070030000}"/>
    <cellStyle name="Currency 4 4 5 5" xfId="9438" xr:uid="{00000000-0005-0000-0000-000070030000}"/>
    <cellStyle name="Currency 4 4 6" xfId="1912" xr:uid="{00000000-0005-0000-0000-00009B030000}"/>
    <cellStyle name="Currency 4 4 6 2" xfId="2451" xr:uid="{00000000-0005-0000-0000-0000B0020000}"/>
    <cellStyle name="Currency 4 4 6 3" xfId="3593" xr:uid="{00000000-0005-0000-0000-00009B030000}"/>
    <cellStyle name="Currency 4 4 6 4" xfId="7649" xr:uid="{00000000-0005-0000-0000-000072030000}"/>
    <cellStyle name="Currency 4 4 6 5" xfId="10046" xr:uid="{00000000-0005-0000-0000-000072030000}"/>
    <cellStyle name="Currency 4 4 7" xfId="1898" xr:uid="{00000000-0005-0000-0000-00009C030000}"/>
    <cellStyle name="Currency 4 4 7 2" xfId="2205" xr:uid="{00000000-0005-0000-0000-0000A4020000}"/>
    <cellStyle name="Currency 4 4 7 3" xfId="3551" xr:uid="{00000000-0005-0000-0000-00009C030000}"/>
    <cellStyle name="Currency 4 4 8" xfId="3885" xr:uid="{00000000-0005-0000-0000-000088010000}"/>
    <cellStyle name="Currency 4 4 9" xfId="5329" xr:uid="{00000000-0005-0000-0000-0000D9010000}"/>
    <cellStyle name="Currency 4 5" xfId="573" xr:uid="{00000000-0005-0000-0000-00009D030000}"/>
    <cellStyle name="Currency 4 5 10" xfId="4865" xr:uid="{00000000-0005-0000-0000-0000D3010000}"/>
    <cellStyle name="Currency 4 5 11" xfId="6611" xr:uid="{00000000-0005-0000-0000-000073030000}"/>
    <cellStyle name="Currency 4 5 12" xfId="9032" xr:uid="{00000000-0005-0000-0000-000073030000}"/>
    <cellStyle name="Currency 4 5 2" xfId="574" xr:uid="{00000000-0005-0000-0000-00009E030000}"/>
    <cellStyle name="Currency 4 5 2 10" xfId="9193" xr:uid="{00000000-0005-0000-0000-000074030000}"/>
    <cellStyle name="Currency 4 5 2 2" xfId="575" xr:uid="{00000000-0005-0000-0000-00009F030000}"/>
    <cellStyle name="Currency 4 5 2 2 2" xfId="1916" xr:uid="{00000000-0005-0000-0000-0000A0030000}"/>
    <cellStyle name="Currency 4 5 2 2 2 2" xfId="6489" xr:uid="{00000000-0005-0000-0000-000070030000}"/>
    <cellStyle name="Currency 4 5 2 2 2 2 2" xfId="12010" xr:uid="{00000000-0005-0000-0000-0000FD020000}"/>
    <cellStyle name="Currency 4 5 2 2 2 3" xfId="8432" xr:uid="{00000000-0005-0000-0000-000076030000}"/>
    <cellStyle name="Currency 4 5 2 2 2 4" xfId="10829" xr:uid="{00000000-0005-0000-0000-000076030000}"/>
    <cellStyle name="Currency 4 5 2 2 3" xfId="1917" xr:uid="{00000000-0005-0000-0000-0000A1030000}"/>
    <cellStyle name="Currency 4 5 2 2 4" xfId="1915" xr:uid="{00000000-0005-0000-0000-0000A2030000}"/>
    <cellStyle name="Currency 4 5 2 2 4 2" xfId="11960" xr:uid="{00000000-0005-0000-0000-0000FC020000}"/>
    <cellStyle name="Currency 4 5 2 2 5" xfId="6366" xr:uid="{00000000-0005-0000-0000-0000B3020000}"/>
    <cellStyle name="Currency 4 5 2 2 6" xfId="7037" xr:uid="{00000000-0005-0000-0000-000075030000}"/>
    <cellStyle name="Currency 4 5 2 2 7" xfId="9445" xr:uid="{00000000-0005-0000-0000-000075030000}"/>
    <cellStyle name="Currency 4 5 2 3" xfId="1918" xr:uid="{00000000-0005-0000-0000-0000A3030000}"/>
    <cellStyle name="Currency 4 5 2 3 2" xfId="2697" xr:uid="{00000000-0005-0000-0000-0000B4020000}"/>
    <cellStyle name="Currency 4 5 2 3 2 2" xfId="12011" xr:uid="{00000000-0005-0000-0000-0000FF020000}"/>
    <cellStyle name="Currency 4 5 2 3 3" xfId="3676" xr:uid="{00000000-0005-0000-0000-0000A3030000}"/>
    <cellStyle name="Currency 4 5 2 3 4" xfId="6172" xr:uid="{00000000-0005-0000-0000-0000B4020000}"/>
    <cellStyle name="Currency 4 5 2 3 5" xfId="7036" xr:uid="{00000000-0005-0000-0000-000077030000}"/>
    <cellStyle name="Currency 4 5 2 3 6" xfId="9444" xr:uid="{00000000-0005-0000-0000-000077030000}"/>
    <cellStyle name="Currency 4 5 2 4" xfId="1919" xr:uid="{00000000-0005-0000-0000-0000A4030000}"/>
    <cellStyle name="Currency 4 5 2 4 2" xfId="4632" xr:uid="{00000000-0005-0000-0000-0000B2020000}"/>
    <cellStyle name="Currency 4 5 2 4 3" xfId="7923" xr:uid="{00000000-0005-0000-0000-000078030000}"/>
    <cellStyle name="Currency 4 5 2 4 4" xfId="10320" xr:uid="{00000000-0005-0000-0000-000078030000}"/>
    <cellStyle name="Currency 4 5 2 5" xfId="1914" xr:uid="{00000000-0005-0000-0000-0000A5030000}"/>
    <cellStyle name="Currency 4 5 2 5 2" xfId="11807" xr:uid="{00000000-0005-0000-0000-0000A6030000}"/>
    <cellStyle name="Currency 4 5 2 5 3" xfId="11636" xr:uid="{00000000-0005-0000-0000-0000A6030000}"/>
    <cellStyle name="Currency 4 5 2 6" xfId="4141" xr:uid="{00000000-0005-0000-0000-0000B2020000}"/>
    <cellStyle name="Currency 4 5 2 7" xfId="5815" xr:uid="{00000000-0005-0000-0000-0000E0010000}"/>
    <cellStyle name="Currency 4 5 2 8" xfId="5074" xr:uid="{00000000-0005-0000-0000-0000D4010000}"/>
    <cellStyle name="Currency 4 5 2 9" xfId="6772" xr:uid="{00000000-0005-0000-0000-000074030000}"/>
    <cellStyle name="Currency 4 5 3" xfId="576" xr:uid="{00000000-0005-0000-0000-0000A6030000}"/>
    <cellStyle name="Currency 4 5 3 2" xfId="1921" xr:uid="{00000000-0005-0000-0000-0000A7030000}"/>
    <cellStyle name="Currency 4 5 3 2 2" xfId="6497" xr:uid="{00000000-0005-0000-0000-000073030000}"/>
    <cellStyle name="Currency 4 5 3 2 2 2" xfId="11604" xr:uid="{00000000-0005-0000-0000-0000A8030000}"/>
    <cellStyle name="Currency 4 5 3 2 3" xfId="8433" xr:uid="{00000000-0005-0000-0000-00007A030000}"/>
    <cellStyle name="Currency 4 5 3 2 4" xfId="10830" xr:uid="{00000000-0005-0000-0000-00007A030000}"/>
    <cellStyle name="Currency 4 5 3 3" xfId="1922" xr:uid="{00000000-0005-0000-0000-0000A8030000}"/>
    <cellStyle name="Currency 4 5 3 4" xfId="1920" xr:uid="{00000000-0005-0000-0000-0000A9030000}"/>
    <cellStyle name="Currency 4 5 3 4 2" xfId="11873" xr:uid="{00000000-0005-0000-0000-0000AA030000}"/>
    <cellStyle name="Currency 4 5 3 4 3" xfId="11642" xr:uid="{00000000-0005-0000-0000-0000AA030000}"/>
    <cellStyle name="Currency 4 5 3 5" xfId="4432" xr:uid="{00000000-0005-0000-0000-0000B5020000}"/>
    <cellStyle name="Currency 4 5 3 6" xfId="5635" xr:uid="{00000000-0005-0000-0000-0000E1010000}"/>
    <cellStyle name="Currency 4 5 3 7" xfId="7038" xr:uid="{00000000-0005-0000-0000-000079030000}"/>
    <cellStyle name="Currency 4 5 3 8" xfId="9446" xr:uid="{00000000-0005-0000-0000-000079030000}"/>
    <cellStyle name="Currency 4 5 4" xfId="577" xr:uid="{00000000-0005-0000-0000-0000AA030000}"/>
    <cellStyle name="Currency 4 5 4 2" xfId="1924" xr:uid="{00000000-0005-0000-0000-0000AB030000}"/>
    <cellStyle name="Currency 4 5 4 2 2" xfId="6467" xr:uid="{00000000-0005-0000-0000-000075030000}"/>
    <cellStyle name="Currency 4 5 4 2 3" xfId="8195" xr:uid="{00000000-0005-0000-0000-00007C030000}"/>
    <cellStyle name="Currency 4 5 4 2 4" xfId="10592" xr:uid="{00000000-0005-0000-0000-00007C030000}"/>
    <cellStyle name="Currency 4 5 4 3" xfId="1925" xr:uid="{00000000-0005-0000-0000-0000AC030000}"/>
    <cellStyle name="Currency 4 5 4 4" xfId="1923" xr:uid="{00000000-0005-0000-0000-0000AD030000}"/>
    <cellStyle name="Currency 4 5 4 5" xfId="6276" xr:uid="{00000000-0005-0000-0000-0000B6020000}"/>
    <cellStyle name="Currency 4 5 4 6" xfId="7039" xr:uid="{00000000-0005-0000-0000-00007B030000}"/>
    <cellStyle name="Currency 4 5 4 7" xfId="9447" xr:uid="{00000000-0005-0000-0000-00007B030000}"/>
    <cellStyle name="Currency 4 5 5" xfId="1926" xr:uid="{00000000-0005-0000-0000-0000AE030000}"/>
    <cellStyle name="Currency 4 5 5 2" xfId="2511" xr:uid="{00000000-0005-0000-0000-0000B7020000}"/>
    <cellStyle name="Currency 4 5 5 3" xfId="3687" xr:uid="{00000000-0005-0000-0000-0000AE030000}"/>
    <cellStyle name="Currency 4 5 5 4" xfId="7035" xr:uid="{00000000-0005-0000-0000-00007D030000}"/>
    <cellStyle name="Currency 4 5 5 5" xfId="9443" xr:uid="{00000000-0005-0000-0000-00007D030000}"/>
    <cellStyle name="Currency 4 5 6" xfId="1927" xr:uid="{00000000-0005-0000-0000-0000AF030000}"/>
    <cellStyle name="Currency 4 5 6 2" xfId="2297" xr:uid="{00000000-0005-0000-0000-0000B1020000}"/>
    <cellStyle name="Currency 4 5 6 3" xfId="2050" xr:uid="{00000000-0005-0000-0000-0000AF030000}"/>
    <cellStyle name="Currency 4 5 6 4" xfId="7709" xr:uid="{00000000-0005-0000-0000-00007E030000}"/>
    <cellStyle name="Currency 4 5 6 5" xfId="10106" xr:uid="{00000000-0005-0000-0000-00007E030000}"/>
    <cellStyle name="Currency 4 5 7" xfId="1913" xr:uid="{00000000-0005-0000-0000-0000B0030000}"/>
    <cellStyle name="Currency 4 5 7 2" xfId="11796" xr:uid="{00000000-0005-0000-0000-0000AF030000}"/>
    <cellStyle name="Currency 4 5 7 3" xfId="11632" xr:uid="{00000000-0005-0000-0000-0000AF030000}"/>
    <cellStyle name="Currency 4 5 8" xfId="3886" xr:uid="{00000000-0005-0000-0000-00008A010000}"/>
    <cellStyle name="Currency 4 5 9" xfId="5389" xr:uid="{00000000-0005-0000-0000-0000DF010000}"/>
    <cellStyle name="Currency 4 6" xfId="578" xr:uid="{00000000-0005-0000-0000-0000B1030000}"/>
    <cellStyle name="Currency 4 6 10" xfId="4866" xr:uid="{00000000-0005-0000-0000-0000D5010000}"/>
    <cellStyle name="Currency 4 6 11" xfId="6612" xr:uid="{00000000-0005-0000-0000-00007F030000}"/>
    <cellStyle name="Currency 4 6 12" xfId="9033" xr:uid="{00000000-0005-0000-0000-00007F030000}"/>
    <cellStyle name="Currency 4 6 2" xfId="579" xr:uid="{00000000-0005-0000-0000-0000B2030000}"/>
    <cellStyle name="Currency 4 6 2 10" xfId="9194" xr:uid="{00000000-0005-0000-0000-000080030000}"/>
    <cellStyle name="Currency 4 6 2 2" xfId="580" xr:uid="{00000000-0005-0000-0000-0000B3030000}"/>
    <cellStyle name="Currency 4 6 2 2 2" xfId="1931" xr:uid="{00000000-0005-0000-0000-0000B4030000}"/>
    <cellStyle name="Currency 4 6 2 2 2 2" xfId="6465" xr:uid="{00000000-0005-0000-0000-00007A030000}"/>
    <cellStyle name="Currency 4 6 2 2 2 2 2" xfId="12012" xr:uid="{00000000-0005-0000-0000-00000B030000}"/>
    <cellStyle name="Currency 4 6 2 2 2 3" xfId="8434" xr:uid="{00000000-0005-0000-0000-000082030000}"/>
    <cellStyle name="Currency 4 6 2 2 2 4" xfId="10831" xr:uid="{00000000-0005-0000-0000-000082030000}"/>
    <cellStyle name="Currency 4 6 2 2 3" xfId="1932" xr:uid="{00000000-0005-0000-0000-0000B5030000}"/>
    <cellStyle name="Currency 4 6 2 2 4" xfId="1930" xr:uid="{00000000-0005-0000-0000-0000B6030000}"/>
    <cellStyle name="Currency 4 6 2 2 4 2" xfId="11961" xr:uid="{00000000-0005-0000-0000-00000A030000}"/>
    <cellStyle name="Currency 4 6 2 2 5" xfId="6367" xr:uid="{00000000-0005-0000-0000-0000BA020000}"/>
    <cellStyle name="Currency 4 6 2 2 6" xfId="7042" xr:uid="{00000000-0005-0000-0000-000081030000}"/>
    <cellStyle name="Currency 4 6 2 2 7" xfId="9450" xr:uid="{00000000-0005-0000-0000-000081030000}"/>
    <cellStyle name="Currency 4 6 2 3" xfId="1933" xr:uid="{00000000-0005-0000-0000-0000B7030000}"/>
    <cellStyle name="Currency 4 6 2 3 2" xfId="2698" xr:uid="{00000000-0005-0000-0000-0000BB020000}"/>
    <cellStyle name="Currency 4 6 2 3 2 2" xfId="12013" xr:uid="{00000000-0005-0000-0000-00000D030000}"/>
    <cellStyle name="Currency 4 6 2 3 3" xfId="3636" xr:uid="{00000000-0005-0000-0000-0000B7030000}"/>
    <cellStyle name="Currency 4 6 2 3 4" xfId="6173" xr:uid="{00000000-0005-0000-0000-0000BB020000}"/>
    <cellStyle name="Currency 4 6 2 3 5" xfId="7041" xr:uid="{00000000-0005-0000-0000-000083030000}"/>
    <cellStyle name="Currency 4 6 2 3 6" xfId="9449" xr:uid="{00000000-0005-0000-0000-000083030000}"/>
    <cellStyle name="Currency 4 6 2 4" xfId="1934" xr:uid="{00000000-0005-0000-0000-0000B8030000}"/>
    <cellStyle name="Currency 4 6 2 4 2" xfId="3770" xr:uid="{00000000-0005-0000-0000-0000B9020000}"/>
    <cellStyle name="Currency 4 6 2 4 3" xfId="7924" xr:uid="{00000000-0005-0000-0000-000084030000}"/>
    <cellStyle name="Currency 4 6 2 4 4" xfId="10321" xr:uid="{00000000-0005-0000-0000-000084030000}"/>
    <cellStyle name="Currency 4 6 2 5" xfId="1929" xr:uid="{00000000-0005-0000-0000-0000B9030000}"/>
    <cellStyle name="Currency 4 6 2 5 2" xfId="11808" xr:uid="{00000000-0005-0000-0000-0000B6030000}"/>
    <cellStyle name="Currency 4 6 2 5 3" xfId="11637" xr:uid="{00000000-0005-0000-0000-0000B6030000}"/>
    <cellStyle name="Currency 4 6 2 6" xfId="4142" xr:uid="{00000000-0005-0000-0000-0000B9020000}"/>
    <cellStyle name="Currency 4 6 2 7" xfId="5816" xr:uid="{00000000-0005-0000-0000-0000E3010000}"/>
    <cellStyle name="Currency 4 6 2 8" xfId="5075" xr:uid="{00000000-0005-0000-0000-0000D6010000}"/>
    <cellStyle name="Currency 4 6 2 9" xfId="6773" xr:uid="{00000000-0005-0000-0000-000080030000}"/>
    <cellStyle name="Currency 4 6 3" xfId="581" xr:uid="{00000000-0005-0000-0000-0000BA030000}"/>
    <cellStyle name="Currency 4 6 3 2" xfId="1936" xr:uid="{00000000-0005-0000-0000-0000BB030000}"/>
    <cellStyle name="Currency 4 6 3 2 2" xfId="6451" xr:uid="{00000000-0005-0000-0000-00007D030000}"/>
    <cellStyle name="Currency 4 6 3 2 2 2" xfId="12014" xr:uid="{00000000-0005-0000-0000-000011030000}"/>
    <cellStyle name="Currency 4 6 3 2 3" xfId="8435" xr:uid="{00000000-0005-0000-0000-000086030000}"/>
    <cellStyle name="Currency 4 6 3 2 4" xfId="10832" xr:uid="{00000000-0005-0000-0000-000086030000}"/>
    <cellStyle name="Currency 4 6 3 3" xfId="1937" xr:uid="{00000000-0005-0000-0000-0000BC030000}"/>
    <cellStyle name="Currency 4 6 3 4" xfId="1935" xr:uid="{00000000-0005-0000-0000-0000BD030000}"/>
    <cellStyle name="Currency 4 6 3 4 2" xfId="11954" xr:uid="{00000000-0005-0000-0000-000010030000}"/>
    <cellStyle name="Currency 4 6 3 5" xfId="4433" xr:uid="{00000000-0005-0000-0000-0000BC020000}"/>
    <cellStyle name="Currency 4 6 3 6" xfId="5681" xr:uid="{00000000-0005-0000-0000-0000E4010000}"/>
    <cellStyle name="Currency 4 6 3 7" xfId="7043" xr:uid="{00000000-0005-0000-0000-000085030000}"/>
    <cellStyle name="Currency 4 6 3 8" xfId="9451" xr:uid="{00000000-0005-0000-0000-000085030000}"/>
    <cellStyle name="Currency 4 6 4" xfId="582" xr:uid="{00000000-0005-0000-0000-0000BE030000}"/>
    <cellStyle name="Currency 4 6 4 2" xfId="1939" xr:uid="{00000000-0005-0000-0000-0000BF030000}"/>
    <cellStyle name="Currency 4 6 4 2 2" xfId="6471" xr:uid="{00000000-0005-0000-0000-00007F030000}"/>
    <cellStyle name="Currency 4 6 4 2 3" xfId="8196" xr:uid="{00000000-0005-0000-0000-000088030000}"/>
    <cellStyle name="Currency 4 6 4 2 4" xfId="10593" xr:uid="{00000000-0005-0000-0000-000088030000}"/>
    <cellStyle name="Currency 4 6 4 3" xfId="1940" xr:uid="{00000000-0005-0000-0000-0000C0030000}"/>
    <cellStyle name="Currency 4 6 4 4" xfId="1938" xr:uid="{00000000-0005-0000-0000-0000C1030000}"/>
    <cellStyle name="Currency 4 6 4 5" xfId="6277" xr:uid="{00000000-0005-0000-0000-0000BD020000}"/>
    <cellStyle name="Currency 4 6 4 6" xfId="7044" xr:uid="{00000000-0005-0000-0000-000087030000}"/>
    <cellStyle name="Currency 4 6 4 7" xfId="9452" xr:uid="{00000000-0005-0000-0000-000087030000}"/>
    <cellStyle name="Currency 4 6 5" xfId="1941" xr:uid="{00000000-0005-0000-0000-0000C2030000}"/>
    <cellStyle name="Currency 4 6 5 2" xfId="2574" xr:uid="{00000000-0005-0000-0000-0000BE020000}"/>
    <cellStyle name="Currency 4 6 5 3" xfId="2085" xr:uid="{00000000-0005-0000-0000-0000C2030000}"/>
    <cellStyle name="Currency 4 6 5 4" xfId="7040" xr:uid="{00000000-0005-0000-0000-000089030000}"/>
    <cellStyle name="Currency 4 6 5 5" xfId="9448" xr:uid="{00000000-0005-0000-0000-000089030000}"/>
    <cellStyle name="Currency 4 6 6" xfId="1942" xr:uid="{00000000-0005-0000-0000-0000C3030000}"/>
    <cellStyle name="Currency 4 6 6 2" xfId="2298" xr:uid="{00000000-0005-0000-0000-0000B8020000}"/>
    <cellStyle name="Currency 4 6 6 3" xfId="3568" xr:uid="{00000000-0005-0000-0000-0000C3030000}"/>
    <cellStyle name="Currency 4 6 6 4" xfId="7772" xr:uid="{00000000-0005-0000-0000-00008A030000}"/>
    <cellStyle name="Currency 4 6 6 5" xfId="10169" xr:uid="{00000000-0005-0000-0000-00008A030000}"/>
    <cellStyle name="Currency 4 6 7" xfId="1928" xr:uid="{00000000-0005-0000-0000-0000C4030000}"/>
    <cellStyle name="Currency 4 6 7 2" xfId="11581" xr:uid="{00000000-0005-0000-0000-0000B0030000}"/>
    <cellStyle name="Currency 4 6 8" xfId="3887" xr:uid="{00000000-0005-0000-0000-00008B010000}"/>
    <cellStyle name="Currency 4 6 9" xfId="5450" xr:uid="{00000000-0005-0000-0000-0000E2010000}"/>
    <cellStyle name="Currency 4 7" xfId="583" xr:uid="{00000000-0005-0000-0000-0000C5030000}"/>
    <cellStyle name="Currency 4 7 10" xfId="6613" xr:uid="{00000000-0005-0000-0000-00008B030000}"/>
    <cellStyle name="Currency 4 7 11" xfId="9034" xr:uid="{00000000-0005-0000-0000-00008B030000}"/>
    <cellStyle name="Currency 4 7 2" xfId="584" xr:uid="{00000000-0005-0000-0000-0000C6030000}"/>
    <cellStyle name="Currency 4 7 2 2" xfId="1945" xr:uid="{00000000-0005-0000-0000-0000C7030000}"/>
    <cellStyle name="Currency 4 7 2 2 2" xfId="2886" xr:uid="{00000000-0005-0000-0000-0000C1020000}"/>
    <cellStyle name="Currency 4 7 2 2 2 2" xfId="12015" xr:uid="{00000000-0005-0000-0000-000018030000}"/>
    <cellStyle name="Currency 4 7 2 2 3" xfId="3675" xr:uid="{00000000-0005-0000-0000-0000C7030000}"/>
    <cellStyle name="Currency 4 7 2 2 4" xfId="6278" xr:uid="{00000000-0005-0000-0000-0000C1020000}"/>
    <cellStyle name="Currency 4 7 2 2 5" xfId="7046" xr:uid="{00000000-0005-0000-0000-00008D030000}"/>
    <cellStyle name="Currency 4 7 2 2 6" xfId="9454" xr:uid="{00000000-0005-0000-0000-00008D030000}"/>
    <cellStyle name="Currency 4 7 2 3" xfId="1946" xr:uid="{00000000-0005-0000-0000-0000C8030000}"/>
    <cellStyle name="Currency 4 7 2 3 2" xfId="6045" xr:uid="{00000000-0005-0000-0000-0000C8030000}"/>
    <cellStyle name="Currency 4 7 2 3 3" xfId="8197" xr:uid="{00000000-0005-0000-0000-00008E030000}"/>
    <cellStyle name="Currency 4 7 2 3 4" xfId="10594" xr:uid="{00000000-0005-0000-0000-00008E030000}"/>
    <cellStyle name="Currency 4 7 2 3 5" xfId="4721" xr:uid="{00000000-0005-0000-0000-00001E020000}"/>
    <cellStyle name="Currency 4 7 2 4" xfId="1944" xr:uid="{00000000-0005-0000-0000-0000C9030000}"/>
    <cellStyle name="Currency 4 7 2 4 2" xfId="11955" xr:uid="{00000000-0005-0000-0000-000017030000}"/>
    <cellStyle name="Currency 4 7 2 5" xfId="6098" xr:uid="{00000000-0005-0000-0000-0000C0020000}"/>
    <cellStyle name="Currency 4 7 2 6" xfId="5076" xr:uid="{00000000-0005-0000-0000-0000D8010000}"/>
    <cellStyle name="Currency 4 7 2 7" xfId="6774" xr:uid="{00000000-0005-0000-0000-00008C030000}"/>
    <cellStyle name="Currency 4 7 2 8" xfId="9195" xr:uid="{00000000-0005-0000-0000-00008C030000}"/>
    <cellStyle name="Currency 4 7 3" xfId="585" xr:uid="{00000000-0005-0000-0000-0000CA030000}"/>
    <cellStyle name="Currency 4 7 3 2" xfId="1948" xr:uid="{00000000-0005-0000-0000-0000CB030000}"/>
    <cellStyle name="Currency 4 7 3 3" xfId="1949" xr:uid="{00000000-0005-0000-0000-0000CC030000}"/>
    <cellStyle name="Currency 4 7 3 4" xfId="1947" xr:uid="{00000000-0005-0000-0000-0000CD030000}"/>
    <cellStyle name="Currency 4 7 3 5" xfId="6174" xr:uid="{00000000-0005-0000-0000-0000C2020000}"/>
    <cellStyle name="Currency 4 7 3 6" xfId="7047" xr:uid="{00000000-0005-0000-0000-00008F030000}"/>
    <cellStyle name="Currency 4 7 3 7" xfId="9455" xr:uid="{00000000-0005-0000-0000-00008F030000}"/>
    <cellStyle name="Currency 4 7 4" xfId="1950" xr:uid="{00000000-0005-0000-0000-0000CE030000}"/>
    <cellStyle name="Currency 4 7 4 2" xfId="2299" xr:uid="{00000000-0005-0000-0000-0000BF020000}"/>
    <cellStyle name="Currency 4 7 4 3" xfId="3637" xr:uid="{00000000-0005-0000-0000-0000CE030000}"/>
    <cellStyle name="Currency 4 7 4 4" xfId="6057" xr:uid="{00000000-0005-0000-0000-0000BF020000}"/>
    <cellStyle name="Currency 4 7 4 5" xfId="7045" xr:uid="{00000000-0005-0000-0000-000090030000}"/>
    <cellStyle name="Currency 4 7 4 6" xfId="9453" xr:uid="{00000000-0005-0000-0000-000090030000}"/>
    <cellStyle name="Currency 4 7 5" xfId="1951" xr:uid="{00000000-0005-0000-0000-0000CF030000}"/>
    <cellStyle name="Currency 4 7 5 2" xfId="5963" xr:uid="{00000000-0005-0000-0000-000086030000}"/>
    <cellStyle name="Currency 4 7 5 3" xfId="7925" xr:uid="{00000000-0005-0000-0000-000091030000}"/>
    <cellStyle name="Currency 4 7 5 4" xfId="10322" xr:uid="{00000000-0005-0000-0000-000091030000}"/>
    <cellStyle name="Currency 4 7 6" xfId="1943" xr:uid="{00000000-0005-0000-0000-0000D0030000}"/>
    <cellStyle name="Currency 4 7 6 2" xfId="11586" xr:uid="{00000000-0005-0000-0000-0000BD030000}"/>
    <cellStyle name="Currency 4 7 7" xfId="3888" xr:uid="{00000000-0005-0000-0000-00008C010000}"/>
    <cellStyle name="Currency 4 7 8" xfId="5817" xr:uid="{00000000-0005-0000-0000-0000E5010000}"/>
    <cellStyle name="Currency 4 7 9" xfId="4867" xr:uid="{00000000-0005-0000-0000-0000D7010000}"/>
    <cellStyle name="Currency 4 8" xfId="586" xr:uid="{00000000-0005-0000-0000-0000D1030000}"/>
    <cellStyle name="Currency 4 8 10" xfId="6614" xr:uid="{00000000-0005-0000-0000-000092030000}"/>
    <cellStyle name="Currency 4 8 11" xfId="9035" xr:uid="{00000000-0005-0000-0000-000092030000}"/>
    <cellStyle name="Currency 4 8 2" xfId="587" xr:uid="{00000000-0005-0000-0000-0000D2030000}"/>
    <cellStyle name="Currency 4 8 2 2" xfId="1954" xr:uid="{00000000-0005-0000-0000-0000D3030000}"/>
    <cellStyle name="Currency 4 8 2 2 2" xfId="2887" xr:uid="{00000000-0005-0000-0000-0000C5020000}"/>
    <cellStyle name="Currency 4 8 2 2 2 2" xfId="12016" xr:uid="{00000000-0005-0000-0000-00001F030000}"/>
    <cellStyle name="Currency 4 8 2 2 3" xfId="3564" xr:uid="{00000000-0005-0000-0000-0000D3030000}"/>
    <cellStyle name="Currency 4 8 2 2 4" xfId="6279" xr:uid="{00000000-0005-0000-0000-0000C5020000}"/>
    <cellStyle name="Currency 4 8 2 2 5" xfId="7049" xr:uid="{00000000-0005-0000-0000-000094030000}"/>
    <cellStyle name="Currency 4 8 2 2 6" xfId="9457" xr:uid="{00000000-0005-0000-0000-000094030000}"/>
    <cellStyle name="Currency 4 8 2 3" xfId="1955" xr:uid="{00000000-0005-0000-0000-0000D4030000}"/>
    <cellStyle name="Currency 4 8 2 3 2" xfId="6441" xr:uid="{00000000-0005-0000-0000-0000D4030000}"/>
    <cellStyle name="Currency 4 8 2 3 3" xfId="8198" xr:uid="{00000000-0005-0000-0000-000095030000}"/>
    <cellStyle name="Currency 4 8 2 3 4" xfId="10595" xr:uid="{00000000-0005-0000-0000-000095030000}"/>
    <cellStyle name="Currency 4 8 2 3 5" xfId="4722" xr:uid="{00000000-0005-0000-0000-000024020000}"/>
    <cellStyle name="Currency 4 8 2 4" xfId="1953" xr:uid="{00000000-0005-0000-0000-0000D5030000}"/>
    <cellStyle name="Currency 4 8 2 4 2" xfId="11956" xr:uid="{00000000-0005-0000-0000-00001E030000}"/>
    <cellStyle name="Currency 4 8 2 5" xfId="6099" xr:uid="{00000000-0005-0000-0000-0000C4020000}"/>
    <cellStyle name="Currency 4 8 2 6" xfId="5077" xr:uid="{00000000-0005-0000-0000-0000DA010000}"/>
    <cellStyle name="Currency 4 8 2 7" xfId="6775" xr:uid="{00000000-0005-0000-0000-000093030000}"/>
    <cellStyle name="Currency 4 8 2 8" xfId="9196" xr:uid="{00000000-0005-0000-0000-000093030000}"/>
    <cellStyle name="Currency 4 8 3" xfId="588" xr:uid="{00000000-0005-0000-0000-0000D6030000}"/>
    <cellStyle name="Currency 4 8 3 2" xfId="1957" xr:uid="{00000000-0005-0000-0000-0000D7030000}"/>
    <cellStyle name="Currency 4 8 3 3" xfId="1958" xr:uid="{00000000-0005-0000-0000-0000D8030000}"/>
    <cellStyle name="Currency 4 8 3 4" xfId="1956" xr:uid="{00000000-0005-0000-0000-0000D9030000}"/>
    <cellStyle name="Currency 4 8 3 5" xfId="6175" xr:uid="{00000000-0005-0000-0000-0000C6020000}"/>
    <cellStyle name="Currency 4 8 3 6" xfId="7050" xr:uid="{00000000-0005-0000-0000-000096030000}"/>
    <cellStyle name="Currency 4 8 3 7" xfId="9458" xr:uid="{00000000-0005-0000-0000-000096030000}"/>
    <cellStyle name="Currency 4 8 4" xfId="1959" xr:uid="{00000000-0005-0000-0000-0000DA030000}"/>
    <cellStyle name="Currency 4 8 4 2" xfId="2300" xr:uid="{00000000-0005-0000-0000-0000C3020000}"/>
    <cellStyle name="Currency 4 8 4 3" xfId="2089" xr:uid="{00000000-0005-0000-0000-0000DA030000}"/>
    <cellStyle name="Currency 4 8 4 4" xfId="6058" xr:uid="{00000000-0005-0000-0000-0000C3020000}"/>
    <cellStyle name="Currency 4 8 4 5" xfId="7048" xr:uid="{00000000-0005-0000-0000-000097030000}"/>
    <cellStyle name="Currency 4 8 4 6" xfId="9456" xr:uid="{00000000-0005-0000-0000-000097030000}"/>
    <cellStyle name="Currency 4 8 5" xfId="1960" xr:uid="{00000000-0005-0000-0000-0000DB030000}"/>
    <cellStyle name="Currency 4 8 5 2" xfId="6488" xr:uid="{00000000-0005-0000-0000-00008C030000}"/>
    <cellStyle name="Currency 4 8 5 3" xfId="7926" xr:uid="{00000000-0005-0000-0000-000098030000}"/>
    <cellStyle name="Currency 4 8 5 4" xfId="10323" xr:uid="{00000000-0005-0000-0000-000098030000}"/>
    <cellStyle name="Currency 4 8 6" xfId="1952" xr:uid="{00000000-0005-0000-0000-0000DC030000}"/>
    <cellStyle name="Currency 4 8 6 2" xfId="11587" xr:uid="{00000000-0005-0000-0000-0000C3030000}"/>
    <cellStyle name="Currency 4 8 7" xfId="3889" xr:uid="{00000000-0005-0000-0000-00008D010000}"/>
    <cellStyle name="Currency 4 8 8" xfId="5818" xr:uid="{00000000-0005-0000-0000-0000E6010000}"/>
    <cellStyle name="Currency 4 8 9" xfId="4868" xr:uid="{00000000-0005-0000-0000-0000D9010000}"/>
    <cellStyle name="Currency 4 9" xfId="589" xr:uid="{00000000-0005-0000-0000-0000DD030000}"/>
    <cellStyle name="Currency 4 9 2" xfId="1962" xr:uid="{00000000-0005-0000-0000-0000DE030000}"/>
    <cellStyle name="Currency 4 9 2 2" xfId="3106" xr:uid="{00000000-0005-0000-0000-0000C8020000}"/>
    <cellStyle name="Currency 4 9 2 2 2" xfId="8436" xr:uid="{00000000-0005-0000-0000-00009B030000}"/>
    <cellStyle name="Currency 4 9 2 2 3" xfId="10833" xr:uid="{00000000-0005-0000-0000-00009B030000}"/>
    <cellStyle name="Currency 4 9 2 2 4" xfId="11351" xr:uid="{00000000-0005-0000-0000-0000E22C0000}"/>
    <cellStyle name="Currency 4 9 2 3" xfId="3686" xr:uid="{00000000-0005-0000-0000-0000DE030000}"/>
    <cellStyle name="Currency 4 9 2 4" xfId="6368" xr:uid="{00000000-0005-0000-0000-0000C8020000}"/>
    <cellStyle name="Currency 4 9 2 5" xfId="5078" xr:uid="{00000000-0005-0000-0000-0000DC010000}"/>
    <cellStyle name="Currency 4 9 2 6" xfId="7051" xr:uid="{00000000-0005-0000-0000-00009A030000}"/>
    <cellStyle name="Currency 4 9 2 7" xfId="9459" xr:uid="{00000000-0005-0000-0000-00009A030000}"/>
    <cellStyle name="Currency 4 9 3" xfId="1963" xr:uid="{00000000-0005-0000-0000-0000DF030000}"/>
    <cellStyle name="Currency 4 9 3 2" xfId="2690" xr:uid="{00000000-0005-0000-0000-0000C9020000}"/>
    <cellStyle name="Currency 4 9 3 3" xfId="3656" xr:uid="{00000000-0005-0000-0000-0000DF030000}"/>
    <cellStyle name="Currency 4 9 3 4" xfId="6170" xr:uid="{00000000-0005-0000-0000-0000C9020000}"/>
    <cellStyle name="Currency 4 9 3 5" xfId="7913" xr:uid="{00000000-0005-0000-0000-00009C030000}"/>
    <cellStyle name="Currency 4 9 3 6" xfId="10310" xr:uid="{00000000-0005-0000-0000-00009C030000}"/>
    <cellStyle name="Currency 4 9 4" xfId="1961" xr:uid="{00000000-0005-0000-0000-0000E0030000}"/>
    <cellStyle name="Currency 4 9 4 2" xfId="2292" xr:uid="{00000000-0005-0000-0000-0000C7020000}"/>
    <cellStyle name="Currency 4 9 4 3" xfId="3645" xr:uid="{00000000-0005-0000-0000-0000E0030000}"/>
    <cellStyle name="Currency 4 9 4 4" xfId="11562" xr:uid="{00000000-0005-0000-0000-00008B020000}"/>
    <cellStyle name="Currency 4 9 5" xfId="3827" xr:uid="{00000000-0005-0000-0000-00008E010000}"/>
    <cellStyle name="Currency 4 9 5 2" xfId="11397" xr:uid="{00000000-0005-0000-0000-000092030000}"/>
    <cellStyle name="Currency 4 9 6" xfId="5805" xr:uid="{00000000-0005-0000-0000-0000E7010000}"/>
    <cellStyle name="Currency 4 9 7" xfId="4860" xr:uid="{00000000-0005-0000-0000-0000DB010000}"/>
    <cellStyle name="Currency 4 9 8" xfId="6606" xr:uid="{00000000-0005-0000-0000-000099030000}"/>
    <cellStyle name="Currency 4 9 9" xfId="9027" xr:uid="{00000000-0005-0000-0000-000099030000}"/>
    <cellStyle name="Currency 5" xfId="590" xr:uid="{00000000-0005-0000-0000-0000E1030000}"/>
    <cellStyle name="Currency 5 10" xfId="5359" xr:uid="{00000000-0005-0000-0000-0000E8010000}"/>
    <cellStyle name="Currency 5 11" xfId="4815" xr:uid="{00000000-0005-0000-0000-0000DD010000}"/>
    <cellStyle name="Currency 5 12" xfId="6561" xr:uid="{00000000-0005-0000-0000-00009D030000}"/>
    <cellStyle name="Currency 5 13" xfId="8982" xr:uid="{00000000-0005-0000-0000-00009D030000}"/>
    <cellStyle name="Currency 5 2" xfId="591" xr:uid="{00000000-0005-0000-0000-0000E2030000}"/>
    <cellStyle name="Currency 5 2 10" xfId="4870" xr:uid="{00000000-0005-0000-0000-0000DE010000}"/>
    <cellStyle name="Currency 5 2 11" xfId="6616" xr:uid="{00000000-0005-0000-0000-00009E030000}"/>
    <cellStyle name="Currency 5 2 12" xfId="9037" xr:uid="{00000000-0005-0000-0000-00009E030000}"/>
    <cellStyle name="Currency 5 2 2" xfId="592" xr:uid="{00000000-0005-0000-0000-0000E3030000}"/>
    <cellStyle name="Currency 5 2 2 10" xfId="6777" xr:uid="{00000000-0005-0000-0000-00009F030000}"/>
    <cellStyle name="Currency 5 2 2 11" xfId="9198" xr:uid="{00000000-0005-0000-0000-00009F030000}"/>
    <cellStyle name="Currency 5 2 2 2" xfId="1967" xr:uid="{00000000-0005-0000-0000-0000E4030000}"/>
    <cellStyle name="Currency 5 2 2 2 2" xfId="3108" xr:uid="{00000000-0005-0000-0000-0000CE020000}"/>
    <cellStyle name="Currency 5 2 2 2 2 2" xfId="8438" xr:uid="{00000000-0005-0000-0000-0000A1030000}"/>
    <cellStyle name="Currency 5 2 2 2 2 3" xfId="10835" xr:uid="{00000000-0005-0000-0000-0000A1030000}"/>
    <cellStyle name="Currency 5 2 2 2 3" xfId="2701" xr:uid="{00000000-0005-0000-0000-0000CD020000}"/>
    <cellStyle name="Currency 5 2 2 2 3 2" xfId="7929" xr:uid="{00000000-0005-0000-0000-0000A2030000}"/>
    <cellStyle name="Currency 5 2 2 2 3 3" xfId="10326" xr:uid="{00000000-0005-0000-0000-0000A2030000}"/>
    <cellStyle name="Currency 5 2 2 2 3 4" xfId="12017" xr:uid="{00000000-0005-0000-0000-00002B030000}"/>
    <cellStyle name="Currency 5 2 2 2 4" xfId="2048" xr:uid="{00000000-0005-0000-0000-0000E4030000}"/>
    <cellStyle name="Currency 5 2 2 2 4 2" xfId="11728" xr:uid="{00000000-0005-0000-0000-0000D2030000}"/>
    <cellStyle name="Currency 5 2 2 2 5" xfId="4278" xr:uid="{00000000-0005-0000-0000-0000CD020000}"/>
    <cellStyle name="Currency 5 2 2 2 6" xfId="5821" xr:uid="{00000000-0005-0000-0000-0000EB010000}"/>
    <cellStyle name="Currency 5 2 2 2 7" xfId="7054" xr:uid="{00000000-0005-0000-0000-0000A0030000}"/>
    <cellStyle name="Currency 5 2 2 2 8" xfId="9462" xr:uid="{00000000-0005-0000-0000-0000A0030000}"/>
    <cellStyle name="Currency 5 2 2 3" xfId="1968" xr:uid="{00000000-0005-0000-0000-0000E5030000}"/>
    <cellStyle name="Currency 5 2 2 3 2" xfId="3109" xr:uid="{00000000-0005-0000-0000-0000CF020000}"/>
    <cellStyle name="Currency 5 2 2 3 2 2" xfId="11467" xr:uid="{00000000-0005-0000-0000-00009A030000}"/>
    <cellStyle name="Currency 5 2 2 3 3" xfId="3549" xr:uid="{00000000-0005-0000-0000-0000E5030000}"/>
    <cellStyle name="Currency 5 2 2 3 3 2" xfId="11757" xr:uid="{00000000-0005-0000-0000-0000D5030000}"/>
    <cellStyle name="Currency 5 2 2 3 4" xfId="4434" xr:uid="{00000000-0005-0000-0000-0000CF020000}"/>
    <cellStyle name="Currency 5 2 2 3 5" xfId="5749" xr:uid="{00000000-0005-0000-0000-0000EC010000}"/>
    <cellStyle name="Currency 5 2 2 3 6" xfId="8439" xr:uid="{00000000-0005-0000-0000-0000A3030000}"/>
    <cellStyle name="Currency 5 2 2 3 7" xfId="10836" xr:uid="{00000000-0005-0000-0000-0000A3030000}"/>
    <cellStyle name="Currency 5 2 2 4" xfId="1966" xr:uid="{00000000-0005-0000-0000-0000E6030000}"/>
    <cellStyle name="Currency 5 2 2 4 2" xfId="3107" xr:uid="{00000000-0005-0000-0000-0000D0020000}"/>
    <cellStyle name="Currency 5 2 2 4 3" xfId="3681" xr:uid="{00000000-0005-0000-0000-0000E6030000}"/>
    <cellStyle name="Currency 5 2 2 4 4" xfId="8437" xr:uid="{00000000-0005-0000-0000-0000A4030000}"/>
    <cellStyle name="Currency 5 2 2 4 5" xfId="10834" xr:uid="{00000000-0005-0000-0000-0000A4030000}"/>
    <cellStyle name="Currency 5 2 2 5" xfId="2643" xr:uid="{00000000-0005-0000-0000-0000D1020000}"/>
    <cellStyle name="Currency 5 2 2 5 2" xfId="7842" xr:uid="{00000000-0005-0000-0000-0000A5030000}"/>
    <cellStyle name="Currency 5 2 2 5 3" xfId="10239" xr:uid="{00000000-0005-0000-0000-0000A5030000}"/>
    <cellStyle name="Currency 5 2 2 6" xfId="2302" xr:uid="{00000000-0005-0000-0000-0000CC020000}"/>
    <cellStyle name="Currency 5 2 2 6 2" xfId="11605" xr:uid="{00000000-0005-0000-0000-0000D1030000}"/>
    <cellStyle name="Currency 5 2 2 7" xfId="3833" xr:uid="{00000000-0005-0000-0000-000091010000}"/>
    <cellStyle name="Currency 5 2 2 8" xfId="5520" xr:uid="{00000000-0005-0000-0000-0000EA010000}"/>
    <cellStyle name="Currency 5 2 2 9" xfId="5080" xr:uid="{00000000-0005-0000-0000-0000DF010000}"/>
    <cellStyle name="Currency 5 2 3" xfId="593" xr:uid="{00000000-0005-0000-0000-0000E7030000}"/>
    <cellStyle name="Currency 5 2 3 2" xfId="1970" xr:uid="{00000000-0005-0000-0000-0000E8030000}"/>
    <cellStyle name="Currency 5 2 3 2 2" xfId="3110" xr:uid="{00000000-0005-0000-0000-0000D3020000}"/>
    <cellStyle name="Currency 5 2 3 2 2 2" xfId="11874" xr:uid="{00000000-0005-0000-0000-0000DB030000}"/>
    <cellStyle name="Currency 5 2 3 2 3" xfId="3665" xr:uid="{00000000-0005-0000-0000-0000E8030000}"/>
    <cellStyle name="Currency 5 2 3 2 3 2" xfId="11729" xr:uid="{00000000-0005-0000-0000-0000DA030000}"/>
    <cellStyle name="Currency 5 2 3 2 4" xfId="8440" xr:uid="{00000000-0005-0000-0000-0000A7030000}"/>
    <cellStyle name="Currency 5 2 3 2 5" xfId="10837" xr:uid="{00000000-0005-0000-0000-0000A7030000}"/>
    <cellStyle name="Currency 5 2 3 3" xfId="1971" xr:uid="{00000000-0005-0000-0000-0000E9030000}"/>
    <cellStyle name="Currency 5 2 3 3 2" xfId="2700" xr:uid="{00000000-0005-0000-0000-0000D4020000}"/>
    <cellStyle name="Currency 5 2 3 3 3" xfId="3579" xr:uid="{00000000-0005-0000-0000-0000E9030000}"/>
    <cellStyle name="Currency 5 2 3 3 4" xfId="7928" xr:uid="{00000000-0005-0000-0000-0000A8030000}"/>
    <cellStyle name="Currency 5 2 3 3 5" xfId="10325" xr:uid="{00000000-0005-0000-0000-0000A8030000}"/>
    <cellStyle name="Currency 5 2 3 4" xfId="1969" xr:uid="{00000000-0005-0000-0000-0000EA030000}"/>
    <cellStyle name="Currency 5 2 3 4 2" xfId="3775" xr:uid="{00000000-0005-0000-0000-0000D2020000}"/>
    <cellStyle name="Currency 5 2 3 5" xfId="4144" xr:uid="{00000000-0005-0000-0000-0000D2020000}"/>
    <cellStyle name="Currency 5 2 3 6" xfId="5820" xr:uid="{00000000-0005-0000-0000-0000ED010000}"/>
    <cellStyle name="Currency 5 2 3 7" xfId="7055" xr:uid="{00000000-0005-0000-0000-0000A6030000}"/>
    <cellStyle name="Currency 5 2 3 8" xfId="9463" xr:uid="{00000000-0005-0000-0000-0000A6030000}"/>
    <cellStyle name="Currency 5 2 4" xfId="1972" xr:uid="{00000000-0005-0000-0000-0000EB030000}"/>
    <cellStyle name="Currency 5 2 4 2" xfId="3111" xr:uid="{00000000-0005-0000-0000-0000D5020000}"/>
    <cellStyle name="Currency 5 2 4 2 2" xfId="8441" xr:uid="{00000000-0005-0000-0000-0000AA030000}"/>
    <cellStyle name="Currency 5 2 4 2 3" xfId="10838" xr:uid="{00000000-0005-0000-0000-0000AA030000}"/>
    <cellStyle name="Currency 5 2 4 3" xfId="2049" xr:uid="{00000000-0005-0000-0000-0000EB030000}"/>
    <cellStyle name="Currency 5 2 4 3 2" xfId="11776" xr:uid="{00000000-0005-0000-0000-0000DD030000}"/>
    <cellStyle name="Currency 5 2 4 4" xfId="4435" xr:uid="{00000000-0005-0000-0000-0000D5020000}"/>
    <cellStyle name="Currency 5 2 4 5" xfId="5664" xr:uid="{00000000-0005-0000-0000-0000EE010000}"/>
    <cellStyle name="Currency 5 2 4 6" xfId="7053" xr:uid="{00000000-0005-0000-0000-0000A9030000}"/>
    <cellStyle name="Currency 5 2 4 7" xfId="9461" xr:uid="{00000000-0005-0000-0000-0000A9030000}"/>
    <cellStyle name="Currency 5 2 5" xfId="1973" xr:uid="{00000000-0005-0000-0000-0000EC030000}"/>
    <cellStyle name="Currency 5 2 5 2" xfId="2889" xr:uid="{00000000-0005-0000-0000-0000D6020000}"/>
    <cellStyle name="Currency 5 2 5 3" xfId="3608" xr:uid="{00000000-0005-0000-0000-0000EC030000}"/>
    <cellStyle name="Currency 5 2 5 4" xfId="8200" xr:uid="{00000000-0005-0000-0000-0000AB030000}"/>
    <cellStyle name="Currency 5 2 5 5" xfId="10597" xr:uid="{00000000-0005-0000-0000-0000AB030000}"/>
    <cellStyle name="Currency 5 2 6" xfId="1965" xr:uid="{00000000-0005-0000-0000-0000ED030000}"/>
    <cellStyle name="Currency 5 2 6 2" xfId="2541" xr:uid="{00000000-0005-0000-0000-0000D7020000}"/>
    <cellStyle name="Currency 5 2 6 3" xfId="3594" xr:uid="{00000000-0005-0000-0000-0000ED030000}"/>
    <cellStyle name="Currency 5 2 6 4" xfId="7739" xr:uid="{00000000-0005-0000-0000-0000AC030000}"/>
    <cellStyle name="Currency 5 2 6 5" xfId="10136" xr:uid="{00000000-0005-0000-0000-0000AC030000}"/>
    <cellStyle name="Currency 5 2 7" xfId="2235" xr:uid="{00000000-0005-0000-0000-0000CB020000}"/>
    <cellStyle name="Currency 5 2 8" xfId="3891" xr:uid="{00000000-0005-0000-0000-000090010000}"/>
    <cellStyle name="Currency 5 2 9" xfId="5419" xr:uid="{00000000-0005-0000-0000-0000E9010000}"/>
    <cellStyle name="Currency 5 3" xfId="594" xr:uid="{00000000-0005-0000-0000-0000EE030000}"/>
    <cellStyle name="Currency 5 3 10" xfId="6615" xr:uid="{00000000-0005-0000-0000-0000AD030000}"/>
    <cellStyle name="Currency 5 3 11" xfId="9036" xr:uid="{00000000-0005-0000-0000-0000AD030000}"/>
    <cellStyle name="Currency 5 3 2" xfId="1975" xr:uid="{00000000-0005-0000-0000-0000EF030000}"/>
    <cellStyle name="Currency 5 3 2 2" xfId="3113" xr:uid="{00000000-0005-0000-0000-0000DA020000}"/>
    <cellStyle name="Currency 5 3 2 2 2" xfId="6512" xr:uid="{00000000-0005-0000-0000-0000A7030000}"/>
    <cellStyle name="Currency 5 3 2 2 2 2" xfId="11469" xr:uid="{00000000-0005-0000-0000-0000A7030000}"/>
    <cellStyle name="Currency 5 3 2 2 3" xfId="8443" xr:uid="{00000000-0005-0000-0000-0000AF030000}"/>
    <cellStyle name="Currency 5 3 2 2 4" xfId="10840" xr:uid="{00000000-0005-0000-0000-0000AF030000}"/>
    <cellStyle name="Currency 5 3 2 2 5" xfId="11352" xr:uid="{00000000-0005-0000-0000-0000E32C0000}"/>
    <cellStyle name="Currency 5 3 2 3" xfId="2702" xr:uid="{00000000-0005-0000-0000-0000D9020000}"/>
    <cellStyle name="Currency 5 3 2 3 2" xfId="7930" xr:uid="{00000000-0005-0000-0000-0000B0030000}"/>
    <cellStyle name="Currency 5 3 2 3 3" xfId="10327" xr:uid="{00000000-0005-0000-0000-0000B0030000}"/>
    <cellStyle name="Currency 5 3 2 3 4" xfId="12018" xr:uid="{00000000-0005-0000-0000-000034030000}"/>
    <cellStyle name="Currency 5 3 2 4" xfId="3700" xr:uid="{00000000-0005-0000-0000-0000EF030000}"/>
    <cellStyle name="Currency 5 3 2 5" xfId="4279" xr:uid="{00000000-0005-0000-0000-0000D9020000}"/>
    <cellStyle name="Currency 5 3 2 6" xfId="5822" xr:uid="{00000000-0005-0000-0000-0000F0010000}"/>
    <cellStyle name="Currency 5 3 2 7" xfId="5081" xr:uid="{00000000-0005-0000-0000-0000E1010000}"/>
    <cellStyle name="Currency 5 3 2 8" xfId="7056" xr:uid="{00000000-0005-0000-0000-0000AE030000}"/>
    <cellStyle name="Currency 5 3 2 9" xfId="9464" xr:uid="{00000000-0005-0000-0000-0000AE030000}"/>
    <cellStyle name="Currency 5 3 3" xfId="1976" xr:uid="{00000000-0005-0000-0000-0000F0030000}"/>
    <cellStyle name="Currency 5 3 3 2" xfId="3114" xr:uid="{00000000-0005-0000-0000-0000DB020000}"/>
    <cellStyle name="Currency 5 3 3 2 2" xfId="11470" xr:uid="{00000000-0005-0000-0000-0000AA030000}"/>
    <cellStyle name="Currency 5 3 3 3" xfId="2087" xr:uid="{00000000-0005-0000-0000-0000F0030000}"/>
    <cellStyle name="Currency 5 3 3 4" xfId="4436" xr:uid="{00000000-0005-0000-0000-0000DB020000}"/>
    <cellStyle name="Currency 5 3 3 5" xfId="5691" xr:uid="{00000000-0005-0000-0000-0000F1010000}"/>
    <cellStyle name="Currency 5 3 3 6" xfId="8444" xr:uid="{00000000-0005-0000-0000-0000B1030000}"/>
    <cellStyle name="Currency 5 3 3 7" xfId="10841" xr:uid="{00000000-0005-0000-0000-0000B1030000}"/>
    <cellStyle name="Currency 5 3 4" xfId="1974" xr:uid="{00000000-0005-0000-0000-0000F1030000}"/>
    <cellStyle name="Currency 5 3 4 2" xfId="3112" xr:uid="{00000000-0005-0000-0000-0000DC020000}"/>
    <cellStyle name="Currency 5 3 4 2 2" xfId="11468" xr:uid="{00000000-0005-0000-0000-0000AC030000}"/>
    <cellStyle name="Currency 5 3 4 3" xfId="3545" xr:uid="{00000000-0005-0000-0000-0000F1030000}"/>
    <cellStyle name="Currency 5 3 4 3 2" xfId="11769" xr:uid="{00000000-0005-0000-0000-0000E8030000}"/>
    <cellStyle name="Currency 5 3 4 4" xfId="8442" xr:uid="{00000000-0005-0000-0000-0000B2030000}"/>
    <cellStyle name="Currency 5 3 4 5" xfId="10839" xr:uid="{00000000-0005-0000-0000-0000B2030000}"/>
    <cellStyle name="Currency 5 3 5" xfId="2584" xr:uid="{00000000-0005-0000-0000-0000DD020000}"/>
    <cellStyle name="Currency 5 3 5 2" xfId="7782" xr:uid="{00000000-0005-0000-0000-0000B3030000}"/>
    <cellStyle name="Currency 5 3 5 3" xfId="10179" xr:uid="{00000000-0005-0000-0000-0000B3030000}"/>
    <cellStyle name="Currency 5 3 6" xfId="2301" xr:uid="{00000000-0005-0000-0000-0000D8020000}"/>
    <cellStyle name="Currency 5 3 7" xfId="3832" xr:uid="{00000000-0005-0000-0000-000092010000}"/>
    <cellStyle name="Currency 5 3 8" xfId="5460" xr:uid="{00000000-0005-0000-0000-0000EF010000}"/>
    <cellStyle name="Currency 5 3 9" xfId="4869" xr:uid="{00000000-0005-0000-0000-0000E0010000}"/>
    <cellStyle name="Currency 5 4" xfId="595" xr:uid="{00000000-0005-0000-0000-0000F2030000}"/>
    <cellStyle name="Currency 5 4 2" xfId="1978" xr:uid="{00000000-0005-0000-0000-0000F3030000}"/>
    <cellStyle name="Currency 5 4 2 2" xfId="3115" xr:uid="{00000000-0005-0000-0000-0000DF020000}"/>
    <cellStyle name="Currency 5 4 2 2 2" xfId="8445" xr:uid="{00000000-0005-0000-0000-0000B6030000}"/>
    <cellStyle name="Currency 5 4 2 2 3" xfId="10842" xr:uid="{00000000-0005-0000-0000-0000B6030000}"/>
    <cellStyle name="Currency 5 4 2 2 4" xfId="12019" xr:uid="{00000000-0005-0000-0000-000039030000}"/>
    <cellStyle name="Currency 5 4 2 3" xfId="3642" xr:uid="{00000000-0005-0000-0000-0000F3030000}"/>
    <cellStyle name="Currency 5 4 2 4" xfId="6369" xr:uid="{00000000-0005-0000-0000-0000DF020000}"/>
    <cellStyle name="Currency 5 4 2 5" xfId="7057" xr:uid="{00000000-0005-0000-0000-0000B5030000}"/>
    <cellStyle name="Currency 5 4 2 6" xfId="9465" xr:uid="{00000000-0005-0000-0000-0000B5030000}"/>
    <cellStyle name="Currency 5 4 3" xfId="1979" xr:uid="{00000000-0005-0000-0000-0000F4030000}"/>
    <cellStyle name="Currency 5 4 3 2" xfId="2699" xr:uid="{00000000-0005-0000-0000-0000E0020000}"/>
    <cellStyle name="Currency 5 4 3 3" xfId="2076" xr:uid="{00000000-0005-0000-0000-0000F4030000}"/>
    <cellStyle name="Currency 5 4 3 4" xfId="6176" xr:uid="{00000000-0005-0000-0000-0000E0020000}"/>
    <cellStyle name="Currency 5 4 3 5" xfId="7927" xr:uid="{00000000-0005-0000-0000-0000B7030000}"/>
    <cellStyle name="Currency 5 4 3 6" xfId="10324" xr:uid="{00000000-0005-0000-0000-0000B7030000}"/>
    <cellStyle name="Currency 5 4 4" xfId="1977" xr:uid="{00000000-0005-0000-0000-0000F5030000}"/>
    <cellStyle name="Currency 5 4 4 2" xfId="4687" xr:uid="{00000000-0005-0000-0000-0000DE020000}"/>
    <cellStyle name="Currency 5 4 5" xfId="4143" xr:uid="{00000000-0005-0000-0000-0000DE020000}"/>
    <cellStyle name="Currency 5 4 5 2" xfId="11809" xr:uid="{00000000-0005-0000-0000-0000F0030000}"/>
    <cellStyle name="Currency 5 4 6" xfId="5819" xr:uid="{00000000-0005-0000-0000-0000F2010000}"/>
    <cellStyle name="Currency 5 4 7" xfId="5079" xr:uid="{00000000-0005-0000-0000-0000E2010000}"/>
    <cellStyle name="Currency 5 4 8" xfId="6776" xr:uid="{00000000-0005-0000-0000-0000B4030000}"/>
    <cellStyle name="Currency 5 4 9" xfId="9197" xr:uid="{00000000-0005-0000-0000-0000B4030000}"/>
    <cellStyle name="Currency 5 5" xfId="596" xr:uid="{00000000-0005-0000-0000-0000F6030000}"/>
    <cellStyle name="Currency 5 5 2" xfId="1981" xr:uid="{00000000-0005-0000-0000-0000F7030000}"/>
    <cellStyle name="Currency 5 5 2 2" xfId="6449" xr:uid="{00000000-0005-0000-0000-0000B3030000}"/>
    <cellStyle name="Currency 5 5 2 3" xfId="8446" xr:uid="{00000000-0005-0000-0000-0000B9030000}"/>
    <cellStyle name="Currency 5 5 2 4" xfId="10843" xr:uid="{00000000-0005-0000-0000-0000B9030000}"/>
    <cellStyle name="Currency 5 5 3" xfId="1982" xr:uid="{00000000-0005-0000-0000-0000F8030000}"/>
    <cellStyle name="Currency 5 5 4" xfId="1980" xr:uid="{00000000-0005-0000-0000-0000F9030000}"/>
    <cellStyle name="Currency 5 5 5" xfId="4437" xr:uid="{00000000-0005-0000-0000-0000E1020000}"/>
    <cellStyle name="Currency 5 5 6" xfId="5605" xr:uid="{00000000-0005-0000-0000-0000F3010000}"/>
    <cellStyle name="Currency 5 5 7" xfId="7058" xr:uid="{00000000-0005-0000-0000-0000B8030000}"/>
    <cellStyle name="Currency 5 5 8" xfId="9466" xr:uid="{00000000-0005-0000-0000-0000B8030000}"/>
    <cellStyle name="Currency 5 6" xfId="1983" xr:uid="{00000000-0005-0000-0000-0000FA030000}"/>
    <cellStyle name="Currency 5 6 2" xfId="2888" xr:uid="{00000000-0005-0000-0000-0000E2020000}"/>
    <cellStyle name="Currency 5 6 2 2" xfId="8199" xr:uid="{00000000-0005-0000-0000-0000BB030000}"/>
    <cellStyle name="Currency 5 6 2 3" xfId="10596" xr:uid="{00000000-0005-0000-0000-0000BB030000}"/>
    <cellStyle name="Currency 5 6 3" xfId="3691" xr:uid="{00000000-0005-0000-0000-0000FA030000}"/>
    <cellStyle name="Currency 5 6 4" xfId="6280" xr:uid="{00000000-0005-0000-0000-0000E2020000}"/>
    <cellStyle name="Currency 5 6 5" xfId="7052" xr:uid="{00000000-0005-0000-0000-0000BA030000}"/>
    <cellStyle name="Currency 5 6 6" xfId="9460" xr:uid="{00000000-0005-0000-0000-0000BA030000}"/>
    <cellStyle name="Currency 5 7" xfId="1984" xr:uid="{00000000-0005-0000-0000-0000FB030000}"/>
    <cellStyle name="Currency 5 7 2" xfId="2481" xr:uid="{00000000-0005-0000-0000-0000E3020000}"/>
    <cellStyle name="Currency 5 7 3" xfId="3647" xr:uid="{00000000-0005-0000-0000-0000FB030000}"/>
    <cellStyle name="Currency 5 7 4" xfId="7679" xr:uid="{00000000-0005-0000-0000-0000BC030000}"/>
    <cellStyle name="Currency 5 7 5" xfId="10076" xr:uid="{00000000-0005-0000-0000-0000BC030000}"/>
    <cellStyle name="Currency 5 8" xfId="1964" xr:uid="{00000000-0005-0000-0000-0000FC030000}"/>
    <cellStyle name="Currency 5 8 2" xfId="2175" xr:uid="{00000000-0005-0000-0000-0000CA020000}"/>
    <cellStyle name="Currency 5 8 3" xfId="3699" xr:uid="{00000000-0005-0000-0000-0000FC030000}"/>
    <cellStyle name="Currency 5 9" xfId="3890" xr:uid="{00000000-0005-0000-0000-00008F010000}"/>
    <cellStyle name="Currency 6" xfId="597" xr:uid="{00000000-0005-0000-0000-0000FD030000}"/>
    <cellStyle name="Currency 6 10" xfId="6605" xr:uid="{00000000-0005-0000-0000-0000BD030000}"/>
    <cellStyle name="Currency 6 11" xfId="9026" xr:uid="{00000000-0005-0000-0000-0000BD030000}"/>
    <cellStyle name="Currency 6 2" xfId="1986" xr:uid="{00000000-0005-0000-0000-0000FE030000}"/>
    <cellStyle name="Currency 6 2 2" xfId="3117" xr:uid="{00000000-0005-0000-0000-0000E6020000}"/>
    <cellStyle name="Currency 6 2 2 2" xfId="5294" xr:uid="{00000000-0005-0000-0000-0000BA030000}"/>
    <cellStyle name="Currency 6 2 2 2 2" xfId="11472" xr:uid="{00000000-0005-0000-0000-0000BA030000}"/>
    <cellStyle name="Currency 6 2 2 3" xfId="8448" xr:uid="{00000000-0005-0000-0000-0000BF030000}"/>
    <cellStyle name="Currency 6 2 2 4" xfId="10845" xr:uid="{00000000-0005-0000-0000-0000BF030000}"/>
    <cellStyle name="Currency 6 2 2 5" xfId="11383" xr:uid="{00000000-0005-0000-0000-0000E42C0000}"/>
    <cellStyle name="Currency 6 2 3" xfId="2703" xr:uid="{00000000-0005-0000-0000-0000E5020000}"/>
    <cellStyle name="Currency 6 2 3 2" xfId="7931" xr:uid="{00000000-0005-0000-0000-0000C0030000}"/>
    <cellStyle name="Currency 6 2 3 3" xfId="10328" xr:uid="{00000000-0005-0000-0000-0000C0030000}"/>
    <cellStyle name="Currency 6 2 3 4" xfId="12020" xr:uid="{00000000-0005-0000-0000-000040030000}"/>
    <cellStyle name="Currency 6 2 4" xfId="3655" xr:uid="{00000000-0005-0000-0000-0000FE030000}"/>
    <cellStyle name="Currency 6 2 5" xfId="4280" xr:uid="{00000000-0005-0000-0000-0000E5020000}"/>
    <cellStyle name="Currency 6 2 6" xfId="5823" xr:uid="{00000000-0005-0000-0000-0000F5010000}"/>
    <cellStyle name="Currency 6 2 7" xfId="5082" xr:uid="{00000000-0005-0000-0000-0000E4010000}"/>
    <cellStyle name="Currency 6 2 8" xfId="7059" xr:uid="{00000000-0005-0000-0000-0000BE030000}"/>
    <cellStyle name="Currency 6 2 9" xfId="9467" xr:uid="{00000000-0005-0000-0000-0000BE030000}"/>
    <cellStyle name="Currency 6 3" xfId="1987" xr:uid="{00000000-0005-0000-0000-0000FF030000}"/>
    <cellStyle name="Currency 6 3 2" xfId="3118" xr:uid="{00000000-0005-0000-0000-0000E7020000}"/>
    <cellStyle name="Currency 6 3 2 2" xfId="11473" xr:uid="{00000000-0005-0000-0000-0000BD030000}"/>
    <cellStyle name="Currency 6 3 3" xfId="3548" xr:uid="{00000000-0005-0000-0000-0000FF030000}"/>
    <cellStyle name="Currency 6 3 4" xfId="4438" xr:uid="{00000000-0005-0000-0000-0000E7020000}"/>
    <cellStyle name="Currency 6 3 5" xfId="5760" xr:uid="{00000000-0005-0000-0000-0000F6010000}"/>
    <cellStyle name="Currency 6 3 6" xfId="8449" xr:uid="{00000000-0005-0000-0000-0000C1030000}"/>
    <cellStyle name="Currency 6 3 7" xfId="10846" xr:uid="{00000000-0005-0000-0000-0000C1030000}"/>
    <cellStyle name="Currency 6 4" xfId="1985" xr:uid="{00000000-0005-0000-0000-000000040000}"/>
    <cellStyle name="Currency 6 4 2" xfId="3116" xr:uid="{00000000-0005-0000-0000-0000E8020000}"/>
    <cellStyle name="Currency 6 4 2 2" xfId="11471" xr:uid="{00000000-0005-0000-0000-0000BF030000}"/>
    <cellStyle name="Currency 6 4 3" xfId="3553" xr:uid="{00000000-0005-0000-0000-000000040000}"/>
    <cellStyle name="Currency 6 4 3 2" xfId="11751" xr:uid="{00000000-0005-0000-0000-0000FE030000}"/>
    <cellStyle name="Currency 6 4 4" xfId="8447" xr:uid="{00000000-0005-0000-0000-0000C2030000}"/>
    <cellStyle name="Currency 6 4 5" xfId="10844" xr:uid="{00000000-0005-0000-0000-0000C2030000}"/>
    <cellStyle name="Currency 6 5" xfId="2655" xr:uid="{00000000-0005-0000-0000-0000E9020000}"/>
    <cellStyle name="Currency 6 5 2" xfId="7867" xr:uid="{00000000-0005-0000-0000-0000C3030000}"/>
    <cellStyle name="Currency 6 5 3" xfId="10264" xr:uid="{00000000-0005-0000-0000-0000C3030000}"/>
    <cellStyle name="Currency 6 6" xfId="2260" xr:uid="{00000000-0005-0000-0000-0000E4020000}"/>
    <cellStyle name="Currency 6 7" xfId="3879" xr:uid="{00000000-0005-0000-0000-000093010000}"/>
    <cellStyle name="Currency 6 8" xfId="5545" xr:uid="{00000000-0005-0000-0000-0000F4010000}"/>
    <cellStyle name="Currency 6 9" xfId="4859" xr:uid="{00000000-0005-0000-0000-0000E3010000}"/>
    <cellStyle name="Currency 7" xfId="2689" xr:uid="{00000000-0005-0000-0000-0000EA020000}"/>
    <cellStyle name="Currency 7 2" xfId="3119" xr:uid="{00000000-0005-0000-0000-0000EB020000}"/>
    <cellStyle name="Currency 7 2 2" xfId="6495" xr:uid="{00000000-0005-0000-0000-0000C3030000}"/>
    <cellStyle name="Currency 7 2 2 2" xfId="11474" xr:uid="{00000000-0005-0000-0000-0000C3030000}"/>
    <cellStyle name="Currency 7 2 3" xfId="6370" xr:uid="{00000000-0005-0000-0000-0000EB020000}"/>
    <cellStyle name="Currency 7 2 4" xfId="8450" xr:uid="{00000000-0005-0000-0000-0000C5030000}"/>
    <cellStyle name="Currency 7 2 5" xfId="10847" xr:uid="{00000000-0005-0000-0000-0000C5030000}"/>
    <cellStyle name="Currency 7 2 6" xfId="11371" xr:uid="{00000000-0005-0000-0000-0000E52C0000}"/>
    <cellStyle name="Currency 7 3" xfId="4271" xr:uid="{00000000-0005-0000-0000-0000EA020000}"/>
    <cellStyle name="Currency 7 3 2" xfId="6169" xr:uid="{00000000-0005-0000-0000-0000EA020000}"/>
    <cellStyle name="Currency 7 3 3" xfId="7912" xr:uid="{00000000-0005-0000-0000-0000C6030000}"/>
    <cellStyle name="Currency 7 3 4" xfId="10309" xr:uid="{00000000-0005-0000-0000-0000C6030000}"/>
    <cellStyle name="Currency 7 3 5" xfId="12021" xr:uid="{00000000-0005-0000-0000-000044030000}"/>
    <cellStyle name="Currency 7 4" xfId="5804" xr:uid="{00000000-0005-0000-0000-0000F7010000}"/>
    <cellStyle name="Currency 7 4 2" xfId="11606" xr:uid="{00000000-0005-0000-0000-000001040000}"/>
    <cellStyle name="Currency 7 5" xfId="5766" xr:uid="{00000000-0005-0000-0000-0000C1030000}"/>
    <cellStyle name="Currency 7 6" xfId="5065" xr:uid="{00000000-0005-0000-0000-0000E5010000}"/>
    <cellStyle name="Currency 7 7" xfId="6766" xr:uid="{00000000-0005-0000-0000-0000C4030000}"/>
    <cellStyle name="Currency 7 8" xfId="9187" xr:uid="{00000000-0005-0000-0000-0000C4030000}"/>
    <cellStyle name="Currency 8" xfId="6506" xr:uid="{00000000-0005-0000-0000-0000C5030000}"/>
    <cellStyle name="Currency 8 2" xfId="7011" xr:uid="{00000000-0005-0000-0000-0000C7030000}"/>
    <cellStyle name="Currency 8 3" xfId="9419" xr:uid="{00000000-0005-0000-0000-0000C7030000}"/>
    <cellStyle name="Emphasis 1" xfId="598" xr:uid="{00000000-0005-0000-0000-000001040000}"/>
    <cellStyle name="Emphasis 2" xfId="599" xr:uid="{00000000-0005-0000-0000-000002040000}"/>
    <cellStyle name="Emphasis 3" xfId="600" xr:uid="{00000000-0005-0000-0000-000003040000}"/>
    <cellStyle name="Good 2" xfId="601" xr:uid="{00000000-0005-0000-0000-000004040000}"/>
    <cellStyle name="Good 3" xfId="602" xr:uid="{00000000-0005-0000-0000-000005040000}"/>
    <cellStyle name="Heading 1 2" xfId="603" xr:uid="{00000000-0005-0000-0000-000006040000}"/>
    <cellStyle name="Heading 1 3" xfId="604" xr:uid="{00000000-0005-0000-0000-000007040000}"/>
    <cellStyle name="Heading 2 2" xfId="605" xr:uid="{00000000-0005-0000-0000-000008040000}"/>
    <cellStyle name="Heading 2 3" xfId="606" xr:uid="{00000000-0005-0000-0000-000009040000}"/>
    <cellStyle name="Heading 3 2" xfId="607" xr:uid="{00000000-0005-0000-0000-00000A040000}"/>
    <cellStyle name="Heading 3 3" xfId="608" xr:uid="{00000000-0005-0000-0000-00000B040000}"/>
    <cellStyle name="Heading 4 2" xfId="609" xr:uid="{00000000-0005-0000-0000-00000C040000}"/>
    <cellStyle name="Heading 4 3" xfId="610" xr:uid="{00000000-0005-0000-0000-00000D040000}"/>
    <cellStyle name="Hyperlink" xfId="611" builtinId="8"/>
    <cellStyle name="Hyperlink 2" xfId="612" xr:uid="{00000000-0005-0000-0000-00000F040000}"/>
    <cellStyle name="Hyperlink 3" xfId="613" xr:uid="{00000000-0005-0000-0000-000010040000}"/>
    <cellStyle name="Hyperlink 4" xfId="614" xr:uid="{00000000-0005-0000-0000-000011040000}"/>
    <cellStyle name="Input 2" xfId="615" xr:uid="{00000000-0005-0000-0000-000012040000}"/>
    <cellStyle name="Input 3" xfId="616" xr:uid="{00000000-0005-0000-0000-000013040000}"/>
    <cellStyle name="Linked Cell 2" xfId="617" xr:uid="{00000000-0005-0000-0000-000014040000}"/>
    <cellStyle name="Linked Cell 3" xfId="618" xr:uid="{00000000-0005-0000-0000-000015040000}"/>
    <cellStyle name="Neutral 2" xfId="619" xr:uid="{00000000-0005-0000-0000-000016040000}"/>
    <cellStyle name="Neutral 3" xfId="620" xr:uid="{00000000-0005-0000-0000-000017040000}"/>
    <cellStyle name="Normal" xfId="0" builtinId="0"/>
    <cellStyle name="Normal 10" xfId="621" xr:uid="{00000000-0005-0000-0000-000019040000}"/>
    <cellStyle name="Normal 10 10" xfId="622" xr:uid="{00000000-0005-0000-0000-00001A040000}"/>
    <cellStyle name="Normal 10 10 2" xfId="3120" xr:uid="{00000000-0005-0000-0000-000005030000}"/>
    <cellStyle name="Normal 10 10 2 2" xfId="6371" xr:uid="{00000000-0005-0000-0000-000005030000}"/>
    <cellStyle name="Normal 10 10 2 2 2" xfId="8451" xr:uid="{00000000-0005-0000-0000-0000E2030000}"/>
    <cellStyle name="Normal 10 10 2 2 3" xfId="10848" xr:uid="{00000000-0005-0000-0000-0000E2030000}"/>
    <cellStyle name="Normal 10 10 2 3" xfId="7063" xr:uid="{00000000-0005-0000-0000-0000E1030000}"/>
    <cellStyle name="Normal 10 10 2 4" xfId="9469" xr:uid="{00000000-0005-0000-0000-0000E1030000}"/>
    <cellStyle name="Normal 10 10 3" xfId="2859" xr:uid="{00000000-0005-0000-0000-000006030000}"/>
    <cellStyle name="Normal 10 10 3 2" xfId="6254" xr:uid="{00000000-0005-0000-0000-000006030000}"/>
    <cellStyle name="Normal 10 10 3 3" xfId="8158" xr:uid="{00000000-0005-0000-0000-0000E3030000}"/>
    <cellStyle name="Normal 10 10 3 4" xfId="10555" xr:uid="{00000000-0005-0000-0000-0000E3030000}"/>
    <cellStyle name="Normal 10 10 4" xfId="4145" xr:uid="{00000000-0005-0000-0000-000004030000}"/>
    <cellStyle name="Normal 10 10 5" xfId="5566" xr:uid="{00000000-0005-0000-0000-000010020000}"/>
    <cellStyle name="Normal 10 10 6" xfId="5083" xr:uid="{00000000-0005-0000-0000-0000FE010000}"/>
    <cellStyle name="Normal 10 10 7" xfId="6778" xr:uid="{00000000-0005-0000-0000-0000E0030000}"/>
    <cellStyle name="Normal 10 10 8" xfId="9199" xr:uid="{00000000-0005-0000-0000-0000E0030000}"/>
    <cellStyle name="Normal 10 11" xfId="623" xr:uid="{00000000-0005-0000-0000-00001B040000}"/>
    <cellStyle name="Normal 10 11 2" xfId="6492" xr:uid="{00000000-0005-0000-0000-0000E2030000}"/>
    <cellStyle name="Normal 10 11 2 2" xfId="8201" xr:uid="{00000000-0005-0000-0000-0000E5030000}"/>
    <cellStyle name="Normal 10 11 2 3" xfId="10598" xr:uid="{00000000-0005-0000-0000-0000E5030000}"/>
    <cellStyle name="Normal 10 11 3" xfId="6281" xr:uid="{00000000-0005-0000-0000-000007030000}"/>
    <cellStyle name="Normal 10 11 4" xfId="7064" xr:uid="{00000000-0005-0000-0000-0000E4030000}"/>
    <cellStyle name="Normal 10 11 5" xfId="9470" xr:uid="{00000000-0005-0000-0000-0000E4030000}"/>
    <cellStyle name="Normal 10 12" xfId="624" xr:uid="{00000000-0005-0000-0000-00001C040000}"/>
    <cellStyle name="Normal 10 12 2" xfId="6153" xr:uid="{00000000-0005-0000-0000-000008030000}"/>
    <cellStyle name="Normal 10 12 3" xfId="7065" xr:uid="{00000000-0005-0000-0000-0000E6030000}"/>
    <cellStyle name="Normal 10 12 4" xfId="9471" xr:uid="{00000000-0005-0000-0000-0000E6030000}"/>
    <cellStyle name="Normal 10 13" xfId="2173" xr:uid="{00000000-0005-0000-0000-000003030000}"/>
    <cellStyle name="Normal 10 13 2" xfId="7062" xr:uid="{00000000-0005-0000-0000-0000E7030000}"/>
    <cellStyle name="Normal 10 13 3" xfId="9468" xr:uid="{00000000-0005-0000-0000-0000E7030000}"/>
    <cellStyle name="Normal 10 14" xfId="3904" xr:uid="{00000000-0005-0000-0000-0000AB010000}"/>
    <cellStyle name="Normal 10 14 2" xfId="7640" xr:uid="{00000000-0005-0000-0000-0000E8030000}"/>
    <cellStyle name="Normal 10 14 3" xfId="10037" xr:uid="{00000000-0005-0000-0000-0000E8030000}"/>
    <cellStyle name="Normal 10 15" xfId="5320" xr:uid="{00000000-0005-0000-0000-00000F020000}"/>
    <cellStyle name="Normal 10 16" xfId="4776" xr:uid="{00000000-0005-0000-0000-0000FD010000}"/>
    <cellStyle name="Normal 10 17" xfId="6539" xr:uid="{00000000-0005-0000-0000-0000DF030000}"/>
    <cellStyle name="Normal 10 18" xfId="8960" xr:uid="{00000000-0005-0000-0000-0000DF030000}"/>
    <cellStyle name="Normal 10 2" xfId="625" xr:uid="{00000000-0005-0000-0000-00001D040000}"/>
    <cellStyle name="Normal 10 2 10" xfId="5380" xr:uid="{00000000-0005-0000-0000-000011020000}"/>
    <cellStyle name="Normal 10 2 11" xfId="4836" xr:uid="{00000000-0005-0000-0000-0000FF010000}"/>
    <cellStyle name="Normal 10 2 12" xfId="6582" xr:uid="{00000000-0005-0000-0000-0000E9030000}"/>
    <cellStyle name="Normal 10 2 13" xfId="9003" xr:uid="{00000000-0005-0000-0000-0000E9030000}"/>
    <cellStyle name="Normal 10 2 2" xfId="626" xr:uid="{00000000-0005-0000-0000-00001E040000}"/>
    <cellStyle name="Normal 10 2 2 10" xfId="4872" xr:uid="{00000000-0005-0000-0000-000000020000}"/>
    <cellStyle name="Normal 10 2 2 11" xfId="6618" xr:uid="{00000000-0005-0000-0000-0000EA030000}"/>
    <cellStyle name="Normal 10 2 2 12" xfId="9039" xr:uid="{00000000-0005-0000-0000-0000EA030000}"/>
    <cellStyle name="Normal 10 2 2 2" xfId="627" xr:uid="{00000000-0005-0000-0000-00001F040000}"/>
    <cellStyle name="Normal 10 2 2 2 2" xfId="628" xr:uid="{00000000-0005-0000-0000-000020040000}"/>
    <cellStyle name="Normal 10 2 2 2 2 2" xfId="3123" xr:uid="{00000000-0005-0000-0000-00000D030000}"/>
    <cellStyle name="Normal 10 2 2 2 2 2 2" xfId="6522" xr:uid="{00000000-0005-0000-0000-0000E9030000}"/>
    <cellStyle name="Normal 10 2 2 2 2 2 2 2" xfId="8454" xr:uid="{00000000-0005-0000-0000-0000EE030000}"/>
    <cellStyle name="Normal 10 2 2 2 2 2 2 3" xfId="10851" xr:uid="{00000000-0005-0000-0000-0000EE030000}"/>
    <cellStyle name="Normal 10 2 2 2 2 2 3" xfId="6372" xr:uid="{00000000-0005-0000-0000-00000D030000}"/>
    <cellStyle name="Normal 10 2 2 2 2 2 4" xfId="7069" xr:uid="{00000000-0005-0000-0000-0000ED030000}"/>
    <cellStyle name="Normal 10 2 2 2 2 2 5" xfId="9475" xr:uid="{00000000-0005-0000-0000-0000ED030000}"/>
    <cellStyle name="Normal 10 2 2 2 2 3" xfId="4282" xr:uid="{00000000-0005-0000-0000-00000C030000}"/>
    <cellStyle name="Normal 10 2 2 2 2 3 2" xfId="7935" xr:uid="{00000000-0005-0000-0000-0000EF030000}"/>
    <cellStyle name="Normal 10 2 2 2 2 3 3" xfId="10332" xr:uid="{00000000-0005-0000-0000-0000EF030000}"/>
    <cellStyle name="Normal 10 2 2 2 2 4" xfId="5827" xr:uid="{00000000-0005-0000-0000-000014020000}"/>
    <cellStyle name="Normal 10 2 2 2 2 5" xfId="5232" xr:uid="{00000000-0005-0000-0000-000002020000}"/>
    <cellStyle name="Normal 10 2 2 2 2 6" xfId="6904" xr:uid="{00000000-0005-0000-0000-0000EC030000}"/>
    <cellStyle name="Normal 10 2 2 2 2 7" xfId="9325" xr:uid="{00000000-0005-0000-0000-0000EC030000}"/>
    <cellStyle name="Normal 10 2 2 2 3" xfId="3124" xr:uid="{00000000-0005-0000-0000-00000E030000}"/>
    <cellStyle name="Normal 10 2 2 2 3 2" xfId="4439" xr:uid="{00000000-0005-0000-0000-00000E030000}"/>
    <cellStyle name="Normal 10 2 2 2 3 3" xfId="8455" xr:uid="{00000000-0005-0000-0000-0000F0030000}"/>
    <cellStyle name="Normal 10 2 2 2 3 4" xfId="10852" xr:uid="{00000000-0005-0000-0000-0000F0030000}"/>
    <cellStyle name="Normal 10 2 2 2 4" xfId="3122" xr:uid="{00000000-0005-0000-0000-00000F030000}"/>
    <cellStyle name="Normal 10 2 2 2 4 2" xfId="8453" xr:uid="{00000000-0005-0000-0000-0000F1030000}"/>
    <cellStyle name="Normal 10 2 2 2 4 3" xfId="10850" xr:uid="{00000000-0005-0000-0000-0000F1030000}"/>
    <cellStyle name="Normal 10 2 2 2 5" xfId="4250" xr:uid="{00000000-0005-0000-0000-00000B030000}"/>
    <cellStyle name="Normal 10 2 2 2 5 2" xfId="7863" xr:uid="{00000000-0005-0000-0000-0000F2030000}"/>
    <cellStyle name="Normal 10 2 2 2 5 3" xfId="10260" xr:uid="{00000000-0005-0000-0000-0000F2030000}"/>
    <cellStyle name="Normal 10 2 2 2 6" xfId="5541" xr:uid="{00000000-0005-0000-0000-000013020000}"/>
    <cellStyle name="Normal 10 2 2 2 7" xfId="5085" xr:uid="{00000000-0005-0000-0000-000001020000}"/>
    <cellStyle name="Normal 10 2 2 2 8" xfId="7068" xr:uid="{00000000-0005-0000-0000-0000EB030000}"/>
    <cellStyle name="Normal 10 2 2 2 9" xfId="9474" xr:uid="{00000000-0005-0000-0000-0000EB030000}"/>
    <cellStyle name="Normal 10 2 2 3" xfId="2706" xr:uid="{00000000-0005-0000-0000-000010030000}"/>
    <cellStyle name="Normal 10 2 2 3 2" xfId="3125" xr:uid="{00000000-0005-0000-0000-000011030000}"/>
    <cellStyle name="Normal 10 2 2 3 2 2" xfId="8456" xr:uid="{00000000-0005-0000-0000-0000F4030000}"/>
    <cellStyle name="Normal 10 2 2 3 2 3" xfId="10853" xr:uid="{00000000-0005-0000-0000-0000F4030000}"/>
    <cellStyle name="Normal 10 2 2 3 3" xfId="4281" xr:uid="{00000000-0005-0000-0000-000010030000}"/>
    <cellStyle name="Normal 10 2 2 3 3 2" xfId="7934" xr:uid="{00000000-0005-0000-0000-0000F5030000}"/>
    <cellStyle name="Normal 10 2 2 3 3 3" xfId="10331" xr:uid="{00000000-0005-0000-0000-0000F5030000}"/>
    <cellStyle name="Normal 10 2 2 3 4" xfId="5826" xr:uid="{00000000-0005-0000-0000-000016020000}"/>
    <cellStyle name="Normal 10 2 2 3 5" xfId="7067" xr:uid="{00000000-0005-0000-0000-0000F3030000}"/>
    <cellStyle name="Normal 10 2 2 3 6" xfId="9473" xr:uid="{00000000-0005-0000-0000-0000F3030000}"/>
    <cellStyle name="Normal 10 2 2 4" xfId="3126" xr:uid="{00000000-0005-0000-0000-000012030000}"/>
    <cellStyle name="Normal 10 2 2 4 2" xfId="4440" xr:uid="{00000000-0005-0000-0000-000012030000}"/>
    <cellStyle name="Normal 10 2 2 4 3" xfId="8457" xr:uid="{00000000-0005-0000-0000-0000F6030000}"/>
    <cellStyle name="Normal 10 2 2 4 4" xfId="10854" xr:uid="{00000000-0005-0000-0000-0000F6030000}"/>
    <cellStyle name="Normal 10 2 2 5" xfId="3121" xr:uid="{00000000-0005-0000-0000-000013030000}"/>
    <cellStyle name="Normal 10 2 2 5 2" xfId="8452" xr:uid="{00000000-0005-0000-0000-0000F7030000}"/>
    <cellStyle name="Normal 10 2 2 5 3" xfId="10849" xr:uid="{00000000-0005-0000-0000-0000F7030000}"/>
    <cellStyle name="Normal 10 2 2 6" xfId="2562" xr:uid="{00000000-0005-0000-0000-000014030000}"/>
    <cellStyle name="Normal 10 2 2 6 2" xfId="7760" xr:uid="{00000000-0005-0000-0000-0000F8030000}"/>
    <cellStyle name="Normal 10 2 2 6 3" xfId="10157" xr:uid="{00000000-0005-0000-0000-0000F8030000}"/>
    <cellStyle name="Normal 10 2 2 7" xfId="2256" xr:uid="{00000000-0005-0000-0000-00000A030000}"/>
    <cellStyle name="Normal 10 2 2 8" xfId="3806" xr:uid="{00000000-0005-0000-0000-0000AD010000}"/>
    <cellStyle name="Normal 10 2 2 9" xfId="5440" xr:uid="{00000000-0005-0000-0000-000012020000}"/>
    <cellStyle name="Normal 10 2 3" xfId="629" xr:uid="{00000000-0005-0000-0000-000021040000}"/>
    <cellStyle name="Normal 10 2 3 10" xfId="6779" xr:uid="{00000000-0005-0000-0000-0000F9030000}"/>
    <cellStyle name="Normal 10 2 3 11" xfId="9200" xr:uid="{00000000-0005-0000-0000-0000F9030000}"/>
    <cellStyle name="Normal 10 2 3 2" xfId="2707" xr:uid="{00000000-0005-0000-0000-000016030000}"/>
    <cellStyle name="Normal 10 2 3 2 2" xfId="3128" xr:uid="{00000000-0005-0000-0000-000017030000}"/>
    <cellStyle name="Normal 10 2 3 2 2 2" xfId="8459" xr:uid="{00000000-0005-0000-0000-0000FB030000}"/>
    <cellStyle name="Normal 10 2 3 2 2 3" xfId="10856" xr:uid="{00000000-0005-0000-0000-0000FB030000}"/>
    <cellStyle name="Normal 10 2 3 2 3" xfId="4283" xr:uid="{00000000-0005-0000-0000-000016030000}"/>
    <cellStyle name="Normal 10 2 3 2 3 2" xfId="7936" xr:uid="{00000000-0005-0000-0000-0000FC030000}"/>
    <cellStyle name="Normal 10 2 3 2 3 3" xfId="10333" xr:uid="{00000000-0005-0000-0000-0000FC030000}"/>
    <cellStyle name="Normal 10 2 3 2 4" xfId="5828" xr:uid="{00000000-0005-0000-0000-000019020000}"/>
    <cellStyle name="Normal 10 2 3 2 5" xfId="7070" xr:uid="{00000000-0005-0000-0000-0000FA030000}"/>
    <cellStyle name="Normal 10 2 3 2 6" xfId="9476" xr:uid="{00000000-0005-0000-0000-0000FA030000}"/>
    <cellStyle name="Normal 10 2 3 3" xfId="3129" xr:uid="{00000000-0005-0000-0000-000018030000}"/>
    <cellStyle name="Normal 10 2 3 3 2" xfId="4441" xr:uid="{00000000-0005-0000-0000-000018030000}"/>
    <cellStyle name="Normal 10 2 3 3 2 2" xfId="11875" xr:uid="{00000000-0005-0000-0000-000038040000}"/>
    <cellStyle name="Normal 10 2 3 3 3" xfId="5711" xr:uid="{00000000-0005-0000-0000-00001A020000}"/>
    <cellStyle name="Normal 10 2 3 3 4" xfId="8460" xr:uid="{00000000-0005-0000-0000-0000FD030000}"/>
    <cellStyle name="Normal 10 2 3 3 5" xfId="10857" xr:uid="{00000000-0005-0000-0000-0000FD030000}"/>
    <cellStyle name="Normal 10 2 3 4" xfId="3127" xr:uid="{00000000-0005-0000-0000-000019030000}"/>
    <cellStyle name="Normal 10 2 3 4 2" xfId="8458" xr:uid="{00000000-0005-0000-0000-0000FE030000}"/>
    <cellStyle name="Normal 10 2 3 4 3" xfId="10855" xr:uid="{00000000-0005-0000-0000-0000FE030000}"/>
    <cellStyle name="Normal 10 2 3 5" xfId="2605" xr:uid="{00000000-0005-0000-0000-00001A030000}"/>
    <cellStyle name="Normal 10 2 3 5 2" xfId="7803" xr:uid="{00000000-0005-0000-0000-0000FF030000}"/>
    <cellStyle name="Normal 10 2 3 5 3" xfId="10200" xr:uid="{00000000-0005-0000-0000-0000FF030000}"/>
    <cellStyle name="Normal 10 2 3 6" xfId="2304" xr:uid="{00000000-0005-0000-0000-000015030000}"/>
    <cellStyle name="Normal 10 2 3 7" xfId="3835" xr:uid="{00000000-0005-0000-0000-0000AE010000}"/>
    <cellStyle name="Normal 10 2 3 8" xfId="5481" xr:uid="{00000000-0005-0000-0000-000018020000}"/>
    <cellStyle name="Normal 10 2 3 9" xfId="5084" xr:uid="{00000000-0005-0000-0000-000003020000}"/>
    <cellStyle name="Normal 10 2 4" xfId="630" xr:uid="{00000000-0005-0000-0000-000022040000}"/>
    <cellStyle name="Normal 10 2 4 2" xfId="3130" xr:uid="{00000000-0005-0000-0000-00001C030000}"/>
    <cellStyle name="Normal 10 2 4 2 2" xfId="8461" xr:uid="{00000000-0005-0000-0000-000001040000}"/>
    <cellStyle name="Normal 10 2 4 2 3" xfId="10858" xr:uid="{00000000-0005-0000-0000-000001040000}"/>
    <cellStyle name="Normal 10 2 4 3" xfId="2705" xr:uid="{00000000-0005-0000-0000-00001D030000}"/>
    <cellStyle name="Normal 10 2 4 3 2" xfId="7933" xr:uid="{00000000-0005-0000-0000-000002040000}"/>
    <cellStyle name="Normal 10 2 4 3 3" xfId="10330" xr:uid="{00000000-0005-0000-0000-000002040000}"/>
    <cellStyle name="Normal 10 2 4 4" xfId="4146" xr:uid="{00000000-0005-0000-0000-00001B030000}"/>
    <cellStyle name="Normal 10 2 4 5" xfId="5825" xr:uid="{00000000-0005-0000-0000-00001B020000}"/>
    <cellStyle name="Normal 10 2 4 6" xfId="7071" xr:uid="{00000000-0005-0000-0000-000000040000}"/>
    <cellStyle name="Normal 10 2 4 7" xfId="9477" xr:uid="{00000000-0005-0000-0000-000000040000}"/>
    <cellStyle name="Normal 10 2 5" xfId="3131" xr:uid="{00000000-0005-0000-0000-00001E030000}"/>
    <cellStyle name="Normal 10 2 5 2" xfId="4442" xr:uid="{00000000-0005-0000-0000-00001E030000}"/>
    <cellStyle name="Normal 10 2 5 2 2" xfId="8462" xr:uid="{00000000-0005-0000-0000-000004040000}"/>
    <cellStyle name="Normal 10 2 5 2 3" xfId="10859" xr:uid="{00000000-0005-0000-0000-000004040000}"/>
    <cellStyle name="Normal 10 2 5 3" xfId="5626" xr:uid="{00000000-0005-0000-0000-00001C020000}"/>
    <cellStyle name="Normal 10 2 5 4" xfId="7066" xr:uid="{00000000-0005-0000-0000-000003040000}"/>
    <cellStyle name="Normal 10 2 5 5" xfId="9472" xr:uid="{00000000-0005-0000-0000-000003040000}"/>
    <cellStyle name="Normal 10 2 6" xfId="2890" xr:uid="{00000000-0005-0000-0000-00001F030000}"/>
    <cellStyle name="Normal 10 2 6 2" xfId="8202" xr:uid="{00000000-0005-0000-0000-000005040000}"/>
    <cellStyle name="Normal 10 2 6 3" xfId="10599" xr:uid="{00000000-0005-0000-0000-000005040000}"/>
    <cellStyle name="Normal 10 2 7" xfId="2502" xr:uid="{00000000-0005-0000-0000-000020030000}"/>
    <cellStyle name="Normal 10 2 7 2" xfId="7700" xr:uid="{00000000-0005-0000-0000-000006040000}"/>
    <cellStyle name="Normal 10 2 7 3" xfId="10097" xr:uid="{00000000-0005-0000-0000-000006040000}"/>
    <cellStyle name="Normal 10 2 8" xfId="2196" xr:uid="{00000000-0005-0000-0000-000009030000}"/>
    <cellStyle name="Normal 10 2 9" xfId="3905" xr:uid="{00000000-0005-0000-0000-0000AC010000}"/>
    <cellStyle name="Normal 10 3" xfId="631" xr:uid="{00000000-0005-0000-0000-000023040000}"/>
    <cellStyle name="Normal 10 3 10" xfId="5357" xr:uid="{00000000-0005-0000-0000-00001D020000}"/>
    <cellStyle name="Normal 10 3 11" xfId="4813" xr:uid="{00000000-0005-0000-0000-000004020000}"/>
    <cellStyle name="Normal 10 3 12" xfId="6559" xr:uid="{00000000-0005-0000-0000-000007040000}"/>
    <cellStyle name="Normal 10 3 13" xfId="8980" xr:uid="{00000000-0005-0000-0000-000007040000}"/>
    <cellStyle name="Normal 10 3 2" xfId="632" xr:uid="{00000000-0005-0000-0000-000024040000}"/>
    <cellStyle name="Normal 10 3 2 10" xfId="6619" xr:uid="{00000000-0005-0000-0000-000008040000}"/>
    <cellStyle name="Normal 10 3 2 11" xfId="9040" xr:uid="{00000000-0005-0000-0000-000008040000}"/>
    <cellStyle name="Normal 10 3 2 2" xfId="633" xr:uid="{00000000-0005-0000-0000-000025040000}"/>
    <cellStyle name="Normal 10 3 2 2 2" xfId="3133" xr:uid="{00000000-0005-0000-0000-000024030000}"/>
    <cellStyle name="Normal 10 3 2 2 2 2" xfId="8464" xr:uid="{00000000-0005-0000-0000-00000A040000}"/>
    <cellStyle name="Normal 10 3 2 2 2 3" xfId="10861" xr:uid="{00000000-0005-0000-0000-00000A040000}"/>
    <cellStyle name="Normal 10 3 2 2 3" xfId="4285" xr:uid="{00000000-0005-0000-0000-000023030000}"/>
    <cellStyle name="Normal 10 3 2 2 3 2" xfId="7938" xr:uid="{00000000-0005-0000-0000-00000B040000}"/>
    <cellStyle name="Normal 10 3 2 2 3 3" xfId="10335" xr:uid="{00000000-0005-0000-0000-00000B040000}"/>
    <cellStyle name="Normal 10 3 2 2 4" xfId="5830" xr:uid="{00000000-0005-0000-0000-00001F020000}"/>
    <cellStyle name="Normal 10 3 2 2 5" xfId="5087" xr:uid="{00000000-0005-0000-0000-000006020000}"/>
    <cellStyle name="Normal 10 3 2 2 6" xfId="7074" xr:uid="{00000000-0005-0000-0000-000009040000}"/>
    <cellStyle name="Normal 10 3 2 2 7" xfId="9480" xr:uid="{00000000-0005-0000-0000-000009040000}"/>
    <cellStyle name="Normal 10 3 2 3" xfId="3134" xr:uid="{00000000-0005-0000-0000-000025030000}"/>
    <cellStyle name="Normal 10 3 2 3 2" xfId="4443" xr:uid="{00000000-0005-0000-0000-000025030000}"/>
    <cellStyle name="Normal 10 3 2 3 2 2" xfId="8465" xr:uid="{00000000-0005-0000-0000-00000D040000}"/>
    <cellStyle name="Normal 10 3 2 3 2 3" xfId="10862" xr:uid="{00000000-0005-0000-0000-00000D040000}"/>
    <cellStyle name="Normal 10 3 2 3 3" xfId="5662" xr:uid="{00000000-0005-0000-0000-000020020000}"/>
    <cellStyle name="Normal 10 3 2 3 4" xfId="7073" xr:uid="{00000000-0005-0000-0000-00000C040000}"/>
    <cellStyle name="Normal 10 3 2 3 5" xfId="9479" xr:uid="{00000000-0005-0000-0000-00000C040000}"/>
    <cellStyle name="Normal 10 3 2 4" xfId="3132" xr:uid="{00000000-0005-0000-0000-000026030000}"/>
    <cellStyle name="Normal 10 3 2 4 2" xfId="8463" xr:uid="{00000000-0005-0000-0000-00000E040000}"/>
    <cellStyle name="Normal 10 3 2 4 3" xfId="10860" xr:uid="{00000000-0005-0000-0000-00000E040000}"/>
    <cellStyle name="Normal 10 3 2 5" xfId="2539" xr:uid="{00000000-0005-0000-0000-000027030000}"/>
    <cellStyle name="Normal 10 3 2 5 2" xfId="7737" xr:uid="{00000000-0005-0000-0000-00000F040000}"/>
    <cellStyle name="Normal 10 3 2 5 3" xfId="10134" xr:uid="{00000000-0005-0000-0000-00000F040000}"/>
    <cellStyle name="Normal 10 3 2 6" xfId="2305" xr:uid="{00000000-0005-0000-0000-000022030000}"/>
    <cellStyle name="Normal 10 3 2 7" xfId="3836" xr:uid="{00000000-0005-0000-0000-0000B0010000}"/>
    <cellStyle name="Normal 10 3 2 8" xfId="5417" xr:uid="{00000000-0005-0000-0000-00001E020000}"/>
    <cellStyle name="Normal 10 3 2 9" xfId="4873" xr:uid="{00000000-0005-0000-0000-000005020000}"/>
    <cellStyle name="Normal 10 3 3" xfId="634" xr:uid="{00000000-0005-0000-0000-000026040000}"/>
    <cellStyle name="Normal 10 3 3 10" xfId="9201" xr:uid="{00000000-0005-0000-0000-000010040000}"/>
    <cellStyle name="Normal 10 3 3 2" xfId="2708" xr:uid="{00000000-0005-0000-0000-000029030000}"/>
    <cellStyle name="Normal 10 3 3 2 2" xfId="3136" xr:uid="{00000000-0005-0000-0000-00002A030000}"/>
    <cellStyle name="Normal 10 3 3 2 2 2" xfId="8467" xr:uid="{00000000-0005-0000-0000-000012040000}"/>
    <cellStyle name="Normal 10 3 3 2 2 3" xfId="10864" xr:uid="{00000000-0005-0000-0000-000012040000}"/>
    <cellStyle name="Normal 10 3 3 2 3" xfId="4286" xr:uid="{00000000-0005-0000-0000-000029030000}"/>
    <cellStyle name="Normal 10 3 3 2 3 2" xfId="7939" xr:uid="{00000000-0005-0000-0000-000013040000}"/>
    <cellStyle name="Normal 10 3 3 2 3 3" xfId="10336" xr:uid="{00000000-0005-0000-0000-000013040000}"/>
    <cellStyle name="Normal 10 3 3 2 4" xfId="5831" xr:uid="{00000000-0005-0000-0000-000022020000}"/>
    <cellStyle name="Normal 10 3 3 2 5" xfId="7075" xr:uid="{00000000-0005-0000-0000-000011040000}"/>
    <cellStyle name="Normal 10 3 3 2 6" xfId="9481" xr:uid="{00000000-0005-0000-0000-000011040000}"/>
    <cellStyle name="Normal 10 3 3 3" xfId="3137" xr:uid="{00000000-0005-0000-0000-00002B030000}"/>
    <cellStyle name="Normal 10 3 3 3 2" xfId="4444" xr:uid="{00000000-0005-0000-0000-00002B030000}"/>
    <cellStyle name="Normal 10 3 3 3 2 2" xfId="11876" xr:uid="{00000000-0005-0000-0000-000050040000}"/>
    <cellStyle name="Normal 10 3 3 3 3" xfId="5747" xr:uid="{00000000-0005-0000-0000-000023020000}"/>
    <cellStyle name="Normal 10 3 3 3 4" xfId="8468" xr:uid="{00000000-0005-0000-0000-000014040000}"/>
    <cellStyle name="Normal 10 3 3 3 5" xfId="10865" xr:uid="{00000000-0005-0000-0000-000014040000}"/>
    <cellStyle name="Normal 10 3 3 4" xfId="3135" xr:uid="{00000000-0005-0000-0000-00002C030000}"/>
    <cellStyle name="Normal 10 3 3 4 2" xfId="8466" xr:uid="{00000000-0005-0000-0000-000015040000}"/>
    <cellStyle name="Normal 10 3 3 4 3" xfId="10863" xr:uid="{00000000-0005-0000-0000-000015040000}"/>
    <cellStyle name="Normal 10 3 3 5" xfId="2641" xr:uid="{00000000-0005-0000-0000-00002D030000}"/>
    <cellStyle name="Normal 10 3 3 5 2" xfId="7840" xr:uid="{00000000-0005-0000-0000-000016040000}"/>
    <cellStyle name="Normal 10 3 3 5 3" xfId="10237" xr:uid="{00000000-0005-0000-0000-000016040000}"/>
    <cellStyle name="Normal 10 3 3 6" xfId="4147" xr:uid="{00000000-0005-0000-0000-000028030000}"/>
    <cellStyle name="Normal 10 3 3 7" xfId="5518" xr:uid="{00000000-0005-0000-0000-000021020000}"/>
    <cellStyle name="Normal 10 3 3 8" xfId="5086" xr:uid="{00000000-0005-0000-0000-000007020000}"/>
    <cellStyle name="Normal 10 3 3 9" xfId="6780" xr:uid="{00000000-0005-0000-0000-000010040000}"/>
    <cellStyle name="Normal 10 3 4" xfId="635" xr:uid="{00000000-0005-0000-0000-000027040000}"/>
    <cellStyle name="Normal 10 3 4 2" xfId="3138" xr:uid="{00000000-0005-0000-0000-00002F030000}"/>
    <cellStyle name="Normal 10 3 4 2 2" xfId="8469" xr:uid="{00000000-0005-0000-0000-000018040000}"/>
    <cellStyle name="Normal 10 3 4 2 3" xfId="10866" xr:uid="{00000000-0005-0000-0000-000018040000}"/>
    <cellStyle name="Normal 10 3 4 3" xfId="4284" xr:uid="{00000000-0005-0000-0000-00002E030000}"/>
    <cellStyle name="Normal 10 3 4 3 2" xfId="7937" xr:uid="{00000000-0005-0000-0000-000019040000}"/>
    <cellStyle name="Normal 10 3 4 3 3" xfId="10334" xr:uid="{00000000-0005-0000-0000-000019040000}"/>
    <cellStyle name="Normal 10 3 4 4" xfId="5829" xr:uid="{00000000-0005-0000-0000-000024020000}"/>
    <cellStyle name="Normal 10 3 4 5" xfId="7076" xr:uid="{00000000-0005-0000-0000-000017040000}"/>
    <cellStyle name="Normal 10 3 4 6" xfId="9482" xr:uid="{00000000-0005-0000-0000-000017040000}"/>
    <cellStyle name="Normal 10 3 5" xfId="3139" xr:uid="{00000000-0005-0000-0000-000030030000}"/>
    <cellStyle name="Normal 10 3 5 2" xfId="4445" xr:uid="{00000000-0005-0000-0000-000030030000}"/>
    <cellStyle name="Normal 10 3 5 2 2" xfId="8470" xr:uid="{00000000-0005-0000-0000-00001B040000}"/>
    <cellStyle name="Normal 10 3 5 2 3" xfId="10867" xr:uid="{00000000-0005-0000-0000-00001B040000}"/>
    <cellStyle name="Normal 10 3 5 3" xfId="5603" xr:uid="{00000000-0005-0000-0000-000025020000}"/>
    <cellStyle name="Normal 10 3 5 4" xfId="7072" xr:uid="{00000000-0005-0000-0000-00001A040000}"/>
    <cellStyle name="Normal 10 3 5 5" xfId="9478" xr:uid="{00000000-0005-0000-0000-00001A040000}"/>
    <cellStyle name="Normal 10 3 6" xfId="2891" xr:uid="{00000000-0005-0000-0000-000031030000}"/>
    <cellStyle name="Normal 10 3 6 2" xfId="8203" xr:uid="{00000000-0005-0000-0000-00001C040000}"/>
    <cellStyle name="Normal 10 3 6 3" xfId="10600" xr:uid="{00000000-0005-0000-0000-00001C040000}"/>
    <cellStyle name="Normal 10 3 7" xfId="2479" xr:uid="{00000000-0005-0000-0000-000032030000}"/>
    <cellStyle name="Normal 10 3 7 2" xfId="7677" xr:uid="{00000000-0005-0000-0000-00001D040000}"/>
    <cellStyle name="Normal 10 3 7 3" xfId="10074" xr:uid="{00000000-0005-0000-0000-00001D040000}"/>
    <cellStyle name="Normal 10 3 8" xfId="2233" xr:uid="{00000000-0005-0000-0000-000021030000}"/>
    <cellStyle name="Normal 10 3 9" xfId="3906" xr:uid="{00000000-0005-0000-0000-0000AF010000}"/>
    <cellStyle name="Normal 10 4" xfId="636" xr:uid="{00000000-0005-0000-0000-000028040000}"/>
    <cellStyle name="Normal 10 4 10" xfId="4793" xr:uid="{00000000-0005-0000-0000-000008020000}"/>
    <cellStyle name="Normal 10 4 11" xfId="6620" xr:uid="{00000000-0005-0000-0000-00001E040000}"/>
    <cellStyle name="Normal 10 4 12" xfId="9041" xr:uid="{00000000-0005-0000-0000-00001E040000}"/>
    <cellStyle name="Normal 10 4 2" xfId="637" xr:uid="{00000000-0005-0000-0000-000029040000}"/>
    <cellStyle name="Normal 10 4 2 10" xfId="6781" xr:uid="{00000000-0005-0000-0000-00001F040000}"/>
    <cellStyle name="Normal 10 4 2 11" xfId="9202" xr:uid="{00000000-0005-0000-0000-00001F040000}"/>
    <cellStyle name="Normal 10 4 2 2" xfId="638" xr:uid="{00000000-0005-0000-0000-00002A040000}"/>
    <cellStyle name="Normal 10 4 2 2 2" xfId="3141" xr:uid="{00000000-0005-0000-0000-000036030000}"/>
    <cellStyle name="Normal 10 4 2 2 2 2" xfId="8472" xr:uid="{00000000-0005-0000-0000-000021040000}"/>
    <cellStyle name="Normal 10 4 2 2 2 3" xfId="10869" xr:uid="{00000000-0005-0000-0000-000021040000}"/>
    <cellStyle name="Normal 10 4 2 2 3" xfId="4287" xr:uid="{00000000-0005-0000-0000-000035030000}"/>
    <cellStyle name="Normal 10 4 2 2 3 2" xfId="7941" xr:uid="{00000000-0005-0000-0000-000022040000}"/>
    <cellStyle name="Normal 10 4 2 2 3 3" xfId="10338" xr:uid="{00000000-0005-0000-0000-000022040000}"/>
    <cellStyle name="Normal 10 4 2 2 4" xfId="5833" xr:uid="{00000000-0005-0000-0000-000028020000}"/>
    <cellStyle name="Normal 10 4 2 2 5" xfId="5089" xr:uid="{00000000-0005-0000-0000-00000A020000}"/>
    <cellStyle name="Normal 10 4 2 2 6" xfId="7079" xr:uid="{00000000-0005-0000-0000-000020040000}"/>
    <cellStyle name="Normal 10 4 2 2 7" xfId="9485" xr:uid="{00000000-0005-0000-0000-000020040000}"/>
    <cellStyle name="Normal 10 4 2 3" xfId="3142" xr:uid="{00000000-0005-0000-0000-000037030000}"/>
    <cellStyle name="Normal 10 4 2 3 2" xfId="4446" xr:uid="{00000000-0005-0000-0000-000037030000}"/>
    <cellStyle name="Normal 10 4 2 3 2 2" xfId="8473" xr:uid="{00000000-0005-0000-0000-000024040000}"/>
    <cellStyle name="Normal 10 4 2 3 2 3" xfId="10870" xr:uid="{00000000-0005-0000-0000-000024040000}"/>
    <cellStyle name="Normal 10 4 2 3 3" xfId="5728" xr:uid="{00000000-0005-0000-0000-000029020000}"/>
    <cellStyle name="Normal 10 4 2 3 4" xfId="7078" xr:uid="{00000000-0005-0000-0000-000023040000}"/>
    <cellStyle name="Normal 10 4 2 3 5" xfId="9484" xr:uid="{00000000-0005-0000-0000-000023040000}"/>
    <cellStyle name="Normal 10 4 2 4" xfId="3140" xr:uid="{00000000-0005-0000-0000-000038030000}"/>
    <cellStyle name="Normal 10 4 2 4 2" xfId="8471" xr:uid="{00000000-0005-0000-0000-000025040000}"/>
    <cellStyle name="Normal 10 4 2 4 3" xfId="10868" xr:uid="{00000000-0005-0000-0000-000025040000}"/>
    <cellStyle name="Normal 10 4 2 5" xfId="2622" xr:uid="{00000000-0005-0000-0000-000039030000}"/>
    <cellStyle name="Normal 10 4 2 5 2" xfId="7820" xr:uid="{00000000-0005-0000-0000-000026040000}"/>
    <cellStyle name="Normal 10 4 2 5 3" xfId="10217" xr:uid="{00000000-0005-0000-0000-000026040000}"/>
    <cellStyle name="Normal 10 4 2 6" xfId="2306" xr:uid="{00000000-0005-0000-0000-000034030000}"/>
    <cellStyle name="Normal 10 4 2 7" xfId="3837" xr:uid="{00000000-0005-0000-0000-0000B2010000}"/>
    <cellStyle name="Normal 10 4 2 8" xfId="5498" xr:uid="{00000000-0005-0000-0000-000027020000}"/>
    <cellStyle name="Normal 10 4 2 9" xfId="4874" xr:uid="{00000000-0005-0000-0000-000009020000}"/>
    <cellStyle name="Normal 10 4 3" xfId="639" xr:uid="{00000000-0005-0000-0000-00002B040000}"/>
    <cellStyle name="Normal 10 4 3 2" xfId="3143" xr:uid="{00000000-0005-0000-0000-00003B030000}"/>
    <cellStyle name="Normal 10 4 3 2 2" xfId="8474" xr:uid="{00000000-0005-0000-0000-000028040000}"/>
    <cellStyle name="Normal 10 4 3 2 2 2" xfId="11877" xr:uid="{00000000-0005-0000-0000-000065040000}"/>
    <cellStyle name="Normal 10 4 3 2 3" xfId="10871" xr:uid="{00000000-0005-0000-0000-000028040000}"/>
    <cellStyle name="Normal 10 4 3 2 4" xfId="11669" xr:uid="{00000000-0005-0000-0000-000064040000}"/>
    <cellStyle name="Normal 10 4 3 3" xfId="2709" xr:uid="{00000000-0005-0000-0000-00003C030000}"/>
    <cellStyle name="Normal 10 4 3 3 2" xfId="7940" xr:uid="{00000000-0005-0000-0000-000029040000}"/>
    <cellStyle name="Normal 10 4 3 3 3" xfId="10337" xr:uid="{00000000-0005-0000-0000-000029040000}"/>
    <cellStyle name="Normal 10 4 3 4" xfId="4148" xr:uid="{00000000-0005-0000-0000-00003A030000}"/>
    <cellStyle name="Normal 10 4 3 4 2" xfId="11810" xr:uid="{00000000-0005-0000-0000-000067040000}"/>
    <cellStyle name="Normal 10 4 3 5" xfId="5832" xr:uid="{00000000-0005-0000-0000-00002A020000}"/>
    <cellStyle name="Normal 10 4 3 6" xfId="5088" xr:uid="{00000000-0005-0000-0000-00000B020000}"/>
    <cellStyle name="Normal 10 4 3 7" xfId="7080" xr:uid="{00000000-0005-0000-0000-000027040000}"/>
    <cellStyle name="Normal 10 4 3 8" xfId="9486" xr:uid="{00000000-0005-0000-0000-000027040000}"/>
    <cellStyle name="Normal 10 4 4" xfId="640" xr:uid="{00000000-0005-0000-0000-00002C040000}"/>
    <cellStyle name="Normal 10 4 4 2" xfId="4447" xr:uid="{00000000-0005-0000-0000-00003D030000}"/>
    <cellStyle name="Normal 10 4 4 2 2" xfId="8475" xr:uid="{00000000-0005-0000-0000-00002B040000}"/>
    <cellStyle name="Normal 10 4 4 2 3" xfId="10872" xr:uid="{00000000-0005-0000-0000-00002B040000}"/>
    <cellStyle name="Normal 10 4 4 3" xfId="5583" xr:uid="{00000000-0005-0000-0000-00002B020000}"/>
    <cellStyle name="Normal 10 4 4 4" xfId="7081" xr:uid="{00000000-0005-0000-0000-00002A040000}"/>
    <cellStyle name="Normal 10 4 4 5" xfId="9487" xr:uid="{00000000-0005-0000-0000-00002A040000}"/>
    <cellStyle name="Normal 10 4 5" xfId="2892" xr:uid="{00000000-0005-0000-0000-00003E030000}"/>
    <cellStyle name="Normal 10 4 5 2" xfId="8204" xr:uid="{00000000-0005-0000-0000-00002D040000}"/>
    <cellStyle name="Normal 10 4 5 2 2" xfId="10601" xr:uid="{00000000-0005-0000-0000-00002D040000}"/>
    <cellStyle name="Normal 10 4 5 3" xfId="7077" xr:uid="{00000000-0005-0000-0000-00002C040000}"/>
    <cellStyle name="Normal 10 4 5 4" xfId="9483" xr:uid="{00000000-0005-0000-0000-00002C040000}"/>
    <cellStyle name="Normal 10 4 6" xfId="2459" xr:uid="{00000000-0005-0000-0000-00003F030000}"/>
    <cellStyle name="Normal 10 4 6 2" xfId="7657" xr:uid="{00000000-0005-0000-0000-00002E040000}"/>
    <cellStyle name="Normal 10 4 6 3" xfId="10054" xr:uid="{00000000-0005-0000-0000-00002E040000}"/>
    <cellStyle name="Normal 10 4 7" xfId="2213" xr:uid="{00000000-0005-0000-0000-000033030000}"/>
    <cellStyle name="Normal 10 4 8" xfId="3907" xr:uid="{00000000-0005-0000-0000-0000B1010000}"/>
    <cellStyle name="Normal 10 4 9" xfId="5337" xr:uid="{00000000-0005-0000-0000-000026020000}"/>
    <cellStyle name="Normal 10 5" xfId="641" xr:uid="{00000000-0005-0000-0000-00002D040000}"/>
    <cellStyle name="Normal 10 5 10" xfId="6621" xr:uid="{00000000-0005-0000-0000-00002F040000}"/>
    <cellStyle name="Normal 10 5 11" xfId="9042" xr:uid="{00000000-0005-0000-0000-00002F040000}"/>
    <cellStyle name="Normal 10 5 2" xfId="642" xr:uid="{00000000-0005-0000-0000-00002E040000}"/>
    <cellStyle name="Normal 10 5 2 2" xfId="643" xr:uid="{00000000-0005-0000-0000-00002F040000}"/>
    <cellStyle name="Normal 10 5 2 2 2" xfId="6373" xr:uid="{00000000-0005-0000-0000-000042030000}"/>
    <cellStyle name="Normal 10 5 2 2 2 2" xfId="8476" xr:uid="{00000000-0005-0000-0000-000032040000}"/>
    <cellStyle name="Normal 10 5 2 2 2 3" xfId="10873" xr:uid="{00000000-0005-0000-0000-000032040000}"/>
    <cellStyle name="Normal 10 5 2 2 3" xfId="7084" xr:uid="{00000000-0005-0000-0000-000031040000}"/>
    <cellStyle name="Normal 10 5 2 2 3 2" xfId="12061" xr:uid="{00000000-0005-0000-0000-000089030000}"/>
    <cellStyle name="Normal 10 5 2 2 4" xfId="9490" xr:uid="{00000000-0005-0000-0000-000031040000}"/>
    <cellStyle name="Normal 10 5 2 2 5" xfId="12034" xr:uid="{00000000-0005-0000-0000-000087030000}"/>
    <cellStyle name="Normal 10 5 2 3" xfId="2710" xr:uid="{00000000-0005-0000-0000-000043030000}"/>
    <cellStyle name="Normal 10 5 2 3 2" xfId="6178" xr:uid="{00000000-0005-0000-0000-000043030000}"/>
    <cellStyle name="Normal 10 5 2 3 3" xfId="7083" xr:uid="{00000000-0005-0000-0000-000033040000}"/>
    <cellStyle name="Normal 10 5 2 3 4" xfId="9489" xr:uid="{00000000-0005-0000-0000-000033040000}"/>
    <cellStyle name="Normal 10 5 2 4" xfId="4149" xr:uid="{00000000-0005-0000-0000-000041030000}"/>
    <cellStyle name="Normal 10 5 2 4 2" xfId="7942" xr:uid="{00000000-0005-0000-0000-000034040000}"/>
    <cellStyle name="Normal 10 5 2 4 3" xfId="10339" xr:uid="{00000000-0005-0000-0000-000034040000}"/>
    <cellStyle name="Normal 10 5 2 5" xfId="5834" xr:uid="{00000000-0005-0000-0000-00002D020000}"/>
    <cellStyle name="Normal 10 5 2 6" xfId="5090" xr:uid="{00000000-0005-0000-0000-00000D020000}"/>
    <cellStyle name="Normal 10 5 2 7" xfId="6782" xr:uid="{00000000-0005-0000-0000-000030040000}"/>
    <cellStyle name="Normal 10 5 2 8" xfId="9203" xr:uid="{00000000-0005-0000-0000-000030040000}"/>
    <cellStyle name="Normal 10 5 3" xfId="644" xr:uid="{00000000-0005-0000-0000-000030040000}"/>
    <cellStyle name="Normal 10 5 3 2" xfId="4448" xr:uid="{00000000-0005-0000-0000-000044030000}"/>
    <cellStyle name="Normal 10 5 3 2 2" xfId="8477" xr:uid="{00000000-0005-0000-0000-000036040000}"/>
    <cellStyle name="Normal 10 5 3 2 3" xfId="10874" xr:uid="{00000000-0005-0000-0000-000036040000}"/>
    <cellStyle name="Normal 10 5 3 3" xfId="5643" xr:uid="{00000000-0005-0000-0000-00002E020000}"/>
    <cellStyle name="Normal 10 5 3 3 2" xfId="11670" xr:uid="{00000000-0005-0000-0000-000075040000}"/>
    <cellStyle name="Normal 10 5 3 4" xfId="7085" xr:uid="{00000000-0005-0000-0000-000035040000}"/>
    <cellStyle name="Normal 10 5 3 4 2" xfId="11878" xr:uid="{00000000-0005-0000-0000-000076040000}"/>
    <cellStyle name="Normal 10 5 3 5" xfId="9491" xr:uid="{00000000-0005-0000-0000-000035040000}"/>
    <cellStyle name="Normal 10 5 3 6" xfId="11659" xr:uid="{00000000-0005-0000-0000-000073040000}"/>
    <cellStyle name="Normal 10 5 4" xfId="645" xr:uid="{00000000-0005-0000-0000-000031040000}"/>
    <cellStyle name="Normal 10 5 4 2" xfId="6282" xr:uid="{00000000-0005-0000-0000-000045030000}"/>
    <cellStyle name="Normal 10 5 4 2 2" xfId="8205" xr:uid="{00000000-0005-0000-0000-000038040000}"/>
    <cellStyle name="Normal 10 5 4 2 3" xfId="10602" xr:uid="{00000000-0005-0000-0000-000038040000}"/>
    <cellStyle name="Normal 10 5 4 3" xfId="7086" xr:uid="{00000000-0005-0000-0000-000037040000}"/>
    <cellStyle name="Normal 10 5 4 4" xfId="9492" xr:uid="{00000000-0005-0000-0000-000037040000}"/>
    <cellStyle name="Normal 10 5 5" xfId="2519" xr:uid="{00000000-0005-0000-0000-000046030000}"/>
    <cellStyle name="Normal 10 5 5 2" xfId="7082" xr:uid="{00000000-0005-0000-0000-000039040000}"/>
    <cellStyle name="Normal 10 5 5 3" xfId="9488" xr:uid="{00000000-0005-0000-0000-000039040000}"/>
    <cellStyle name="Normal 10 5 6" xfId="2307" xr:uid="{00000000-0005-0000-0000-000040030000}"/>
    <cellStyle name="Normal 10 5 6 2" xfId="7717" xr:uid="{00000000-0005-0000-0000-00003A040000}"/>
    <cellStyle name="Normal 10 5 6 3" xfId="10114" xr:uid="{00000000-0005-0000-0000-00003A040000}"/>
    <cellStyle name="Normal 10 5 7" xfId="3908" xr:uid="{00000000-0005-0000-0000-0000B3010000}"/>
    <cellStyle name="Normal 10 5 8" xfId="5397" xr:uid="{00000000-0005-0000-0000-00002C020000}"/>
    <cellStyle name="Normal 10 5 9" xfId="4875" xr:uid="{00000000-0005-0000-0000-00000C020000}"/>
    <cellStyle name="Normal 10 6" xfId="646" xr:uid="{00000000-0005-0000-0000-000032040000}"/>
    <cellStyle name="Normal 10 6 10" xfId="6622" xr:uid="{00000000-0005-0000-0000-00003B040000}"/>
    <cellStyle name="Normal 10 6 11" xfId="9043" xr:uid="{00000000-0005-0000-0000-00003B040000}"/>
    <cellStyle name="Normal 10 6 2" xfId="647" xr:uid="{00000000-0005-0000-0000-000033040000}"/>
    <cellStyle name="Normal 10 6 2 2" xfId="648" xr:uid="{00000000-0005-0000-0000-000034040000}"/>
    <cellStyle name="Normal 10 6 2 2 2" xfId="6374" xr:uid="{00000000-0005-0000-0000-000049030000}"/>
    <cellStyle name="Normal 10 6 2 2 2 2" xfId="8478" xr:uid="{00000000-0005-0000-0000-00003E040000}"/>
    <cellStyle name="Normal 10 6 2 2 2 3" xfId="10875" xr:uid="{00000000-0005-0000-0000-00003E040000}"/>
    <cellStyle name="Normal 10 6 2 2 3" xfId="7089" xr:uid="{00000000-0005-0000-0000-00003D040000}"/>
    <cellStyle name="Normal 10 6 2 2 3 2" xfId="12062" xr:uid="{00000000-0005-0000-0000-000095030000}"/>
    <cellStyle name="Normal 10 6 2 2 4" xfId="9495" xr:uid="{00000000-0005-0000-0000-00003D040000}"/>
    <cellStyle name="Normal 10 6 2 2 5" xfId="12035" xr:uid="{00000000-0005-0000-0000-000093030000}"/>
    <cellStyle name="Normal 10 6 2 3" xfId="2711" xr:uid="{00000000-0005-0000-0000-00004A030000}"/>
    <cellStyle name="Normal 10 6 2 3 2" xfId="6179" xr:uid="{00000000-0005-0000-0000-00004A030000}"/>
    <cellStyle name="Normal 10 6 2 3 3" xfId="7088" xr:uid="{00000000-0005-0000-0000-00003F040000}"/>
    <cellStyle name="Normal 10 6 2 3 4" xfId="9494" xr:uid="{00000000-0005-0000-0000-00003F040000}"/>
    <cellStyle name="Normal 10 6 2 4" xfId="4150" xr:uid="{00000000-0005-0000-0000-000048030000}"/>
    <cellStyle name="Normal 10 6 2 4 2" xfId="7943" xr:uid="{00000000-0005-0000-0000-000040040000}"/>
    <cellStyle name="Normal 10 6 2 4 3" xfId="10340" xr:uid="{00000000-0005-0000-0000-000040040000}"/>
    <cellStyle name="Normal 10 6 2 5" xfId="5835" xr:uid="{00000000-0005-0000-0000-000030020000}"/>
    <cellStyle name="Normal 10 6 2 6" xfId="5091" xr:uid="{00000000-0005-0000-0000-00000F020000}"/>
    <cellStyle name="Normal 10 6 2 7" xfId="6783" xr:uid="{00000000-0005-0000-0000-00003C040000}"/>
    <cellStyle name="Normal 10 6 2 8" xfId="9204" xr:uid="{00000000-0005-0000-0000-00003C040000}"/>
    <cellStyle name="Normal 10 6 3" xfId="649" xr:uid="{00000000-0005-0000-0000-000035040000}"/>
    <cellStyle name="Normal 10 6 3 2" xfId="4449" xr:uid="{00000000-0005-0000-0000-00004B030000}"/>
    <cellStyle name="Normal 10 6 3 2 2" xfId="8479" xr:uid="{00000000-0005-0000-0000-000042040000}"/>
    <cellStyle name="Normal 10 6 3 2 3" xfId="10876" xr:uid="{00000000-0005-0000-0000-000042040000}"/>
    <cellStyle name="Normal 10 6 3 3" xfId="5689" xr:uid="{00000000-0005-0000-0000-000031020000}"/>
    <cellStyle name="Normal 10 6 3 3 2" xfId="12063" xr:uid="{00000000-0005-0000-0000-00009A030000}"/>
    <cellStyle name="Normal 10 6 3 4" xfId="7090" xr:uid="{00000000-0005-0000-0000-000041040000}"/>
    <cellStyle name="Normal 10 6 3 5" xfId="9496" xr:uid="{00000000-0005-0000-0000-000041040000}"/>
    <cellStyle name="Normal 10 6 4" xfId="650" xr:uid="{00000000-0005-0000-0000-000036040000}"/>
    <cellStyle name="Normal 10 6 4 2" xfId="6283" xr:uid="{00000000-0005-0000-0000-00004C030000}"/>
    <cellStyle name="Normal 10 6 4 2 2" xfId="8206" xr:uid="{00000000-0005-0000-0000-000044040000}"/>
    <cellStyle name="Normal 10 6 4 2 3" xfId="10603" xr:uid="{00000000-0005-0000-0000-000044040000}"/>
    <cellStyle name="Normal 10 6 4 3" xfId="7091" xr:uid="{00000000-0005-0000-0000-000043040000}"/>
    <cellStyle name="Normal 10 6 4 4" xfId="9497" xr:uid="{00000000-0005-0000-0000-000043040000}"/>
    <cellStyle name="Normal 10 6 5" xfId="2582" xr:uid="{00000000-0005-0000-0000-00004D030000}"/>
    <cellStyle name="Normal 10 6 5 2" xfId="7087" xr:uid="{00000000-0005-0000-0000-000045040000}"/>
    <cellStyle name="Normal 10 6 5 3" xfId="9493" xr:uid="{00000000-0005-0000-0000-000045040000}"/>
    <cellStyle name="Normal 10 6 6" xfId="2308" xr:uid="{00000000-0005-0000-0000-000047030000}"/>
    <cellStyle name="Normal 10 6 6 2" xfId="7780" xr:uid="{00000000-0005-0000-0000-000046040000}"/>
    <cellStyle name="Normal 10 6 6 3" xfId="10177" xr:uid="{00000000-0005-0000-0000-000046040000}"/>
    <cellStyle name="Normal 10 6 7" xfId="3909" xr:uid="{00000000-0005-0000-0000-0000B4010000}"/>
    <cellStyle name="Normal 10 6 8" xfId="5458" xr:uid="{00000000-0005-0000-0000-00002F020000}"/>
    <cellStyle name="Normal 10 6 9" xfId="4876" xr:uid="{00000000-0005-0000-0000-00000E020000}"/>
    <cellStyle name="Normal 10 7" xfId="651" xr:uid="{00000000-0005-0000-0000-000037040000}"/>
    <cellStyle name="Normal 10 7 2" xfId="652" xr:uid="{00000000-0005-0000-0000-000038040000}"/>
    <cellStyle name="Normal 10 7 2 2" xfId="2893" xr:uid="{00000000-0005-0000-0000-000050030000}"/>
    <cellStyle name="Normal 10 7 2 2 2" xfId="6284" xr:uid="{00000000-0005-0000-0000-000050030000}"/>
    <cellStyle name="Normal 10 7 2 2 3" xfId="7093" xr:uid="{00000000-0005-0000-0000-000049040000}"/>
    <cellStyle name="Normal 10 7 2 2 4" xfId="9499" xr:uid="{00000000-0005-0000-0000-000049040000}"/>
    <cellStyle name="Normal 10 7 2 3" xfId="4723" xr:uid="{00000000-0005-0000-0000-000085020000}"/>
    <cellStyle name="Normal 10 7 2 3 2" xfId="6100" xr:uid="{00000000-0005-0000-0000-00004F030000}"/>
    <cellStyle name="Normal 10 7 2 3 3" xfId="8207" xr:uid="{00000000-0005-0000-0000-00004A040000}"/>
    <cellStyle name="Normal 10 7 2 3 4" xfId="10604" xr:uid="{00000000-0005-0000-0000-00004A040000}"/>
    <cellStyle name="Normal 10 7 2 4" xfId="5092" xr:uid="{00000000-0005-0000-0000-000011020000}"/>
    <cellStyle name="Normal 10 7 2 5" xfId="6784" xr:uid="{00000000-0005-0000-0000-000048040000}"/>
    <cellStyle name="Normal 10 7 2 6" xfId="9205" xr:uid="{00000000-0005-0000-0000-000048040000}"/>
    <cellStyle name="Normal 10 7 3" xfId="653" xr:uid="{00000000-0005-0000-0000-000039040000}"/>
    <cellStyle name="Normal 10 7 3 2" xfId="6180" xr:uid="{00000000-0005-0000-0000-000051030000}"/>
    <cellStyle name="Normal 10 7 3 3" xfId="7094" xr:uid="{00000000-0005-0000-0000-00004B040000}"/>
    <cellStyle name="Normal 10 7 3 4" xfId="9500" xr:uid="{00000000-0005-0000-0000-00004B040000}"/>
    <cellStyle name="Normal 10 7 4" xfId="2309" xr:uid="{00000000-0005-0000-0000-00004E030000}"/>
    <cellStyle name="Normal 10 7 4 2" xfId="6059" xr:uid="{00000000-0005-0000-0000-00004E030000}"/>
    <cellStyle name="Normal 10 7 4 3" xfId="7092" xr:uid="{00000000-0005-0000-0000-00004C040000}"/>
    <cellStyle name="Normal 10 7 4 4" xfId="9498" xr:uid="{00000000-0005-0000-0000-00004C040000}"/>
    <cellStyle name="Normal 10 7 5" xfId="3910" xr:uid="{00000000-0005-0000-0000-0000B5010000}"/>
    <cellStyle name="Normal 10 7 5 2" xfId="7944" xr:uid="{00000000-0005-0000-0000-00004D040000}"/>
    <cellStyle name="Normal 10 7 5 3" xfId="10341" xr:uid="{00000000-0005-0000-0000-00004D040000}"/>
    <cellStyle name="Normal 10 7 6" xfId="5836" xr:uid="{00000000-0005-0000-0000-000032020000}"/>
    <cellStyle name="Normal 10 7 7" xfId="4877" xr:uid="{00000000-0005-0000-0000-000010020000}"/>
    <cellStyle name="Normal 10 7 8" xfId="6623" xr:uid="{00000000-0005-0000-0000-000047040000}"/>
    <cellStyle name="Normal 10 7 9" xfId="9044" xr:uid="{00000000-0005-0000-0000-000047040000}"/>
    <cellStyle name="Normal 10 8" xfId="654" xr:uid="{00000000-0005-0000-0000-00003A040000}"/>
    <cellStyle name="Normal 10 8 2" xfId="655" xr:uid="{00000000-0005-0000-0000-00003B040000}"/>
    <cellStyle name="Normal 10 8 2 2" xfId="2894" xr:uid="{00000000-0005-0000-0000-000054030000}"/>
    <cellStyle name="Normal 10 8 2 2 2" xfId="6285" xr:uid="{00000000-0005-0000-0000-000054030000}"/>
    <cellStyle name="Normal 10 8 2 2 3" xfId="7096" xr:uid="{00000000-0005-0000-0000-000050040000}"/>
    <cellStyle name="Normal 10 8 2 2 4" xfId="9502" xr:uid="{00000000-0005-0000-0000-000050040000}"/>
    <cellStyle name="Normal 10 8 2 3" xfId="4724" xr:uid="{00000000-0005-0000-0000-00008B020000}"/>
    <cellStyle name="Normal 10 8 2 3 2" xfId="6101" xr:uid="{00000000-0005-0000-0000-000053030000}"/>
    <cellStyle name="Normal 10 8 2 3 3" xfId="8208" xr:uid="{00000000-0005-0000-0000-000051040000}"/>
    <cellStyle name="Normal 10 8 2 3 4" xfId="10605" xr:uid="{00000000-0005-0000-0000-000051040000}"/>
    <cellStyle name="Normal 10 8 2 4" xfId="5093" xr:uid="{00000000-0005-0000-0000-000013020000}"/>
    <cellStyle name="Normal 10 8 2 5" xfId="6785" xr:uid="{00000000-0005-0000-0000-00004F040000}"/>
    <cellStyle name="Normal 10 8 2 6" xfId="9206" xr:uid="{00000000-0005-0000-0000-00004F040000}"/>
    <cellStyle name="Normal 10 8 3" xfId="656" xr:uid="{00000000-0005-0000-0000-00003C040000}"/>
    <cellStyle name="Normal 10 8 3 2" xfId="6181" xr:uid="{00000000-0005-0000-0000-000055030000}"/>
    <cellStyle name="Normal 10 8 3 3" xfId="7097" xr:uid="{00000000-0005-0000-0000-000052040000}"/>
    <cellStyle name="Normal 10 8 3 4" xfId="9503" xr:uid="{00000000-0005-0000-0000-000052040000}"/>
    <cellStyle name="Normal 10 8 4" xfId="2310" xr:uid="{00000000-0005-0000-0000-000052030000}"/>
    <cellStyle name="Normal 10 8 4 2" xfId="6060" xr:uid="{00000000-0005-0000-0000-000052030000}"/>
    <cellStyle name="Normal 10 8 4 3" xfId="7095" xr:uid="{00000000-0005-0000-0000-000053040000}"/>
    <cellStyle name="Normal 10 8 4 4" xfId="9501" xr:uid="{00000000-0005-0000-0000-000053040000}"/>
    <cellStyle name="Normal 10 8 5" xfId="3911" xr:uid="{00000000-0005-0000-0000-0000B6010000}"/>
    <cellStyle name="Normal 10 8 5 2" xfId="7945" xr:uid="{00000000-0005-0000-0000-000054040000}"/>
    <cellStyle name="Normal 10 8 5 3" xfId="10342" xr:uid="{00000000-0005-0000-0000-000054040000}"/>
    <cellStyle name="Normal 10 8 6" xfId="5837" xr:uid="{00000000-0005-0000-0000-000033020000}"/>
    <cellStyle name="Normal 10 8 7" xfId="4878" xr:uid="{00000000-0005-0000-0000-000012020000}"/>
    <cellStyle name="Normal 10 8 8" xfId="6624" xr:uid="{00000000-0005-0000-0000-00004E040000}"/>
    <cellStyle name="Normal 10 8 9" xfId="9045" xr:uid="{00000000-0005-0000-0000-00004E040000}"/>
    <cellStyle name="Normal 10 9" xfId="657" xr:uid="{00000000-0005-0000-0000-00003D040000}"/>
    <cellStyle name="Normal 10 9 2" xfId="658" xr:uid="{00000000-0005-0000-0000-00003E040000}"/>
    <cellStyle name="Normal 10 9 2 2" xfId="6375" xr:uid="{00000000-0005-0000-0000-000057030000}"/>
    <cellStyle name="Normal 10 9 2 2 2" xfId="8480" xr:uid="{00000000-0005-0000-0000-000057040000}"/>
    <cellStyle name="Normal 10 9 2 2 3" xfId="10877" xr:uid="{00000000-0005-0000-0000-000057040000}"/>
    <cellStyle name="Normal 10 9 2 3" xfId="5094" xr:uid="{00000000-0005-0000-0000-000015020000}"/>
    <cellStyle name="Normal 10 9 2 4" xfId="7099" xr:uid="{00000000-0005-0000-0000-000056040000}"/>
    <cellStyle name="Normal 10 9 2 5" xfId="9505" xr:uid="{00000000-0005-0000-0000-000056040000}"/>
    <cellStyle name="Normal 10 9 3" xfId="659" xr:uid="{00000000-0005-0000-0000-00003F040000}"/>
    <cellStyle name="Normal 10 9 3 2" xfId="2704" xr:uid="{00000000-0005-0000-0000-000058030000}"/>
    <cellStyle name="Normal 10 9 3 3" xfId="3627" xr:uid="{00000000-0005-0000-0000-00003F040000}"/>
    <cellStyle name="Normal 10 9 3 4" xfId="6177" xr:uid="{00000000-0005-0000-0000-000058030000}"/>
    <cellStyle name="Normal 10 9 3 5" xfId="11563" xr:uid="{00000000-0005-0000-0000-0000E5020000}"/>
    <cellStyle name="Normal 10 9 4" xfId="2303" xr:uid="{00000000-0005-0000-0000-000056030000}"/>
    <cellStyle name="Normal 10 9 4 2" xfId="7098" xr:uid="{00000000-0005-0000-0000-000059040000}"/>
    <cellStyle name="Normal 10 9 4 3" xfId="9504" xr:uid="{00000000-0005-0000-0000-000059040000}"/>
    <cellStyle name="Normal 10 9 5" xfId="3834" xr:uid="{00000000-0005-0000-0000-0000B7010000}"/>
    <cellStyle name="Normal 10 9 5 2" xfId="7932" xr:uid="{00000000-0005-0000-0000-00005A040000}"/>
    <cellStyle name="Normal 10 9 5 3" xfId="10329" xr:uid="{00000000-0005-0000-0000-00005A040000}"/>
    <cellStyle name="Normal 10 9 6" xfId="5824" xr:uid="{00000000-0005-0000-0000-000034020000}"/>
    <cellStyle name="Normal 10 9 7" xfId="4871" xr:uid="{00000000-0005-0000-0000-000014020000}"/>
    <cellStyle name="Normal 10 9 8" xfId="6617" xr:uid="{00000000-0005-0000-0000-000055040000}"/>
    <cellStyle name="Normal 10 9 9" xfId="9038" xr:uid="{00000000-0005-0000-0000-000055040000}"/>
    <cellStyle name="Normal 11" xfId="660" xr:uid="{00000000-0005-0000-0000-000040040000}"/>
    <cellStyle name="Normal 11 10" xfId="3912" xr:uid="{00000000-0005-0000-0000-0000B8010000}"/>
    <cellStyle name="Normal 11 11" xfId="5542" xr:uid="{00000000-0005-0000-0000-000035020000}"/>
    <cellStyle name="Normal 11 12" xfId="4775" xr:uid="{00000000-0005-0000-0000-000016020000}"/>
    <cellStyle name="Normal 11 13" xfId="6625" xr:uid="{00000000-0005-0000-0000-00005B040000}"/>
    <cellStyle name="Normal 11 14" xfId="9046" xr:uid="{00000000-0005-0000-0000-00005B040000}"/>
    <cellStyle name="Normal 11 2" xfId="661" xr:uid="{00000000-0005-0000-0000-000041040000}"/>
    <cellStyle name="Normal 11 2 2" xfId="662" xr:uid="{00000000-0005-0000-0000-000042040000}"/>
    <cellStyle name="Normal 11 2 2 2" xfId="663" xr:uid="{00000000-0005-0000-0000-000043040000}"/>
    <cellStyle name="Normal 11 2 2 2 2" xfId="6287" xr:uid="{00000000-0005-0000-0000-00005C030000}"/>
    <cellStyle name="Normal 11 2 2 2 2 2" xfId="12022" xr:uid="{00000000-0005-0000-0000-0000B0030000}"/>
    <cellStyle name="Normal 11 2 2 2 2 3" xfId="12065" xr:uid="{00000000-0005-0000-0000-0000B0030000}"/>
    <cellStyle name="Normal 11 2 2 2 3" xfId="7103" xr:uid="{00000000-0005-0000-0000-00005E040000}"/>
    <cellStyle name="Normal 11 2 2 2 3 2" xfId="12064" xr:uid="{00000000-0005-0000-0000-0000B1030000}"/>
    <cellStyle name="Normal 11 2 2 2 4" xfId="9509" xr:uid="{00000000-0005-0000-0000-00005E040000}"/>
    <cellStyle name="Normal 11 2 2 2 5" xfId="12036" xr:uid="{00000000-0005-0000-0000-0000AF030000}"/>
    <cellStyle name="Normal 11 2 2 3" xfId="4725" xr:uid="{00000000-0005-0000-0000-000095020000}"/>
    <cellStyle name="Normal 11 2 2 3 2" xfId="6102" xr:uid="{00000000-0005-0000-0000-00005B030000}"/>
    <cellStyle name="Normal 11 2 2 3 3" xfId="7102" xr:uid="{00000000-0005-0000-0000-00005F040000}"/>
    <cellStyle name="Normal 11 2 2 3 4" xfId="9508" xr:uid="{00000000-0005-0000-0000-00005F040000}"/>
    <cellStyle name="Normal 11 2 2 4" xfId="5096" xr:uid="{00000000-0005-0000-0000-000018020000}"/>
    <cellStyle name="Normal 11 2 2 4 2" xfId="8210" xr:uid="{00000000-0005-0000-0000-000060040000}"/>
    <cellStyle name="Normal 11 2 2 4 3" xfId="10607" xr:uid="{00000000-0005-0000-0000-000060040000}"/>
    <cellStyle name="Normal 11 2 2 5" xfId="6787" xr:uid="{00000000-0005-0000-0000-00005D040000}"/>
    <cellStyle name="Normal 11 2 2 6" xfId="9208" xr:uid="{00000000-0005-0000-0000-00005D040000}"/>
    <cellStyle name="Normal 11 2 3" xfId="664" xr:uid="{00000000-0005-0000-0000-000044040000}"/>
    <cellStyle name="Normal 11 2 3 2" xfId="6183" xr:uid="{00000000-0005-0000-0000-00005D030000}"/>
    <cellStyle name="Normal 11 2 3 2 2" xfId="11607" xr:uid="{00000000-0005-0000-0000-00009C040000}"/>
    <cellStyle name="Normal 11 2 3 2 3" xfId="11672" xr:uid="{00000000-0005-0000-0000-00009C040000}"/>
    <cellStyle name="Normal 11 2 3 3" xfId="7104" xr:uid="{00000000-0005-0000-0000-000061040000}"/>
    <cellStyle name="Normal 11 2 3 3 2" xfId="11671" xr:uid="{00000000-0005-0000-0000-00009D040000}"/>
    <cellStyle name="Normal 11 2 3 4" xfId="9510" xr:uid="{00000000-0005-0000-0000-000061040000}"/>
    <cellStyle name="Normal 11 2 3 5" xfId="11658" xr:uid="{00000000-0005-0000-0000-00009B040000}"/>
    <cellStyle name="Normal 11 2 4" xfId="665" xr:uid="{00000000-0005-0000-0000-000045040000}"/>
    <cellStyle name="Normal 11 2 4 2" xfId="6061" xr:uid="{00000000-0005-0000-0000-00005A030000}"/>
    <cellStyle name="Normal 11 2 4 3" xfId="7105" xr:uid="{00000000-0005-0000-0000-000062040000}"/>
    <cellStyle name="Normal 11 2 4 4" xfId="9511" xr:uid="{00000000-0005-0000-0000-000062040000}"/>
    <cellStyle name="Normal 11 2 5" xfId="3913" xr:uid="{00000000-0005-0000-0000-0000B9010000}"/>
    <cellStyle name="Normal 11 2 5 2" xfId="7101" xr:uid="{00000000-0005-0000-0000-000063040000}"/>
    <cellStyle name="Normal 11 2 5 3" xfId="9507" xr:uid="{00000000-0005-0000-0000-000063040000}"/>
    <cellStyle name="Normal 11 2 6" xfId="5839" xr:uid="{00000000-0005-0000-0000-000036020000}"/>
    <cellStyle name="Normal 11 2 6 2" xfId="7947" xr:uid="{00000000-0005-0000-0000-000064040000}"/>
    <cellStyle name="Normal 11 2 6 3" xfId="10344" xr:uid="{00000000-0005-0000-0000-000064040000}"/>
    <cellStyle name="Normal 11 2 7" xfId="4880" xr:uid="{00000000-0005-0000-0000-000017020000}"/>
    <cellStyle name="Normal 11 2 8" xfId="6626" xr:uid="{00000000-0005-0000-0000-00005C040000}"/>
    <cellStyle name="Normal 11 2 9" xfId="9047" xr:uid="{00000000-0005-0000-0000-00005C040000}"/>
    <cellStyle name="Normal 11 3" xfId="666" xr:uid="{00000000-0005-0000-0000-000046040000}"/>
    <cellStyle name="Normal 11 3 2" xfId="667" xr:uid="{00000000-0005-0000-0000-000047040000}"/>
    <cellStyle name="Normal 11 3 2 2" xfId="668" xr:uid="{00000000-0005-0000-0000-000048040000}"/>
    <cellStyle name="Normal 11 3 2 2 2" xfId="6288" xr:uid="{00000000-0005-0000-0000-000060030000}"/>
    <cellStyle name="Normal 11 3 2 2 2 2" xfId="12023" xr:uid="{00000000-0005-0000-0000-0000BC030000}"/>
    <cellStyle name="Normal 11 3 2 2 2 3" xfId="12067" xr:uid="{00000000-0005-0000-0000-0000BC030000}"/>
    <cellStyle name="Normal 11 3 2 2 3" xfId="7108" xr:uid="{00000000-0005-0000-0000-000067040000}"/>
    <cellStyle name="Normal 11 3 2 2 3 2" xfId="12066" xr:uid="{00000000-0005-0000-0000-0000BD030000}"/>
    <cellStyle name="Normal 11 3 2 2 4" xfId="9514" xr:uid="{00000000-0005-0000-0000-000067040000}"/>
    <cellStyle name="Normal 11 3 2 2 5" xfId="12037" xr:uid="{00000000-0005-0000-0000-0000BB030000}"/>
    <cellStyle name="Normal 11 3 2 3" xfId="4726" xr:uid="{00000000-0005-0000-0000-00009B020000}"/>
    <cellStyle name="Normal 11 3 2 3 2" xfId="6103" xr:uid="{00000000-0005-0000-0000-00005F030000}"/>
    <cellStyle name="Normal 11 3 2 3 3" xfId="7107" xr:uid="{00000000-0005-0000-0000-000068040000}"/>
    <cellStyle name="Normal 11 3 2 3 4" xfId="9513" xr:uid="{00000000-0005-0000-0000-000068040000}"/>
    <cellStyle name="Normal 11 3 2 4" xfId="5097" xr:uid="{00000000-0005-0000-0000-00001A020000}"/>
    <cellStyle name="Normal 11 3 2 4 2" xfId="8211" xr:uid="{00000000-0005-0000-0000-000069040000}"/>
    <cellStyle name="Normal 11 3 2 4 3" xfId="10608" xr:uid="{00000000-0005-0000-0000-000069040000}"/>
    <cellStyle name="Normal 11 3 2 5" xfId="6788" xr:uid="{00000000-0005-0000-0000-000066040000}"/>
    <cellStyle name="Normal 11 3 2 6" xfId="9209" xr:uid="{00000000-0005-0000-0000-000066040000}"/>
    <cellStyle name="Normal 11 3 3" xfId="669" xr:uid="{00000000-0005-0000-0000-000049040000}"/>
    <cellStyle name="Normal 11 3 3 2" xfId="6184" xr:uid="{00000000-0005-0000-0000-000061030000}"/>
    <cellStyle name="Normal 11 3 3 2 2" xfId="12024" xr:uid="{00000000-0005-0000-0000-0000C1030000}"/>
    <cellStyle name="Normal 11 3 3 2 3" xfId="12069" xr:uid="{00000000-0005-0000-0000-0000C1030000}"/>
    <cellStyle name="Normal 11 3 3 3" xfId="7109" xr:uid="{00000000-0005-0000-0000-00006A040000}"/>
    <cellStyle name="Normal 11 3 3 3 2" xfId="12068" xr:uid="{00000000-0005-0000-0000-0000C2030000}"/>
    <cellStyle name="Normal 11 3 3 4" xfId="9515" xr:uid="{00000000-0005-0000-0000-00006A040000}"/>
    <cellStyle name="Normal 11 3 3 5" xfId="12033" xr:uid="{00000000-0005-0000-0000-0000C0030000}"/>
    <cellStyle name="Normal 11 3 4" xfId="670" xr:uid="{00000000-0005-0000-0000-00004A040000}"/>
    <cellStyle name="Normal 11 3 4 2" xfId="6062" xr:uid="{00000000-0005-0000-0000-00005E030000}"/>
    <cellStyle name="Normal 11 3 4 3" xfId="7110" xr:uid="{00000000-0005-0000-0000-00006B040000}"/>
    <cellStyle name="Normal 11 3 4 4" xfId="9516" xr:uid="{00000000-0005-0000-0000-00006B040000}"/>
    <cellStyle name="Normal 11 3 5" xfId="3914" xr:uid="{00000000-0005-0000-0000-0000BA010000}"/>
    <cellStyle name="Normal 11 3 5 2" xfId="7106" xr:uid="{00000000-0005-0000-0000-00006C040000}"/>
    <cellStyle name="Normal 11 3 5 3" xfId="9512" xr:uid="{00000000-0005-0000-0000-00006C040000}"/>
    <cellStyle name="Normal 11 3 6" xfId="5840" xr:uid="{00000000-0005-0000-0000-000037020000}"/>
    <cellStyle name="Normal 11 3 6 2" xfId="7948" xr:uid="{00000000-0005-0000-0000-00006D040000}"/>
    <cellStyle name="Normal 11 3 6 3" xfId="10345" xr:uid="{00000000-0005-0000-0000-00006D040000}"/>
    <cellStyle name="Normal 11 3 7" xfId="4881" xr:uid="{00000000-0005-0000-0000-000019020000}"/>
    <cellStyle name="Normal 11 3 8" xfId="6627" xr:uid="{00000000-0005-0000-0000-000065040000}"/>
    <cellStyle name="Normal 11 3 9" xfId="9048" xr:uid="{00000000-0005-0000-0000-000065040000}"/>
    <cellStyle name="Normal 11 4" xfId="671" xr:uid="{00000000-0005-0000-0000-00004B040000}"/>
    <cellStyle name="Normal 11 4 2" xfId="672" xr:uid="{00000000-0005-0000-0000-00004C040000}"/>
    <cellStyle name="Normal 11 4 2 2" xfId="2895" xr:uid="{00000000-0005-0000-0000-000064030000}"/>
    <cellStyle name="Normal 11 4 2 2 2" xfId="6289" xr:uid="{00000000-0005-0000-0000-000064030000}"/>
    <cellStyle name="Normal 11 4 2 2 3" xfId="7112" xr:uid="{00000000-0005-0000-0000-000070040000}"/>
    <cellStyle name="Normal 11 4 2 2 4" xfId="9518" xr:uid="{00000000-0005-0000-0000-000070040000}"/>
    <cellStyle name="Normal 11 4 2 3" xfId="4727" xr:uid="{00000000-0005-0000-0000-0000A1020000}"/>
    <cellStyle name="Normal 11 4 2 3 2" xfId="6104" xr:uid="{00000000-0005-0000-0000-000063030000}"/>
    <cellStyle name="Normal 11 4 2 3 3" xfId="8212" xr:uid="{00000000-0005-0000-0000-000071040000}"/>
    <cellStyle name="Normal 11 4 2 3 4" xfId="10609" xr:uid="{00000000-0005-0000-0000-000071040000}"/>
    <cellStyle name="Normal 11 4 2 4" xfId="5098" xr:uid="{00000000-0005-0000-0000-00001C020000}"/>
    <cellStyle name="Normal 11 4 2 5" xfId="6789" xr:uid="{00000000-0005-0000-0000-00006F040000}"/>
    <cellStyle name="Normal 11 4 2 6" xfId="9210" xr:uid="{00000000-0005-0000-0000-00006F040000}"/>
    <cellStyle name="Normal 11 4 3" xfId="673" xr:uid="{00000000-0005-0000-0000-00004D040000}"/>
    <cellStyle name="Normal 11 4 3 2" xfId="6185" xr:uid="{00000000-0005-0000-0000-000065030000}"/>
    <cellStyle name="Normal 11 4 3 3" xfId="7113" xr:uid="{00000000-0005-0000-0000-000072040000}"/>
    <cellStyle name="Normal 11 4 3 4" xfId="9519" xr:uid="{00000000-0005-0000-0000-000072040000}"/>
    <cellStyle name="Normal 11 4 4" xfId="2312" xr:uid="{00000000-0005-0000-0000-000062030000}"/>
    <cellStyle name="Normal 11 4 4 2" xfId="6063" xr:uid="{00000000-0005-0000-0000-000062030000}"/>
    <cellStyle name="Normal 11 4 4 3" xfId="7111" xr:uid="{00000000-0005-0000-0000-000073040000}"/>
    <cellStyle name="Normal 11 4 4 4" xfId="9517" xr:uid="{00000000-0005-0000-0000-000073040000}"/>
    <cellStyle name="Normal 11 4 5" xfId="3915" xr:uid="{00000000-0005-0000-0000-0000BB010000}"/>
    <cellStyle name="Normal 11 4 5 2" xfId="7949" xr:uid="{00000000-0005-0000-0000-000074040000}"/>
    <cellStyle name="Normal 11 4 5 3" xfId="10346" xr:uid="{00000000-0005-0000-0000-000074040000}"/>
    <cellStyle name="Normal 11 4 6" xfId="5841" xr:uid="{00000000-0005-0000-0000-000038020000}"/>
    <cellStyle name="Normal 11 4 7" xfId="4882" xr:uid="{00000000-0005-0000-0000-00001B020000}"/>
    <cellStyle name="Normal 11 4 8" xfId="6628" xr:uid="{00000000-0005-0000-0000-00006E040000}"/>
    <cellStyle name="Normal 11 4 9" xfId="9049" xr:uid="{00000000-0005-0000-0000-00006E040000}"/>
    <cellStyle name="Normal 11 5" xfId="674" xr:uid="{00000000-0005-0000-0000-00004E040000}"/>
    <cellStyle name="Normal 11 5 2" xfId="675" xr:uid="{00000000-0005-0000-0000-00004F040000}"/>
    <cellStyle name="Normal 11 5 2 2" xfId="6376" xr:uid="{00000000-0005-0000-0000-000067030000}"/>
    <cellStyle name="Normal 11 5 2 2 2" xfId="8481" xr:uid="{00000000-0005-0000-0000-000077040000}"/>
    <cellStyle name="Normal 11 5 2 2 3" xfId="10878" xr:uid="{00000000-0005-0000-0000-000077040000}"/>
    <cellStyle name="Normal 11 5 2 3" xfId="5099" xr:uid="{00000000-0005-0000-0000-00001E020000}"/>
    <cellStyle name="Normal 11 5 2 3 2" xfId="12070" xr:uid="{00000000-0005-0000-0000-0000CE030000}"/>
    <cellStyle name="Normal 11 5 2 4" xfId="7115" xr:uid="{00000000-0005-0000-0000-000076040000}"/>
    <cellStyle name="Normal 11 5 2 5" xfId="9521" xr:uid="{00000000-0005-0000-0000-000076040000}"/>
    <cellStyle name="Normal 11 5 3" xfId="2712" xr:uid="{00000000-0005-0000-0000-000068030000}"/>
    <cellStyle name="Normal 11 5 3 2" xfId="6182" xr:uid="{00000000-0005-0000-0000-000068030000}"/>
    <cellStyle name="Normal 11 5 3 3" xfId="7114" xr:uid="{00000000-0005-0000-0000-000078040000}"/>
    <cellStyle name="Normal 11 5 3 4" xfId="9520" xr:uid="{00000000-0005-0000-0000-000078040000}"/>
    <cellStyle name="Normal 11 5 4" xfId="2311" xr:uid="{00000000-0005-0000-0000-000066030000}"/>
    <cellStyle name="Normal 11 5 4 2" xfId="7946" xr:uid="{00000000-0005-0000-0000-000079040000}"/>
    <cellStyle name="Normal 11 5 4 3" xfId="10343" xr:uid="{00000000-0005-0000-0000-000079040000}"/>
    <cellStyle name="Normal 11 5 5" xfId="3838" xr:uid="{00000000-0005-0000-0000-0000BC010000}"/>
    <cellStyle name="Normal 11 5 6" xfId="5838" xr:uid="{00000000-0005-0000-0000-000039020000}"/>
    <cellStyle name="Normal 11 5 7" xfId="4879" xr:uid="{00000000-0005-0000-0000-00001D020000}"/>
    <cellStyle name="Normal 11 5 8" xfId="6786" xr:uid="{00000000-0005-0000-0000-000075040000}"/>
    <cellStyle name="Normal 11 5 9" xfId="9207" xr:uid="{00000000-0005-0000-0000-000075040000}"/>
    <cellStyle name="Normal 11 6" xfId="676" xr:uid="{00000000-0005-0000-0000-000050040000}"/>
    <cellStyle name="Normal 11 6 2" xfId="3144" xr:uid="{00000000-0005-0000-0000-00006A030000}"/>
    <cellStyle name="Normal 11 6 2 2" xfId="8482" xr:uid="{00000000-0005-0000-0000-00007B040000}"/>
    <cellStyle name="Normal 11 6 2 3" xfId="10879" xr:uid="{00000000-0005-0000-0000-00007B040000}"/>
    <cellStyle name="Normal 11 6 3" xfId="2860" xr:uid="{00000000-0005-0000-0000-00006B030000}"/>
    <cellStyle name="Normal 11 6 3 2" xfId="8159" xr:uid="{00000000-0005-0000-0000-00007C040000}"/>
    <cellStyle name="Normal 11 6 3 3" xfId="10556" xr:uid="{00000000-0005-0000-0000-00007C040000}"/>
    <cellStyle name="Normal 11 6 4" xfId="4151" xr:uid="{00000000-0005-0000-0000-000069030000}"/>
    <cellStyle name="Normal 11 6 5" xfId="5758" xr:uid="{00000000-0005-0000-0000-00003A020000}"/>
    <cellStyle name="Normal 11 6 6" xfId="5095" xr:uid="{00000000-0005-0000-0000-00001F020000}"/>
    <cellStyle name="Normal 11 6 7" xfId="7116" xr:uid="{00000000-0005-0000-0000-00007A040000}"/>
    <cellStyle name="Normal 11 6 8" xfId="9522" xr:uid="{00000000-0005-0000-0000-00007A040000}"/>
    <cellStyle name="Normal 11 7" xfId="677" xr:uid="{00000000-0005-0000-0000-000051040000}"/>
    <cellStyle name="Normal 11 7 2" xfId="6450" xr:uid="{00000000-0005-0000-0000-00005F040000}"/>
    <cellStyle name="Normal 11 7 2 2" xfId="8209" xr:uid="{00000000-0005-0000-0000-00007E040000}"/>
    <cellStyle name="Normal 11 7 2 3" xfId="10606" xr:uid="{00000000-0005-0000-0000-00007E040000}"/>
    <cellStyle name="Normal 11 7 3" xfId="6286" xr:uid="{00000000-0005-0000-0000-00006C030000}"/>
    <cellStyle name="Normal 11 7 4" xfId="7117" xr:uid="{00000000-0005-0000-0000-00007D040000}"/>
    <cellStyle name="Normal 11 7 5" xfId="9523" xr:uid="{00000000-0005-0000-0000-00007D040000}"/>
    <cellStyle name="Normal 11 8" xfId="2652" xr:uid="{00000000-0005-0000-0000-00006D030000}"/>
    <cellStyle name="Normal 11 8 2" xfId="7100" xr:uid="{00000000-0005-0000-0000-00007F040000}"/>
    <cellStyle name="Normal 11 8 3" xfId="9506" xr:uid="{00000000-0005-0000-0000-00007F040000}"/>
    <cellStyle name="Normal 11 9" xfId="2257" xr:uid="{00000000-0005-0000-0000-000059030000}"/>
    <cellStyle name="Normal 11 9 2" xfId="7864" xr:uid="{00000000-0005-0000-0000-000080040000}"/>
    <cellStyle name="Normal 11 9 3" xfId="10261" xr:uid="{00000000-0005-0000-0000-000080040000}"/>
    <cellStyle name="Normal 12" xfId="678" xr:uid="{00000000-0005-0000-0000-000052040000}"/>
    <cellStyle name="Normal 12 10" xfId="9004" xr:uid="{00000000-0005-0000-0000-000081040000}"/>
    <cellStyle name="Normal 12 2" xfId="679" xr:uid="{00000000-0005-0000-0000-000053040000}"/>
    <cellStyle name="Normal 12 2 2" xfId="6255" xr:uid="{00000000-0005-0000-0000-00006F030000}"/>
    <cellStyle name="Normal 12 2 2 2" xfId="8160" xr:uid="{00000000-0005-0000-0000-000083040000}"/>
    <cellStyle name="Normal 12 2 2 3" xfId="10557" xr:uid="{00000000-0005-0000-0000-000083040000}"/>
    <cellStyle name="Normal 12 2 3" xfId="5100" xr:uid="{00000000-0005-0000-0000-000021020000}"/>
    <cellStyle name="Normal 12 2 4" xfId="7119" xr:uid="{00000000-0005-0000-0000-000082040000}"/>
    <cellStyle name="Normal 12 2 5" xfId="9525" xr:uid="{00000000-0005-0000-0000-000082040000}"/>
    <cellStyle name="Normal 12 3" xfId="3145" xr:uid="{00000000-0005-0000-0000-000070030000}"/>
    <cellStyle name="Normal 12 3 2" xfId="6514" xr:uid="{00000000-0005-0000-0000-000065040000}"/>
    <cellStyle name="Normal 12 3 2 2" xfId="8483" xr:uid="{00000000-0005-0000-0000-000085040000}"/>
    <cellStyle name="Normal 12 3 2 3" xfId="10880" xr:uid="{00000000-0005-0000-0000-000085040000}"/>
    <cellStyle name="Normal 12 3 3" xfId="6377" xr:uid="{00000000-0005-0000-0000-000070030000}"/>
    <cellStyle name="Normal 12 3 4" xfId="7118" xr:uid="{00000000-0005-0000-0000-000084040000}"/>
    <cellStyle name="Normal 12 3 5" xfId="9524" xr:uid="{00000000-0005-0000-0000-000084040000}"/>
    <cellStyle name="Normal 12 4" xfId="2660" xr:uid="{00000000-0005-0000-0000-000071030000}"/>
    <cellStyle name="Normal 12 4 2" xfId="7872" xr:uid="{00000000-0005-0000-0000-000086040000}"/>
    <cellStyle name="Normal 12 4 3" xfId="10269" xr:uid="{00000000-0005-0000-0000-000086040000}"/>
    <cellStyle name="Normal 12 5" xfId="2265" xr:uid="{00000000-0005-0000-0000-00006E030000}"/>
    <cellStyle name="Normal 12 6" xfId="3788" xr:uid="{00000000-0005-0000-0000-0000BD010000}"/>
    <cellStyle name="Normal 12 7" xfId="5765" xr:uid="{00000000-0005-0000-0000-00003B020000}"/>
    <cellStyle name="Normal 12 8" xfId="4837" xr:uid="{00000000-0005-0000-0000-000020020000}"/>
    <cellStyle name="Normal 12 9" xfId="6583" xr:uid="{00000000-0005-0000-0000-000081040000}"/>
    <cellStyle name="Normal 13" xfId="680" xr:uid="{00000000-0005-0000-0000-000054040000}"/>
    <cellStyle name="Normal 13 2" xfId="2858" xr:uid="{00000000-0005-0000-0000-000073030000}"/>
    <cellStyle name="Normal 13 2 2" xfId="6253" xr:uid="{00000000-0005-0000-0000-000073030000}"/>
    <cellStyle name="Normal 13 2 3" xfId="7120" xr:uid="{00000000-0005-0000-0000-000088040000}"/>
    <cellStyle name="Normal 13 2 4" xfId="9526" xr:uid="{00000000-0005-0000-0000-000088040000}"/>
    <cellStyle name="Normal 13 3" xfId="4712" xr:uid="{00000000-0005-0000-0000-0000AE020000}"/>
    <cellStyle name="Normal 13 3 2" xfId="6089" xr:uid="{00000000-0005-0000-0000-000072030000}"/>
    <cellStyle name="Normal 13 3 3" xfId="8157" xr:uid="{00000000-0005-0000-0000-000089040000}"/>
    <cellStyle name="Normal 13 3 4" xfId="10554" xr:uid="{00000000-0005-0000-0000-000089040000}"/>
    <cellStyle name="Normal 13 4" xfId="5030" xr:uid="{00000000-0005-0000-0000-000022020000}"/>
    <cellStyle name="Normal 13 4 2" xfId="11834" xr:uid="{00000000-0005-0000-0000-0000C2040000}"/>
    <cellStyle name="Normal 13 5" xfId="6744" xr:uid="{00000000-0005-0000-0000-000087040000}"/>
    <cellStyle name="Normal 13 6" xfId="9165" xr:uid="{00000000-0005-0000-0000-000087040000}"/>
    <cellStyle name="Normal 14" xfId="681" xr:uid="{00000000-0005-0000-0000-000055040000}"/>
    <cellStyle name="Normal 14 2" xfId="6447" xr:uid="{00000000-0005-0000-0000-00006A040000}"/>
    <cellStyle name="Normal 14 2 2" xfId="8163" xr:uid="{00000000-0005-0000-0000-00008B040000}"/>
    <cellStyle name="Normal 14 2 3" xfId="10560" xr:uid="{00000000-0005-0000-0000-00008B040000}"/>
    <cellStyle name="Normal 14 3" xfId="7121" xr:uid="{00000000-0005-0000-0000-00008A040000}"/>
    <cellStyle name="Normal 14 4" xfId="9527" xr:uid="{00000000-0005-0000-0000-00008A040000}"/>
    <cellStyle name="Normal 15" xfId="2427" xr:uid="{00000000-0005-0000-0000-000075030000}"/>
    <cellStyle name="Normal 15 2" xfId="7623" xr:uid="{00000000-0005-0000-0000-00008D040000}"/>
    <cellStyle name="Normal 15 2 2" xfId="12060" xr:uid="{00000000-0005-0000-0000-0000DD030000}"/>
    <cellStyle name="Normal 15 3" xfId="6905" xr:uid="{00000000-0005-0000-0000-00008C040000}"/>
    <cellStyle name="Normal 15 4" xfId="9326" xr:uid="{00000000-0005-0000-0000-00008C040000}"/>
    <cellStyle name="Normal 16" xfId="2426" xr:uid="{00000000-0005-0000-0000-000076030000}"/>
    <cellStyle name="Normal 16 2" xfId="7622" xr:uid="{00000000-0005-0000-0000-00008E040000}"/>
    <cellStyle name="Normal 16 3" xfId="10020" xr:uid="{00000000-0005-0000-0000-00008E040000}"/>
    <cellStyle name="Normal 2" xfId="682" xr:uid="{00000000-0005-0000-0000-000056040000}"/>
    <cellStyle name="Normal 2 10" xfId="683" xr:uid="{00000000-0005-0000-0000-000057040000}"/>
    <cellStyle name="Normal 2 10 10" xfId="6629" xr:uid="{00000000-0005-0000-0000-000090040000}"/>
    <cellStyle name="Normal 2 10 11" xfId="9050" xr:uid="{00000000-0005-0000-0000-000090040000}"/>
    <cellStyle name="Normal 2 10 2" xfId="684" xr:uid="{00000000-0005-0000-0000-000058040000}"/>
    <cellStyle name="Normal 2 10 2 2" xfId="685" xr:uid="{00000000-0005-0000-0000-000059040000}"/>
    <cellStyle name="Normal 2 10 2 2 2" xfId="6378" xr:uid="{00000000-0005-0000-0000-00007A030000}"/>
    <cellStyle name="Normal 2 10 2 2 2 2" xfId="8484" xr:uid="{00000000-0005-0000-0000-000093040000}"/>
    <cellStyle name="Normal 2 10 2 2 2 3" xfId="10881" xr:uid="{00000000-0005-0000-0000-000093040000}"/>
    <cellStyle name="Normal 2 10 2 2 3" xfId="7124" xr:uid="{00000000-0005-0000-0000-000092040000}"/>
    <cellStyle name="Normal 2 10 2 2 3 2" xfId="12071" xr:uid="{00000000-0005-0000-0000-0000E3030000}"/>
    <cellStyle name="Normal 2 10 2 2 4" xfId="9530" xr:uid="{00000000-0005-0000-0000-000092040000}"/>
    <cellStyle name="Normal 2 10 2 2 5" xfId="12038" xr:uid="{00000000-0005-0000-0000-0000E1030000}"/>
    <cellStyle name="Normal 2 10 2 3" xfId="2713" xr:uid="{00000000-0005-0000-0000-00007B030000}"/>
    <cellStyle name="Normal 2 10 2 3 2" xfId="6186" xr:uid="{00000000-0005-0000-0000-00007B030000}"/>
    <cellStyle name="Normal 2 10 2 3 3" xfId="7123" xr:uid="{00000000-0005-0000-0000-000094040000}"/>
    <cellStyle name="Normal 2 10 2 3 4" xfId="9529" xr:uid="{00000000-0005-0000-0000-000094040000}"/>
    <cellStyle name="Normal 2 10 2 4" xfId="2421" xr:uid="{00000000-0005-0000-0000-000079030000}"/>
    <cellStyle name="Normal 2 10 2 4 2" xfId="7950" xr:uid="{00000000-0005-0000-0000-000095040000}"/>
    <cellStyle name="Normal 2 10 2 4 3" xfId="10347" xr:uid="{00000000-0005-0000-0000-000095040000}"/>
    <cellStyle name="Normal 2 10 2 5" xfId="3917" xr:uid="{00000000-0005-0000-0000-0000C0010000}"/>
    <cellStyle name="Normal 2 10 2 6" xfId="5842" xr:uid="{00000000-0005-0000-0000-00003E020000}"/>
    <cellStyle name="Normal 2 10 2 7" xfId="5101" xr:uid="{00000000-0005-0000-0000-000025020000}"/>
    <cellStyle name="Normal 2 10 2 8" xfId="6790" xr:uid="{00000000-0005-0000-0000-000091040000}"/>
    <cellStyle name="Normal 2 10 2 9" xfId="9211" xr:uid="{00000000-0005-0000-0000-000091040000}"/>
    <cellStyle name="Normal 2 10 3" xfId="686" xr:uid="{00000000-0005-0000-0000-00005A040000}"/>
    <cellStyle name="Normal 2 10 3 2" xfId="4450" xr:uid="{00000000-0005-0000-0000-00007C030000}"/>
    <cellStyle name="Normal 2 10 3 2 2" xfId="8485" xr:uid="{00000000-0005-0000-0000-000097040000}"/>
    <cellStyle name="Normal 2 10 3 2 3" xfId="10882" xr:uid="{00000000-0005-0000-0000-000097040000}"/>
    <cellStyle name="Normal 2 10 3 3" xfId="5628" xr:uid="{00000000-0005-0000-0000-00003F020000}"/>
    <cellStyle name="Normal 2 10 3 3 2" xfId="11673" xr:uid="{00000000-0005-0000-0000-0000D1040000}"/>
    <cellStyle name="Normal 2 10 3 4" xfId="7125" xr:uid="{00000000-0005-0000-0000-000096040000}"/>
    <cellStyle name="Normal 2 10 3 4 2" xfId="11879" xr:uid="{00000000-0005-0000-0000-0000D2040000}"/>
    <cellStyle name="Normal 2 10 3 5" xfId="9531" xr:uid="{00000000-0005-0000-0000-000096040000}"/>
    <cellStyle name="Normal 2 10 3 6" xfId="11649" xr:uid="{00000000-0005-0000-0000-0000CF040000}"/>
    <cellStyle name="Normal 2 10 4" xfId="687" xr:uid="{00000000-0005-0000-0000-00005B040000}"/>
    <cellStyle name="Normal 2 10 4 2" xfId="6290" xr:uid="{00000000-0005-0000-0000-00007D030000}"/>
    <cellStyle name="Normal 2 10 4 2 2" xfId="8213" xr:uid="{00000000-0005-0000-0000-000099040000}"/>
    <cellStyle name="Normal 2 10 4 2 3" xfId="10610" xr:uid="{00000000-0005-0000-0000-000099040000}"/>
    <cellStyle name="Normal 2 10 4 3" xfId="7126" xr:uid="{00000000-0005-0000-0000-000098040000}"/>
    <cellStyle name="Normal 2 10 4 4" xfId="9532" xr:uid="{00000000-0005-0000-0000-000098040000}"/>
    <cellStyle name="Normal 2 10 5" xfId="2504" xr:uid="{00000000-0005-0000-0000-00007E030000}"/>
    <cellStyle name="Normal 2 10 5 2" xfId="7122" xr:uid="{00000000-0005-0000-0000-00009A040000}"/>
    <cellStyle name="Normal 2 10 5 3" xfId="9528" xr:uid="{00000000-0005-0000-0000-00009A040000}"/>
    <cellStyle name="Normal 2 10 6" xfId="2313" xr:uid="{00000000-0005-0000-0000-000078030000}"/>
    <cellStyle name="Normal 2 10 6 2" xfId="7702" xr:uid="{00000000-0005-0000-0000-00009B040000}"/>
    <cellStyle name="Normal 2 10 6 3" xfId="10099" xr:uid="{00000000-0005-0000-0000-00009B040000}"/>
    <cellStyle name="Normal 2 10 7" xfId="3787" xr:uid="{00000000-0005-0000-0000-0000BF010000}"/>
    <cellStyle name="Normal 2 10 8" xfId="5382" xr:uid="{00000000-0005-0000-0000-00003D020000}"/>
    <cellStyle name="Normal 2 10 9" xfId="4883" xr:uid="{00000000-0005-0000-0000-000024020000}"/>
    <cellStyle name="Normal 2 11" xfId="688" xr:uid="{00000000-0005-0000-0000-00005C040000}"/>
    <cellStyle name="Normal 2 11 10" xfId="6630" xr:uid="{00000000-0005-0000-0000-00009C040000}"/>
    <cellStyle name="Normal 2 11 11" xfId="9051" xr:uid="{00000000-0005-0000-0000-00009C040000}"/>
    <cellStyle name="Normal 2 11 2" xfId="689" xr:uid="{00000000-0005-0000-0000-00005D040000}"/>
    <cellStyle name="Normal 2 11 2 2" xfId="690" xr:uid="{00000000-0005-0000-0000-00005E040000}"/>
    <cellStyle name="Normal 2 11 2 2 2" xfId="6379" xr:uid="{00000000-0005-0000-0000-000081030000}"/>
    <cellStyle name="Normal 2 11 2 2 2 2" xfId="8486" xr:uid="{00000000-0005-0000-0000-00009F040000}"/>
    <cellStyle name="Normal 2 11 2 2 2 3" xfId="10883" xr:uid="{00000000-0005-0000-0000-00009F040000}"/>
    <cellStyle name="Normal 2 11 2 2 3" xfId="7129" xr:uid="{00000000-0005-0000-0000-00009E040000}"/>
    <cellStyle name="Normal 2 11 2 2 3 2" xfId="12072" xr:uid="{00000000-0005-0000-0000-0000EF030000}"/>
    <cellStyle name="Normal 2 11 2 2 4" xfId="9535" xr:uid="{00000000-0005-0000-0000-00009E040000}"/>
    <cellStyle name="Normal 2 11 2 2 5" xfId="12039" xr:uid="{00000000-0005-0000-0000-0000ED030000}"/>
    <cellStyle name="Normal 2 11 2 3" xfId="2714" xr:uid="{00000000-0005-0000-0000-000082030000}"/>
    <cellStyle name="Normal 2 11 2 3 2" xfId="6187" xr:uid="{00000000-0005-0000-0000-000082030000}"/>
    <cellStyle name="Normal 2 11 2 3 3" xfId="7128" xr:uid="{00000000-0005-0000-0000-0000A0040000}"/>
    <cellStyle name="Normal 2 11 2 3 4" xfId="9534" xr:uid="{00000000-0005-0000-0000-0000A0040000}"/>
    <cellStyle name="Normal 2 11 2 4" xfId="4152" xr:uid="{00000000-0005-0000-0000-000080030000}"/>
    <cellStyle name="Normal 2 11 2 4 2" xfId="7951" xr:uid="{00000000-0005-0000-0000-0000A1040000}"/>
    <cellStyle name="Normal 2 11 2 4 3" xfId="10348" xr:uid="{00000000-0005-0000-0000-0000A1040000}"/>
    <cellStyle name="Normal 2 11 2 5" xfId="5843" xr:uid="{00000000-0005-0000-0000-000041020000}"/>
    <cellStyle name="Normal 2 11 2 6" xfId="5102" xr:uid="{00000000-0005-0000-0000-000027020000}"/>
    <cellStyle name="Normal 2 11 2 7" xfId="6791" xr:uid="{00000000-0005-0000-0000-00009D040000}"/>
    <cellStyle name="Normal 2 11 2 8" xfId="9212" xr:uid="{00000000-0005-0000-0000-00009D040000}"/>
    <cellStyle name="Normal 2 11 3" xfId="691" xr:uid="{00000000-0005-0000-0000-00005F040000}"/>
    <cellStyle name="Normal 2 11 3 2" xfId="4451" xr:uid="{00000000-0005-0000-0000-000083030000}"/>
    <cellStyle name="Normal 2 11 3 2 2" xfId="8487" xr:uid="{00000000-0005-0000-0000-0000A3040000}"/>
    <cellStyle name="Normal 2 11 3 2 3" xfId="10884" xr:uid="{00000000-0005-0000-0000-0000A3040000}"/>
    <cellStyle name="Normal 2 11 3 3" xfId="5673" xr:uid="{00000000-0005-0000-0000-000042020000}"/>
    <cellStyle name="Normal 2 11 3 3 2" xfId="12073" xr:uid="{00000000-0005-0000-0000-0000F4030000}"/>
    <cellStyle name="Normal 2 11 3 4" xfId="7130" xr:uid="{00000000-0005-0000-0000-0000A2040000}"/>
    <cellStyle name="Normal 2 11 3 5" xfId="9536" xr:uid="{00000000-0005-0000-0000-0000A2040000}"/>
    <cellStyle name="Normal 2 11 4" xfId="692" xr:uid="{00000000-0005-0000-0000-000060040000}"/>
    <cellStyle name="Normal 2 11 4 2" xfId="6291" xr:uid="{00000000-0005-0000-0000-000084030000}"/>
    <cellStyle name="Normal 2 11 4 2 2" xfId="8214" xr:uid="{00000000-0005-0000-0000-0000A5040000}"/>
    <cellStyle name="Normal 2 11 4 2 3" xfId="10611" xr:uid="{00000000-0005-0000-0000-0000A5040000}"/>
    <cellStyle name="Normal 2 11 4 3" xfId="7131" xr:uid="{00000000-0005-0000-0000-0000A4040000}"/>
    <cellStyle name="Normal 2 11 4 4" xfId="9537" xr:uid="{00000000-0005-0000-0000-0000A4040000}"/>
    <cellStyle name="Normal 2 11 5" xfId="2564" xr:uid="{00000000-0005-0000-0000-000085030000}"/>
    <cellStyle name="Normal 2 11 5 2" xfId="7127" xr:uid="{00000000-0005-0000-0000-0000A6040000}"/>
    <cellStyle name="Normal 2 11 5 3" xfId="9533" xr:uid="{00000000-0005-0000-0000-0000A6040000}"/>
    <cellStyle name="Normal 2 11 6" xfId="2314" xr:uid="{00000000-0005-0000-0000-00007F030000}"/>
    <cellStyle name="Normal 2 11 6 2" xfId="7762" xr:uid="{00000000-0005-0000-0000-0000A7040000}"/>
    <cellStyle name="Normal 2 11 6 3" xfId="10159" xr:uid="{00000000-0005-0000-0000-0000A7040000}"/>
    <cellStyle name="Normal 2 11 7" xfId="3918" xr:uid="{00000000-0005-0000-0000-0000C1010000}"/>
    <cellStyle name="Normal 2 11 8" xfId="5442" xr:uid="{00000000-0005-0000-0000-000040020000}"/>
    <cellStyle name="Normal 2 11 9" xfId="4884" xr:uid="{00000000-0005-0000-0000-000026020000}"/>
    <cellStyle name="Normal 2 12" xfId="693" xr:uid="{00000000-0005-0000-0000-000061040000}"/>
    <cellStyle name="Normal 2 12 10" xfId="9052" xr:uid="{00000000-0005-0000-0000-0000A8040000}"/>
    <cellStyle name="Normal 2 12 2" xfId="694" xr:uid="{00000000-0005-0000-0000-000062040000}"/>
    <cellStyle name="Normal 2 12 2 2" xfId="3146" xr:uid="{00000000-0005-0000-0000-000088030000}"/>
    <cellStyle name="Normal 2 12 2 2 2" xfId="6380" xr:uid="{00000000-0005-0000-0000-000088030000}"/>
    <cellStyle name="Normal 2 12 2 2 3" xfId="7133" xr:uid="{00000000-0005-0000-0000-0000AA040000}"/>
    <cellStyle name="Normal 2 12 2 2 4" xfId="9539" xr:uid="{00000000-0005-0000-0000-0000AA040000}"/>
    <cellStyle name="Normal 2 12 2 3" xfId="4153" xr:uid="{00000000-0005-0000-0000-000087030000}"/>
    <cellStyle name="Normal 2 12 2 3 2" xfId="6105" xr:uid="{00000000-0005-0000-0000-000087030000}"/>
    <cellStyle name="Normal 2 12 2 3 3" xfId="8488" xr:uid="{00000000-0005-0000-0000-0000AB040000}"/>
    <cellStyle name="Normal 2 12 2 3 4" xfId="10885" xr:uid="{00000000-0005-0000-0000-0000AB040000}"/>
    <cellStyle name="Normal 2 12 2 4" xfId="5844" xr:uid="{00000000-0005-0000-0000-000044020000}"/>
    <cellStyle name="Normal 2 12 2 5" xfId="5103" xr:uid="{00000000-0005-0000-0000-000029020000}"/>
    <cellStyle name="Normal 2 12 2 6" xfId="6792" xr:uid="{00000000-0005-0000-0000-0000A9040000}"/>
    <cellStyle name="Normal 2 12 2 7" xfId="9213" xr:uid="{00000000-0005-0000-0000-0000A9040000}"/>
    <cellStyle name="Normal 2 12 3" xfId="695" xr:uid="{00000000-0005-0000-0000-000063040000}"/>
    <cellStyle name="Normal 2 12 3 2" xfId="6459" xr:uid="{00000000-0005-0000-0000-000082040000}"/>
    <cellStyle name="Normal 2 12 3 2 2" xfId="8215" xr:uid="{00000000-0005-0000-0000-0000AD040000}"/>
    <cellStyle name="Normal 2 12 3 2 3" xfId="10612" xr:uid="{00000000-0005-0000-0000-0000AD040000}"/>
    <cellStyle name="Normal 2 12 3 3" xfId="6292" xr:uid="{00000000-0005-0000-0000-000089030000}"/>
    <cellStyle name="Normal 2 12 3 4" xfId="7134" xr:uid="{00000000-0005-0000-0000-0000AC040000}"/>
    <cellStyle name="Normal 2 12 3 5" xfId="9540" xr:uid="{00000000-0005-0000-0000-0000AC040000}"/>
    <cellStyle name="Normal 2 12 4" xfId="2715" xr:uid="{00000000-0005-0000-0000-00008A030000}"/>
    <cellStyle name="Normal 2 12 4 2" xfId="6188" xr:uid="{00000000-0005-0000-0000-00008A030000}"/>
    <cellStyle name="Normal 2 12 4 3" xfId="7132" xr:uid="{00000000-0005-0000-0000-0000AE040000}"/>
    <cellStyle name="Normal 2 12 4 4" xfId="9538" xr:uid="{00000000-0005-0000-0000-0000AE040000}"/>
    <cellStyle name="Normal 2 12 5" xfId="2315" xr:uid="{00000000-0005-0000-0000-000086030000}"/>
    <cellStyle name="Normal 2 12 5 2" xfId="7952" xr:uid="{00000000-0005-0000-0000-0000AF040000}"/>
    <cellStyle name="Normal 2 12 5 3" xfId="10349" xr:uid="{00000000-0005-0000-0000-0000AF040000}"/>
    <cellStyle name="Normal 2 12 6" xfId="3919" xr:uid="{00000000-0005-0000-0000-0000C2010000}"/>
    <cellStyle name="Normal 2 12 7" xfId="5305" xr:uid="{00000000-0005-0000-0000-000043020000}"/>
    <cellStyle name="Normal 2 12 8" xfId="4885" xr:uid="{00000000-0005-0000-0000-000028020000}"/>
    <cellStyle name="Normal 2 12 9" xfId="6631" xr:uid="{00000000-0005-0000-0000-0000A8040000}"/>
    <cellStyle name="Normal 2 13" xfId="696" xr:uid="{00000000-0005-0000-0000-000064040000}"/>
    <cellStyle name="Normal 2 13 2" xfId="697" xr:uid="{00000000-0005-0000-0000-000065040000}"/>
    <cellStyle name="Normal 2 13 2 2" xfId="2896" xr:uid="{00000000-0005-0000-0000-00008D030000}"/>
    <cellStyle name="Normal 2 13 2 2 2" xfId="6293" xr:uid="{00000000-0005-0000-0000-00008D030000}"/>
    <cellStyle name="Normal 2 13 2 2 3" xfId="7136" xr:uid="{00000000-0005-0000-0000-0000B2040000}"/>
    <cellStyle name="Normal 2 13 2 2 4" xfId="9542" xr:uid="{00000000-0005-0000-0000-0000B2040000}"/>
    <cellStyle name="Normal 2 13 2 3" xfId="4728" xr:uid="{00000000-0005-0000-0000-0000C5020000}"/>
    <cellStyle name="Normal 2 13 2 3 2" xfId="6106" xr:uid="{00000000-0005-0000-0000-00008C030000}"/>
    <cellStyle name="Normal 2 13 2 3 3" xfId="8216" xr:uid="{00000000-0005-0000-0000-0000B3040000}"/>
    <cellStyle name="Normal 2 13 2 3 4" xfId="10613" xr:uid="{00000000-0005-0000-0000-0000B3040000}"/>
    <cellStyle name="Normal 2 13 2 4" xfId="5104" xr:uid="{00000000-0005-0000-0000-00002B020000}"/>
    <cellStyle name="Normal 2 13 2 5" xfId="6793" xr:uid="{00000000-0005-0000-0000-0000B1040000}"/>
    <cellStyle name="Normal 2 13 2 6" xfId="9214" xr:uid="{00000000-0005-0000-0000-0000B1040000}"/>
    <cellStyle name="Normal 2 13 3" xfId="698" xr:uid="{00000000-0005-0000-0000-000066040000}"/>
    <cellStyle name="Normal 2 13 3 2" xfId="6189" xr:uid="{00000000-0005-0000-0000-00008E030000}"/>
    <cellStyle name="Normal 2 13 3 3" xfId="7137" xr:uid="{00000000-0005-0000-0000-0000B4040000}"/>
    <cellStyle name="Normal 2 13 3 4" xfId="9543" xr:uid="{00000000-0005-0000-0000-0000B4040000}"/>
    <cellStyle name="Normal 2 13 4" xfId="2316" xr:uid="{00000000-0005-0000-0000-00008B030000}"/>
    <cellStyle name="Normal 2 13 4 2" xfId="6064" xr:uid="{00000000-0005-0000-0000-00008B030000}"/>
    <cellStyle name="Normal 2 13 4 3" xfId="7135" xr:uid="{00000000-0005-0000-0000-0000B5040000}"/>
    <cellStyle name="Normal 2 13 4 4" xfId="9541" xr:uid="{00000000-0005-0000-0000-0000B5040000}"/>
    <cellStyle name="Normal 2 13 5" xfId="3920" xr:uid="{00000000-0005-0000-0000-0000C3010000}"/>
    <cellStyle name="Normal 2 13 5 2" xfId="7953" xr:uid="{00000000-0005-0000-0000-0000B6040000}"/>
    <cellStyle name="Normal 2 13 5 3" xfId="10350" xr:uid="{00000000-0005-0000-0000-0000B6040000}"/>
    <cellStyle name="Normal 2 13 6" xfId="5845" xr:uid="{00000000-0005-0000-0000-000045020000}"/>
    <cellStyle name="Normal 2 13 7" xfId="4886" xr:uid="{00000000-0005-0000-0000-00002A020000}"/>
    <cellStyle name="Normal 2 13 8" xfId="6632" xr:uid="{00000000-0005-0000-0000-0000B0040000}"/>
    <cellStyle name="Normal 2 13 9" xfId="9053" xr:uid="{00000000-0005-0000-0000-0000B0040000}"/>
    <cellStyle name="Normal 2 14" xfId="699" xr:uid="{00000000-0005-0000-0000-000067040000}"/>
    <cellStyle name="Normal 2 14 2" xfId="700" xr:uid="{00000000-0005-0000-0000-000068040000}"/>
    <cellStyle name="Normal 2 14 2 2" xfId="6381" xr:uid="{00000000-0005-0000-0000-000090030000}"/>
    <cellStyle name="Normal 2 14 2 2 2" xfId="8489" xr:uid="{00000000-0005-0000-0000-0000B9040000}"/>
    <cellStyle name="Normal 2 14 2 2 3" xfId="10886" xr:uid="{00000000-0005-0000-0000-0000B9040000}"/>
    <cellStyle name="Normal 2 14 2 3" xfId="5105" xr:uid="{00000000-0005-0000-0000-00002D020000}"/>
    <cellStyle name="Normal 2 14 2 4" xfId="7139" xr:uid="{00000000-0005-0000-0000-0000B8040000}"/>
    <cellStyle name="Normal 2 14 2 5" xfId="9545" xr:uid="{00000000-0005-0000-0000-0000B8040000}"/>
    <cellStyle name="Normal 2 14 3" xfId="2866" xr:uid="{00000000-0005-0000-0000-000091030000}"/>
    <cellStyle name="Normal 2 14 3 2" xfId="8161" xr:uid="{00000000-0005-0000-0000-0000BA040000}"/>
    <cellStyle name="Normal 2 14 3 3" xfId="10558" xr:uid="{00000000-0005-0000-0000-0000BA040000}"/>
    <cellStyle name="Normal 2 14 4" xfId="2266" xr:uid="{00000000-0005-0000-0000-00008F030000}"/>
    <cellStyle name="Normal 2 14 4 2" xfId="11423" xr:uid="{00000000-0005-0000-0000-00008D040000}"/>
    <cellStyle name="Normal 2 14 5" xfId="3809" xr:uid="{00000000-0005-0000-0000-0000C4010000}"/>
    <cellStyle name="Normal 2 14 6" xfId="5551" xr:uid="{00000000-0005-0000-0000-000046020000}"/>
    <cellStyle name="Normal 2 14 7" xfId="5028" xr:uid="{00000000-0005-0000-0000-00002C020000}"/>
    <cellStyle name="Normal 2 14 8" xfId="7138" xr:uid="{00000000-0005-0000-0000-0000B7040000}"/>
    <cellStyle name="Normal 2 14 9" xfId="9544" xr:uid="{00000000-0005-0000-0000-0000B7040000}"/>
    <cellStyle name="Normal 2 15" xfId="701" xr:uid="{00000000-0005-0000-0000-000069040000}"/>
    <cellStyle name="Normal 2 15 2" xfId="702" xr:uid="{00000000-0005-0000-0000-00006A040000}"/>
    <cellStyle name="Normal 2 15 2 2" xfId="6257" xr:uid="{00000000-0005-0000-0000-000093030000}"/>
    <cellStyle name="Normal 2 15 2 3" xfId="7141" xr:uid="{00000000-0005-0000-0000-0000BC040000}"/>
    <cellStyle name="Normal 2 15 2 4" xfId="9547" xr:uid="{00000000-0005-0000-0000-0000BC040000}"/>
    <cellStyle name="Normal 2 15 2 5" xfId="11564" xr:uid="{00000000-0005-0000-0000-000011030000}"/>
    <cellStyle name="Normal 2 15 3" xfId="6090" xr:uid="{00000000-0005-0000-0000-000092030000}"/>
    <cellStyle name="Normal 2 15 3 2" xfId="8164" xr:uid="{00000000-0005-0000-0000-0000BD040000}"/>
    <cellStyle name="Normal 2 15 3 3" xfId="10561" xr:uid="{00000000-0005-0000-0000-0000BD040000}"/>
    <cellStyle name="Normal 2 15 4" xfId="4760" xr:uid="{00000000-0005-0000-0000-00002E020000}"/>
    <cellStyle name="Normal 2 15 4 2" xfId="11835" xr:uid="{00000000-0005-0000-0000-0000F5040000}"/>
    <cellStyle name="Normal 2 15 5" xfId="7140" xr:uid="{00000000-0005-0000-0000-0000BB040000}"/>
    <cellStyle name="Normal 2 15 6" xfId="9546" xr:uid="{00000000-0005-0000-0000-0000BB040000}"/>
    <cellStyle name="Normal 2 16" xfId="703" xr:uid="{00000000-0005-0000-0000-00006B040000}"/>
    <cellStyle name="Normal 2 16 2" xfId="6140" xr:uid="{00000000-0005-0000-0000-000094030000}"/>
    <cellStyle name="Normal 2 16 2 2" xfId="11608" xr:uid="{00000000-0005-0000-0000-0000F7040000}"/>
    <cellStyle name="Normal 2 16 2 3" xfId="11675" xr:uid="{00000000-0005-0000-0000-0000F7040000}"/>
    <cellStyle name="Normal 2 16 3" xfId="7142" xr:uid="{00000000-0005-0000-0000-0000BE040000}"/>
    <cellStyle name="Normal 2 16 3 2" xfId="11674" xr:uid="{00000000-0005-0000-0000-0000F8040000}"/>
    <cellStyle name="Normal 2 16 4" xfId="9548" xr:uid="{00000000-0005-0000-0000-0000BE040000}"/>
    <cellStyle name="Normal 2 16 5" xfId="11662" xr:uid="{00000000-0005-0000-0000-0000F6040000}"/>
    <cellStyle name="Normal 2 17" xfId="704" xr:uid="{00000000-0005-0000-0000-00006C040000}"/>
    <cellStyle name="Normal 2 17 2" xfId="7143" xr:uid="{00000000-0005-0000-0000-0000BF040000}"/>
    <cellStyle name="Normal 2 17 2 2" xfId="11609" xr:uid="{00000000-0005-0000-0000-0000FA040000}"/>
    <cellStyle name="Normal 2 17 2 3" xfId="11677" xr:uid="{00000000-0005-0000-0000-0000FA040000}"/>
    <cellStyle name="Normal 2 17 3" xfId="9549" xr:uid="{00000000-0005-0000-0000-0000BF040000}"/>
    <cellStyle name="Normal 2 17 3 2" xfId="11676" xr:uid="{00000000-0005-0000-0000-0000FB040000}"/>
    <cellStyle name="Normal 2 17 4" xfId="11589" xr:uid="{00000000-0005-0000-0000-0000F9040000}"/>
    <cellStyle name="Normal 2 17 5" xfId="11663" xr:uid="{00000000-0005-0000-0000-0000F9040000}"/>
    <cellStyle name="Normal 2 18" xfId="3779" xr:uid="{00000000-0005-0000-0000-0000BE010000}"/>
    <cellStyle name="Normal 2 18 2" xfId="7625" xr:uid="{00000000-0005-0000-0000-0000C0040000}"/>
    <cellStyle name="Normal 2 18 2 2" xfId="11610" xr:uid="{00000000-0005-0000-0000-0000FD040000}"/>
    <cellStyle name="Normal 2 18 2 3" xfId="11679" xr:uid="{00000000-0005-0000-0000-0000FD040000}"/>
    <cellStyle name="Normal 2 18 3" xfId="10022" xr:uid="{00000000-0005-0000-0000-0000C0040000}"/>
    <cellStyle name="Normal 2 18 3 2" xfId="11678" xr:uid="{00000000-0005-0000-0000-0000FE040000}"/>
    <cellStyle name="Normal 2 18 4" xfId="11590" xr:uid="{00000000-0005-0000-0000-0000FC040000}"/>
    <cellStyle name="Normal 2 18 5" xfId="11665" xr:uid="{00000000-0005-0000-0000-0000FC040000}"/>
    <cellStyle name="Normal 2 19" xfId="5298" xr:uid="{00000000-0005-0000-0000-00003C020000}"/>
    <cellStyle name="Normal 2 19 2" xfId="11569" xr:uid="{00000000-0005-0000-0000-00005E2D0000}"/>
    <cellStyle name="Normal 2 19 2 2" xfId="11612" xr:uid="{00000000-0005-0000-0000-000000050000}"/>
    <cellStyle name="Normal 2 19 2 3" xfId="11681" xr:uid="{00000000-0005-0000-0000-000000050000}"/>
    <cellStyle name="Normal 2 19 3" xfId="11611" xr:uid="{00000000-0005-0000-0000-000001050000}"/>
    <cellStyle name="Normal 2 19 3 2" xfId="11680" xr:uid="{00000000-0005-0000-0000-000001050000}"/>
    <cellStyle name="Normal 2 19 4" xfId="11592" xr:uid="{00000000-0005-0000-0000-0000FF040000}"/>
    <cellStyle name="Normal 2 19 5" xfId="11667" xr:uid="{00000000-0005-0000-0000-0000FF040000}"/>
    <cellStyle name="Normal 2 2" xfId="705" xr:uid="{00000000-0005-0000-0000-00006D040000}"/>
    <cellStyle name="Normal 2 2 10" xfId="706" xr:uid="{00000000-0005-0000-0000-00006E040000}"/>
    <cellStyle name="Normal 2 2 10 10" xfId="6634" xr:uid="{00000000-0005-0000-0000-0000C2040000}"/>
    <cellStyle name="Normal 2 2 10 11" xfId="9055" xr:uid="{00000000-0005-0000-0000-0000C2040000}"/>
    <cellStyle name="Normal 2 2 10 2" xfId="707" xr:uid="{00000000-0005-0000-0000-00006F040000}"/>
    <cellStyle name="Normal 2 2 10 2 2" xfId="708" xr:uid="{00000000-0005-0000-0000-000070040000}"/>
    <cellStyle name="Normal 2 2 10 2 2 2" xfId="6382" xr:uid="{00000000-0005-0000-0000-000098030000}"/>
    <cellStyle name="Normal 2 2 10 2 2 2 2" xfId="8490" xr:uid="{00000000-0005-0000-0000-0000C5040000}"/>
    <cellStyle name="Normal 2 2 10 2 2 2 3" xfId="10887" xr:uid="{00000000-0005-0000-0000-0000C5040000}"/>
    <cellStyle name="Normal 2 2 10 2 2 3" xfId="7147" xr:uid="{00000000-0005-0000-0000-0000C4040000}"/>
    <cellStyle name="Normal 2 2 10 2 2 3 2" xfId="12074" xr:uid="{00000000-0005-0000-0000-000010040000}"/>
    <cellStyle name="Normal 2 2 10 2 2 4" xfId="9553" xr:uid="{00000000-0005-0000-0000-0000C4040000}"/>
    <cellStyle name="Normal 2 2 10 2 2 5" xfId="12040" xr:uid="{00000000-0005-0000-0000-00000E040000}"/>
    <cellStyle name="Normal 2 2 10 2 3" xfId="2717" xr:uid="{00000000-0005-0000-0000-000099030000}"/>
    <cellStyle name="Normal 2 2 10 2 3 2" xfId="6191" xr:uid="{00000000-0005-0000-0000-000099030000}"/>
    <cellStyle name="Normal 2 2 10 2 3 3" xfId="7146" xr:uid="{00000000-0005-0000-0000-0000C6040000}"/>
    <cellStyle name="Normal 2 2 10 2 3 4" xfId="9552" xr:uid="{00000000-0005-0000-0000-0000C6040000}"/>
    <cellStyle name="Normal 2 2 10 2 4" xfId="4154" xr:uid="{00000000-0005-0000-0000-000097030000}"/>
    <cellStyle name="Normal 2 2 10 2 4 2" xfId="7955" xr:uid="{00000000-0005-0000-0000-0000C7040000}"/>
    <cellStyle name="Normal 2 2 10 2 4 3" xfId="10352" xr:uid="{00000000-0005-0000-0000-0000C7040000}"/>
    <cellStyle name="Normal 2 2 10 2 5" xfId="5847" xr:uid="{00000000-0005-0000-0000-000049020000}"/>
    <cellStyle name="Normal 2 2 10 2 6" xfId="5107" xr:uid="{00000000-0005-0000-0000-000032020000}"/>
    <cellStyle name="Normal 2 2 10 2 7" xfId="6795" xr:uid="{00000000-0005-0000-0000-0000C3040000}"/>
    <cellStyle name="Normal 2 2 10 2 8" xfId="9216" xr:uid="{00000000-0005-0000-0000-0000C3040000}"/>
    <cellStyle name="Normal 2 2 10 3" xfId="709" xr:uid="{00000000-0005-0000-0000-000071040000}"/>
    <cellStyle name="Normal 2 2 10 3 2" xfId="4452" xr:uid="{00000000-0005-0000-0000-00009A030000}"/>
    <cellStyle name="Normal 2 2 10 3 2 2" xfId="8491" xr:uid="{00000000-0005-0000-0000-0000C9040000}"/>
    <cellStyle name="Normal 2 2 10 3 2 3" xfId="10888" xr:uid="{00000000-0005-0000-0000-0000C9040000}"/>
    <cellStyle name="Normal 2 2 10 3 3" xfId="5674" xr:uid="{00000000-0005-0000-0000-00004A020000}"/>
    <cellStyle name="Normal 2 2 10 3 3 2" xfId="12075" xr:uid="{00000000-0005-0000-0000-000015040000}"/>
    <cellStyle name="Normal 2 2 10 3 4" xfId="7148" xr:uid="{00000000-0005-0000-0000-0000C8040000}"/>
    <cellStyle name="Normal 2 2 10 3 5" xfId="9554" xr:uid="{00000000-0005-0000-0000-0000C8040000}"/>
    <cellStyle name="Normal 2 2 10 4" xfId="710" xr:uid="{00000000-0005-0000-0000-000072040000}"/>
    <cellStyle name="Normal 2 2 10 4 2" xfId="6294" xr:uid="{00000000-0005-0000-0000-00009B030000}"/>
    <cellStyle name="Normal 2 2 10 4 2 2" xfId="8217" xr:uid="{00000000-0005-0000-0000-0000CB040000}"/>
    <cellStyle name="Normal 2 2 10 4 2 3" xfId="10614" xr:uid="{00000000-0005-0000-0000-0000CB040000}"/>
    <cellStyle name="Normal 2 2 10 4 3" xfId="7149" xr:uid="{00000000-0005-0000-0000-0000CA040000}"/>
    <cellStyle name="Normal 2 2 10 4 4" xfId="9555" xr:uid="{00000000-0005-0000-0000-0000CA040000}"/>
    <cellStyle name="Normal 2 2 10 5" xfId="2565" xr:uid="{00000000-0005-0000-0000-00009C030000}"/>
    <cellStyle name="Normal 2 2 10 5 2" xfId="7145" xr:uid="{00000000-0005-0000-0000-0000CC040000}"/>
    <cellStyle name="Normal 2 2 10 5 3" xfId="9551" xr:uid="{00000000-0005-0000-0000-0000CC040000}"/>
    <cellStyle name="Normal 2 2 10 6" xfId="2317" xr:uid="{00000000-0005-0000-0000-000096030000}"/>
    <cellStyle name="Normal 2 2 10 6 2" xfId="7763" xr:uid="{00000000-0005-0000-0000-0000CD040000}"/>
    <cellStyle name="Normal 2 2 10 6 3" xfId="10160" xr:uid="{00000000-0005-0000-0000-0000CD040000}"/>
    <cellStyle name="Normal 2 2 10 7" xfId="3922" xr:uid="{00000000-0005-0000-0000-0000C6010000}"/>
    <cellStyle name="Normal 2 2 10 8" xfId="5443" xr:uid="{00000000-0005-0000-0000-000048020000}"/>
    <cellStyle name="Normal 2 2 10 9" xfId="4888" xr:uid="{00000000-0005-0000-0000-000031020000}"/>
    <cellStyle name="Normal 2 2 11" xfId="711" xr:uid="{00000000-0005-0000-0000-000073040000}"/>
    <cellStyle name="Normal 2 2 11 10" xfId="9056" xr:uid="{00000000-0005-0000-0000-0000CE040000}"/>
    <cellStyle name="Normal 2 2 11 2" xfId="712" xr:uid="{00000000-0005-0000-0000-000074040000}"/>
    <cellStyle name="Normal 2 2 11 2 2" xfId="3147" xr:uid="{00000000-0005-0000-0000-00009F030000}"/>
    <cellStyle name="Normal 2 2 11 2 2 2" xfId="6383" xr:uid="{00000000-0005-0000-0000-00009F030000}"/>
    <cellStyle name="Normal 2 2 11 2 2 3" xfId="7151" xr:uid="{00000000-0005-0000-0000-0000D0040000}"/>
    <cellStyle name="Normal 2 2 11 2 2 4" xfId="9557" xr:uid="{00000000-0005-0000-0000-0000D0040000}"/>
    <cellStyle name="Normal 2 2 11 2 3" xfId="4155" xr:uid="{00000000-0005-0000-0000-00009E030000}"/>
    <cellStyle name="Normal 2 2 11 2 3 2" xfId="6107" xr:uid="{00000000-0005-0000-0000-00009E030000}"/>
    <cellStyle name="Normal 2 2 11 2 3 3" xfId="8492" xr:uid="{00000000-0005-0000-0000-0000D1040000}"/>
    <cellStyle name="Normal 2 2 11 2 3 4" xfId="10889" xr:uid="{00000000-0005-0000-0000-0000D1040000}"/>
    <cellStyle name="Normal 2 2 11 2 4" xfId="5848" xr:uid="{00000000-0005-0000-0000-00004C020000}"/>
    <cellStyle name="Normal 2 2 11 2 5" xfId="5108" xr:uid="{00000000-0005-0000-0000-000034020000}"/>
    <cellStyle name="Normal 2 2 11 2 6" xfId="6796" xr:uid="{00000000-0005-0000-0000-0000CF040000}"/>
    <cellStyle name="Normal 2 2 11 2 7" xfId="9217" xr:uid="{00000000-0005-0000-0000-0000CF040000}"/>
    <cellStyle name="Normal 2 2 11 3" xfId="713" xr:uid="{00000000-0005-0000-0000-000075040000}"/>
    <cellStyle name="Normal 2 2 11 3 2" xfId="6466" xr:uid="{00000000-0005-0000-0000-00009F040000}"/>
    <cellStyle name="Normal 2 2 11 3 2 2" xfId="8218" xr:uid="{00000000-0005-0000-0000-0000D3040000}"/>
    <cellStyle name="Normal 2 2 11 3 2 3" xfId="10615" xr:uid="{00000000-0005-0000-0000-0000D3040000}"/>
    <cellStyle name="Normal 2 2 11 3 3" xfId="6295" xr:uid="{00000000-0005-0000-0000-0000A0030000}"/>
    <cellStyle name="Normal 2 2 11 3 4" xfId="7152" xr:uid="{00000000-0005-0000-0000-0000D2040000}"/>
    <cellStyle name="Normal 2 2 11 3 5" xfId="9558" xr:uid="{00000000-0005-0000-0000-0000D2040000}"/>
    <cellStyle name="Normal 2 2 11 4" xfId="2718" xr:uid="{00000000-0005-0000-0000-0000A1030000}"/>
    <cellStyle name="Normal 2 2 11 4 2" xfId="6192" xr:uid="{00000000-0005-0000-0000-0000A1030000}"/>
    <cellStyle name="Normal 2 2 11 4 3" xfId="7150" xr:uid="{00000000-0005-0000-0000-0000D4040000}"/>
    <cellStyle name="Normal 2 2 11 4 4" xfId="9556" xr:uid="{00000000-0005-0000-0000-0000D4040000}"/>
    <cellStyle name="Normal 2 2 11 5" xfId="2318" xr:uid="{00000000-0005-0000-0000-00009D030000}"/>
    <cellStyle name="Normal 2 2 11 5 2" xfId="7956" xr:uid="{00000000-0005-0000-0000-0000D5040000}"/>
    <cellStyle name="Normal 2 2 11 5 3" xfId="10353" xr:uid="{00000000-0005-0000-0000-0000D5040000}"/>
    <cellStyle name="Normal 2 2 11 6" xfId="3923" xr:uid="{00000000-0005-0000-0000-0000C7010000}"/>
    <cellStyle name="Normal 2 2 11 7" xfId="5306" xr:uid="{00000000-0005-0000-0000-00004B020000}"/>
    <cellStyle name="Normal 2 2 11 8" xfId="4889" xr:uid="{00000000-0005-0000-0000-000033020000}"/>
    <cellStyle name="Normal 2 2 11 9" xfId="6635" xr:uid="{00000000-0005-0000-0000-0000CE040000}"/>
    <cellStyle name="Normal 2 2 12" xfId="714" xr:uid="{00000000-0005-0000-0000-000076040000}"/>
    <cellStyle name="Normal 2 2 12 2" xfId="715" xr:uid="{00000000-0005-0000-0000-000077040000}"/>
    <cellStyle name="Normal 2 2 12 2 2" xfId="2897" xr:uid="{00000000-0005-0000-0000-0000A4030000}"/>
    <cellStyle name="Normal 2 2 12 2 2 2" xfId="6296" xr:uid="{00000000-0005-0000-0000-0000A4030000}"/>
    <cellStyle name="Normal 2 2 12 2 2 3" xfId="7154" xr:uid="{00000000-0005-0000-0000-0000D8040000}"/>
    <cellStyle name="Normal 2 2 12 2 2 4" xfId="9560" xr:uid="{00000000-0005-0000-0000-0000D8040000}"/>
    <cellStyle name="Normal 2 2 12 2 3" xfId="4729" xr:uid="{00000000-0005-0000-0000-0000DC020000}"/>
    <cellStyle name="Normal 2 2 12 2 3 2" xfId="6108" xr:uid="{00000000-0005-0000-0000-0000A3030000}"/>
    <cellStyle name="Normal 2 2 12 2 3 3" xfId="8219" xr:uid="{00000000-0005-0000-0000-0000D9040000}"/>
    <cellStyle name="Normal 2 2 12 2 3 4" xfId="10616" xr:uid="{00000000-0005-0000-0000-0000D9040000}"/>
    <cellStyle name="Normal 2 2 12 2 4" xfId="5109" xr:uid="{00000000-0005-0000-0000-000036020000}"/>
    <cellStyle name="Normal 2 2 12 2 5" xfId="6797" xr:uid="{00000000-0005-0000-0000-0000D7040000}"/>
    <cellStyle name="Normal 2 2 12 2 6" xfId="9218" xr:uid="{00000000-0005-0000-0000-0000D7040000}"/>
    <cellStyle name="Normal 2 2 12 3" xfId="716" xr:uid="{00000000-0005-0000-0000-000078040000}"/>
    <cellStyle name="Normal 2 2 12 3 2" xfId="6193" xr:uid="{00000000-0005-0000-0000-0000A5030000}"/>
    <cellStyle name="Normal 2 2 12 3 3" xfId="7155" xr:uid="{00000000-0005-0000-0000-0000DA040000}"/>
    <cellStyle name="Normal 2 2 12 3 4" xfId="9561" xr:uid="{00000000-0005-0000-0000-0000DA040000}"/>
    <cellStyle name="Normal 2 2 12 4" xfId="2319" xr:uid="{00000000-0005-0000-0000-0000A2030000}"/>
    <cellStyle name="Normal 2 2 12 4 2" xfId="6065" xr:uid="{00000000-0005-0000-0000-0000A2030000}"/>
    <cellStyle name="Normal 2 2 12 4 3" xfId="7153" xr:uid="{00000000-0005-0000-0000-0000DB040000}"/>
    <cellStyle name="Normal 2 2 12 4 4" xfId="9559" xr:uid="{00000000-0005-0000-0000-0000DB040000}"/>
    <cellStyle name="Normal 2 2 12 5" xfId="3924" xr:uid="{00000000-0005-0000-0000-0000C8010000}"/>
    <cellStyle name="Normal 2 2 12 5 2" xfId="7957" xr:uid="{00000000-0005-0000-0000-0000DC040000}"/>
    <cellStyle name="Normal 2 2 12 5 3" xfId="10354" xr:uid="{00000000-0005-0000-0000-0000DC040000}"/>
    <cellStyle name="Normal 2 2 12 6" xfId="5849" xr:uid="{00000000-0005-0000-0000-00004D020000}"/>
    <cellStyle name="Normal 2 2 12 7" xfId="4890" xr:uid="{00000000-0005-0000-0000-000035020000}"/>
    <cellStyle name="Normal 2 2 12 8" xfId="6636" xr:uid="{00000000-0005-0000-0000-0000D6040000}"/>
    <cellStyle name="Normal 2 2 12 9" xfId="9057" xr:uid="{00000000-0005-0000-0000-0000D6040000}"/>
    <cellStyle name="Normal 2 2 13" xfId="717" xr:uid="{00000000-0005-0000-0000-000079040000}"/>
    <cellStyle name="Normal 2 2 13 2" xfId="3148" xr:uid="{00000000-0005-0000-0000-0000A7030000}"/>
    <cellStyle name="Normal 2 2 13 2 2" xfId="6384" xr:uid="{00000000-0005-0000-0000-0000A7030000}"/>
    <cellStyle name="Normal 2 2 13 2 2 2" xfId="8493" xr:uid="{00000000-0005-0000-0000-0000DF040000}"/>
    <cellStyle name="Normal 2 2 13 2 2 3" xfId="10890" xr:uid="{00000000-0005-0000-0000-0000DF040000}"/>
    <cellStyle name="Normal 2 2 13 2 3" xfId="5110" xr:uid="{00000000-0005-0000-0000-000038020000}"/>
    <cellStyle name="Normal 2 2 13 2 4" xfId="7156" xr:uid="{00000000-0005-0000-0000-0000DE040000}"/>
    <cellStyle name="Normal 2 2 13 2 5" xfId="9562" xr:uid="{00000000-0005-0000-0000-0000DE040000}"/>
    <cellStyle name="Normal 2 2 13 3" xfId="2716" xr:uid="{00000000-0005-0000-0000-0000A8030000}"/>
    <cellStyle name="Normal 2 2 13 3 2" xfId="6190" xr:uid="{00000000-0005-0000-0000-0000A8030000}"/>
    <cellStyle name="Normal 2 2 13 3 3" xfId="7954" xr:uid="{00000000-0005-0000-0000-0000E0040000}"/>
    <cellStyle name="Normal 2 2 13 3 4" xfId="10351" xr:uid="{00000000-0005-0000-0000-0000E0040000}"/>
    <cellStyle name="Normal 2 2 13 4" xfId="2267" xr:uid="{00000000-0005-0000-0000-0000A6030000}"/>
    <cellStyle name="Normal 2 2 13 4 2" xfId="11398" xr:uid="{00000000-0005-0000-0000-0000AA040000}"/>
    <cellStyle name="Normal 2 2 13 5" xfId="3921" xr:uid="{00000000-0005-0000-0000-0000C9010000}"/>
    <cellStyle name="Normal 2 2 13 6" xfId="5846" xr:uid="{00000000-0005-0000-0000-00004E020000}"/>
    <cellStyle name="Normal 2 2 13 7" xfId="4887" xr:uid="{00000000-0005-0000-0000-000037020000}"/>
    <cellStyle name="Normal 2 2 13 8" xfId="6633" xr:uid="{00000000-0005-0000-0000-0000DD040000}"/>
    <cellStyle name="Normal 2 2 13 9" xfId="9054" xr:uid="{00000000-0005-0000-0000-0000DD040000}"/>
    <cellStyle name="Normal 2 2 14" xfId="718" xr:uid="{00000000-0005-0000-0000-00007A040000}"/>
    <cellStyle name="Normal 2 2 14 2" xfId="3149" xr:uid="{00000000-0005-0000-0000-0000AA030000}"/>
    <cellStyle name="Normal 2 2 14 2 2" xfId="6385" xr:uid="{00000000-0005-0000-0000-0000AA030000}"/>
    <cellStyle name="Normal 2 2 14 2 3" xfId="5111" xr:uid="{00000000-0005-0000-0000-00003A020000}"/>
    <cellStyle name="Normal 2 2 14 2 4" xfId="7157" xr:uid="{00000000-0005-0000-0000-0000E2040000}"/>
    <cellStyle name="Normal 2 2 14 2 5" xfId="9563" xr:uid="{00000000-0005-0000-0000-0000E2040000}"/>
    <cellStyle name="Normal 2 2 14 3" xfId="4114" xr:uid="{00000000-0005-0000-0000-0000A9030000}"/>
    <cellStyle name="Normal 2 2 14 3 2" xfId="6091" xr:uid="{00000000-0005-0000-0000-0000A9030000}"/>
    <cellStyle name="Normal 2 2 14 3 3" xfId="8494" xr:uid="{00000000-0005-0000-0000-0000E3040000}"/>
    <cellStyle name="Normal 2 2 14 3 4" xfId="10891" xr:uid="{00000000-0005-0000-0000-0000E3040000}"/>
    <cellStyle name="Normal 2 2 14 4" xfId="5552" xr:uid="{00000000-0005-0000-0000-00004F020000}"/>
    <cellStyle name="Normal 2 2 14 4 2" xfId="11880" xr:uid="{00000000-0005-0000-0000-000021050000}"/>
    <cellStyle name="Normal 2 2 14 5" xfId="4761" xr:uid="{00000000-0005-0000-0000-000039020000}"/>
    <cellStyle name="Normal 2 2 14 6" xfId="6794" xr:uid="{00000000-0005-0000-0000-0000E1040000}"/>
    <cellStyle name="Normal 2 2 14 7" xfId="9215" xr:uid="{00000000-0005-0000-0000-0000E1040000}"/>
    <cellStyle name="Normal 2 2 15" xfId="719" xr:uid="{00000000-0005-0000-0000-00007B040000}"/>
    <cellStyle name="Normal 2 2 15 2" xfId="4693" xr:uid="{00000000-0005-0000-0000-0000E6020000}"/>
    <cellStyle name="Normal 2 2 15 2 2" xfId="6258" xr:uid="{00000000-0005-0000-0000-0000AB030000}"/>
    <cellStyle name="Normal 2 2 15 2 3" xfId="8165" xr:uid="{00000000-0005-0000-0000-0000E5040000}"/>
    <cellStyle name="Normal 2 2 15 2 4" xfId="10562" xr:uid="{00000000-0005-0000-0000-0000E5040000}"/>
    <cellStyle name="Normal 2 2 15 3" xfId="5106" xr:uid="{00000000-0005-0000-0000-00003B020000}"/>
    <cellStyle name="Normal 2 2 15 3 2" xfId="11836" xr:uid="{00000000-0005-0000-0000-000024050000}"/>
    <cellStyle name="Normal 2 2 15 4" xfId="7158" xr:uid="{00000000-0005-0000-0000-0000E4040000}"/>
    <cellStyle name="Normal 2 2 15 5" xfId="9564" xr:uid="{00000000-0005-0000-0000-0000E4040000}"/>
    <cellStyle name="Normal 2 2 16" xfId="2430" xr:uid="{00000000-0005-0000-0000-0000AC030000}"/>
    <cellStyle name="Normal 2 2 16 2" xfId="6141" xr:uid="{00000000-0005-0000-0000-0000AC030000}"/>
    <cellStyle name="Normal 2 2 16 3" xfId="7144" xr:uid="{00000000-0005-0000-0000-0000E6040000}"/>
    <cellStyle name="Normal 2 2 16 4" xfId="9550" xr:uid="{00000000-0005-0000-0000-0000E6040000}"/>
    <cellStyle name="Normal 2 2 17" xfId="2157" xr:uid="{00000000-0005-0000-0000-000095030000}"/>
    <cellStyle name="Normal 2 2 17 2" xfId="6047" xr:uid="{00000000-0005-0000-0000-000095030000}"/>
    <cellStyle name="Normal 2 2 17 3" xfId="7626" xr:uid="{00000000-0005-0000-0000-0000E7040000}"/>
    <cellStyle name="Normal 2 2 17 4" xfId="10023" xr:uid="{00000000-0005-0000-0000-0000E7040000}"/>
    <cellStyle name="Normal 2 2 18" xfId="3780" xr:uid="{00000000-0005-0000-0000-0000C5010000}"/>
    <cellStyle name="Normal 2 2 18 2" xfId="11789" xr:uid="{00000000-0005-0000-0000-000027050000}"/>
    <cellStyle name="Normal 2 2 19" xfId="5299" xr:uid="{00000000-0005-0000-0000-000047020000}"/>
    <cellStyle name="Normal 2 2 2" xfId="720" xr:uid="{00000000-0005-0000-0000-00007C040000}"/>
    <cellStyle name="Normal 2 2 20" xfId="4754" xr:uid="{00000000-0005-0000-0000-000030020000}"/>
    <cellStyle name="Normal 2 2 21" xfId="6525" xr:uid="{00000000-0005-0000-0000-0000C1040000}"/>
    <cellStyle name="Normal 2 2 22" xfId="8946" xr:uid="{00000000-0005-0000-0000-0000C1040000}"/>
    <cellStyle name="Normal 2 2 3" xfId="721" xr:uid="{00000000-0005-0000-0000-00007D040000}"/>
    <cellStyle name="Normal 2 2 4" xfId="722" xr:uid="{00000000-0005-0000-0000-00007E040000}"/>
    <cellStyle name="Normal 2 2 4 10" xfId="723" xr:uid="{00000000-0005-0000-0000-00007F040000}"/>
    <cellStyle name="Normal 2 2 4 10 2" xfId="3150" xr:uid="{00000000-0005-0000-0000-0000B1030000}"/>
    <cellStyle name="Normal 2 2 4 10 2 2" xfId="6386" xr:uid="{00000000-0005-0000-0000-0000B1030000}"/>
    <cellStyle name="Normal 2 2 4 10 2 3" xfId="7161" xr:uid="{00000000-0005-0000-0000-0000EC040000}"/>
    <cellStyle name="Normal 2 2 4 10 2 4" xfId="9566" xr:uid="{00000000-0005-0000-0000-0000EC040000}"/>
    <cellStyle name="Normal 2 2 4 10 3" xfId="4156" xr:uid="{00000000-0005-0000-0000-0000B0030000}"/>
    <cellStyle name="Normal 2 2 4 10 3 2" xfId="6109" xr:uid="{00000000-0005-0000-0000-0000B0030000}"/>
    <cellStyle name="Normal 2 2 4 10 3 3" xfId="8495" xr:uid="{00000000-0005-0000-0000-0000ED040000}"/>
    <cellStyle name="Normal 2 2 4 10 3 4" xfId="10892" xr:uid="{00000000-0005-0000-0000-0000ED040000}"/>
    <cellStyle name="Normal 2 2 4 10 4" xfId="5560" xr:uid="{00000000-0005-0000-0000-000053020000}"/>
    <cellStyle name="Normal 2 2 4 10 4 2" xfId="11881" xr:uid="{00000000-0005-0000-0000-00002E050000}"/>
    <cellStyle name="Normal 2 2 4 10 5" xfId="5112" xr:uid="{00000000-0005-0000-0000-00003F020000}"/>
    <cellStyle name="Normal 2 2 4 10 6" xfId="6798" xr:uid="{00000000-0005-0000-0000-0000EB040000}"/>
    <cellStyle name="Normal 2 2 4 10 7" xfId="9219" xr:uid="{00000000-0005-0000-0000-0000EB040000}"/>
    <cellStyle name="Normal 2 2 4 11" xfId="724" xr:uid="{00000000-0005-0000-0000-000080040000}"/>
    <cellStyle name="Normal 2 2 4 11 2" xfId="6487" xr:uid="{00000000-0005-0000-0000-0000B8040000}"/>
    <cellStyle name="Normal 2 2 4 11 2 2" xfId="8220" xr:uid="{00000000-0005-0000-0000-0000EF040000}"/>
    <cellStyle name="Normal 2 2 4 11 2 3" xfId="10617" xr:uid="{00000000-0005-0000-0000-0000EF040000}"/>
    <cellStyle name="Normal 2 2 4 11 3" xfId="6297" xr:uid="{00000000-0005-0000-0000-0000B2030000}"/>
    <cellStyle name="Normal 2 2 4 11 4" xfId="7162" xr:uid="{00000000-0005-0000-0000-0000EE040000}"/>
    <cellStyle name="Normal 2 2 4 11 5" xfId="9567" xr:uid="{00000000-0005-0000-0000-0000EE040000}"/>
    <cellStyle name="Normal 2 2 4 12" xfId="2437" xr:uid="{00000000-0005-0000-0000-0000B3030000}"/>
    <cellStyle name="Normal 2 2 4 12 2" xfId="6149" xr:uid="{00000000-0005-0000-0000-0000B3030000}"/>
    <cellStyle name="Normal 2 2 4 12 3" xfId="7160" xr:uid="{00000000-0005-0000-0000-0000F0040000}"/>
    <cellStyle name="Normal 2 2 4 12 4" xfId="9565" xr:uid="{00000000-0005-0000-0000-0000F0040000}"/>
    <cellStyle name="Normal 2 2 4 13" xfId="2167" xr:uid="{00000000-0005-0000-0000-0000AF030000}"/>
    <cellStyle name="Normal 2 2 4 13 2" xfId="7634" xr:uid="{00000000-0005-0000-0000-0000F1040000}"/>
    <cellStyle name="Normal 2 2 4 13 3" xfId="10031" xr:uid="{00000000-0005-0000-0000-0000F1040000}"/>
    <cellStyle name="Normal 2 2 4 14" xfId="3927" xr:uid="{00000000-0005-0000-0000-0000CC010000}"/>
    <cellStyle name="Normal 2 2 4 15" xfId="5314" xr:uid="{00000000-0005-0000-0000-000052020000}"/>
    <cellStyle name="Normal 2 2 4 16" xfId="4769" xr:uid="{00000000-0005-0000-0000-00003E020000}"/>
    <cellStyle name="Normal 2 2 4 17" xfId="6533" xr:uid="{00000000-0005-0000-0000-0000EA040000}"/>
    <cellStyle name="Normal 2 2 4 18" xfId="8954" xr:uid="{00000000-0005-0000-0000-0000EA040000}"/>
    <cellStyle name="Normal 2 2 4 2" xfId="725" xr:uid="{00000000-0005-0000-0000-000081040000}"/>
    <cellStyle name="Normal 2 2 4 2 10" xfId="5374" xr:uid="{00000000-0005-0000-0000-000054020000}"/>
    <cellStyle name="Normal 2 2 4 2 11" xfId="4830" xr:uid="{00000000-0005-0000-0000-000040020000}"/>
    <cellStyle name="Normal 2 2 4 2 12" xfId="6576" xr:uid="{00000000-0005-0000-0000-0000F2040000}"/>
    <cellStyle name="Normal 2 2 4 2 13" xfId="8997" xr:uid="{00000000-0005-0000-0000-0000F2040000}"/>
    <cellStyle name="Normal 2 2 4 2 2" xfId="726" xr:uid="{00000000-0005-0000-0000-000082040000}"/>
    <cellStyle name="Normal 2 2 4 2 2 10" xfId="4892" xr:uid="{00000000-0005-0000-0000-000041020000}"/>
    <cellStyle name="Normal 2 2 4 2 2 11" xfId="6638" xr:uid="{00000000-0005-0000-0000-0000F3040000}"/>
    <cellStyle name="Normal 2 2 4 2 2 12" xfId="9059" xr:uid="{00000000-0005-0000-0000-0000F3040000}"/>
    <cellStyle name="Normal 2 2 4 2 2 2" xfId="727" xr:uid="{00000000-0005-0000-0000-000083040000}"/>
    <cellStyle name="Normal 2 2 4 2 2 2 2" xfId="2722" xr:uid="{00000000-0005-0000-0000-0000B7030000}"/>
    <cellStyle name="Normal 2 2 4 2 2 2 2 2" xfId="3153" xr:uid="{00000000-0005-0000-0000-0000B8030000}"/>
    <cellStyle name="Normal 2 2 4 2 2 2 2 2 2" xfId="8498" xr:uid="{00000000-0005-0000-0000-0000F6040000}"/>
    <cellStyle name="Normal 2 2 4 2 2 2 2 2 3" xfId="10895" xr:uid="{00000000-0005-0000-0000-0000F6040000}"/>
    <cellStyle name="Normal 2 2 4 2 2 2 2 3" xfId="4289" xr:uid="{00000000-0005-0000-0000-0000B7030000}"/>
    <cellStyle name="Normal 2 2 4 2 2 2 2 3 2" xfId="11400" xr:uid="{00000000-0005-0000-0000-0000BF040000}"/>
    <cellStyle name="Normal 2 2 4 2 2 2 2 4" xfId="7961" xr:uid="{00000000-0005-0000-0000-0000F5040000}"/>
    <cellStyle name="Normal 2 2 4 2 2 2 2 5" xfId="10358" xr:uid="{00000000-0005-0000-0000-0000F5040000}"/>
    <cellStyle name="Normal 2 2 4 2 2 2 3" xfId="3154" xr:uid="{00000000-0005-0000-0000-0000B9030000}"/>
    <cellStyle name="Normal 2 2 4 2 2 2 3 2" xfId="4453" xr:uid="{00000000-0005-0000-0000-0000B9030000}"/>
    <cellStyle name="Normal 2 2 4 2 2 2 3 3" xfId="8499" xr:uid="{00000000-0005-0000-0000-0000F7040000}"/>
    <cellStyle name="Normal 2 2 4 2 2 2 3 4" xfId="10896" xr:uid="{00000000-0005-0000-0000-0000F7040000}"/>
    <cellStyle name="Normal 2 2 4 2 2 2 4" xfId="3152" xr:uid="{00000000-0005-0000-0000-0000BA030000}"/>
    <cellStyle name="Normal 2 2 4 2 2 2 4 2" xfId="8497" xr:uid="{00000000-0005-0000-0000-0000F8040000}"/>
    <cellStyle name="Normal 2 2 4 2 2 2 4 3" xfId="10894" xr:uid="{00000000-0005-0000-0000-0000F8040000}"/>
    <cellStyle name="Normal 2 2 4 2 2 2 5" xfId="4246" xr:uid="{00000000-0005-0000-0000-0000B6030000}"/>
    <cellStyle name="Normal 2 2 4 2 2 2 5 2" xfId="7857" xr:uid="{00000000-0005-0000-0000-0000F9040000}"/>
    <cellStyle name="Normal 2 2 4 2 2 2 5 3" xfId="10254" xr:uid="{00000000-0005-0000-0000-0000F9040000}"/>
    <cellStyle name="Normal 2 2 4 2 2 2 6" xfId="5535" xr:uid="{00000000-0005-0000-0000-000056020000}"/>
    <cellStyle name="Normal 2 2 4 2 2 2 7" xfId="5114" xr:uid="{00000000-0005-0000-0000-000042020000}"/>
    <cellStyle name="Normal 2 2 4 2 2 2 8" xfId="7165" xr:uid="{00000000-0005-0000-0000-0000F4040000}"/>
    <cellStyle name="Normal 2 2 4 2 2 2 9" xfId="9570" xr:uid="{00000000-0005-0000-0000-0000F4040000}"/>
    <cellStyle name="Normal 2 2 4 2 2 3" xfId="2721" xr:uid="{00000000-0005-0000-0000-0000BB030000}"/>
    <cellStyle name="Normal 2 2 4 2 2 3 2" xfId="3155" xr:uid="{00000000-0005-0000-0000-0000BC030000}"/>
    <cellStyle name="Normal 2 2 4 2 2 3 2 2" xfId="8500" xr:uid="{00000000-0005-0000-0000-0000FB040000}"/>
    <cellStyle name="Normal 2 2 4 2 2 3 2 3" xfId="10897" xr:uid="{00000000-0005-0000-0000-0000FB040000}"/>
    <cellStyle name="Normal 2 2 4 2 2 3 3" xfId="4288" xr:uid="{00000000-0005-0000-0000-0000BB030000}"/>
    <cellStyle name="Normal 2 2 4 2 2 3 3 2" xfId="7960" xr:uid="{00000000-0005-0000-0000-0000FC040000}"/>
    <cellStyle name="Normal 2 2 4 2 2 3 3 3" xfId="10357" xr:uid="{00000000-0005-0000-0000-0000FC040000}"/>
    <cellStyle name="Normal 2 2 4 2 2 3 4" xfId="5852" xr:uid="{00000000-0005-0000-0000-000059020000}"/>
    <cellStyle name="Normal 2 2 4 2 2 3 5" xfId="7164" xr:uid="{00000000-0005-0000-0000-0000FA040000}"/>
    <cellStyle name="Normal 2 2 4 2 2 3 6" xfId="9569" xr:uid="{00000000-0005-0000-0000-0000FA040000}"/>
    <cellStyle name="Normal 2 2 4 2 2 4" xfId="3156" xr:uid="{00000000-0005-0000-0000-0000BD030000}"/>
    <cellStyle name="Normal 2 2 4 2 2 4 2" xfId="4454" xr:uid="{00000000-0005-0000-0000-0000BD030000}"/>
    <cellStyle name="Normal 2 2 4 2 2 4 3" xfId="8501" xr:uid="{00000000-0005-0000-0000-0000FD040000}"/>
    <cellStyle name="Normal 2 2 4 2 2 4 4" xfId="10898" xr:uid="{00000000-0005-0000-0000-0000FD040000}"/>
    <cellStyle name="Normal 2 2 4 2 2 5" xfId="3151" xr:uid="{00000000-0005-0000-0000-0000BE030000}"/>
    <cellStyle name="Normal 2 2 4 2 2 5 2" xfId="8496" xr:uid="{00000000-0005-0000-0000-0000FE040000}"/>
    <cellStyle name="Normal 2 2 4 2 2 5 3" xfId="10893" xr:uid="{00000000-0005-0000-0000-0000FE040000}"/>
    <cellStyle name="Normal 2 2 4 2 2 6" xfId="2556" xr:uid="{00000000-0005-0000-0000-0000BF030000}"/>
    <cellStyle name="Normal 2 2 4 2 2 6 2" xfId="7754" xr:uid="{00000000-0005-0000-0000-0000FF040000}"/>
    <cellStyle name="Normal 2 2 4 2 2 6 3" xfId="10151" xr:uid="{00000000-0005-0000-0000-0000FF040000}"/>
    <cellStyle name="Normal 2 2 4 2 2 7" xfId="2250" xr:uid="{00000000-0005-0000-0000-0000B5030000}"/>
    <cellStyle name="Normal 2 2 4 2 2 8" xfId="3801" xr:uid="{00000000-0005-0000-0000-0000CE010000}"/>
    <cellStyle name="Normal 2 2 4 2 2 9" xfId="5434" xr:uid="{00000000-0005-0000-0000-000055020000}"/>
    <cellStyle name="Normal 2 2 4 2 3" xfId="728" xr:uid="{00000000-0005-0000-0000-000084040000}"/>
    <cellStyle name="Normal 2 2 4 2 3 10" xfId="6799" xr:uid="{00000000-0005-0000-0000-000000050000}"/>
    <cellStyle name="Normal 2 2 4 2 3 11" xfId="9220" xr:uid="{00000000-0005-0000-0000-000000050000}"/>
    <cellStyle name="Normal 2 2 4 2 3 2" xfId="2723" xr:uid="{00000000-0005-0000-0000-0000C1030000}"/>
    <cellStyle name="Normal 2 2 4 2 3 2 2" xfId="3158" xr:uid="{00000000-0005-0000-0000-0000C2030000}"/>
    <cellStyle name="Normal 2 2 4 2 3 2 2 2" xfId="8503" xr:uid="{00000000-0005-0000-0000-000002050000}"/>
    <cellStyle name="Normal 2 2 4 2 3 2 2 3" xfId="10900" xr:uid="{00000000-0005-0000-0000-000002050000}"/>
    <cellStyle name="Normal 2 2 4 2 3 2 3" xfId="4290" xr:uid="{00000000-0005-0000-0000-0000C1030000}"/>
    <cellStyle name="Normal 2 2 4 2 3 2 3 2" xfId="7962" xr:uid="{00000000-0005-0000-0000-000003050000}"/>
    <cellStyle name="Normal 2 2 4 2 3 2 3 3" xfId="10359" xr:uid="{00000000-0005-0000-0000-000003050000}"/>
    <cellStyle name="Normal 2 2 4 2 3 2 4" xfId="5853" xr:uid="{00000000-0005-0000-0000-00005C020000}"/>
    <cellStyle name="Normal 2 2 4 2 3 2 5" xfId="7166" xr:uid="{00000000-0005-0000-0000-000001050000}"/>
    <cellStyle name="Normal 2 2 4 2 3 2 6" xfId="9571" xr:uid="{00000000-0005-0000-0000-000001050000}"/>
    <cellStyle name="Normal 2 2 4 2 3 3" xfId="3159" xr:uid="{00000000-0005-0000-0000-0000C3030000}"/>
    <cellStyle name="Normal 2 2 4 2 3 3 2" xfId="4455" xr:uid="{00000000-0005-0000-0000-0000C3030000}"/>
    <cellStyle name="Normal 2 2 4 2 3 3 2 2" xfId="11882" xr:uid="{00000000-0005-0000-0000-000047050000}"/>
    <cellStyle name="Normal 2 2 4 2 3 3 3" xfId="5706" xr:uid="{00000000-0005-0000-0000-00005D020000}"/>
    <cellStyle name="Normal 2 2 4 2 3 3 4" xfId="8504" xr:uid="{00000000-0005-0000-0000-000004050000}"/>
    <cellStyle name="Normal 2 2 4 2 3 3 5" xfId="10901" xr:uid="{00000000-0005-0000-0000-000004050000}"/>
    <cellStyle name="Normal 2 2 4 2 3 4" xfId="3157" xr:uid="{00000000-0005-0000-0000-0000C4030000}"/>
    <cellStyle name="Normal 2 2 4 2 3 4 2" xfId="8502" xr:uid="{00000000-0005-0000-0000-000005050000}"/>
    <cellStyle name="Normal 2 2 4 2 3 4 3" xfId="10899" xr:uid="{00000000-0005-0000-0000-000005050000}"/>
    <cellStyle name="Normal 2 2 4 2 3 5" xfId="2599" xr:uid="{00000000-0005-0000-0000-0000C5030000}"/>
    <cellStyle name="Normal 2 2 4 2 3 5 2" xfId="7797" xr:uid="{00000000-0005-0000-0000-000006050000}"/>
    <cellStyle name="Normal 2 2 4 2 3 5 3" xfId="10194" xr:uid="{00000000-0005-0000-0000-000006050000}"/>
    <cellStyle name="Normal 2 2 4 2 3 6" xfId="2321" xr:uid="{00000000-0005-0000-0000-0000C0030000}"/>
    <cellStyle name="Normal 2 2 4 2 3 7" xfId="3840" xr:uid="{00000000-0005-0000-0000-0000CF010000}"/>
    <cellStyle name="Normal 2 2 4 2 3 8" xfId="5475" xr:uid="{00000000-0005-0000-0000-00005B020000}"/>
    <cellStyle name="Normal 2 2 4 2 3 9" xfId="5113" xr:uid="{00000000-0005-0000-0000-000043020000}"/>
    <cellStyle name="Normal 2 2 4 2 4" xfId="729" xr:uid="{00000000-0005-0000-0000-000085040000}"/>
    <cellStyle name="Normal 2 2 4 2 4 2" xfId="3160" xr:uid="{00000000-0005-0000-0000-0000C7030000}"/>
    <cellStyle name="Normal 2 2 4 2 4 2 2" xfId="8505" xr:uid="{00000000-0005-0000-0000-000008050000}"/>
    <cellStyle name="Normal 2 2 4 2 4 2 3" xfId="10902" xr:uid="{00000000-0005-0000-0000-000008050000}"/>
    <cellStyle name="Normal 2 2 4 2 4 3" xfId="2720" xr:uid="{00000000-0005-0000-0000-0000C8030000}"/>
    <cellStyle name="Normal 2 2 4 2 4 3 2" xfId="7959" xr:uid="{00000000-0005-0000-0000-000009050000}"/>
    <cellStyle name="Normal 2 2 4 2 4 3 3" xfId="10356" xr:uid="{00000000-0005-0000-0000-000009050000}"/>
    <cellStyle name="Normal 2 2 4 2 4 4" xfId="4157" xr:uid="{00000000-0005-0000-0000-0000C6030000}"/>
    <cellStyle name="Normal 2 2 4 2 4 5" xfId="5851" xr:uid="{00000000-0005-0000-0000-00005E020000}"/>
    <cellStyle name="Normal 2 2 4 2 4 6" xfId="7167" xr:uid="{00000000-0005-0000-0000-000007050000}"/>
    <cellStyle name="Normal 2 2 4 2 4 7" xfId="9572" xr:uid="{00000000-0005-0000-0000-000007050000}"/>
    <cellStyle name="Normal 2 2 4 2 5" xfId="3161" xr:uid="{00000000-0005-0000-0000-0000C9030000}"/>
    <cellStyle name="Normal 2 2 4 2 5 2" xfId="4456" xr:uid="{00000000-0005-0000-0000-0000C9030000}"/>
    <cellStyle name="Normal 2 2 4 2 5 2 2" xfId="8506" xr:uid="{00000000-0005-0000-0000-00000B050000}"/>
    <cellStyle name="Normal 2 2 4 2 5 2 3" xfId="10903" xr:uid="{00000000-0005-0000-0000-00000B050000}"/>
    <cellStyle name="Normal 2 2 4 2 5 3" xfId="5620" xr:uid="{00000000-0005-0000-0000-00005F020000}"/>
    <cellStyle name="Normal 2 2 4 2 5 4" xfId="7163" xr:uid="{00000000-0005-0000-0000-00000A050000}"/>
    <cellStyle name="Normal 2 2 4 2 5 5" xfId="9568" xr:uid="{00000000-0005-0000-0000-00000A050000}"/>
    <cellStyle name="Normal 2 2 4 2 6" xfId="2898" xr:uid="{00000000-0005-0000-0000-0000CA030000}"/>
    <cellStyle name="Normal 2 2 4 2 6 2" xfId="8221" xr:uid="{00000000-0005-0000-0000-00000C050000}"/>
    <cellStyle name="Normal 2 2 4 2 6 3" xfId="10618" xr:uid="{00000000-0005-0000-0000-00000C050000}"/>
    <cellStyle name="Normal 2 2 4 2 7" xfId="2496" xr:uid="{00000000-0005-0000-0000-0000CB030000}"/>
    <cellStyle name="Normal 2 2 4 2 7 2" xfId="7694" xr:uid="{00000000-0005-0000-0000-00000D050000}"/>
    <cellStyle name="Normal 2 2 4 2 7 3" xfId="10091" xr:uid="{00000000-0005-0000-0000-00000D050000}"/>
    <cellStyle name="Normal 2 2 4 2 8" xfId="2190" xr:uid="{00000000-0005-0000-0000-0000B4030000}"/>
    <cellStyle name="Normal 2 2 4 2 9" xfId="3928" xr:uid="{00000000-0005-0000-0000-0000CD010000}"/>
    <cellStyle name="Normal 2 2 4 3" xfId="730" xr:uid="{00000000-0005-0000-0000-000086040000}"/>
    <cellStyle name="Normal 2 2 4 3 10" xfId="5351" xr:uid="{00000000-0005-0000-0000-000060020000}"/>
    <cellStyle name="Normal 2 2 4 3 11" xfId="4807" xr:uid="{00000000-0005-0000-0000-000044020000}"/>
    <cellStyle name="Normal 2 2 4 3 12" xfId="6553" xr:uid="{00000000-0005-0000-0000-00000E050000}"/>
    <cellStyle name="Normal 2 2 4 3 13" xfId="8974" xr:uid="{00000000-0005-0000-0000-00000E050000}"/>
    <cellStyle name="Normal 2 2 4 3 2" xfId="731" xr:uid="{00000000-0005-0000-0000-000087040000}"/>
    <cellStyle name="Normal 2 2 4 3 2 10" xfId="6639" xr:uid="{00000000-0005-0000-0000-00000F050000}"/>
    <cellStyle name="Normal 2 2 4 3 2 11" xfId="9060" xr:uid="{00000000-0005-0000-0000-00000F050000}"/>
    <cellStyle name="Normal 2 2 4 3 2 2" xfId="732" xr:uid="{00000000-0005-0000-0000-000088040000}"/>
    <cellStyle name="Normal 2 2 4 3 2 2 2" xfId="3163" xr:uid="{00000000-0005-0000-0000-0000CF030000}"/>
    <cellStyle name="Normal 2 2 4 3 2 2 2 2" xfId="8508" xr:uid="{00000000-0005-0000-0000-000011050000}"/>
    <cellStyle name="Normal 2 2 4 3 2 2 2 3" xfId="10905" xr:uid="{00000000-0005-0000-0000-000011050000}"/>
    <cellStyle name="Normal 2 2 4 3 2 2 3" xfId="4292" xr:uid="{00000000-0005-0000-0000-0000CE030000}"/>
    <cellStyle name="Normal 2 2 4 3 2 2 3 2" xfId="7964" xr:uid="{00000000-0005-0000-0000-000012050000}"/>
    <cellStyle name="Normal 2 2 4 3 2 2 3 3" xfId="10361" xr:uid="{00000000-0005-0000-0000-000012050000}"/>
    <cellStyle name="Normal 2 2 4 3 2 2 4" xfId="5855" xr:uid="{00000000-0005-0000-0000-000062020000}"/>
    <cellStyle name="Normal 2 2 4 3 2 2 5" xfId="5116" xr:uid="{00000000-0005-0000-0000-000046020000}"/>
    <cellStyle name="Normal 2 2 4 3 2 2 6" xfId="7170" xr:uid="{00000000-0005-0000-0000-000010050000}"/>
    <cellStyle name="Normal 2 2 4 3 2 2 7" xfId="9575" xr:uid="{00000000-0005-0000-0000-000010050000}"/>
    <cellStyle name="Normal 2 2 4 3 2 3" xfId="3164" xr:uid="{00000000-0005-0000-0000-0000D0030000}"/>
    <cellStyle name="Normal 2 2 4 3 2 3 2" xfId="4457" xr:uid="{00000000-0005-0000-0000-0000D0030000}"/>
    <cellStyle name="Normal 2 2 4 3 2 3 2 2" xfId="8509" xr:uid="{00000000-0005-0000-0000-000014050000}"/>
    <cellStyle name="Normal 2 2 4 3 2 3 2 3" xfId="10906" xr:uid="{00000000-0005-0000-0000-000014050000}"/>
    <cellStyle name="Normal 2 2 4 3 2 3 3" xfId="5656" xr:uid="{00000000-0005-0000-0000-000063020000}"/>
    <cellStyle name="Normal 2 2 4 3 2 3 4" xfId="7169" xr:uid="{00000000-0005-0000-0000-000013050000}"/>
    <cellStyle name="Normal 2 2 4 3 2 3 5" xfId="9574" xr:uid="{00000000-0005-0000-0000-000013050000}"/>
    <cellStyle name="Normal 2 2 4 3 2 4" xfId="3162" xr:uid="{00000000-0005-0000-0000-0000D1030000}"/>
    <cellStyle name="Normal 2 2 4 3 2 4 2" xfId="8507" xr:uid="{00000000-0005-0000-0000-000015050000}"/>
    <cellStyle name="Normal 2 2 4 3 2 4 3" xfId="10904" xr:uid="{00000000-0005-0000-0000-000015050000}"/>
    <cellStyle name="Normal 2 2 4 3 2 5" xfId="2533" xr:uid="{00000000-0005-0000-0000-0000D2030000}"/>
    <cellStyle name="Normal 2 2 4 3 2 5 2" xfId="7731" xr:uid="{00000000-0005-0000-0000-000016050000}"/>
    <cellStyle name="Normal 2 2 4 3 2 5 3" xfId="10128" xr:uid="{00000000-0005-0000-0000-000016050000}"/>
    <cellStyle name="Normal 2 2 4 3 2 6" xfId="2322" xr:uid="{00000000-0005-0000-0000-0000CD030000}"/>
    <cellStyle name="Normal 2 2 4 3 2 7" xfId="3841" xr:uid="{00000000-0005-0000-0000-0000D1010000}"/>
    <cellStyle name="Normal 2 2 4 3 2 8" xfId="5411" xr:uid="{00000000-0005-0000-0000-000061020000}"/>
    <cellStyle name="Normal 2 2 4 3 2 9" xfId="4893" xr:uid="{00000000-0005-0000-0000-000045020000}"/>
    <cellStyle name="Normal 2 2 4 3 3" xfId="733" xr:uid="{00000000-0005-0000-0000-000089040000}"/>
    <cellStyle name="Normal 2 2 4 3 3 10" xfId="9221" xr:uid="{00000000-0005-0000-0000-000017050000}"/>
    <cellStyle name="Normal 2 2 4 3 3 2" xfId="2724" xr:uid="{00000000-0005-0000-0000-0000D4030000}"/>
    <cellStyle name="Normal 2 2 4 3 3 2 2" xfId="3166" xr:uid="{00000000-0005-0000-0000-0000D5030000}"/>
    <cellStyle name="Normal 2 2 4 3 3 2 2 2" xfId="8511" xr:uid="{00000000-0005-0000-0000-000019050000}"/>
    <cellStyle name="Normal 2 2 4 3 3 2 2 3" xfId="10908" xr:uid="{00000000-0005-0000-0000-000019050000}"/>
    <cellStyle name="Normal 2 2 4 3 3 2 3" xfId="4293" xr:uid="{00000000-0005-0000-0000-0000D4030000}"/>
    <cellStyle name="Normal 2 2 4 3 3 2 3 2" xfId="7965" xr:uid="{00000000-0005-0000-0000-00001A050000}"/>
    <cellStyle name="Normal 2 2 4 3 3 2 3 3" xfId="10362" xr:uid="{00000000-0005-0000-0000-00001A050000}"/>
    <cellStyle name="Normal 2 2 4 3 3 2 4" xfId="5856" xr:uid="{00000000-0005-0000-0000-000065020000}"/>
    <cellStyle name="Normal 2 2 4 3 3 2 5" xfId="7171" xr:uid="{00000000-0005-0000-0000-000018050000}"/>
    <cellStyle name="Normal 2 2 4 3 3 2 6" xfId="9576" xr:uid="{00000000-0005-0000-0000-000018050000}"/>
    <cellStyle name="Normal 2 2 4 3 3 3" xfId="3167" xr:uid="{00000000-0005-0000-0000-0000D6030000}"/>
    <cellStyle name="Normal 2 2 4 3 3 3 2" xfId="4458" xr:uid="{00000000-0005-0000-0000-0000D6030000}"/>
    <cellStyle name="Normal 2 2 4 3 3 3 2 2" xfId="11883" xr:uid="{00000000-0005-0000-0000-00005F050000}"/>
    <cellStyle name="Normal 2 2 4 3 3 3 3" xfId="5741" xr:uid="{00000000-0005-0000-0000-000066020000}"/>
    <cellStyle name="Normal 2 2 4 3 3 3 4" xfId="8512" xr:uid="{00000000-0005-0000-0000-00001B050000}"/>
    <cellStyle name="Normal 2 2 4 3 3 3 5" xfId="10909" xr:uid="{00000000-0005-0000-0000-00001B050000}"/>
    <cellStyle name="Normal 2 2 4 3 3 4" xfId="3165" xr:uid="{00000000-0005-0000-0000-0000D7030000}"/>
    <cellStyle name="Normal 2 2 4 3 3 4 2" xfId="8510" xr:uid="{00000000-0005-0000-0000-00001C050000}"/>
    <cellStyle name="Normal 2 2 4 3 3 4 3" xfId="10907" xr:uid="{00000000-0005-0000-0000-00001C050000}"/>
    <cellStyle name="Normal 2 2 4 3 3 5" xfId="2635" xr:uid="{00000000-0005-0000-0000-0000D8030000}"/>
    <cellStyle name="Normal 2 2 4 3 3 5 2" xfId="7834" xr:uid="{00000000-0005-0000-0000-00001D050000}"/>
    <cellStyle name="Normal 2 2 4 3 3 5 3" xfId="10231" xr:uid="{00000000-0005-0000-0000-00001D050000}"/>
    <cellStyle name="Normal 2 2 4 3 3 6" xfId="4158" xr:uid="{00000000-0005-0000-0000-0000D3030000}"/>
    <cellStyle name="Normal 2 2 4 3 3 7" xfId="5512" xr:uid="{00000000-0005-0000-0000-000064020000}"/>
    <cellStyle name="Normal 2 2 4 3 3 8" xfId="5115" xr:uid="{00000000-0005-0000-0000-000047020000}"/>
    <cellStyle name="Normal 2 2 4 3 3 9" xfId="6800" xr:uid="{00000000-0005-0000-0000-000017050000}"/>
    <cellStyle name="Normal 2 2 4 3 4" xfId="734" xr:uid="{00000000-0005-0000-0000-00008A040000}"/>
    <cellStyle name="Normal 2 2 4 3 4 2" xfId="3168" xr:uid="{00000000-0005-0000-0000-0000DA030000}"/>
    <cellStyle name="Normal 2 2 4 3 4 2 2" xfId="8513" xr:uid="{00000000-0005-0000-0000-00001F050000}"/>
    <cellStyle name="Normal 2 2 4 3 4 2 3" xfId="10910" xr:uid="{00000000-0005-0000-0000-00001F050000}"/>
    <cellStyle name="Normal 2 2 4 3 4 3" xfId="4291" xr:uid="{00000000-0005-0000-0000-0000D9030000}"/>
    <cellStyle name="Normal 2 2 4 3 4 3 2" xfId="7963" xr:uid="{00000000-0005-0000-0000-000020050000}"/>
    <cellStyle name="Normal 2 2 4 3 4 3 3" xfId="10360" xr:uid="{00000000-0005-0000-0000-000020050000}"/>
    <cellStyle name="Normal 2 2 4 3 4 4" xfId="5854" xr:uid="{00000000-0005-0000-0000-000067020000}"/>
    <cellStyle name="Normal 2 2 4 3 4 5" xfId="7172" xr:uid="{00000000-0005-0000-0000-00001E050000}"/>
    <cellStyle name="Normal 2 2 4 3 4 6" xfId="9577" xr:uid="{00000000-0005-0000-0000-00001E050000}"/>
    <cellStyle name="Normal 2 2 4 3 5" xfId="3169" xr:uid="{00000000-0005-0000-0000-0000DB030000}"/>
    <cellStyle name="Normal 2 2 4 3 5 2" xfId="4459" xr:uid="{00000000-0005-0000-0000-0000DB030000}"/>
    <cellStyle name="Normal 2 2 4 3 5 2 2" xfId="8514" xr:uid="{00000000-0005-0000-0000-000022050000}"/>
    <cellStyle name="Normal 2 2 4 3 5 2 3" xfId="10911" xr:uid="{00000000-0005-0000-0000-000022050000}"/>
    <cellStyle name="Normal 2 2 4 3 5 3" xfId="5597" xr:uid="{00000000-0005-0000-0000-000068020000}"/>
    <cellStyle name="Normal 2 2 4 3 5 4" xfId="7168" xr:uid="{00000000-0005-0000-0000-000021050000}"/>
    <cellStyle name="Normal 2 2 4 3 5 5" xfId="9573" xr:uid="{00000000-0005-0000-0000-000021050000}"/>
    <cellStyle name="Normal 2 2 4 3 6" xfId="2899" xr:uid="{00000000-0005-0000-0000-0000DC030000}"/>
    <cellStyle name="Normal 2 2 4 3 6 2" xfId="8222" xr:uid="{00000000-0005-0000-0000-000023050000}"/>
    <cellStyle name="Normal 2 2 4 3 6 3" xfId="10619" xr:uid="{00000000-0005-0000-0000-000023050000}"/>
    <cellStyle name="Normal 2 2 4 3 7" xfId="2473" xr:uid="{00000000-0005-0000-0000-0000DD030000}"/>
    <cellStyle name="Normal 2 2 4 3 7 2" xfId="7671" xr:uid="{00000000-0005-0000-0000-000024050000}"/>
    <cellStyle name="Normal 2 2 4 3 7 3" xfId="10068" xr:uid="{00000000-0005-0000-0000-000024050000}"/>
    <cellStyle name="Normal 2 2 4 3 8" xfId="2227" xr:uid="{00000000-0005-0000-0000-0000CC030000}"/>
    <cellStyle name="Normal 2 2 4 3 9" xfId="3929" xr:uid="{00000000-0005-0000-0000-0000D0010000}"/>
    <cellStyle name="Normal 2 2 4 4" xfId="735" xr:uid="{00000000-0005-0000-0000-00008B040000}"/>
    <cellStyle name="Normal 2 2 4 4 10" xfId="4787" xr:uid="{00000000-0005-0000-0000-000048020000}"/>
    <cellStyle name="Normal 2 2 4 4 11" xfId="6640" xr:uid="{00000000-0005-0000-0000-000025050000}"/>
    <cellStyle name="Normal 2 2 4 4 12" xfId="9061" xr:uid="{00000000-0005-0000-0000-000025050000}"/>
    <cellStyle name="Normal 2 2 4 4 2" xfId="736" xr:uid="{00000000-0005-0000-0000-00008C040000}"/>
    <cellStyle name="Normal 2 2 4 4 2 10" xfId="6801" xr:uid="{00000000-0005-0000-0000-000026050000}"/>
    <cellStyle name="Normal 2 2 4 4 2 11" xfId="9222" xr:uid="{00000000-0005-0000-0000-000026050000}"/>
    <cellStyle name="Normal 2 2 4 4 2 2" xfId="737" xr:uid="{00000000-0005-0000-0000-00008D040000}"/>
    <cellStyle name="Normal 2 2 4 4 2 2 2" xfId="3171" xr:uid="{00000000-0005-0000-0000-0000E1030000}"/>
    <cellStyle name="Normal 2 2 4 4 2 2 2 2" xfId="8516" xr:uid="{00000000-0005-0000-0000-000028050000}"/>
    <cellStyle name="Normal 2 2 4 4 2 2 2 3" xfId="10913" xr:uid="{00000000-0005-0000-0000-000028050000}"/>
    <cellStyle name="Normal 2 2 4 4 2 2 3" xfId="4294" xr:uid="{00000000-0005-0000-0000-0000E0030000}"/>
    <cellStyle name="Normal 2 2 4 4 2 2 3 2" xfId="7967" xr:uid="{00000000-0005-0000-0000-000029050000}"/>
    <cellStyle name="Normal 2 2 4 4 2 2 3 3" xfId="10364" xr:uid="{00000000-0005-0000-0000-000029050000}"/>
    <cellStyle name="Normal 2 2 4 4 2 2 4" xfId="5858" xr:uid="{00000000-0005-0000-0000-00006B020000}"/>
    <cellStyle name="Normal 2 2 4 4 2 2 5" xfId="5118" xr:uid="{00000000-0005-0000-0000-00004A020000}"/>
    <cellStyle name="Normal 2 2 4 4 2 2 6" xfId="7175" xr:uid="{00000000-0005-0000-0000-000027050000}"/>
    <cellStyle name="Normal 2 2 4 4 2 2 7" xfId="9580" xr:uid="{00000000-0005-0000-0000-000027050000}"/>
    <cellStyle name="Normal 2 2 4 4 2 3" xfId="3172" xr:uid="{00000000-0005-0000-0000-0000E2030000}"/>
    <cellStyle name="Normal 2 2 4 4 2 3 2" xfId="4460" xr:uid="{00000000-0005-0000-0000-0000E2030000}"/>
    <cellStyle name="Normal 2 2 4 4 2 3 2 2" xfId="8517" xr:uid="{00000000-0005-0000-0000-00002B050000}"/>
    <cellStyle name="Normal 2 2 4 4 2 3 2 3" xfId="10914" xr:uid="{00000000-0005-0000-0000-00002B050000}"/>
    <cellStyle name="Normal 2 2 4 4 2 3 3" xfId="5722" xr:uid="{00000000-0005-0000-0000-00006C020000}"/>
    <cellStyle name="Normal 2 2 4 4 2 3 4" xfId="7174" xr:uid="{00000000-0005-0000-0000-00002A050000}"/>
    <cellStyle name="Normal 2 2 4 4 2 3 5" xfId="9579" xr:uid="{00000000-0005-0000-0000-00002A050000}"/>
    <cellStyle name="Normal 2 2 4 4 2 4" xfId="3170" xr:uid="{00000000-0005-0000-0000-0000E3030000}"/>
    <cellStyle name="Normal 2 2 4 4 2 4 2" xfId="8515" xr:uid="{00000000-0005-0000-0000-00002C050000}"/>
    <cellStyle name="Normal 2 2 4 4 2 4 3" xfId="10912" xr:uid="{00000000-0005-0000-0000-00002C050000}"/>
    <cellStyle name="Normal 2 2 4 4 2 5" xfId="2616" xr:uid="{00000000-0005-0000-0000-0000E4030000}"/>
    <cellStyle name="Normal 2 2 4 4 2 5 2" xfId="7814" xr:uid="{00000000-0005-0000-0000-00002D050000}"/>
    <cellStyle name="Normal 2 2 4 4 2 5 3" xfId="10211" xr:uid="{00000000-0005-0000-0000-00002D050000}"/>
    <cellStyle name="Normal 2 2 4 4 2 6" xfId="2323" xr:uid="{00000000-0005-0000-0000-0000DF030000}"/>
    <cellStyle name="Normal 2 2 4 4 2 7" xfId="3842" xr:uid="{00000000-0005-0000-0000-0000D3010000}"/>
    <cellStyle name="Normal 2 2 4 4 2 8" xfId="5492" xr:uid="{00000000-0005-0000-0000-00006A020000}"/>
    <cellStyle name="Normal 2 2 4 4 2 9" xfId="4894" xr:uid="{00000000-0005-0000-0000-000049020000}"/>
    <cellStyle name="Normal 2 2 4 4 3" xfId="738" xr:uid="{00000000-0005-0000-0000-00008E040000}"/>
    <cellStyle name="Normal 2 2 4 4 3 2" xfId="3173" xr:uid="{00000000-0005-0000-0000-0000E6030000}"/>
    <cellStyle name="Normal 2 2 4 4 3 2 2" xfId="8518" xr:uid="{00000000-0005-0000-0000-00002F050000}"/>
    <cellStyle name="Normal 2 2 4 4 3 2 2 2" xfId="11884" xr:uid="{00000000-0005-0000-0000-000074050000}"/>
    <cellStyle name="Normal 2 2 4 4 3 2 3" xfId="10915" xr:uid="{00000000-0005-0000-0000-00002F050000}"/>
    <cellStyle name="Normal 2 2 4 4 3 2 4" xfId="11682" xr:uid="{00000000-0005-0000-0000-000073050000}"/>
    <cellStyle name="Normal 2 2 4 4 3 3" xfId="2725" xr:uid="{00000000-0005-0000-0000-0000E7030000}"/>
    <cellStyle name="Normal 2 2 4 4 3 3 2" xfId="7966" xr:uid="{00000000-0005-0000-0000-000030050000}"/>
    <cellStyle name="Normal 2 2 4 4 3 3 3" xfId="10363" xr:uid="{00000000-0005-0000-0000-000030050000}"/>
    <cellStyle name="Normal 2 2 4 4 3 4" xfId="4159" xr:uid="{00000000-0005-0000-0000-0000E5030000}"/>
    <cellStyle name="Normal 2 2 4 4 3 4 2" xfId="11811" xr:uid="{00000000-0005-0000-0000-000076050000}"/>
    <cellStyle name="Normal 2 2 4 4 3 5" xfId="5857" xr:uid="{00000000-0005-0000-0000-00006D020000}"/>
    <cellStyle name="Normal 2 2 4 4 3 6" xfId="5117" xr:uid="{00000000-0005-0000-0000-00004B020000}"/>
    <cellStyle name="Normal 2 2 4 4 3 7" xfId="7176" xr:uid="{00000000-0005-0000-0000-00002E050000}"/>
    <cellStyle name="Normal 2 2 4 4 3 8" xfId="9581" xr:uid="{00000000-0005-0000-0000-00002E050000}"/>
    <cellStyle name="Normal 2 2 4 4 4" xfId="739" xr:uid="{00000000-0005-0000-0000-00008F040000}"/>
    <cellStyle name="Normal 2 2 4 4 4 2" xfId="4461" xr:uid="{00000000-0005-0000-0000-0000E8030000}"/>
    <cellStyle name="Normal 2 2 4 4 4 2 2" xfId="8519" xr:uid="{00000000-0005-0000-0000-000032050000}"/>
    <cellStyle name="Normal 2 2 4 4 4 2 3" xfId="10916" xr:uid="{00000000-0005-0000-0000-000032050000}"/>
    <cellStyle name="Normal 2 2 4 4 4 3" xfId="5577" xr:uid="{00000000-0005-0000-0000-00006E020000}"/>
    <cellStyle name="Normal 2 2 4 4 4 4" xfId="7177" xr:uid="{00000000-0005-0000-0000-000031050000}"/>
    <cellStyle name="Normal 2 2 4 4 4 5" xfId="9582" xr:uid="{00000000-0005-0000-0000-000031050000}"/>
    <cellStyle name="Normal 2 2 4 4 5" xfId="2900" xr:uid="{00000000-0005-0000-0000-0000E9030000}"/>
    <cellStyle name="Normal 2 2 4 4 5 2" xfId="8223" xr:uid="{00000000-0005-0000-0000-000034050000}"/>
    <cellStyle name="Normal 2 2 4 4 5 2 2" xfId="10620" xr:uid="{00000000-0005-0000-0000-000034050000}"/>
    <cellStyle name="Normal 2 2 4 4 5 3" xfId="7173" xr:uid="{00000000-0005-0000-0000-000033050000}"/>
    <cellStyle name="Normal 2 2 4 4 5 4" xfId="9578" xr:uid="{00000000-0005-0000-0000-000033050000}"/>
    <cellStyle name="Normal 2 2 4 4 6" xfId="2453" xr:uid="{00000000-0005-0000-0000-0000EA030000}"/>
    <cellStyle name="Normal 2 2 4 4 6 2" xfId="7651" xr:uid="{00000000-0005-0000-0000-000035050000}"/>
    <cellStyle name="Normal 2 2 4 4 6 3" xfId="10048" xr:uid="{00000000-0005-0000-0000-000035050000}"/>
    <cellStyle name="Normal 2 2 4 4 7" xfId="2207" xr:uid="{00000000-0005-0000-0000-0000DE030000}"/>
    <cellStyle name="Normal 2 2 4 4 8" xfId="3930" xr:uid="{00000000-0005-0000-0000-0000D2010000}"/>
    <cellStyle name="Normal 2 2 4 4 9" xfId="5331" xr:uid="{00000000-0005-0000-0000-000069020000}"/>
    <cellStyle name="Normal 2 2 4 5" xfId="740" xr:uid="{00000000-0005-0000-0000-000090040000}"/>
    <cellStyle name="Normal 2 2 4 5 10" xfId="6641" xr:uid="{00000000-0005-0000-0000-000036050000}"/>
    <cellStyle name="Normal 2 2 4 5 11" xfId="9062" xr:uid="{00000000-0005-0000-0000-000036050000}"/>
    <cellStyle name="Normal 2 2 4 5 2" xfId="741" xr:uid="{00000000-0005-0000-0000-000091040000}"/>
    <cellStyle name="Normal 2 2 4 5 2 2" xfId="742" xr:uid="{00000000-0005-0000-0000-000092040000}"/>
    <cellStyle name="Normal 2 2 4 5 2 2 2" xfId="6387" xr:uid="{00000000-0005-0000-0000-0000ED030000}"/>
    <cellStyle name="Normal 2 2 4 5 2 2 2 2" xfId="8520" xr:uid="{00000000-0005-0000-0000-000039050000}"/>
    <cellStyle name="Normal 2 2 4 5 2 2 2 3" xfId="10917" xr:uid="{00000000-0005-0000-0000-000039050000}"/>
    <cellStyle name="Normal 2 2 4 5 2 2 3" xfId="7180" xr:uid="{00000000-0005-0000-0000-000038050000}"/>
    <cellStyle name="Normal 2 2 4 5 2 2 3 2" xfId="12076" xr:uid="{00000000-0005-0000-0000-00005E040000}"/>
    <cellStyle name="Normal 2 2 4 5 2 2 4" xfId="9585" xr:uid="{00000000-0005-0000-0000-000038050000}"/>
    <cellStyle name="Normal 2 2 4 5 2 2 5" xfId="12041" xr:uid="{00000000-0005-0000-0000-00005C040000}"/>
    <cellStyle name="Normal 2 2 4 5 2 3" xfId="2726" xr:uid="{00000000-0005-0000-0000-0000EE030000}"/>
    <cellStyle name="Normal 2 2 4 5 2 3 2" xfId="6195" xr:uid="{00000000-0005-0000-0000-0000EE030000}"/>
    <cellStyle name="Normal 2 2 4 5 2 3 3" xfId="7179" xr:uid="{00000000-0005-0000-0000-00003A050000}"/>
    <cellStyle name="Normal 2 2 4 5 2 3 4" xfId="9584" xr:uid="{00000000-0005-0000-0000-00003A050000}"/>
    <cellStyle name="Normal 2 2 4 5 2 4" xfId="4160" xr:uid="{00000000-0005-0000-0000-0000EC030000}"/>
    <cellStyle name="Normal 2 2 4 5 2 4 2" xfId="7968" xr:uid="{00000000-0005-0000-0000-00003B050000}"/>
    <cellStyle name="Normal 2 2 4 5 2 4 3" xfId="10365" xr:uid="{00000000-0005-0000-0000-00003B050000}"/>
    <cellStyle name="Normal 2 2 4 5 2 5" xfId="5859" xr:uid="{00000000-0005-0000-0000-000070020000}"/>
    <cellStyle name="Normal 2 2 4 5 2 6" xfId="5119" xr:uid="{00000000-0005-0000-0000-00004D020000}"/>
    <cellStyle name="Normal 2 2 4 5 2 7" xfId="6802" xr:uid="{00000000-0005-0000-0000-000037050000}"/>
    <cellStyle name="Normal 2 2 4 5 2 8" xfId="9223" xr:uid="{00000000-0005-0000-0000-000037050000}"/>
    <cellStyle name="Normal 2 2 4 5 3" xfId="743" xr:uid="{00000000-0005-0000-0000-000093040000}"/>
    <cellStyle name="Normal 2 2 4 5 3 2" xfId="4462" xr:uid="{00000000-0005-0000-0000-0000EF030000}"/>
    <cellStyle name="Normal 2 2 4 5 3 2 2" xfId="8521" xr:uid="{00000000-0005-0000-0000-00003D050000}"/>
    <cellStyle name="Normal 2 2 4 5 3 2 3" xfId="10918" xr:uid="{00000000-0005-0000-0000-00003D050000}"/>
    <cellStyle name="Normal 2 2 4 5 3 3" xfId="5637" xr:uid="{00000000-0005-0000-0000-000071020000}"/>
    <cellStyle name="Normal 2 2 4 5 3 3 2" xfId="11683" xr:uid="{00000000-0005-0000-0000-000084050000}"/>
    <cellStyle name="Normal 2 2 4 5 3 4" xfId="7181" xr:uid="{00000000-0005-0000-0000-00003C050000}"/>
    <cellStyle name="Normal 2 2 4 5 3 4 2" xfId="11885" xr:uid="{00000000-0005-0000-0000-000085050000}"/>
    <cellStyle name="Normal 2 2 4 5 3 5" xfId="9586" xr:uid="{00000000-0005-0000-0000-00003C050000}"/>
    <cellStyle name="Normal 2 2 4 5 3 6" xfId="11652" xr:uid="{00000000-0005-0000-0000-000082050000}"/>
    <cellStyle name="Normal 2 2 4 5 4" xfId="744" xr:uid="{00000000-0005-0000-0000-000094040000}"/>
    <cellStyle name="Normal 2 2 4 5 4 2" xfId="6298" xr:uid="{00000000-0005-0000-0000-0000F0030000}"/>
    <cellStyle name="Normal 2 2 4 5 4 2 2" xfId="8224" xr:uid="{00000000-0005-0000-0000-00003F050000}"/>
    <cellStyle name="Normal 2 2 4 5 4 2 3" xfId="10621" xr:uid="{00000000-0005-0000-0000-00003F050000}"/>
    <cellStyle name="Normal 2 2 4 5 4 3" xfId="7182" xr:uid="{00000000-0005-0000-0000-00003E050000}"/>
    <cellStyle name="Normal 2 2 4 5 4 4" xfId="9587" xr:uid="{00000000-0005-0000-0000-00003E050000}"/>
    <cellStyle name="Normal 2 2 4 5 5" xfId="2513" xr:uid="{00000000-0005-0000-0000-0000F1030000}"/>
    <cellStyle name="Normal 2 2 4 5 5 2" xfId="7178" xr:uid="{00000000-0005-0000-0000-000040050000}"/>
    <cellStyle name="Normal 2 2 4 5 5 3" xfId="9583" xr:uid="{00000000-0005-0000-0000-000040050000}"/>
    <cellStyle name="Normal 2 2 4 5 6" xfId="2324" xr:uid="{00000000-0005-0000-0000-0000EB030000}"/>
    <cellStyle name="Normal 2 2 4 5 6 2" xfId="7711" xr:uid="{00000000-0005-0000-0000-000041050000}"/>
    <cellStyle name="Normal 2 2 4 5 6 3" xfId="10108" xr:uid="{00000000-0005-0000-0000-000041050000}"/>
    <cellStyle name="Normal 2 2 4 5 7" xfId="3931" xr:uid="{00000000-0005-0000-0000-0000D4010000}"/>
    <cellStyle name="Normal 2 2 4 5 8" xfId="5391" xr:uid="{00000000-0005-0000-0000-00006F020000}"/>
    <cellStyle name="Normal 2 2 4 5 9" xfId="4895" xr:uid="{00000000-0005-0000-0000-00004C020000}"/>
    <cellStyle name="Normal 2 2 4 6" xfId="745" xr:uid="{00000000-0005-0000-0000-000095040000}"/>
    <cellStyle name="Normal 2 2 4 6 10" xfId="6642" xr:uid="{00000000-0005-0000-0000-000042050000}"/>
    <cellStyle name="Normal 2 2 4 6 11" xfId="9063" xr:uid="{00000000-0005-0000-0000-000042050000}"/>
    <cellStyle name="Normal 2 2 4 6 2" xfId="746" xr:uid="{00000000-0005-0000-0000-000096040000}"/>
    <cellStyle name="Normal 2 2 4 6 2 2" xfId="747" xr:uid="{00000000-0005-0000-0000-000097040000}"/>
    <cellStyle name="Normal 2 2 4 6 2 2 2" xfId="6388" xr:uid="{00000000-0005-0000-0000-0000F4030000}"/>
    <cellStyle name="Normal 2 2 4 6 2 2 2 2" xfId="8522" xr:uid="{00000000-0005-0000-0000-000045050000}"/>
    <cellStyle name="Normal 2 2 4 6 2 2 2 3" xfId="10919" xr:uid="{00000000-0005-0000-0000-000045050000}"/>
    <cellStyle name="Normal 2 2 4 6 2 2 3" xfId="7185" xr:uid="{00000000-0005-0000-0000-000044050000}"/>
    <cellStyle name="Normal 2 2 4 6 2 2 3 2" xfId="12077" xr:uid="{00000000-0005-0000-0000-00006A040000}"/>
    <cellStyle name="Normal 2 2 4 6 2 2 4" xfId="9590" xr:uid="{00000000-0005-0000-0000-000044050000}"/>
    <cellStyle name="Normal 2 2 4 6 2 2 5" xfId="12042" xr:uid="{00000000-0005-0000-0000-000068040000}"/>
    <cellStyle name="Normal 2 2 4 6 2 3" xfId="2727" xr:uid="{00000000-0005-0000-0000-0000F5030000}"/>
    <cellStyle name="Normal 2 2 4 6 2 3 2" xfId="6196" xr:uid="{00000000-0005-0000-0000-0000F5030000}"/>
    <cellStyle name="Normal 2 2 4 6 2 3 3" xfId="7184" xr:uid="{00000000-0005-0000-0000-000046050000}"/>
    <cellStyle name="Normal 2 2 4 6 2 3 4" xfId="9589" xr:uid="{00000000-0005-0000-0000-000046050000}"/>
    <cellStyle name="Normal 2 2 4 6 2 4" xfId="4161" xr:uid="{00000000-0005-0000-0000-0000F3030000}"/>
    <cellStyle name="Normal 2 2 4 6 2 4 2" xfId="7969" xr:uid="{00000000-0005-0000-0000-000047050000}"/>
    <cellStyle name="Normal 2 2 4 6 2 4 3" xfId="10366" xr:uid="{00000000-0005-0000-0000-000047050000}"/>
    <cellStyle name="Normal 2 2 4 6 2 5" xfId="5860" xr:uid="{00000000-0005-0000-0000-000073020000}"/>
    <cellStyle name="Normal 2 2 4 6 2 6" xfId="5120" xr:uid="{00000000-0005-0000-0000-00004F020000}"/>
    <cellStyle name="Normal 2 2 4 6 2 7" xfId="6803" xr:uid="{00000000-0005-0000-0000-000043050000}"/>
    <cellStyle name="Normal 2 2 4 6 2 8" xfId="9224" xr:uid="{00000000-0005-0000-0000-000043050000}"/>
    <cellStyle name="Normal 2 2 4 6 3" xfId="748" xr:uid="{00000000-0005-0000-0000-000098040000}"/>
    <cellStyle name="Normal 2 2 4 6 3 2" xfId="4463" xr:uid="{00000000-0005-0000-0000-0000F6030000}"/>
    <cellStyle name="Normal 2 2 4 6 3 2 2" xfId="8523" xr:uid="{00000000-0005-0000-0000-000049050000}"/>
    <cellStyle name="Normal 2 2 4 6 3 2 3" xfId="10920" xr:uid="{00000000-0005-0000-0000-000049050000}"/>
    <cellStyle name="Normal 2 2 4 6 3 3" xfId="5683" xr:uid="{00000000-0005-0000-0000-000074020000}"/>
    <cellStyle name="Normal 2 2 4 6 3 3 2" xfId="12078" xr:uid="{00000000-0005-0000-0000-00006F040000}"/>
    <cellStyle name="Normal 2 2 4 6 3 4" xfId="7186" xr:uid="{00000000-0005-0000-0000-000048050000}"/>
    <cellStyle name="Normal 2 2 4 6 3 5" xfId="9591" xr:uid="{00000000-0005-0000-0000-000048050000}"/>
    <cellStyle name="Normal 2 2 4 6 4" xfId="749" xr:uid="{00000000-0005-0000-0000-000099040000}"/>
    <cellStyle name="Normal 2 2 4 6 4 2" xfId="6299" xr:uid="{00000000-0005-0000-0000-0000F7030000}"/>
    <cellStyle name="Normal 2 2 4 6 4 2 2" xfId="8225" xr:uid="{00000000-0005-0000-0000-00004B050000}"/>
    <cellStyle name="Normal 2 2 4 6 4 2 3" xfId="10622" xr:uid="{00000000-0005-0000-0000-00004B050000}"/>
    <cellStyle name="Normal 2 2 4 6 4 3" xfId="7187" xr:uid="{00000000-0005-0000-0000-00004A050000}"/>
    <cellStyle name="Normal 2 2 4 6 4 4" xfId="9592" xr:uid="{00000000-0005-0000-0000-00004A050000}"/>
    <cellStyle name="Normal 2 2 4 6 5" xfId="2576" xr:uid="{00000000-0005-0000-0000-0000F8030000}"/>
    <cellStyle name="Normal 2 2 4 6 5 2" xfId="7183" xr:uid="{00000000-0005-0000-0000-00004C050000}"/>
    <cellStyle name="Normal 2 2 4 6 5 3" xfId="9588" xr:uid="{00000000-0005-0000-0000-00004C050000}"/>
    <cellStyle name="Normal 2 2 4 6 6" xfId="2325" xr:uid="{00000000-0005-0000-0000-0000F2030000}"/>
    <cellStyle name="Normal 2 2 4 6 6 2" xfId="7774" xr:uid="{00000000-0005-0000-0000-00004D050000}"/>
    <cellStyle name="Normal 2 2 4 6 6 3" xfId="10171" xr:uid="{00000000-0005-0000-0000-00004D050000}"/>
    <cellStyle name="Normal 2 2 4 6 7" xfId="3932" xr:uid="{00000000-0005-0000-0000-0000D5010000}"/>
    <cellStyle name="Normal 2 2 4 6 8" xfId="5452" xr:uid="{00000000-0005-0000-0000-000072020000}"/>
    <cellStyle name="Normal 2 2 4 6 9" xfId="4896" xr:uid="{00000000-0005-0000-0000-00004E020000}"/>
    <cellStyle name="Normal 2 2 4 7" xfId="750" xr:uid="{00000000-0005-0000-0000-00009A040000}"/>
    <cellStyle name="Normal 2 2 4 7 2" xfId="751" xr:uid="{00000000-0005-0000-0000-00009B040000}"/>
    <cellStyle name="Normal 2 2 4 7 2 2" xfId="2901" xr:uid="{00000000-0005-0000-0000-0000FB030000}"/>
    <cellStyle name="Normal 2 2 4 7 2 2 2" xfId="6300" xr:uid="{00000000-0005-0000-0000-0000FB030000}"/>
    <cellStyle name="Normal 2 2 4 7 2 2 3" xfId="7189" xr:uid="{00000000-0005-0000-0000-000050050000}"/>
    <cellStyle name="Normal 2 2 4 7 2 2 4" xfId="9594" xr:uid="{00000000-0005-0000-0000-000050050000}"/>
    <cellStyle name="Normal 2 2 4 7 2 3" xfId="4730" xr:uid="{00000000-0005-0000-0000-000018030000}"/>
    <cellStyle name="Normal 2 2 4 7 2 3 2" xfId="6110" xr:uid="{00000000-0005-0000-0000-0000FA030000}"/>
    <cellStyle name="Normal 2 2 4 7 2 3 3" xfId="8226" xr:uid="{00000000-0005-0000-0000-000051050000}"/>
    <cellStyle name="Normal 2 2 4 7 2 3 4" xfId="10623" xr:uid="{00000000-0005-0000-0000-000051050000}"/>
    <cellStyle name="Normal 2 2 4 7 2 4" xfId="5121" xr:uid="{00000000-0005-0000-0000-000051020000}"/>
    <cellStyle name="Normal 2 2 4 7 2 5" xfId="6804" xr:uid="{00000000-0005-0000-0000-00004F050000}"/>
    <cellStyle name="Normal 2 2 4 7 2 6" xfId="9225" xr:uid="{00000000-0005-0000-0000-00004F050000}"/>
    <cellStyle name="Normal 2 2 4 7 3" xfId="752" xr:uid="{00000000-0005-0000-0000-00009C040000}"/>
    <cellStyle name="Normal 2 2 4 7 3 2" xfId="6197" xr:uid="{00000000-0005-0000-0000-0000FC030000}"/>
    <cellStyle name="Normal 2 2 4 7 3 3" xfId="7190" xr:uid="{00000000-0005-0000-0000-000052050000}"/>
    <cellStyle name="Normal 2 2 4 7 3 4" xfId="9595" xr:uid="{00000000-0005-0000-0000-000052050000}"/>
    <cellStyle name="Normal 2 2 4 7 4" xfId="2326" xr:uid="{00000000-0005-0000-0000-0000F9030000}"/>
    <cellStyle name="Normal 2 2 4 7 4 2" xfId="6066" xr:uid="{00000000-0005-0000-0000-0000F9030000}"/>
    <cellStyle name="Normal 2 2 4 7 4 3" xfId="7188" xr:uid="{00000000-0005-0000-0000-000053050000}"/>
    <cellStyle name="Normal 2 2 4 7 4 4" xfId="9593" xr:uid="{00000000-0005-0000-0000-000053050000}"/>
    <cellStyle name="Normal 2 2 4 7 5" xfId="3933" xr:uid="{00000000-0005-0000-0000-0000D6010000}"/>
    <cellStyle name="Normal 2 2 4 7 5 2" xfId="7970" xr:uid="{00000000-0005-0000-0000-000054050000}"/>
    <cellStyle name="Normal 2 2 4 7 5 3" xfId="10367" xr:uid="{00000000-0005-0000-0000-000054050000}"/>
    <cellStyle name="Normal 2 2 4 7 6" xfId="5861" xr:uid="{00000000-0005-0000-0000-000075020000}"/>
    <cellStyle name="Normal 2 2 4 7 7" xfId="4897" xr:uid="{00000000-0005-0000-0000-000050020000}"/>
    <cellStyle name="Normal 2 2 4 7 8" xfId="6643" xr:uid="{00000000-0005-0000-0000-00004E050000}"/>
    <cellStyle name="Normal 2 2 4 7 9" xfId="9064" xr:uid="{00000000-0005-0000-0000-00004E050000}"/>
    <cellStyle name="Normal 2 2 4 8" xfId="753" xr:uid="{00000000-0005-0000-0000-00009D040000}"/>
    <cellStyle name="Normal 2 2 4 8 2" xfId="754" xr:uid="{00000000-0005-0000-0000-00009E040000}"/>
    <cellStyle name="Normal 2 2 4 8 2 2" xfId="2902" xr:uid="{00000000-0005-0000-0000-0000FF030000}"/>
    <cellStyle name="Normal 2 2 4 8 2 2 2" xfId="6301" xr:uid="{00000000-0005-0000-0000-0000FF030000}"/>
    <cellStyle name="Normal 2 2 4 8 2 2 3" xfId="7192" xr:uid="{00000000-0005-0000-0000-000057050000}"/>
    <cellStyle name="Normal 2 2 4 8 2 2 4" xfId="9597" xr:uid="{00000000-0005-0000-0000-000057050000}"/>
    <cellStyle name="Normal 2 2 4 8 2 3" xfId="4731" xr:uid="{00000000-0005-0000-0000-00001E030000}"/>
    <cellStyle name="Normal 2 2 4 8 2 3 2" xfId="6111" xr:uid="{00000000-0005-0000-0000-0000FE030000}"/>
    <cellStyle name="Normal 2 2 4 8 2 3 3" xfId="8227" xr:uid="{00000000-0005-0000-0000-000058050000}"/>
    <cellStyle name="Normal 2 2 4 8 2 3 4" xfId="10624" xr:uid="{00000000-0005-0000-0000-000058050000}"/>
    <cellStyle name="Normal 2 2 4 8 2 4" xfId="5122" xr:uid="{00000000-0005-0000-0000-000053020000}"/>
    <cellStyle name="Normal 2 2 4 8 2 5" xfId="6805" xr:uid="{00000000-0005-0000-0000-000056050000}"/>
    <cellStyle name="Normal 2 2 4 8 2 6" xfId="9226" xr:uid="{00000000-0005-0000-0000-000056050000}"/>
    <cellStyle name="Normal 2 2 4 8 3" xfId="755" xr:uid="{00000000-0005-0000-0000-00009F040000}"/>
    <cellStyle name="Normal 2 2 4 8 3 2" xfId="6198" xr:uid="{00000000-0005-0000-0000-000000040000}"/>
    <cellStyle name="Normal 2 2 4 8 3 3" xfId="7193" xr:uid="{00000000-0005-0000-0000-000059050000}"/>
    <cellStyle name="Normal 2 2 4 8 3 4" xfId="9598" xr:uid="{00000000-0005-0000-0000-000059050000}"/>
    <cellStyle name="Normal 2 2 4 8 4" xfId="2327" xr:uid="{00000000-0005-0000-0000-0000FD030000}"/>
    <cellStyle name="Normal 2 2 4 8 4 2" xfId="6067" xr:uid="{00000000-0005-0000-0000-0000FD030000}"/>
    <cellStyle name="Normal 2 2 4 8 4 3" xfId="7191" xr:uid="{00000000-0005-0000-0000-00005A050000}"/>
    <cellStyle name="Normal 2 2 4 8 4 4" xfId="9596" xr:uid="{00000000-0005-0000-0000-00005A050000}"/>
    <cellStyle name="Normal 2 2 4 8 5" xfId="3934" xr:uid="{00000000-0005-0000-0000-0000D7010000}"/>
    <cellStyle name="Normal 2 2 4 8 5 2" xfId="7971" xr:uid="{00000000-0005-0000-0000-00005B050000}"/>
    <cellStyle name="Normal 2 2 4 8 5 3" xfId="10368" xr:uid="{00000000-0005-0000-0000-00005B050000}"/>
    <cellStyle name="Normal 2 2 4 8 6" xfId="5862" xr:uid="{00000000-0005-0000-0000-000076020000}"/>
    <cellStyle name="Normal 2 2 4 8 7" xfId="4898" xr:uid="{00000000-0005-0000-0000-000052020000}"/>
    <cellStyle name="Normal 2 2 4 8 8" xfId="6644" xr:uid="{00000000-0005-0000-0000-000055050000}"/>
    <cellStyle name="Normal 2 2 4 8 9" xfId="9065" xr:uid="{00000000-0005-0000-0000-000055050000}"/>
    <cellStyle name="Normal 2 2 4 9" xfId="756" xr:uid="{00000000-0005-0000-0000-0000A0040000}"/>
    <cellStyle name="Normal 2 2 4 9 2" xfId="3174" xr:uid="{00000000-0005-0000-0000-000002040000}"/>
    <cellStyle name="Normal 2 2 4 9 2 2" xfId="6389" xr:uid="{00000000-0005-0000-0000-000002040000}"/>
    <cellStyle name="Normal 2 2 4 9 2 2 2" xfId="8524" xr:uid="{00000000-0005-0000-0000-00005E050000}"/>
    <cellStyle name="Normal 2 2 4 9 2 2 3" xfId="10921" xr:uid="{00000000-0005-0000-0000-00005E050000}"/>
    <cellStyle name="Normal 2 2 4 9 2 3" xfId="5123" xr:uid="{00000000-0005-0000-0000-000055020000}"/>
    <cellStyle name="Normal 2 2 4 9 2 4" xfId="7194" xr:uid="{00000000-0005-0000-0000-00005D050000}"/>
    <cellStyle name="Normal 2 2 4 9 2 5" xfId="9599" xr:uid="{00000000-0005-0000-0000-00005D050000}"/>
    <cellStyle name="Normal 2 2 4 9 3" xfId="2719" xr:uid="{00000000-0005-0000-0000-000003040000}"/>
    <cellStyle name="Normal 2 2 4 9 3 2" xfId="6194" xr:uid="{00000000-0005-0000-0000-000003040000}"/>
    <cellStyle name="Normal 2 2 4 9 3 3" xfId="7958" xr:uid="{00000000-0005-0000-0000-00005F050000}"/>
    <cellStyle name="Normal 2 2 4 9 3 4" xfId="10355" xr:uid="{00000000-0005-0000-0000-00005F050000}"/>
    <cellStyle name="Normal 2 2 4 9 4" xfId="2320" xr:uid="{00000000-0005-0000-0000-000001040000}"/>
    <cellStyle name="Normal 2 2 4 9 4 2" xfId="11399" xr:uid="{00000000-0005-0000-0000-00001A050000}"/>
    <cellStyle name="Normal 2 2 4 9 5" xfId="3839" xr:uid="{00000000-0005-0000-0000-0000D8010000}"/>
    <cellStyle name="Normal 2 2 4 9 6" xfId="5850" xr:uid="{00000000-0005-0000-0000-000077020000}"/>
    <cellStyle name="Normal 2 2 4 9 7" xfId="4891" xr:uid="{00000000-0005-0000-0000-000054020000}"/>
    <cellStyle name="Normal 2 2 4 9 8" xfId="6637" xr:uid="{00000000-0005-0000-0000-00005C050000}"/>
    <cellStyle name="Normal 2 2 4 9 9" xfId="9058" xr:uid="{00000000-0005-0000-0000-00005C050000}"/>
    <cellStyle name="Normal 2 2 5" xfId="757" xr:uid="{00000000-0005-0000-0000-0000A1040000}"/>
    <cellStyle name="Normal 2 2 5 10" xfId="5360" xr:uid="{00000000-0005-0000-0000-000078020000}"/>
    <cellStyle name="Normal 2 2 5 11" xfId="4816" xr:uid="{00000000-0005-0000-0000-000056020000}"/>
    <cellStyle name="Normal 2 2 5 12" xfId="6562" xr:uid="{00000000-0005-0000-0000-000060050000}"/>
    <cellStyle name="Normal 2 2 5 13" xfId="8983" xr:uid="{00000000-0005-0000-0000-000060050000}"/>
    <cellStyle name="Normal 2 2 5 2" xfId="758" xr:uid="{00000000-0005-0000-0000-0000A2040000}"/>
    <cellStyle name="Normal 2 2 5 2 10" xfId="4900" xr:uid="{00000000-0005-0000-0000-000057020000}"/>
    <cellStyle name="Normal 2 2 5 2 11" xfId="6646" xr:uid="{00000000-0005-0000-0000-000061050000}"/>
    <cellStyle name="Normal 2 2 5 2 12" xfId="9067" xr:uid="{00000000-0005-0000-0000-000061050000}"/>
    <cellStyle name="Normal 2 2 5 2 2" xfId="759" xr:uid="{00000000-0005-0000-0000-0000A3040000}"/>
    <cellStyle name="Normal 2 2 5 2 2 10" xfId="6807" xr:uid="{00000000-0005-0000-0000-000062050000}"/>
    <cellStyle name="Normal 2 2 5 2 2 11" xfId="9228" xr:uid="{00000000-0005-0000-0000-000062050000}"/>
    <cellStyle name="Normal 2 2 5 2 2 2" xfId="2730" xr:uid="{00000000-0005-0000-0000-000007040000}"/>
    <cellStyle name="Normal 2 2 5 2 2 2 2" xfId="3176" xr:uid="{00000000-0005-0000-0000-000008040000}"/>
    <cellStyle name="Normal 2 2 5 2 2 2 2 2" xfId="8526" xr:uid="{00000000-0005-0000-0000-000064050000}"/>
    <cellStyle name="Normal 2 2 5 2 2 2 2 3" xfId="10923" xr:uid="{00000000-0005-0000-0000-000064050000}"/>
    <cellStyle name="Normal 2 2 5 2 2 2 3" xfId="4295" xr:uid="{00000000-0005-0000-0000-000007040000}"/>
    <cellStyle name="Normal 2 2 5 2 2 2 3 2" xfId="7974" xr:uid="{00000000-0005-0000-0000-000065050000}"/>
    <cellStyle name="Normal 2 2 5 2 2 2 3 3" xfId="10371" xr:uid="{00000000-0005-0000-0000-000065050000}"/>
    <cellStyle name="Normal 2 2 5 2 2 2 4" xfId="5865" xr:uid="{00000000-0005-0000-0000-00007B020000}"/>
    <cellStyle name="Normal 2 2 5 2 2 2 5" xfId="7197" xr:uid="{00000000-0005-0000-0000-000063050000}"/>
    <cellStyle name="Normal 2 2 5 2 2 2 6" xfId="9602" xr:uid="{00000000-0005-0000-0000-000063050000}"/>
    <cellStyle name="Normal 2 2 5 2 2 3" xfId="3177" xr:uid="{00000000-0005-0000-0000-000009040000}"/>
    <cellStyle name="Normal 2 2 5 2 2 3 2" xfId="4464" xr:uid="{00000000-0005-0000-0000-000009040000}"/>
    <cellStyle name="Normal 2 2 5 2 2 3 3" xfId="5750" xr:uid="{00000000-0005-0000-0000-00007C020000}"/>
    <cellStyle name="Normal 2 2 5 2 2 3 4" xfId="8527" xr:uid="{00000000-0005-0000-0000-000066050000}"/>
    <cellStyle name="Normal 2 2 5 2 2 3 5" xfId="10924" xr:uid="{00000000-0005-0000-0000-000066050000}"/>
    <cellStyle name="Normal 2 2 5 2 2 4" xfId="3175" xr:uid="{00000000-0005-0000-0000-00000A040000}"/>
    <cellStyle name="Normal 2 2 5 2 2 4 2" xfId="8525" xr:uid="{00000000-0005-0000-0000-000067050000}"/>
    <cellStyle name="Normal 2 2 5 2 2 4 3" xfId="10922" xr:uid="{00000000-0005-0000-0000-000067050000}"/>
    <cellStyle name="Normal 2 2 5 2 2 5" xfId="2644" xr:uid="{00000000-0005-0000-0000-00000B040000}"/>
    <cellStyle name="Normal 2 2 5 2 2 5 2" xfId="7843" xr:uid="{00000000-0005-0000-0000-000068050000}"/>
    <cellStyle name="Normal 2 2 5 2 2 5 3" xfId="10240" xr:uid="{00000000-0005-0000-0000-000068050000}"/>
    <cellStyle name="Normal 2 2 5 2 2 6" xfId="2329" xr:uid="{00000000-0005-0000-0000-000006040000}"/>
    <cellStyle name="Normal 2 2 5 2 2 7" xfId="3844" xr:uid="{00000000-0005-0000-0000-0000DB010000}"/>
    <cellStyle name="Normal 2 2 5 2 2 8" xfId="5521" xr:uid="{00000000-0005-0000-0000-00007A020000}"/>
    <cellStyle name="Normal 2 2 5 2 2 9" xfId="5125" xr:uid="{00000000-0005-0000-0000-000058020000}"/>
    <cellStyle name="Normal 2 2 5 2 3" xfId="760" xr:uid="{00000000-0005-0000-0000-0000A4040000}"/>
    <cellStyle name="Normal 2 2 5 2 3 2" xfId="3178" xr:uid="{00000000-0005-0000-0000-00000D040000}"/>
    <cellStyle name="Normal 2 2 5 2 3 2 2" xfId="8528" xr:uid="{00000000-0005-0000-0000-00006A050000}"/>
    <cellStyle name="Normal 2 2 5 2 3 2 3" xfId="10925" xr:uid="{00000000-0005-0000-0000-00006A050000}"/>
    <cellStyle name="Normal 2 2 5 2 3 3" xfId="2729" xr:uid="{00000000-0005-0000-0000-00000E040000}"/>
    <cellStyle name="Normal 2 2 5 2 3 3 2" xfId="7973" xr:uid="{00000000-0005-0000-0000-00006B050000}"/>
    <cellStyle name="Normal 2 2 5 2 3 3 3" xfId="10370" xr:uid="{00000000-0005-0000-0000-00006B050000}"/>
    <cellStyle name="Normal 2 2 5 2 3 4" xfId="4163" xr:uid="{00000000-0005-0000-0000-00000C040000}"/>
    <cellStyle name="Normal 2 2 5 2 3 5" xfId="5864" xr:uid="{00000000-0005-0000-0000-00007D020000}"/>
    <cellStyle name="Normal 2 2 5 2 3 6" xfId="7198" xr:uid="{00000000-0005-0000-0000-000069050000}"/>
    <cellStyle name="Normal 2 2 5 2 3 7" xfId="9603" xr:uid="{00000000-0005-0000-0000-000069050000}"/>
    <cellStyle name="Normal 2 2 5 2 4" xfId="3179" xr:uid="{00000000-0005-0000-0000-00000F040000}"/>
    <cellStyle name="Normal 2 2 5 2 4 2" xfId="4465" xr:uid="{00000000-0005-0000-0000-00000F040000}"/>
    <cellStyle name="Normal 2 2 5 2 4 2 2" xfId="8529" xr:uid="{00000000-0005-0000-0000-00006D050000}"/>
    <cellStyle name="Normal 2 2 5 2 4 2 3" xfId="10926" xr:uid="{00000000-0005-0000-0000-00006D050000}"/>
    <cellStyle name="Normal 2 2 5 2 4 3" xfId="5665" xr:uid="{00000000-0005-0000-0000-00007E020000}"/>
    <cellStyle name="Normal 2 2 5 2 4 4" xfId="7196" xr:uid="{00000000-0005-0000-0000-00006C050000}"/>
    <cellStyle name="Normal 2 2 5 2 4 5" xfId="9601" xr:uid="{00000000-0005-0000-0000-00006C050000}"/>
    <cellStyle name="Normal 2 2 5 2 5" xfId="2904" xr:uid="{00000000-0005-0000-0000-000010040000}"/>
    <cellStyle name="Normal 2 2 5 2 5 2" xfId="8229" xr:uid="{00000000-0005-0000-0000-00006E050000}"/>
    <cellStyle name="Normal 2 2 5 2 5 3" xfId="10626" xr:uid="{00000000-0005-0000-0000-00006E050000}"/>
    <cellStyle name="Normal 2 2 5 2 6" xfId="2542" xr:uid="{00000000-0005-0000-0000-000011040000}"/>
    <cellStyle name="Normal 2 2 5 2 6 2" xfId="7740" xr:uid="{00000000-0005-0000-0000-00006F050000}"/>
    <cellStyle name="Normal 2 2 5 2 6 3" xfId="10137" xr:uid="{00000000-0005-0000-0000-00006F050000}"/>
    <cellStyle name="Normal 2 2 5 2 7" xfId="2236" xr:uid="{00000000-0005-0000-0000-000005040000}"/>
    <cellStyle name="Normal 2 2 5 2 8" xfId="3936" xr:uid="{00000000-0005-0000-0000-0000DA010000}"/>
    <cellStyle name="Normal 2 2 5 2 9" xfId="5420" xr:uid="{00000000-0005-0000-0000-000079020000}"/>
    <cellStyle name="Normal 2 2 5 3" xfId="761" xr:uid="{00000000-0005-0000-0000-0000A5040000}"/>
    <cellStyle name="Normal 2 2 5 3 10" xfId="6645" xr:uid="{00000000-0005-0000-0000-000070050000}"/>
    <cellStyle name="Normal 2 2 5 3 11" xfId="9066" xr:uid="{00000000-0005-0000-0000-000070050000}"/>
    <cellStyle name="Normal 2 2 5 3 2" xfId="2731" xr:uid="{00000000-0005-0000-0000-000013040000}"/>
    <cellStyle name="Normal 2 2 5 3 2 2" xfId="3181" xr:uid="{00000000-0005-0000-0000-000014040000}"/>
    <cellStyle name="Normal 2 2 5 3 2 2 2" xfId="8531" xr:uid="{00000000-0005-0000-0000-000072050000}"/>
    <cellStyle name="Normal 2 2 5 3 2 2 3" xfId="10928" xr:uid="{00000000-0005-0000-0000-000072050000}"/>
    <cellStyle name="Normal 2 2 5 3 2 3" xfId="4296" xr:uid="{00000000-0005-0000-0000-000013040000}"/>
    <cellStyle name="Normal 2 2 5 3 2 3 2" xfId="7975" xr:uid="{00000000-0005-0000-0000-000073050000}"/>
    <cellStyle name="Normal 2 2 5 3 2 3 3" xfId="10372" xr:uid="{00000000-0005-0000-0000-000073050000}"/>
    <cellStyle name="Normal 2 2 5 3 2 4" xfId="5866" xr:uid="{00000000-0005-0000-0000-000080020000}"/>
    <cellStyle name="Normal 2 2 5 3 2 5" xfId="5126" xr:uid="{00000000-0005-0000-0000-00005A020000}"/>
    <cellStyle name="Normal 2 2 5 3 2 6" xfId="7199" xr:uid="{00000000-0005-0000-0000-000071050000}"/>
    <cellStyle name="Normal 2 2 5 3 2 7" xfId="9604" xr:uid="{00000000-0005-0000-0000-000071050000}"/>
    <cellStyle name="Normal 2 2 5 3 3" xfId="3182" xr:uid="{00000000-0005-0000-0000-000015040000}"/>
    <cellStyle name="Normal 2 2 5 3 3 2" xfId="4466" xr:uid="{00000000-0005-0000-0000-000015040000}"/>
    <cellStyle name="Normal 2 2 5 3 3 2 2" xfId="11475" xr:uid="{00000000-0005-0000-0000-00002F050000}"/>
    <cellStyle name="Normal 2 2 5 3 3 3" xfId="5692" xr:uid="{00000000-0005-0000-0000-000081020000}"/>
    <cellStyle name="Normal 2 2 5 3 3 4" xfId="8532" xr:uid="{00000000-0005-0000-0000-000074050000}"/>
    <cellStyle name="Normal 2 2 5 3 3 5" xfId="10929" xr:uid="{00000000-0005-0000-0000-000074050000}"/>
    <cellStyle name="Normal 2 2 5 3 4" xfId="3180" xr:uid="{00000000-0005-0000-0000-000016040000}"/>
    <cellStyle name="Normal 2 2 5 3 4 2" xfId="8530" xr:uid="{00000000-0005-0000-0000-000075050000}"/>
    <cellStyle name="Normal 2 2 5 3 4 3" xfId="10927" xr:uid="{00000000-0005-0000-0000-000075050000}"/>
    <cellStyle name="Normal 2 2 5 3 5" xfId="2585" xr:uid="{00000000-0005-0000-0000-000017040000}"/>
    <cellStyle name="Normal 2 2 5 3 5 2" xfId="7783" xr:uid="{00000000-0005-0000-0000-000076050000}"/>
    <cellStyle name="Normal 2 2 5 3 5 3" xfId="10180" xr:uid="{00000000-0005-0000-0000-000076050000}"/>
    <cellStyle name="Normal 2 2 5 3 6" xfId="2328" xr:uid="{00000000-0005-0000-0000-000012040000}"/>
    <cellStyle name="Normal 2 2 5 3 7" xfId="3843" xr:uid="{00000000-0005-0000-0000-0000DC010000}"/>
    <cellStyle name="Normal 2 2 5 3 8" xfId="5461" xr:uid="{00000000-0005-0000-0000-00007F020000}"/>
    <cellStyle name="Normal 2 2 5 3 9" xfId="4899" xr:uid="{00000000-0005-0000-0000-000059020000}"/>
    <cellStyle name="Normal 2 2 5 4" xfId="762" xr:uid="{00000000-0005-0000-0000-0000A6040000}"/>
    <cellStyle name="Normal 2 2 5 4 2" xfId="3183" xr:uid="{00000000-0005-0000-0000-000019040000}"/>
    <cellStyle name="Normal 2 2 5 4 2 2" xfId="6390" xr:uid="{00000000-0005-0000-0000-000019040000}"/>
    <cellStyle name="Normal 2 2 5 4 2 2 2" xfId="8533" xr:uid="{00000000-0005-0000-0000-000079050000}"/>
    <cellStyle name="Normal 2 2 5 4 2 2 3" xfId="10930" xr:uid="{00000000-0005-0000-0000-000079050000}"/>
    <cellStyle name="Normal 2 2 5 4 2 3" xfId="7200" xr:uid="{00000000-0005-0000-0000-000078050000}"/>
    <cellStyle name="Normal 2 2 5 4 2 4" xfId="9605" xr:uid="{00000000-0005-0000-0000-000078050000}"/>
    <cellStyle name="Normal 2 2 5 4 3" xfId="2728" xr:uid="{00000000-0005-0000-0000-00001A040000}"/>
    <cellStyle name="Normal 2 2 5 4 3 2" xfId="6199" xr:uid="{00000000-0005-0000-0000-00001A040000}"/>
    <cellStyle name="Normal 2 2 5 4 3 3" xfId="7972" xr:uid="{00000000-0005-0000-0000-00007A050000}"/>
    <cellStyle name="Normal 2 2 5 4 3 4" xfId="10369" xr:uid="{00000000-0005-0000-0000-00007A050000}"/>
    <cellStyle name="Normal 2 2 5 4 4" xfId="4162" xr:uid="{00000000-0005-0000-0000-000018040000}"/>
    <cellStyle name="Normal 2 2 5 4 4 2" xfId="11812" xr:uid="{00000000-0005-0000-0000-0000BF050000}"/>
    <cellStyle name="Normal 2 2 5 4 5" xfId="5863" xr:uid="{00000000-0005-0000-0000-000082020000}"/>
    <cellStyle name="Normal 2 2 5 4 6" xfId="5124" xr:uid="{00000000-0005-0000-0000-00005B020000}"/>
    <cellStyle name="Normal 2 2 5 4 7" xfId="6806" xr:uid="{00000000-0005-0000-0000-000077050000}"/>
    <cellStyle name="Normal 2 2 5 4 8" xfId="9227" xr:uid="{00000000-0005-0000-0000-000077050000}"/>
    <cellStyle name="Normal 2 2 5 5" xfId="763" xr:uid="{00000000-0005-0000-0000-0000A7040000}"/>
    <cellStyle name="Normal 2 2 5 5 2" xfId="4467" xr:uid="{00000000-0005-0000-0000-00001B040000}"/>
    <cellStyle name="Normal 2 2 5 5 2 2" xfId="8534" xr:uid="{00000000-0005-0000-0000-00007C050000}"/>
    <cellStyle name="Normal 2 2 5 5 2 3" xfId="10931" xr:uid="{00000000-0005-0000-0000-00007C050000}"/>
    <cellStyle name="Normal 2 2 5 5 3" xfId="5606" xr:uid="{00000000-0005-0000-0000-000083020000}"/>
    <cellStyle name="Normal 2 2 5 5 4" xfId="7201" xr:uid="{00000000-0005-0000-0000-00007B050000}"/>
    <cellStyle name="Normal 2 2 5 5 5" xfId="9606" xr:uid="{00000000-0005-0000-0000-00007B050000}"/>
    <cellStyle name="Normal 2 2 5 6" xfId="2903" xr:uid="{00000000-0005-0000-0000-00001C040000}"/>
    <cellStyle name="Normal 2 2 5 6 2" xfId="6302" xr:uid="{00000000-0005-0000-0000-00001C040000}"/>
    <cellStyle name="Normal 2 2 5 6 2 2" xfId="8228" xr:uid="{00000000-0005-0000-0000-00007E050000}"/>
    <cellStyle name="Normal 2 2 5 6 2 3" xfId="10625" xr:uid="{00000000-0005-0000-0000-00007E050000}"/>
    <cellStyle name="Normal 2 2 5 6 3" xfId="7195" xr:uid="{00000000-0005-0000-0000-00007D050000}"/>
    <cellStyle name="Normal 2 2 5 6 4" xfId="9600" xr:uid="{00000000-0005-0000-0000-00007D050000}"/>
    <cellStyle name="Normal 2 2 5 7" xfId="2482" xr:uid="{00000000-0005-0000-0000-00001D040000}"/>
    <cellStyle name="Normal 2 2 5 7 2" xfId="7680" xr:uid="{00000000-0005-0000-0000-00007F050000}"/>
    <cellStyle name="Normal 2 2 5 7 3" xfId="10077" xr:uid="{00000000-0005-0000-0000-00007F050000}"/>
    <cellStyle name="Normal 2 2 5 8" xfId="2176" xr:uid="{00000000-0005-0000-0000-000004040000}"/>
    <cellStyle name="Normal 2 2 5 9" xfId="3935" xr:uid="{00000000-0005-0000-0000-0000D9010000}"/>
    <cellStyle name="Normal 2 2 6" xfId="764" xr:uid="{00000000-0005-0000-0000-0000A8040000}"/>
    <cellStyle name="Normal 2 2 6 10" xfId="5366" xr:uid="{00000000-0005-0000-0000-000084020000}"/>
    <cellStyle name="Normal 2 2 6 11" xfId="4822" xr:uid="{00000000-0005-0000-0000-00005C020000}"/>
    <cellStyle name="Normal 2 2 6 12" xfId="6568" xr:uid="{00000000-0005-0000-0000-000080050000}"/>
    <cellStyle name="Normal 2 2 6 13" xfId="8989" xr:uid="{00000000-0005-0000-0000-000080050000}"/>
    <cellStyle name="Normal 2 2 6 2" xfId="765" xr:uid="{00000000-0005-0000-0000-0000A9040000}"/>
    <cellStyle name="Normal 2 2 6 2 10" xfId="4901" xr:uid="{00000000-0005-0000-0000-00005D020000}"/>
    <cellStyle name="Normal 2 2 6 2 11" xfId="6647" xr:uid="{00000000-0005-0000-0000-000081050000}"/>
    <cellStyle name="Normal 2 2 6 2 12" xfId="9068" xr:uid="{00000000-0005-0000-0000-000081050000}"/>
    <cellStyle name="Normal 2 2 6 2 2" xfId="766" xr:uid="{00000000-0005-0000-0000-0000AA040000}"/>
    <cellStyle name="Normal 2 2 6 2 2 2" xfId="2734" xr:uid="{00000000-0005-0000-0000-000021040000}"/>
    <cellStyle name="Normal 2 2 6 2 2 2 2" xfId="3186" xr:uid="{00000000-0005-0000-0000-000022040000}"/>
    <cellStyle name="Normal 2 2 6 2 2 2 2 2" xfId="8537" xr:uid="{00000000-0005-0000-0000-000084050000}"/>
    <cellStyle name="Normal 2 2 6 2 2 2 2 3" xfId="10934" xr:uid="{00000000-0005-0000-0000-000084050000}"/>
    <cellStyle name="Normal 2 2 6 2 2 2 3" xfId="4298" xr:uid="{00000000-0005-0000-0000-000021040000}"/>
    <cellStyle name="Normal 2 2 6 2 2 2 3 2" xfId="11401" xr:uid="{00000000-0005-0000-0000-00003E050000}"/>
    <cellStyle name="Normal 2 2 6 2 2 2 4" xfId="7978" xr:uid="{00000000-0005-0000-0000-000083050000}"/>
    <cellStyle name="Normal 2 2 6 2 2 2 5" xfId="10375" xr:uid="{00000000-0005-0000-0000-000083050000}"/>
    <cellStyle name="Normal 2 2 6 2 2 3" xfId="3187" xr:uid="{00000000-0005-0000-0000-000023040000}"/>
    <cellStyle name="Normal 2 2 6 2 2 3 2" xfId="4468" xr:uid="{00000000-0005-0000-0000-000023040000}"/>
    <cellStyle name="Normal 2 2 6 2 2 3 3" xfId="8538" xr:uid="{00000000-0005-0000-0000-000085050000}"/>
    <cellStyle name="Normal 2 2 6 2 2 3 4" xfId="10935" xr:uid="{00000000-0005-0000-0000-000085050000}"/>
    <cellStyle name="Normal 2 2 6 2 2 4" xfId="3185" xr:uid="{00000000-0005-0000-0000-000024040000}"/>
    <cellStyle name="Normal 2 2 6 2 2 4 2" xfId="8536" xr:uid="{00000000-0005-0000-0000-000086050000}"/>
    <cellStyle name="Normal 2 2 6 2 2 4 3" xfId="10933" xr:uid="{00000000-0005-0000-0000-000086050000}"/>
    <cellStyle name="Normal 2 2 6 2 2 5" xfId="4240" xr:uid="{00000000-0005-0000-0000-000020040000}"/>
    <cellStyle name="Normal 2 2 6 2 2 5 2" xfId="7849" xr:uid="{00000000-0005-0000-0000-000087050000}"/>
    <cellStyle name="Normal 2 2 6 2 2 5 3" xfId="10246" xr:uid="{00000000-0005-0000-0000-000087050000}"/>
    <cellStyle name="Normal 2 2 6 2 2 6" xfId="5527" xr:uid="{00000000-0005-0000-0000-000086020000}"/>
    <cellStyle name="Normal 2 2 6 2 2 7" xfId="5128" xr:uid="{00000000-0005-0000-0000-00005E020000}"/>
    <cellStyle name="Normal 2 2 6 2 2 8" xfId="7204" xr:uid="{00000000-0005-0000-0000-000082050000}"/>
    <cellStyle name="Normal 2 2 6 2 2 9" xfId="9609" xr:uid="{00000000-0005-0000-0000-000082050000}"/>
    <cellStyle name="Normal 2 2 6 2 3" xfId="2733" xr:uid="{00000000-0005-0000-0000-000025040000}"/>
    <cellStyle name="Normal 2 2 6 2 3 2" xfId="3188" xr:uid="{00000000-0005-0000-0000-000026040000}"/>
    <cellStyle name="Normal 2 2 6 2 3 2 2" xfId="8539" xr:uid="{00000000-0005-0000-0000-000089050000}"/>
    <cellStyle name="Normal 2 2 6 2 3 2 3" xfId="10936" xr:uid="{00000000-0005-0000-0000-000089050000}"/>
    <cellStyle name="Normal 2 2 6 2 3 3" xfId="4297" xr:uid="{00000000-0005-0000-0000-000025040000}"/>
    <cellStyle name="Normal 2 2 6 2 3 3 2" xfId="7977" xr:uid="{00000000-0005-0000-0000-00008A050000}"/>
    <cellStyle name="Normal 2 2 6 2 3 3 3" xfId="10374" xr:uid="{00000000-0005-0000-0000-00008A050000}"/>
    <cellStyle name="Normal 2 2 6 2 3 4" xfId="5868" xr:uid="{00000000-0005-0000-0000-000089020000}"/>
    <cellStyle name="Normal 2 2 6 2 3 5" xfId="7203" xr:uid="{00000000-0005-0000-0000-000088050000}"/>
    <cellStyle name="Normal 2 2 6 2 3 6" xfId="9608" xr:uid="{00000000-0005-0000-0000-000088050000}"/>
    <cellStyle name="Normal 2 2 6 2 4" xfId="3189" xr:uid="{00000000-0005-0000-0000-000027040000}"/>
    <cellStyle name="Normal 2 2 6 2 4 2" xfId="4469" xr:uid="{00000000-0005-0000-0000-000027040000}"/>
    <cellStyle name="Normal 2 2 6 2 4 3" xfId="8540" xr:uid="{00000000-0005-0000-0000-00008B050000}"/>
    <cellStyle name="Normal 2 2 6 2 4 4" xfId="10937" xr:uid="{00000000-0005-0000-0000-00008B050000}"/>
    <cellStyle name="Normal 2 2 6 2 5" xfId="3184" xr:uid="{00000000-0005-0000-0000-000028040000}"/>
    <cellStyle name="Normal 2 2 6 2 5 2" xfId="8535" xr:uid="{00000000-0005-0000-0000-00008C050000}"/>
    <cellStyle name="Normal 2 2 6 2 5 3" xfId="10932" xr:uid="{00000000-0005-0000-0000-00008C050000}"/>
    <cellStyle name="Normal 2 2 6 2 6" xfId="2548" xr:uid="{00000000-0005-0000-0000-000029040000}"/>
    <cellStyle name="Normal 2 2 6 2 6 2" xfId="7746" xr:uid="{00000000-0005-0000-0000-00008D050000}"/>
    <cellStyle name="Normal 2 2 6 2 6 3" xfId="10143" xr:uid="{00000000-0005-0000-0000-00008D050000}"/>
    <cellStyle name="Normal 2 2 6 2 7" xfId="2242" xr:uid="{00000000-0005-0000-0000-00001F040000}"/>
    <cellStyle name="Normal 2 2 6 2 8" xfId="3795" xr:uid="{00000000-0005-0000-0000-0000DE010000}"/>
    <cellStyle name="Normal 2 2 6 2 9" xfId="5426" xr:uid="{00000000-0005-0000-0000-000085020000}"/>
    <cellStyle name="Normal 2 2 6 3" xfId="767" xr:uid="{00000000-0005-0000-0000-0000AB040000}"/>
    <cellStyle name="Normal 2 2 6 3 10" xfId="6808" xr:uid="{00000000-0005-0000-0000-00008E050000}"/>
    <cellStyle name="Normal 2 2 6 3 11" xfId="9229" xr:uid="{00000000-0005-0000-0000-00008E050000}"/>
    <cellStyle name="Normal 2 2 6 3 2" xfId="2735" xr:uid="{00000000-0005-0000-0000-00002B040000}"/>
    <cellStyle name="Normal 2 2 6 3 2 2" xfId="3191" xr:uid="{00000000-0005-0000-0000-00002C040000}"/>
    <cellStyle name="Normal 2 2 6 3 2 2 2" xfId="8542" xr:uid="{00000000-0005-0000-0000-000090050000}"/>
    <cellStyle name="Normal 2 2 6 3 2 2 3" xfId="10939" xr:uid="{00000000-0005-0000-0000-000090050000}"/>
    <cellStyle name="Normal 2 2 6 3 2 3" xfId="4299" xr:uid="{00000000-0005-0000-0000-00002B040000}"/>
    <cellStyle name="Normal 2 2 6 3 2 3 2" xfId="7979" xr:uid="{00000000-0005-0000-0000-000091050000}"/>
    <cellStyle name="Normal 2 2 6 3 2 3 3" xfId="10376" xr:uid="{00000000-0005-0000-0000-000091050000}"/>
    <cellStyle name="Normal 2 2 6 3 2 4" xfId="5869" xr:uid="{00000000-0005-0000-0000-00008C020000}"/>
    <cellStyle name="Normal 2 2 6 3 2 5" xfId="7205" xr:uid="{00000000-0005-0000-0000-00008F050000}"/>
    <cellStyle name="Normal 2 2 6 3 2 6" xfId="9610" xr:uid="{00000000-0005-0000-0000-00008F050000}"/>
    <cellStyle name="Normal 2 2 6 3 3" xfId="3192" xr:uid="{00000000-0005-0000-0000-00002D040000}"/>
    <cellStyle name="Normal 2 2 6 3 3 2" xfId="4470" xr:uid="{00000000-0005-0000-0000-00002D040000}"/>
    <cellStyle name="Normal 2 2 6 3 3 2 2" xfId="11886" xr:uid="{00000000-0005-0000-0000-0000D9050000}"/>
    <cellStyle name="Normal 2 2 6 3 3 3" xfId="5698" xr:uid="{00000000-0005-0000-0000-00008D020000}"/>
    <cellStyle name="Normal 2 2 6 3 3 4" xfId="8543" xr:uid="{00000000-0005-0000-0000-000092050000}"/>
    <cellStyle name="Normal 2 2 6 3 3 5" xfId="10940" xr:uid="{00000000-0005-0000-0000-000092050000}"/>
    <cellStyle name="Normal 2 2 6 3 4" xfId="3190" xr:uid="{00000000-0005-0000-0000-00002E040000}"/>
    <cellStyle name="Normal 2 2 6 3 4 2" xfId="8541" xr:uid="{00000000-0005-0000-0000-000093050000}"/>
    <cellStyle name="Normal 2 2 6 3 4 3" xfId="10938" xr:uid="{00000000-0005-0000-0000-000093050000}"/>
    <cellStyle name="Normal 2 2 6 3 5" xfId="2591" xr:uid="{00000000-0005-0000-0000-00002F040000}"/>
    <cellStyle name="Normal 2 2 6 3 5 2" xfId="7789" xr:uid="{00000000-0005-0000-0000-000094050000}"/>
    <cellStyle name="Normal 2 2 6 3 5 3" xfId="10186" xr:uid="{00000000-0005-0000-0000-000094050000}"/>
    <cellStyle name="Normal 2 2 6 3 6" xfId="2330" xr:uid="{00000000-0005-0000-0000-00002A040000}"/>
    <cellStyle name="Normal 2 2 6 3 7" xfId="3845" xr:uid="{00000000-0005-0000-0000-0000DF010000}"/>
    <cellStyle name="Normal 2 2 6 3 8" xfId="5467" xr:uid="{00000000-0005-0000-0000-00008B020000}"/>
    <cellStyle name="Normal 2 2 6 3 9" xfId="5127" xr:uid="{00000000-0005-0000-0000-00005F020000}"/>
    <cellStyle name="Normal 2 2 6 4" xfId="768" xr:uid="{00000000-0005-0000-0000-0000AC040000}"/>
    <cellStyle name="Normal 2 2 6 4 2" xfId="3193" xr:uid="{00000000-0005-0000-0000-000031040000}"/>
    <cellStyle name="Normal 2 2 6 4 2 2" xfId="8544" xr:uid="{00000000-0005-0000-0000-000096050000}"/>
    <cellStyle name="Normal 2 2 6 4 2 3" xfId="10941" xr:uid="{00000000-0005-0000-0000-000096050000}"/>
    <cellStyle name="Normal 2 2 6 4 3" xfId="2732" xr:uid="{00000000-0005-0000-0000-000032040000}"/>
    <cellStyle name="Normal 2 2 6 4 3 2" xfId="7976" xr:uid="{00000000-0005-0000-0000-000097050000}"/>
    <cellStyle name="Normal 2 2 6 4 3 3" xfId="10373" xr:uid="{00000000-0005-0000-0000-000097050000}"/>
    <cellStyle name="Normal 2 2 6 4 4" xfId="4164" xr:uid="{00000000-0005-0000-0000-000030040000}"/>
    <cellStyle name="Normal 2 2 6 4 5" xfId="5867" xr:uid="{00000000-0005-0000-0000-00008E020000}"/>
    <cellStyle name="Normal 2 2 6 4 6" xfId="7206" xr:uid="{00000000-0005-0000-0000-000095050000}"/>
    <cellStyle name="Normal 2 2 6 4 7" xfId="9611" xr:uid="{00000000-0005-0000-0000-000095050000}"/>
    <cellStyle name="Normal 2 2 6 5" xfId="3194" xr:uid="{00000000-0005-0000-0000-000033040000}"/>
    <cellStyle name="Normal 2 2 6 5 2" xfId="4471" xr:uid="{00000000-0005-0000-0000-000033040000}"/>
    <cellStyle name="Normal 2 2 6 5 2 2" xfId="8545" xr:uid="{00000000-0005-0000-0000-000099050000}"/>
    <cellStyle name="Normal 2 2 6 5 2 3" xfId="10942" xr:uid="{00000000-0005-0000-0000-000099050000}"/>
    <cellStyle name="Normal 2 2 6 5 3" xfId="5612" xr:uid="{00000000-0005-0000-0000-00008F020000}"/>
    <cellStyle name="Normal 2 2 6 5 4" xfId="7202" xr:uid="{00000000-0005-0000-0000-000098050000}"/>
    <cellStyle name="Normal 2 2 6 5 5" xfId="9607" xr:uid="{00000000-0005-0000-0000-000098050000}"/>
    <cellStyle name="Normal 2 2 6 6" xfId="2905" xr:uid="{00000000-0005-0000-0000-000034040000}"/>
    <cellStyle name="Normal 2 2 6 6 2" xfId="8230" xr:uid="{00000000-0005-0000-0000-00009A050000}"/>
    <cellStyle name="Normal 2 2 6 6 3" xfId="10627" xr:uid="{00000000-0005-0000-0000-00009A050000}"/>
    <cellStyle name="Normal 2 2 6 7" xfId="2488" xr:uid="{00000000-0005-0000-0000-000035040000}"/>
    <cellStyle name="Normal 2 2 6 7 2" xfId="7686" xr:uid="{00000000-0005-0000-0000-00009B050000}"/>
    <cellStyle name="Normal 2 2 6 7 3" xfId="10083" xr:uid="{00000000-0005-0000-0000-00009B050000}"/>
    <cellStyle name="Normal 2 2 6 8" xfId="2182" xr:uid="{00000000-0005-0000-0000-00001E040000}"/>
    <cellStyle name="Normal 2 2 6 9" xfId="3937" xr:uid="{00000000-0005-0000-0000-0000DD010000}"/>
    <cellStyle name="Normal 2 2 7" xfId="769" xr:uid="{00000000-0005-0000-0000-0000AD040000}"/>
    <cellStyle name="Normal 2 2 7 10" xfId="5340" xr:uid="{00000000-0005-0000-0000-000090020000}"/>
    <cellStyle name="Normal 2 2 7 11" xfId="4796" xr:uid="{00000000-0005-0000-0000-000060020000}"/>
    <cellStyle name="Normal 2 2 7 12" xfId="6542" xr:uid="{00000000-0005-0000-0000-00009C050000}"/>
    <cellStyle name="Normal 2 2 7 13" xfId="8963" xr:uid="{00000000-0005-0000-0000-00009C050000}"/>
    <cellStyle name="Normal 2 2 7 2" xfId="770" xr:uid="{00000000-0005-0000-0000-0000AE040000}"/>
    <cellStyle name="Normal 2 2 7 2 10" xfId="6648" xr:uid="{00000000-0005-0000-0000-00009D050000}"/>
    <cellStyle name="Normal 2 2 7 2 11" xfId="9069" xr:uid="{00000000-0005-0000-0000-00009D050000}"/>
    <cellStyle name="Normal 2 2 7 2 2" xfId="771" xr:uid="{00000000-0005-0000-0000-0000AF040000}"/>
    <cellStyle name="Normal 2 2 7 2 2 2" xfId="3196" xr:uid="{00000000-0005-0000-0000-000039040000}"/>
    <cellStyle name="Normal 2 2 7 2 2 2 2" xfId="8547" xr:uid="{00000000-0005-0000-0000-00009F050000}"/>
    <cellStyle name="Normal 2 2 7 2 2 2 3" xfId="10944" xr:uid="{00000000-0005-0000-0000-00009F050000}"/>
    <cellStyle name="Normal 2 2 7 2 2 3" xfId="4301" xr:uid="{00000000-0005-0000-0000-000038040000}"/>
    <cellStyle name="Normal 2 2 7 2 2 3 2" xfId="7981" xr:uid="{00000000-0005-0000-0000-0000A0050000}"/>
    <cellStyle name="Normal 2 2 7 2 2 3 3" xfId="10378" xr:uid="{00000000-0005-0000-0000-0000A0050000}"/>
    <cellStyle name="Normal 2 2 7 2 2 4" xfId="5871" xr:uid="{00000000-0005-0000-0000-000092020000}"/>
    <cellStyle name="Normal 2 2 7 2 2 5" xfId="5130" xr:uid="{00000000-0005-0000-0000-000062020000}"/>
    <cellStyle name="Normal 2 2 7 2 2 6" xfId="7209" xr:uid="{00000000-0005-0000-0000-00009E050000}"/>
    <cellStyle name="Normal 2 2 7 2 2 7" xfId="9614" xr:uid="{00000000-0005-0000-0000-00009E050000}"/>
    <cellStyle name="Normal 2 2 7 2 3" xfId="3197" xr:uid="{00000000-0005-0000-0000-00003A040000}"/>
    <cellStyle name="Normal 2 2 7 2 3 2" xfId="4472" xr:uid="{00000000-0005-0000-0000-00003A040000}"/>
    <cellStyle name="Normal 2 2 7 2 3 2 2" xfId="8548" xr:uid="{00000000-0005-0000-0000-0000A2050000}"/>
    <cellStyle name="Normal 2 2 7 2 3 2 3" xfId="10945" xr:uid="{00000000-0005-0000-0000-0000A2050000}"/>
    <cellStyle name="Normal 2 2 7 2 3 3" xfId="5646" xr:uid="{00000000-0005-0000-0000-000093020000}"/>
    <cellStyle name="Normal 2 2 7 2 3 4" xfId="7208" xr:uid="{00000000-0005-0000-0000-0000A1050000}"/>
    <cellStyle name="Normal 2 2 7 2 3 5" xfId="9613" xr:uid="{00000000-0005-0000-0000-0000A1050000}"/>
    <cellStyle name="Normal 2 2 7 2 4" xfId="3195" xr:uid="{00000000-0005-0000-0000-00003B040000}"/>
    <cellStyle name="Normal 2 2 7 2 4 2" xfId="8546" xr:uid="{00000000-0005-0000-0000-0000A3050000}"/>
    <cellStyle name="Normal 2 2 7 2 4 3" xfId="10943" xr:uid="{00000000-0005-0000-0000-0000A3050000}"/>
    <cellStyle name="Normal 2 2 7 2 5" xfId="2522" xr:uid="{00000000-0005-0000-0000-00003C040000}"/>
    <cellStyle name="Normal 2 2 7 2 5 2" xfId="7720" xr:uid="{00000000-0005-0000-0000-0000A4050000}"/>
    <cellStyle name="Normal 2 2 7 2 5 3" xfId="10117" xr:uid="{00000000-0005-0000-0000-0000A4050000}"/>
    <cellStyle name="Normal 2 2 7 2 6" xfId="2331" xr:uid="{00000000-0005-0000-0000-000037040000}"/>
    <cellStyle name="Normal 2 2 7 2 7" xfId="3846" xr:uid="{00000000-0005-0000-0000-0000E1010000}"/>
    <cellStyle name="Normal 2 2 7 2 8" xfId="5400" xr:uid="{00000000-0005-0000-0000-000091020000}"/>
    <cellStyle name="Normal 2 2 7 2 9" xfId="4902" xr:uid="{00000000-0005-0000-0000-000061020000}"/>
    <cellStyle name="Normal 2 2 7 3" xfId="772" xr:uid="{00000000-0005-0000-0000-0000B0040000}"/>
    <cellStyle name="Normal 2 2 7 3 10" xfId="9230" xr:uid="{00000000-0005-0000-0000-0000A5050000}"/>
    <cellStyle name="Normal 2 2 7 3 2" xfId="2736" xr:uid="{00000000-0005-0000-0000-00003E040000}"/>
    <cellStyle name="Normal 2 2 7 3 2 2" xfId="3199" xr:uid="{00000000-0005-0000-0000-00003F040000}"/>
    <cellStyle name="Normal 2 2 7 3 2 2 2" xfId="8550" xr:uid="{00000000-0005-0000-0000-0000A7050000}"/>
    <cellStyle name="Normal 2 2 7 3 2 2 3" xfId="10947" xr:uid="{00000000-0005-0000-0000-0000A7050000}"/>
    <cellStyle name="Normal 2 2 7 3 2 3" xfId="4302" xr:uid="{00000000-0005-0000-0000-00003E040000}"/>
    <cellStyle name="Normal 2 2 7 3 2 3 2" xfId="7982" xr:uid="{00000000-0005-0000-0000-0000A8050000}"/>
    <cellStyle name="Normal 2 2 7 3 2 3 3" xfId="10379" xr:uid="{00000000-0005-0000-0000-0000A8050000}"/>
    <cellStyle name="Normal 2 2 7 3 2 4" xfId="5872" xr:uid="{00000000-0005-0000-0000-000095020000}"/>
    <cellStyle name="Normal 2 2 7 3 2 5" xfId="7210" xr:uid="{00000000-0005-0000-0000-0000A6050000}"/>
    <cellStyle name="Normal 2 2 7 3 2 6" xfId="9615" xr:uid="{00000000-0005-0000-0000-0000A6050000}"/>
    <cellStyle name="Normal 2 2 7 3 3" xfId="3200" xr:uid="{00000000-0005-0000-0000-000040040000}"/>
    <cellStyle name="Normal 2 2 7 3 3 2" xfId="4473" xr:uid="{00000000-0005-0000-0000-000040040000}"/>
    <cellStyle name="Normal 2 2 7 3 3 2 2" xfId="11887" xr:uid="{00000000-0005-0000-0000-0000F1050000}"/>
    <cellStyle name="Normal 2 2 7 3 3 3" xfId="5731" xr:uid="{00000000-0005-0000-0000-000096020000}"/>
    <cellStyle name="Normal 2 2 7 3 3 4" xfId="8551" xr:uid="{00000000-0005-0000-0000-0000A9050000}"/>
    <cellStyle name="Normal 2 2 7 3 3 5" xfId="10948" xr:uid="{00000000-0005-0000-0000-0000A9050000}"/>
    <cellStyle name="Normal 2 2 7 3 4" xfId="3198" xr:uid="{00000000-0005-0000-0000-000041040000}"/>
    <cellStyle name="Normal 2 2 7 3 4 2" xfId="8549" xr:uid="{00000000-0005-0000-0000-0000AA050000}"/>
    <cellStyle name="Normal 2 2 7 3 4 3" xfId="10946" xr:uid="{00000000-0005-0000-0000-0000AA050000}"/>
    <cellStyle name="Normal 2 2 7 3 5" xfId="2625" xr:uid="{00000000-0005-0000-0000-000042040000}"/>
    <cellStyle name="Normal 2 2 7 3 5 2" xfId="7823" xr:uid="{00000000-0005-0000-0000-0000AB050000}"/>
    <cellStyle name="Normal 2 2 7 3 5 3" xfId="10220" xr:uid="{00000000-0005-0000-0000-0000AB050000}"/>
    <cellStyle name="Normal 2 2 7 3 6" xfId="4165" xr:uid="{00000000-0005-0000-0000-00003D040000}"/>
    <cellStyle name="Normal 2 2 7 3 7" xfId="5501" xr:uid="{00000000-0005-0000-0000-000094020000}"/>
    <cellStyle name="Normal 2 2 7 3 8" xfId="5129" xr:uid="{00000000-0005-0000-0000-000063020000}"/>
    <cellStyle name="Normal 2 2 7 3 9" xfId="6809" xr:uid="{00000000-0005-0000-0000-0000A5050000}"/>
    <cellStyle name="Normal 2 2 7 4" xfId="773" xr:uid="{00000000-0005-0000-0000-0000B1040000}"/>
    <cellStyle name="Normal 2 2 7 4 2" xfId="3201" xr:uid="{00000000-0005-0000-0000-000044040000}"/>
    <cellStyle name="Normal 2 2 7 4 2 2" xfId="8552" xr:uid="{00000000-0005-0000-0000-0000AD050000}"/>
    <cellStyle name="Normal 2 2 7 4 2 3" xfId="10949" xr:uid="{00000000-0005-0000-0000-0000AD050000}"/>
    <cellStyle name="Normal 2 2 7 4 3" xfId="4300" xr:uid="{00000000-0005-0000-0000-000043040000}"/>
    <cellStyle name="Normal 2 2 7 4 3 2" xfId="7980" xr:uid="{00000000-0005-0000-0000-0000AE050000}"/>
    <cellStyle name="Normal 2 2 7 4 3 3" xfId="10377" xr:uid="{00000000-0005-0000-0000-0000AE050000}"/>
    <cellStyle name="Normal 2 2 7 4 4" xfId="5870" xr:uid="{00000000-0005-0000-0000-000097020000}"/>
    <cellStyle name="Normal 2 2 7 4 5" xfId="7211" xr:uid="{00000000-0005-0000-0000-0000AC050000}"/>
    <cellStyle name="Normal 2 2 7 4 6" xfId="9616" xr:uid="{00000000-0005-0000-0000-0000AC050000}"/>
    <cellStyle name="Normal 2 2 7 5" xfId="3202" xr:uid="{00000000-0005-0000-0000-000045040000}"/>
    <cellStyle name="Normal 2 2 7 5 2" xfId="4474" xr:uid="{00000000-0005-0000-0000-000045040000}"/>
    <cellStyle name="Normal 2 2 7 5 2 2" xfId="8553" xr:uid="{00000000-0005-0000-0000-0000B0050000}"/>
    <cellStyle name="Normal 2 2 7 5 2 3" xfId="10950" xr:uid="{00000000-0005-0000-0000-0000B0050000}"/>
    <cellStyle name="Normal 2 2 7 5 3" xfId="5586" xr:uid="{00000000-0005-0000-0000-000098020000}"/>
    <cellStyle name="Normal 2 2 7 5 4" xfId="7207" xr:uid="{00000000-0005-0000-0000-0000AF050000}"/>
    <cellStyle name="Normal 2 2 7 5 5" xfId="9612" xr:uid="{00000000-0005-0000-0000-0000AF050000}"/>
    <cellStyle name="Normal 2 2 7 6" xfId="2906" xr:uid="{00000000-0005-0000-0000-000046040000}"/>
    <cellStyle name="Normal 2 2 7 6 2" xfId="8231" xr:uid="{00000000-0005-0000-0000-0000B1050000}"/>
    <cellStyle name="Normal 2 2 7 6 3" xfId="10628" xr:uid="{00000000-0005-0000-0000-0000B1050000}"/>
    <cellStyle name="Normal 2 2 7 7" xfId="2462" xr:uid="{00000000-0005-0000-0000-000047040000}"/>
    <cellStyle name="Normal 2 2 7 7 2" xfId="7660" xr:uid="{00000000-0005-0000-0000-0000B2050000}"/>
    <cellStyle name="Normal 2 2 7 7 3" xfId="10057" xr:uid="{00000000-0005-0000-0000-0000B2050000}"/>
    <cellStyle name="Normal 2 2 7 8" xfId="2216" xr:uid="{00000000-0005-0000-0000-000036040000}"/>
    <cellStyle name="Normal 2 2 7 9" xfId="3938" xr:uid="{00000000-0005-0000-0000-0000E0010000}"/>
    <cellStyle name="Normal 2 2 8" xfId="774" xr:uid="{00000000-0005-0000-0000-0000B2040000}"/>
    <cellStyle name="Normal 2 2 8 10" xfId="4779" xr:uid="{00000000-0005-0000-0000-000064020000}"/>
    <cellStyle name="Normal 2 2 8 11" xfId="6649" xr:uid="{00000000-0005-0000-0000-0000B3050000}"/>
    <cellStyle name="Normal 2 2 8 12" xfId="9070" xr:uid="{00000000-0005-0000-0000-0000B3050000}"/>
    <cellStyle name="Normal 2 2 8 2" xfId="775" xr:uid="{00000000-0005-0000-0000-0000B3040000}"/>
    <cellStyle name="Normal 2 2 8 2 10" xfId="6810" xr:uid="{00000000-0005-0000-0000-0000B4050000}"/>
    <cellStyle name="Normal 2 2 8 2 11" xfId="9231" xr:uid="{00000000-0005-0000-0000-0000B4050000}"/>
    <cellStyle name="Normal 2 2 8 2 2" xfId="776" xr:uid="{00000000-0005-0000-0000-0000B4040000}"/>
    <cellStyle name="Normal 2 2 8 2 2 2" xfId="3204" xr:uid="{00000000-0005-0000-0000-00004B040000}"/>
    <cellStyle name="Normal 2 2 8 2 2 2 2" xfId="8555" xr:uid="{00000000-0005-0000-0000-0000B6050000}"/>
    <cellStyle name="Normal 2 2 8 2 2 2 3" xfId="10952" xr:uid="{00000000-0005-0000-0000-0000B6050000}"/>
    <cellStyle name="Normal 2 2 8 2 2 3" xfId="4303" xr:uid="{00000000-0005-0000-0000-00004A040000}"/>
    <cellStyle name="Normal 2 2 8 2 2 3 2" xfId="7984" xr:uid="{00000000-0005-0000-0000-0000B7050000}"/>
    <cellStyle name="Normal 2 2 8 2 2 3 3" xfId="10381" xr:uid="{00000000-0005-0000-0000-0000B7050000}"/>
    <cellStyle name="Normal 2 2 8 2 2 4" xfId="5874" xr:uid="{00000000-0005-0000-0000-00009B020000}"/>
    <cellStyle name="Normal 2 2 8 2 2 5" xfId="5132" xr:uid="{00000000-0005-0000-0000-000066020000}"/>
    <cellStyle name="Normal 2 2 8 2 2 6" xfId="7214" xr:uid="{00000000-0005-0000-0000-0000B5050000}"/>
    <cellStyle name="Normal 2 2 8 2 2 7" xfId="9619" xr:uid="{00000000-0005-0000-0000-0000B5050000}"/>
    <cellStyle name="Normal 2 2 8 2 3" xfId="3205" xr:uid="{00000000-0005-0000-0000-00004C040000}"/>
    <cellStyle name="Normal 2 2 8 2 3 2" xfId="4475" xr:uid="{00000000-0005-0000-0000-00004C040000}"/>
    <cellStyle name="Normal 2 2 8 2 3 2 2" xfId="8556" xr:uid="{00000000-0005-0000-0000-0000B9050000}"/>
    <cellStyle name="Normal 2 2 8 2 3 2 3" xfId="10953" xr:uid="{00000000-0005-0000-0000-0000B9050000}"/>
    <cellStyle name="Normal 2 2 8 2 3 3" xfId="5714" xr:uid="{00000000-0005-0000-0000-00009C020000}"/>
    <cellStyle name="Normal 2 2 8 2 3 4" xfId="7213" xr:uid="{00000000-0005-0000-0000-0000B8050000}"/>
    <cellStyle name="Normal 2 2 8 2 3 5" xfId="9618" xr:uid="{00000000-0005-0000-0000-0000B8050000}"/>
    <cellStyle name="Normal 2 2 8 2 4" xfId="3203" xr:uid="{00000000-0005-0000-0000-00004D040000}"/>
    <cellStyle name="Normal 2 2 8 2 4 2" xfId="8554" xr:uid="{00000000-0005-0000-0000-0000BA050000}"/>
    <cellStyle name="Normal 2 2 8 2 4 3" xfId="10951" xr:uid="{00000000-0005-0000-0000-0000BA050000}"/>
    <cellStyle name="Normal 2 2 8 2 5" xfId="2608" xr:uid="{00000000-0005-0000-0000-00004E040000}"/>
    <cellStyle name="Normal 2 2 8 2 5 2" xfId="7806" xr:uid="{00000000-0005-0000-0000-0000BB050000}"/>
    <cellStyle name="Normal 2 2 8 2 5 3" xfId="10203" xr:uid="{00000000-0005-0000-0000-0000BB050000}"/>
    <cellStyle name="Normal 2 2 8 2 6" xfId="2332" xr:uid="{00000000-0005-0000-0000-000049040000}"/>
    <cellStyle name="Normal 2 2 8 2 7" xfId="3847" xr:uid="{00000000-0005-0000-0000-0000E3010000}"/>
    <cellStyle name="Normal 2 2 8 2 8" xfId="5484" xr:uid="{00000000-0005-0000-0000-00009A020000}"/>
    <cellStyle name="Normal 2 2 8 2 9" xfId="4903" xr:uid="{00000000-0005-0000-0000-000065020000}"/>
    <cellStyle name="Normal 2 2 8 3" xfId="777" xr:uid="{00000000-0005-0000-0000-0000B5040000}"/>
    <cellStyle name="Normal 2 2 8 3 2" xfId="3206" xr:uid="{00000000-0005-0000-0000-000050040000}"/>
    <cellStyle name="Normal 2 2 8 3 2 2" xfId="8557" xr:uid="{00000000-0005-0000-0000-0000BD050000}"/>
    <cellStyle name="Normal 2 2 8 3 2 2 2" xfId="11888" xr:uid="{00000000-0005-0000-0000-000006060000}"/>
    <cellStyle name="Normal 2 2 8 3 2 3" xfId="10954" xr:uid="{00000000-0005-0000-0000-0000BD050000}"/>
    <cellStyle name="Normal 2 2 8 3 2 4" xfId="11684" xr:uid="{00000000-0005-0000-0000-000005060000}"/>
    <cellStyle name="Normal 2 2 8 3 3" xfId="2737" xr:uid="{00000000-0005-0000-0000-000051040000}"/>
    <cellStyle name="Normal 2 2 8 3 3 2" xfId="7983" xr:uid="{00000000-0005-0000-0000-0000BE050000}"/>
    <cellStyle name="Normal 2 2 8 3 3 3" xfId="10380" xr:uid="{00000000-0005-0000-0000-0000BE050000}"/>
    <cellStyle name="Normal 2 2 8 3 4" xfId="4166" xr:uid="{00000000-0005-0000-0000-00004F040000}"/>
    <cellStyle name="Normal 2 2 8 3 4 2" xfId="11813" xr:uid="{00000000-0005-0000-0000-000008060000}"/>
    <cellStyle name="Normal 2 2 8 3 5" xfId="5873" xr:uid="{00000000-0005-0000-0000-00009D020000}"/>
    <cellStyle name="Normal 2 2 8 3 6" xfId="5131" xr:uid="{00000000-0005-0000-0000-000067020000}"/>
    <cellStyle name="Normal 2 2 8 3 7" xfId="7215" xr:uid="{00000000-0005-0000-0000-0000BC050000}"/>
    <cellStyle name="Normal 2 2 8 3 8" xfId="9620" xr:uid="{00000000-0005-0000-0000-0000BC050000}"/>
    <cellStyle name="Normal 2 2 8 4" xfId="778" xr:uid="{00000000-0005-0000-0000-0000B6040000}"/>
    <cellStyle name="Normal 2 2 8 4 2" xfId="4476" xr:uid="{00000000-0005-0000-0000-000052040000}"/>
    <cellStyle name="Normal 2 2 8 4 2 2" xfId="8558" xr:uid="{00000000-0005-0000-0000-0000C0050000}"/>
    <cellStyle name="Normal 2 2 8 4 2 3" xfId="10955" xr:uid="{00000000-0005-0000-0000-0000C0050000}"/>
    <cellStyle name="Normal 2 2 8 4 3" xfId="5569" xr:uid="{00000000-0005-0000-0000-00009E020000}"/>
    <cellStyle name="Normal 2 2 8 4 4" xfId="7216" xr:uid="{00000000-0005-0000-0000-0000BF050000}"/>
    <cellStyle name="Normal 2 2 8 4 5" xfId="9621" xr:uid="{00000000-0005-0000-0000-0000BF050000}"/>
    <cellStyle name="Normal 2 2 8 5" xfId="2907" xr:uid="{00000000-0005-0000-0000-000053040000}"/>
    <cellStyle name="Normal 2 2 8 5 2" xfId="8232" xr:uid="{00000000-0005-0000-0000-0000C2050000}"/>
    <cellStyle name="Normal 2 2 8 5 2 2" xfId="10629" xr:uid="{00000000-0005-0000-0000-0000C2050000}"/>
    <cellStyle name="Normal 2 2 8 5 3" xfId="7212" xr:uid="{00000000-0005-0000-0000-0000C1050000}"/>
    <cellStyle name="Normal 2 2 8 5 4" xfId="9617" xr:uid="{00000000-0005-0000-0000-0000C1050000}"/>
    <cellStyle name="Normal 2 2 8 6" xfId="2445" xr:uid="{00000000-0005-0000-0000-000054040000}"/>
    <cellStyle name="Normal 2 2 8 6 2" xfId="7643" xr:uid="{00000000-0005-0000-0000-0000C3050000}"/>
    <cellStyle name="Normal 2 2 8 6 3" xfId="10040" xr:uid="{00000000-0005-0000-0000-0000C3050000}"/>
    <cellStyle name="Normal 2 2 8 7" xfId="2199" xr:uid="{00000000-0005-0000-0000-000048040000}"/>
    <cellStyle name="Normal 2 2 8 8" xfId="3939" xr:uid="{00000000-0005-0000-0000-0000E2010000}"/>
    <cellStyle name="Normal 2 2 8 9" xfId="5323" xr:uid="{00000000-0005-0000-0000-000099020000}"/>
    <cellStyle name="Normal 2 2 9" xfId="779" xr:uid="{00000000-0005-0000-0000-0000B7040000}"/>
    <cellStyle name="Normal 2 2 9 10" xfId="4904" xr:uid="{00000000-0005-0000-0000-000068020000}"/>
    <cellStyle name="Normal 2 2 9 11" xfId="6650" xr:uid="{00000000-0005-0000-0000-0000C4050000}"/>
    <cellStyle name="Normal 2 2 9 12" xfId="9071" xr:uid="{00000000-0005-0000-0000-0000C4050000}"/>
    <cellStyle name="Normal 2 2 9 2" xfId="780" xr:uid="{00000000-0005-0000-0000-0000B8040000}"/>
    <cellStyle name="Normal 2 2 9 2 10" xfId="6811" xr:uid="{00000000-0005-0000-0000-0000C5050000}"/>
    <cellStyle name="Normal 2 2 9 2 11" xfId="9232" xr:uid="{00000000-0005-0000-0000-0000C5050000}"/>
    <cellStyle name="Normal 2 2 9 2 2" xfId="781" xr:uid="{00000000-0005-0000-0000-0000B9040000}"/>
    <cellStyle name="Normal 2 2 9 2 2 2" xfId="3208" xr:uid="{00000000-0005-0000-0000-000058040000}"/>
    <cellStyle name="Normal 2 2 9 2 2 2 2" xfId="8560" xr:uid="{00000000-0005-0000-0000-0000C7050000}"/>
    <cellStyle name="Normal 2 2 9 2 2 2 3" xfId="10957" xr:uid="{00000000-0005-0000-0000-0000C7050000}"/>
    <cellStyle name="Normal 2 2 9 2 2 3" xfId="4304" xr:uid="{00000000-0005-0000-0000-000057040000}"/>
    <cellStyle name="Normal 2 2 9 2 2 3 2" xfId="7986" xr:uid="{00000000-0005-0000-0000-0000C8050000}"/>
    <cellStyle name="Normal 2 2 9 2 2 3 3" xfId="10383" xr:uid="{00000000-0005-0000-0000-0000C8050000}"/>
    <cellStyle name="Normal 2 2 9 2 2 4" xfId="5876" xr:uid="{00000000-0005-0000-0000-0000A1020000}"/>
    <cellStyle name="Normal 2 2 9 2 2 5" xfId="7219" xr:uid="{00000000-0005-0000-0000-0000C6050000}"/>
    <cellStyle name="Normal 2 2 9 2 2 6" xfId="9624" xr:uid="{00000000-0005-0000-0000-0000C6050000}"/>
    <cellStyle name="Normal 2 2 9 2 3" xfId="3209" xr:uid="{00000000-0005-0000-0000-000059040000}"/>
    <cellStyle name="Normal 2 2 9 2 3 2" xfId="4477" xr:uid="{00000000-0005-0000-0000-000059040000}"/>
    <cellStyle name="Normal 2 2 9 2 3 2 2" xfId="8561" xr:uid="{00000000-0005-0000-0000-0000CA050000}"/>
    <cellStyle name="Normal 2 2 9 2 3 2 3" xfId="10958" xr:uid="{00000000-0005-0000-0000-0000CA050000}"/>
    <cellStyle name="Normal 2 2 9 2 3 3" xfId="5761" xr:uid="{00000000-0005-0000-0000-0000A2020000}"/>
    <cellStyle name="Normal 2 2 9 2 3 4" xfId="7218" xr:uid="{00000000-0005-0000-0000-0000C9050000}"/>
    <cellStyle name="Normal 2 2 9 2 3 5" xfId="9623" xr:uid="{00000000-0005-0000-0000-0000C9050000}"/>
    <cellStyle name="Normal 2 2 9 2 4" xfId="3207" xr:uid="{00000000-0005-0000-0000-00005A040000}"/>
    <cellStyle name="Normal 2 2 9 2 4 2" xfId="8559" xr:uid="{00000000-0005-0000-0000-0000CB050000}"/>
    <cellStyle name="Normal 2 2 9 2 4 3" xfId="10956" xr:uid="{00000000-0005-0000-0000-0000CB050000}"/>
    <cellStyle name="Normal 2 2 9 2 5" xfId="2656" xr:uid="{00000000-0005-0000-0000-00005B040000}"/>
    <cellStyle name="Normal 2 2 9 2 5 2" xfId="7868" xr:uid="{00000000-0005-0000-0000-0000CC050000}"/>
    <cellStyle name="Normal 2 2 9 2 5 3" xfId="10265" xr:uid="{00000000-0005-0000-0000-0000CC050000}"/>
    <cellStyle name="Normal 2 2 9 2 6" xfId="2333" xr:uid="{00000000-0005-0000-0000-000056040000}"/>
    <cellStyle name="Normal 2 2 9 2 7" xfId="3848" xr:uid="{00000000-0005-0000-0000-0000E5010000}"/>
    <cellStyle name="Normal 2 2 9 2 8" xfId="5546" xr:uid="{00000000-0005-0000-0000-0000A0020000}"/>
    <cellStyle name="Normal 2 2 9 2 9" xfId="5133" xr:uid="{00000000-0005-0000-0000-000069020000}"/>
    <cellStyle name="Normal 2 2 9 3" xfId="782" xr:uid="{00000000-0005-0000-0000-0000BA040000}"/>
    <cellStyle name="Normal 2 2 9 3 2" xfId="3210" xr:uid="{00000000-0005-0000-0000-00005D040000}"/>
    <cellStyle name="Normal 2 2 9 3 2 2" xfId="8562" xr:uid="{00000000-0005-0000-0000-0000CE050000}"/>
    <cellStyle name="Normal 2 2 9 3 2 2 2" xfId="11889" xr:uid="{00000000-0005-0000-0000-000019060000}"/>
    <cellStyle name="Normal 2 2 9 3 2 3" xfId="10959" xr:uid="{00000000-0005-0000-0000-0000CE050000}"/>
    <cellStyle name="Normal 2 2 9 3 2 4" xfId="11685" xr:uid="{00000000-0005-0000-0000-000018060000}"/>
    <cellStyle name="Normal 2 2 9 3 3" xfId="2738" xr:uid="{00000000-0005-0000-0000-00005E040000}"/>
    <cellStyle name="Normal 2 2 9 3 3 2" xfId="7985" xr:uid="{00000000-0005-0000-0000-0000CF050000}"/>
    <cellStyle name="Normal 2 2 9 3 3 3" xfId="10382" xr:uid="{00000000-0005-0000-0000-0000CF050000}"/>
    <cellStyle name="Normal 2 2 9 3 4" xfId="4167" xr:uid="{00000000-0005-0000-0000-00005C040000}"/>
    <cellStyle name="Normal 2 2 9 3 4 2" xfId="11814" xr:uid="{00000000-0005-0000-0000-00001B060000}"/>
    <cellStyle name="Normal 2 2 9 3 5" xfId="5875" xr:uid="{00000000-0005-0000-0000-0000A3020000}"/>
    <cellStyle name="Normal 2 2 9 3 6" xfId="7220" xr:uid="{00000000-0005-0000-0000-0000CD050000}"/>
    <cellStyle name="Normal 2 2 9 3 7" xfId="9625" xr:uid="{00000000-0005-0000-0000-0000CD050000}"/>
    <cellStyle name="Normal 2 2 9 4" xfId="783" xr:uid="{00000000-0005-0000-0000-0000BB040000}"/>
    <cellStyle name="Normal 2 2 9 4 2" xfId="4478" xr:uid="{00000000-0005-0000-0000-00005F040000}"/>
    <cellStyle name="Normal 2 2 9 4 2 2" xfId="8563" xr:uid="{00000000-0005-0000-0000-0000D1050000}"/>
    <cellStyle name="Normal 2 2 9 4 2 3" xfId="10960" xr:uid="{00000000-0005-0000-0000-0000D1050000}"/>
    <cellStyle name="Normal 2 2 9 4 3" xfId="5629" xr:uid="{00000000-0005-0000-0000-0000A4020000}"/>
    <cellStyle name="Normal 2 2 9 4 4" xfId="7221" xr:uid="{00000000-0005-0000-0000-0000D0050000}"/>
    <cellStyle name="Normal 2 2 9 4 5" xfId="9626" xr:uid="{00000000-0005-0000-0000-0000D0050000}"/>
    <cellStyle name="Normal 2 2 9 5" xfId="2908" xr:uid="{00000000-0005-0000-0000-000060040000}"/>
    <cellStyle name="Normal 2 2 9 5 2" xfId="8233" xr:uid="{00000000-0005-0000-0000-0000D3050000}"/>
    <cellStyle name="Normal 2 2 9 5 2 2" xfId="10630" xr:uid="{00000000-0005-0000-0000-0000D3050000}"/>
    <cellStyle name="Normal 2 2 9 5 3" xfId="7217" xr:uid="{00000000-0005-0000-0000-0000D2050000}"/>
    <cellStyle name="Normal 2 2 9 5 4" xfId="9622" xr:uid="{00000000-0005-0000-0000-0000D2050000}"/>
    <cellStyle name="Normal 2 2 9 6" xfId="2505" xr:uid="{00000000-0005-0000-0000-000061040000}"/>
    <cellStyle name="Normal 2 2 9 6 2" xfId="7703" xr:uid="{00000000-0005-0000-0000-0000D4050000}"/>
    <cellStyle name="Normal 2 2 9 6 3" xfId="10100" xr:uid="{00000000-0005-0000-0000-0000D4050000}"/>
    <cellStyle name="Normal 2 2 9 7" xfId="2261" xr:uid="{00000000-0005-0000-0000-000055040000}"/>
    <cellStyle name="Normal 2 2 9 8" xfId="3940" xr:uid="{00000000-0005-0000-0000-0000E4010000}"/>
    <cellStyle name="Normal 2 2 9 9" xfId="5383" xr:uid="{00000000-0005-0000-0000-00009F020000}"/>
    <cellStyle name="Normal 2 20" xfId="4753" xr:uid="{00000000-0005-0000-0000-000023020000}"/>
    <cellStyle name="Normal 2 20 2" xfId="11570" xr:uid="{00000000-0005-0000-0000-00005F2D0000}"/>
    <cellStyle name="Normal 2 20 2 2" xfId="11614" xr:uid="{00000000-0005-0000-0000-000022060000}"/>
    <cellStyle name="Normal 2 20 2 3" xfId="11687" xr:uid="{00000000-0005-0000-0000-000022060000}"/>
    <cellStyle name="Normal 2 20 3" xfId="11613" xr:uid="{00000000-0005-0000-0000-000021060000}"/>
    <cellStyle name="Normal 2 20 4" xfId="11686" xr:uid="{00000000-0005-0000-0000-000021060000}"/>
    <cellStyle name="Normal 2 21" xfId="6524" xr:uid="{00000000-0005-0000-0000-00008F040000}"/>
    <cellStyle name="Normal 2 21 2" xfId="11788" xr:uid="{00000000-0005-0000-0000-000023060000}"/>
    <cellStyle name="Normal 2 22" xfId="8945" xr:uid="{00000000-0005-0000-0000-00008F040000}"/>
    <cellStyle name="Normal 2 23" xfId="11643" xr:uid="{00000000-0005-0000-0000-0000C8040000}"/>
    <cellStyle name="Normal 2 3" xfId="784" xr:uid="{00000000-0005-0000-0000-0000BC040000}"/>
    <cellStyle name="Normal 2 4" xfId="785" xr:uid="{00000000-0005-0000-0000-0000BD040000}"/>
    <cellStyle name="Normal 2 5" xfId="786" xr:uid="{00000000-0005-0000-0000-0000BE040000}"/>
    <cellStyle name="Normal 2 5 10" xfId="787" xr:uid="{00000000-0005-0000-0000-0000BF040000}"/>
    <cellStyle name="Normal 2 5 10 2" xfId="3211" xr:uid="{00000000-0005-0000-0000-000066040000}"/>
    <cellStyle name="Normal 2 5 10 2 2" xfId="6391" xr:uid="{00000000-0005-0000-0000-000066040000}"/>
    <cellStyle name="Normal 2 5 10 2 3" xfId="7223" xr:uid="{00000000-0005-0000-0000-0000D9050000}"/>
    <cellStyle name="Normal 2 5 10 2 4" xfId="9628" xr:uid="{00000000-0005-0000-0000-0000D9050000}"/>
    <cellStyle name="Normal 2 5 10 3" xfId="4119" xr:uid="{00000000-0005-0000-0000-000065040000}"/>
    <cellStyle name="Normal 2 5 10 3 2" xfId="6094" xr:uid="{00000000-0005-0000-0000-000065040000}"/>
    <cellStyle name="Normal 2 5 10 3 3" xfId="8564" xr:uid="{00000000-0005-0000-0000-0000DA050000}"/>
    <cellStyle name="Normal 2 5 10 3 4" xfId="10961" xr:uid="{00000000-0005-0000-0000-0000DA050000}"/>
    <cellStyle name="Normal 2 5 10 4" xfId="5559" xr:uid="{00000000-0005-0000-0000-0000A8020000}"/>
    <cellStyle name="Normal 2 5 10 4 2" xfId="11890" xr:uid="{00000000-0005-0000-0000-00002A060000}"/>
    <cellStyle name="Normal 2 5 10 5" xfId="5134" xr:uid="{00000000-0005-0000-0000-00006D020000}"/>
    <cellStyle name="Normal 2 5 10 6" xfId="6812" xr:uid="{00000000-0005-0000-0000-0000D8050000}"/>
    <cellStyle name="Normal 2 5 10 7" xfId="9233" xr:uid="{00000000-0005-0000-0000-0000D8050000}"/>
    <cellStyle name="Normal 2 5 11" xfId="788" xr:uid="{00000000-0005-0000-0000-0000C0040000}"/>
    <cellStyle name="Normal 2 5 11 2" xfId="5293" xr:uid="{00000000-0005-0000-0000-00008F050000}"/>
    <cellStyle name="Normal 2 5 11 2 2" xfId="8170" xr:uid="{00000000-0005-0000-0000-0000DC050000}"/>
    <cellStyle name="Normal 2 5 11 2 3" xfId="10567" xr:uid="{00000000-0005-0000-0000-0000DC050000}"/>
    <cellStyle name="Normal 2 5 11 3" xfId="6263" xr:uid="{00000000-0005-0000-0000-000067040000}"/>
    <cellStyle name="Normal 2 5 11 4" xfId="7224" xr:uid="{00000000-0005-0000-0000-0000DB050000}"/>
    <cellStyle name="Normal 2 5 11 5" xfId="9629" xr:uid="{00000000-0005-0000-0000-0000DB050000}"/>
    <cellStyle name="Normal 2 5 12" xfId="2436" xr:uid="{00000000-0005-0000-0000-000068040000}"/>
    <cellStyle name="Normal 2 5 12 2" xfId="6148" xr:uid="{00000000-0005-0000-0000-000068040000}"/>
    <cellStyle name="Normal 2 5 12 3" xfId="7222" xr:uid="{00000000-0005-0000-0000-0000DD050000}"/>
    <cellStyle name="Normal 2 5 12 4" xfId="9627" xr:uid="{00000000-0005-0000-0000-0000DD050000}"/>
    <cellStyle name="Normal 2 5 13" xfId="2163" xr:uid="{00000000-0005-0000-0000-000064040000}"/>
    <cellStyle name="Normal 2 5 13 2" xfId="7633" xr:uid="{00000000-0005-0000-0000-0000DE050000}"/>
    <cellStyle name="Normal 2 5 13 3" xfId="10030" xr:uid="{00000000-0005-0000-0000-0000DE050000}"/>
    <cellStyle name="Normal 2 5 14" xfId="3943" xr:uid="{00000000-0005-0000-0000-0000E8010000}"/>
    <cellStyle name="Normal 2 5 15" xfId="5313" xr:uid="{00000000-0005-0000-0000-0000A7020000}"/>
    <cellStyle name="Normal 2 5 16" xfId="4768" xr:uid="{00000000-0005-0000-0000-00006C020000}"/>
    <cellStyle name="Normal 2 5 17" xfId="6532" xr:uid="{00000000-0005-0000-0000-0000D7050000}"/>
    <cellStyle name="Normal 2 5 18" xfId="8953" xr:uid="{00000000-0005-0000-0000-0000D7050000}"/>
    <cellStyle name="Normal 2 5 2" xfId="789" xr:uid="{00000000-0005-0000-0000-0000C1040000}"/>
    <cellStyle name="Normal 2 5 2 10" xfId="5373" xr:uid="{00000000-0005-0000-0000-0000A9020000}"/>
    <cellStyle name="Normal 2 5 2 11" xfId="4829" xr:uid="{00000000-0005-0000-0000-00006E020000}"/>
    <cellStyle name="Normal 2 5 2 12" xfId="6575" xr:uid="{00000000-0005-0000-0000-0000DF050000}"/>
    <cellStyle name="Normal 2 5 2 13" xfId="8996" xr:uid="{00000000-0005-0000-0000-0000DF050000}"/>
    <cellStyle name="Normal 2 5 2 2" xfId="790" xr:uid="{00000000-0005-0000-0000-0000C2040000}"/>
    <cellStyle name="Normal 2 5 2 2 10" xfId="4906" xr:uid="{00000000-0005-0000-0000-00006F020000}"/>
    <cellStyle name="Normal 2 5 2 2 11" xfId="6652" xr:uid="{00000000-0005-0000-0000-0000E0050000}"/>
    <cellStyle name="Normal 2 5 2 2 12" xfId="9073" xr:uid="{00000000-0005-0000-0000-0000E0050000}"/>
    <cellStyle name="Normal 2 5 2 2 2" xfId="791" xr:uid="{00000000-0005-0000-0000-0000C3040000}"/>
    <cellStyle name="Normal 2 5 2 2 2 2" xfId="2742" xr:uid="{00000000-0005-0000-0000-00006C040000}"/>
    <cellStyle name="Normal 2 5 2 2 2 2 2" xfId="3214" xr:uid="{00000000-0005-0000-0000-00006D040000}"/>
    <cellStyle name="Normal 2 5 2 2 2 2 2 2" xfId="8567" xr:uid="{00000000-0005-0000-0000-0000E3050000}"/>
    <cellStyle name="Normal 2 5 2 2 2 2 2 3" xfId="10964" xr:uid="{00000000-0005-0000-0000-0000E3050000}"/>
    <cellStyle name="Normal 2 5 2 2 2 2 3" xfId="4306" xr:uid="{00000000-0005-0000-0000-00006C040000}"/>
    <cellStyle name="Normal 2 5 2 2 2 2 3 2" xfId="11403" xr:uid="{00000000-0005-0000-0000-000096050000}"/>
    <cellStyle name="Normal 2 5 2 2 2 2 4" xfId="7990" xr:uid="{00000000-0005-0000-0000-0000E2050000}"/>
    <cellStyle name="Normal 2 5 2 2 2 2 5" xfId="10387" xr:uid="{00000000-0005-0000-0000-0000E2050000}"/>
    <cellStyle name="Normal 2 5 2 2 2 3" xfId="3215" xr:uid="{00000000-0005-0000-0000-00006E040000}"/>
    <cellStyle name="Normal 2 5 2 2 2 3 2" xfId="4479" xr:uid="{00000000-0005-0000-0000-00006E040000}"/>
    <cellStyle name="Normal 2 5 2 2 2 3 3" xfId="8568" xr:uid="{00000000-0005-0000-0000-0000E4050000}"/>
    <cellStyle name="Normal 2 5 2 2 2 3 4" xfId="10965" xr:uid="{00000000-0005-0000-0000-0000E4050000}"/>
    <cellStyle name="Normal 2 5 2 2 2 4" xfId="3213" xr:uid="{00000000-0005-0000-0000-00006F040000}"/>
    <cellStyle name="Normal 2 5 2 2 2 4 2" xfId="8566" xr:uid="{00000000-0005-0000-0000-0000E5050000}"/>
    <cellStyle name="Normal 2 5 2 2 2 4 3" xfId="10963" xr:uid="{00000000-0005-0000-0000-0000E5050000}"/>
    <cellStyle name="Normal 2 5 2 2 2 5" xfId="4245" xr:uid="{00000000-0005-0000-0000-00006B040000}"/>
    <cellStyle name="Normal 2 5 2 2 2 5 2" xfId="7856" xr:uid="{00000000-0005-0000-0000-0000E6050000}"/>
    <cellStyle name="Normal 2 5 2 2 2 5 3" xfId="10253" xr:uid="{00000000-0005-0000-0000-0000E6050000}"/>
    <cellStyle name="Normal 2 5 2 2 2 6" xfId="5534" xr:uid="{00000000-0005-0000-0000-0000AB020000}"/>
    <cellStyle name="Normal 2 5 2 2 2 7" xfId="5136" xr:uid="{00000000-0005-0000-0000-000070020000}"/>
    <cellStyle name="Normal 2 5 2 2 2 8" xfId="7227" xr:uid="{00000000-0005-0000-0000-0000E1050000}"/>
    <cellStyle name="Normal 2 5 2 2 2 9" xfId="9632" xr:uid="{00000000-0005-0000-0000-0000E1050000}"/>
    <cellStyle name="Normal 2 5 2 2 3" xfId="2741" xr:uid="{00000000-0005-0000-0000-000070040000}"/>
    <cellStyle name="Normal 2 5 2 2 3 2" xfId="3216" xr:uid="{00000000-0005-0000-0000-000071040000}"/>
    <cellStyle name="Normal 2 5 2 2 3 2 2" xfId="8569" xr:uid="{00000000-0005-0000-0000-0000E8050000}"/>
    <cellStyle name="Normal 2 5 2 2 3 2 3" xfId="10966" xr:uid="{00000000-0005-0000-0000-0000E8050000}"/>
    <cellStyle name="Normal 2 5 2 2 3 3" xfId="4305" xr:uid="{00000000-0005-0000-0000-000070040000}"/>
    <cellStyle name="Normal 2 5 2 2 3 3 2" xfId="7989" xr:uid="{00000000-0005-0000-0000-0000E9050000}"/>
    <cellStyle name="Normal 2 5 2 2 3 3 3" xfId="10386" xr:uid="{00000000-0005-0000-0000-0000E9050000}"/>
    <cellStyle name="Normal 2 5 2 2 3 4" xfId="5879" xr:uid="{00000000-0005-0000-0000-0000AE020000}"/>
    <cellStyle name="Normal 2 5 2 2 3 5" xfId="7226" xr:uid="{00000000-0005-0000-0000-0000E7050000}"/>
    <cellStyle name="Normal 2 5 2 2 3 6" xfId="9631" xr:uid="{00000000-0005-0000-0000-0000E7050000}"/>
    <cellStyle name="Normal 2 5 2 2 4" xfId="3217" xr:uid="{00000000-0005-0000-0000-000072040000}"/>
    <cellStyle name="Normal 2 5 2 2 4 2" xfId="4480" xr:uid="{00000000-0005-0000-0000-000072040000}"/>
    <cellStyle name="Normal 2 5 2 2 4 3" xfId="8570" xr:uid="{00000000-0005-0000-0000-0000EA050000}"/>
    <cellStyle name="Normal 2 5 2 2 4 4" xfId="10967" xr:uid="{00000000-0005-0000-0000-0000EA050000}"/>
    <cellStyle name="Normal 2 5 2 2 5" xfId="3212" xr:uid="{00000000-0005-0000-0000-000073040000}"/>
    <cellStyle name="Normal 2 5 2 2 5 2" xfId="8565" xr:uid="{00000000-0005-0000-0000-0000EB050000}"/>
    <cellStyle name="Normal 2 5 2 2 5 3" xfId="10962" xr:uid="{00000000-0005-0000-0000-0000EB050000}"/>
    <cellStyle name="Normal 2 5 2 2 6" xfId="2555" xr:uid="{00000000-0005-0000-0000-000074040000}"/>
    <cellStyle name="Normal 2 5 2 2 6 2" xfId="7753" xr:uid="{00000000-0005-0000-0000-0000EC050000}"/>
    <cellStyle name="Normal 2 5 2 2 6 3" xfId="10150" xr:uid="{00000000-0005-0000-0000-0000EC050000}"/>
    <cellStyle name="Normal 2 5 2 2 7" xfId="2249" xr:uid="{00000000-0005-0000-0000-00006A040000}"/>
    <cellStyle name="Normal 2 5 2 2 8" xfId="3800" xr:uid="{00000000-0005-0000-0000-0000EA010000}"/>
    <cellStyle name="Normal 2 5 2 2 9" xfId="5433" xr:uid="{00000000-0005-0000-0000-0000AA020000}"/>
    <cellStyle name="Normal 2 5 2 3" xfId="792" xr:uid="{00000000-0005-0000-0000-0000C4040000}"/>
    <cellStyle name="Normal 2 5 2 3 10" xfId="6813" xr:uid="{00000000-0005-0000-0000-0000ED050000}"/>
    <cellStyle name="Normal 2 5 2 3 11" xfId="9234" xr:uid="{00000000-0005-0000-0000-0000ED050000}"/>
    <cellStyle name="Normal 2 5 2 3 2" xfId="2743" xr:uid="{00000000-0005-0000-0000-000076040000}"/>
    <cellStyle name="Normal 2 5 2 3 2 2" xfId="3219" xr:uid="{00000000-0005-0000-0000-000077040000}"/>
    <cellStyle name="Normal 2 5 2 3 2 2 2" xfId="8572" xr:uid="{00000000-0005-0000-0000-0000EF050000}"/>
    <cellStyle name="Normal 2 5 2 3 2 2 3" xfId="10969" xr:uid="{00000000-0005-0000-0000-0000EF050000}"/>
    <cellStyle name="Normal 2 5 2 3 2 3" xfId="4307" xr:uid="{00000000-0005-0000-0000-000076040000}"/>
    <cellStyle name="Normal 2 5 2 3 2 3 2" xfId="7991" xr:uid="{00000000-0005-0000-0000-0000F0050000}"/>
    <cellStyle name="Normal 2 5 2 3 2 3 3" xfId="10388" xr:uid="{00000000-0005-0000-0000-0000F0050000}"/>
    <cellStyle name="Normal 2 5 2 3 2 4" xfId="5880" xr:uid="{00000000-0005-0000-0000-0000B1020000}"/>
    <cellStyle name="Normal 2 5 2 3 2 5" xfId="7228" xr:uid="{00000000-0005-0000-0000-0000EE050000}"/>
    <cellStyle name="Normal 2 5 2 3 2 6" xfId="9633" xr:uid="{00000000-0005-0000-0000-0000EE050000}"/>
    <cellStyle name="Normal 2 5 2 3 3" xfId="3220" xr:uid="{00000000-0005-0000-0000-000078040000}"/>
    <cellStyle name="Normal 2 5 2 3 3 2" xfId="4481" xr:uid="{00000000-0005-0000-0000-000078040000}"/>
    <cellStyle name="Normal 2 5 2 3 3 2 2" xfId="11891" xr:uid="{00000000-0005-0000-0000-000043060000}"/>
    <cellStyle name="Normal 2 5 2 3 3 3" xfId="5705" xr:uid="{00000000-0005-0000-0000-0000B2020000}"/>
    <cellStyle name="Normal 2 5 2 3 3 4" xfId="8573" xr:uid="{00000000-0005-0000-0000-0000F1050000}"/>
    <cellStyle name="Normal 2 5 2 3 3 5" xfId="10970" xr:uid="{00000000-0005-0000-0000-0000F1050000}"/>
    <cellStyle name="Normal 2 5 2 3 4" xfId="3218" xr:uid="{00000000-0005-0000-0000-000079040000}"/>
    <cellStyle name="Normal 2 5 2 3 4 2" xfId="8571" xr:uid="{00000000-0005-0000-0000-0000F2050000}"/>
    <cellStyle name="Normal 2 5 2 3 4 3" xfId="10968" xr:uid="{00000000-0005-0000-0000-0000F2050000}"/>
    <cellStyle name="Normal 2 5 2 3 5" xfId="2598" xr:uid="{00000000-0005-0000-0000-00007A040000}"/>
    <cellStyle name="Normal 2 5 2 3 5 2" xfId="7796" xr:uid="{00000000-0005-0000-0000-0000F3050000}"/>
    <cellStyle name="Normal 2 5 2 3 5 3" xfId="10193" xr:uid="{00000000-0005-0000-0000-0000F3050000}"/>
    <cellStyle name="Normal 2 5 2 3 6" xfId="2334" xr:uid="{00000000-0005-0000-0000-000075040000}"/>
    <cellStyle name="Normal 2 5 2 3 7" xfId="3849" xr:uid="{00000000-0005-0000-0000-0000EB010000}"/>
    <cellStyle name="Normal 2 5 2 3 8" xfId="5474" xr:uid="{00000000-0005-0000-0000-0000B0020000}"/>
    <cellStyle name="Normal 2 5 2 3 9" xfId="5135" xr:uid="{00000000-0005-0000-0000-000071020000}"/>
    <cellStyle name="Normal 2 5 2 4" xfId="793" xr:uid="{00000000-0005-0000-0000-0000C5040000}"/>
    <cellStyle name="Normal 2 5 2 4 2" xfId="3221" xr:uid="{00000000-0005-0000-0000-00007C040000}"/>
    <cellStyle name="Normal 2 5 2 4 2 2" xfId="8574" xr:uid="{00000000-0005-0000-0000-0000F5050000}"/>
    <cellStyle name="Normal 2 5 2 4 2 3" xfId="10971" xr:uid="{00000000-0005-0000-0000-0000F5050000}"/>
    <cellStyle name="Normal 2 5 2 4 3" xfId="2740" xr:uid="{00000000-0005-0000-0000-00007D040000}"/>
    <cellStyle name="Normal 2 5 2 4 3 2" xfId="7988" xr:uid="{00000000-0005-0000-0000-0000F6050000}"/>
    <cellStyle name="Normal 2 5 2 4 3 3" xfId="10385" xr:uid="{00000000-0005-0000-0000-0000F6050000}"/>
    <cellStyle name="Normal 2 5 2 4 4" xfId="4168" xr:uid="{00000000-0005-0000-0000-00007B040000}"/>
    <cellStyle name="Normal 2 5 2 4 5" xfId="5878" xr:uid="{00000000-0005-0000-0000-0000B3020000}"/>
    <cellStyle name="Normal 2 5 2 4 6" xfId="7229" xr:uid="{00000000-0005-0000-0000-0000F4050000}"/>
    <cellStyle name="Normal 2 5 2 4 7" xfId="9634" xr:uid="{00000000-0005-0000-0000-0000F4050000}"/>
    <cellStyle name="Normal 2 5 2 5" xfId="3222" xr:uid="{00000000-0005-0000-0000-00007E040000}"/>
    <cellStyle name="Normal 2 5 2 5 2" xfId="4482" xr:uid="{00000000-0005-0000-0000-00007E040000}"/>
    <cellStyle name="Normal 2 5 2 5 2 2" xfId="8575" xr:uid="{00000000-0005-0000-0000-0000F8050000}"/>
    <cellStyle name="Normal 2 5 2 5 2 3" xfId="10972" xr:uid="{00000000-0005-0000-0000-0000F8050000}"/>
    <cellStyle name="Normal 2 5 2 5 3" xfId="5619" xr:uid="{00000000-0005-0000-0000-0000B4020000}"/>
    <cellStyle name="Normal 2 5 2 5 4" xfId="7225" xr:uid="{00000000-0005-0000-0000-0000F7050000}"/>
    <cellStyle name="Normal 2 5 2 5 5" xfId="9630" xr:uid="{00000000-0005-0000-0000-0000F7050000}"/>
    <cellStyle name="Normal 2 5 2 6" xfId="2909" xr:uid="{00000000-0005-0000-0000-00007F040000}"/>
    <cellStyle name="Normal 2 5 2 6 2" xfId="8234" xr:uid="{00000000-0005-0000-0000-0000F9050000}"/>
    <cellStyle name="Normal 2 5 2 6 3" xfId="10631" xr:uid="{00000000-0005-0000-0000-0000F9050000}"/>
    <cellStyle name="Normal 2 5 2 7" xfId="2495" xr:uid="{00000000-0005-0000-0000-000080040000}"/>
    <cellStyle name="Normal 2 5 2 7 2" xfId="7693" xr:uid="{00000000-0005-0000-0000-0000FA050000}"/>
    <cellStyle name="Normal 2 5 2 7 3" xfId="10090" xr:uid="{00000000-0005-0000-0000-0000FA050000}"/>
    <cellStyle name="Normal 2 5 2 8" xfId="2189" xr:uid="{00000000-0005-0000-0000-000069040000}"/>
    <cellStyle name="Normal 2 5 2 9" xfId="3944" xr:uid="{00000000-0005-0000-0000-0000E9010000}"/>
    <cellStyle name="Normal 2 5 3" xfId="794" xr:uid="{00000000-0005-0000-0000-0000C6040000}"/>
    <cellStyle name="Normal 2 5 3 10" xfId="5347" xr:uid="{00000000-0005-0000-0000-0000B5020000}"/>
    <cellStyle name="Normal 2 5 3 11" xfId="4803" xr:uid="{00000000-0005-0000-0000-000072020000}"/>
    <cellStyle name="Normal 2 5 3 12" xfId="6549" xr:uid="{00000000-0005-0000-0000-0000FB050000}"/>
    <cellStyle name="Normal 2 5 3 13" xfId="8970" xr:uid="{00000000-0005-0000-0000-0000FB050000}"/>
    <cellStyle name="Normal 2 5 3 2" xfId="795" xr:uid="{00000000-0005-0000-0000-0000C7040000}"/>
    <cellStyle name="Normal 2 5 3 2 10" xfId="6653" xr:uid="{00000000-0005-0000-0000-0000FC050000}"/>
    <cellStyle name="Normal 2 5 3 2 11" xfId="9074" xr:uid="{00000000-0005-0000-0000-0000FC050000}"/>
    <cellStyle name="Normal 2 5 3 2 2" xfId="796" xr:uid="{00000000-0005-0000-0000-0000C8040000}"/>
    <cellStyle name="Normal 2 5 3 2 2 2" xfId="3224" xr:uid="{00000000-0005-0000-0000-000084040000}"/>
    <cellStyle name="Normal 2 5 3 2 2 2 2" xfId="8577" xr:uid="{00000000-0005-0000-0000-0000FE050000}"/>
    <cellStyle name="Normal 2 5 3 2 2 2 3" xfId="10974" xr:uid="{00000000-0005-0000-0000-0000FE050000}"/>
    <cellStyle name="Normal 2 5 3 2 2 3" xfId="4309" xr:uid="{00000000-0005-0000-0000-000083040000}"/>
    <cellStyle name="Normal 2 5 3 2 2 3 2" xfId="7993" xr:uid="{00000000-0005-0000-0000-0000FF050000}"/>
    <cellStyle name="Normal 2 5 3 2 2 3 3" xfId="10390" xr:uid="{00000000-0005-0000-0000-0000FF050000}"/>
    <cellStyle name="Normal 2 5 3 2 2 4" xfId="5882" xr:uid="{00000000-0005-0000-0000-0000B7020000}"/>
    <cellStyle name="Normal 2 5 3 2 2 5" xfId="5138" xr:uid="{00000000-0005-0000-0000-000074020000}"/>
    <cellStyle name="Normal 2 5 3 2 2 6" xfId="7232" xr:uid="{00000000-0005-0000-0000-0000FD050000}"/>
    <cellStyle name="Normal 2 5 3 2 2 7" xfId="9637" xr:uid="{00000000-0005-0000-0000-0000FD050000}"/>
    <cellStyle name="Normal 2 5 3 2 3" xfId="3225" xr:uid="{00000000-0005-0000-0000-000085040000}"/>
    <cellStyle name="Normal 2 5 3 2 3 2" xfId="4483" xr:uid="{00000000-0005-0000-0000-000085040000}"/>
    <cellStyle name="Normal 2 5 3 2 3 2 2" xfId="8578" xr:uid="{00000000-0005-0000-0000-000001060000}"/>
    <cellStyle name="Normal 2 5 3 2 3 2 3" xfId="10975" xr:uid="{00000000-0005-0000-0000-000001060000}"/>
    <cellStyle name="Normal 2 5 3 2 3 3" xfId="5653" xr:uid="{00000000-0005-0000-0000-0000B8020000}"/>
    <cellStyle name="Normal 2 5 3 2 3 4" xfId="7231" xr:uid="{00000000-0005-0000-0000-000000060000}"/>
    <cellStyle name="Normal 2 5 3 2 3 5" xfId="9636" xr:uid="{00000000-0005-0000-0000-000000060000}"/>
    <cellStyle name="Normal 2 5 3 2 4" xfId="3223" xr:uid="{00000000-0005-0000-0000-000086040000}"/>
    <cellStyle name="Normal 2 5 3 2 4 2" xfId="8576" xr:uid="{00000000-0005-0000-0000-000002060000}"/>
    <cellStyle name="Normal 2 5 3 2 4 3" xfId="10973" xr:uid="{00000000-0005-0000-0000-000002060000}"/>
    <cellStyle name="Normal 2 5 3 2 5" xfId="2529" xr:uid="{00000000-0005-0000-0000-000087040000}"/>
    <cellStyle name="Normal 2 5 3 2 5 2" xfId="7727" xr:uid="{00000000-0005-0000-0000-000003060000}"/>
    <cellStyle name="Normal 2 5 3 2 5 3" xfId="10124" xr:uid="{00000000-0005-0000-0000-000003060000}"/>
    <cellStyle name="Normal 2 5 3 2 6" xfId="2335" xr:uid="{00000000-0005-0000-0000-000082040000}"/>
    <cellStyle name="Normal 2 5 3 2 7" xfId="3850" xr:uid="{00000000-0005-0000-0000-0000ED010000}"/>
    <cellStyle name="Normal 2 5 3 2 8" xfId="5407" xr:uid="{00000000-0005-0000-0000-0000B6020000}"/>
    <cellStyle name="Normal 2 5 3 2 9" xfId="4907" xr:uid="{00000000-0005-0000-0000-000073020000}"/>
    <cellStyle name="Normal 2 5 3 3" xfId="797" xr:uid="{00000000-0005-0000-0000-0000C9040000}"/>
    <cellStyle name="Normal 2 5 3 3 10" xfId="9235" xr:uid="{00000000-0005-0000-0000-000004060000}"/>
    <cellStyle name="Normal 2 5 3 3 2" xfId="2744" xr:uid="{00000000-0005-0000-0000-000089040000}"/>
    <cellStyle name="Normal 2 5 3 3 2 2" xfId="3227" xr:uid="{00000000-0005-0000-0000-00008A040000}"/>
    <cellStyle name="Normal 2 5 3 3 2 2 2" xfId="8580" xr:uid="{00000000-0005-0000-0000-000006060000}"/>
    <cellStyle name="Normal 2 5 3 3 2 2 3" xfId="10977" xr:uid="{00000000-0005-0000-0000-000006060000}"/>
    <cellStyle name="Normal 2 5 3 3 2 3" xfId="4310" xr:uid="{00000000-0005-0000-0000-000089040000}"/>
    <cellStyle name="Normal 2 5 3 3 2 3 2" xfId="7994" xr:uid="{00000000-0005-0000-0000-000007060000}"/>
    <cellStyle name="Normal 2 5 3 3 2 3 3" xfId="10391" xr:uid="{00000000-0005-0000-0000-000007060000}"/>
    <cellStyle name="Normal 2 5 3 3 2 4" xfId="5883" xr:uid="{00000000-0005-0000-0000-0000BA020000}"/>
    <cellStyle name="Normal 2 5 3 3 2 5" xfId="7233" xr:uid="{00000000-0005-0000-0000-000005060000}"/>
    <cellStyle name="Normal 2 5 3 3 2 6" xfId="9638" xr:uid="{00000000-0005-0000-0000-000005060000}"/>
    <cellStyle name="Normal 2 5 3 3 3" xfId="3228" xr:uid="{00000000-0005-0000-0000-00008B040000}"/>
    <cellStyle name="Normal 2 5 3 3 3 2" xfId="4484" xr:uid="{00000000-0005-0000-0000-00008B040000}"/>
    <cellStyle name="Normal 2 5 3 3 3 2 2" xfId="11892" xr:uid="{00000000-0005-0000-0000-00005B060000}"/>
    <cellStyle name="Normal 2 5 3 3 3 3" xfId="5738" xr:uid="{00000000-0005-0000-0000-0000BB020000}"/>
    <cellStyle name="Normal 2 5 3 3 3 4" xfId="8581" xr:uid="{00000000-0005-0000-0000-000008060000}"/>
    <cellStyle name="Normal 2 5 3 3 3 5" xfId="10978" xr:uid="{00000000-0005-0000-0000-000008060000}"/>
    <cellStyle name="Normal 2 5 3 3 4" xfId="3226" xr:uid="{00000000-0005-0000-0000-00008C040000}"/>
    <cellStyle name="Normal 2 5 3 3 4 2" xfId="8579" xr:uid="{00000000-0005-0000-0000-000009060000}"/>
    <cellStyle name="Normal 2 5 3 3 4 3" xfId="10976" xr:uid="{00000000-0005-0000-0000-000009060000}"/>
    <cellStyle name="Normal 2 5 3 3 5" xfId="2632" xr:uid="{00000000-0005-0000-0000-00008D040000}"/>
    <cellStyle name="Normal 2 5 3 3 5 2" xfId="7830" xr:uid="{00000000-0005-0000-0000-00000A060000}"/>
    <cellStyle name="Normal 2 5 3 3 5 3" xfId="10227" xr:uid="{00000000-0005-0000-0000-00000A060000}"/>
    <cellStyle name="Normal 2 5 3 3 6" xfId="4169" xr:uid="{00000000-0005-0000-0000-000088040000}"/>
    <cellStyle name="Normal 2 5 3 3 7" xfId="5508" xr:uid="{00000000-0005-0000-0000-0000B9020000}"/>
    <cellStyle name="Normal 2 5 3 3 8" xfId="5137" xr:uid="{00000000-0005-0000-0000-000075020000}"/>
    <cellStyle name="Normal 2 5 3 3 9" xfId="6814" xr:uid="{00000000-0005-0000-0000-000004060000}"/>
    <cellStyle name="Normal 2 5 3 4" xfId="798" xr:uid="{00000000-0005-0000-0000-0000CA040000}"/>
    <cellStyle name="Normal 2 5 3 4 2" xfId="3229" xr:uid="{00000000-0005-0000-0000-00008F040000}"/>
    <cellStyle name="Normal 2 5 3 4 2 2" xfId="8582" xr:uid="{00000000-0005-0000-0000-00000C060000}"/>
    <cellStyle name="Normal 2 5 3 4 2 3" xfId="10979" xr:uid="{00000000-0005-0000-0000-00000C060000}"/>
    <cellStyle name="Normal 2 5 3 4 3" xfId="4308" xr:uid="{00000000-0005-0000-0000-00008E040000}"/>
    <cellStyle name="Normal 2 5 3 4 3 2" xfId="7992" xr:uid="{00000000-0005-0000-0000-00000D060000}"/>
    <cellStyle name="Normal 2 5 3 4 3 3" xfId="10389" xr:uid="{00000000-0005-0000-0000-00000D060000}"/>
    <cellStyle name="Normal 2 5 3 4 4" xfId="5881" xr:uid="{00000000-0005-0000-0000-0000BC020000}"/>
    <cellStyle name="Normal 2 5 3 4 5" xfId="7234" xr:uid="{00000000-0005-0000-0000-00000B060000}"/>
    <cellStyle name="Normal 2 5 3 4 6" xfId="9639" xr:uid="{00000000-0005-0000-0000-00000B060000}"/>
    <cellStyle name="Normal 2 5 3 5" xfId="3230" xr:uid="{00000000-0005-0000-0000-000090040000}"/>
    <cellStyle name="Normal 2 5 3 5 2" xfId="4485" xr:uid="{00000000-0005-0000-0000-000090040000}"/>
    <cellStyle name="Normal 2 5 3 5 2 2" xfId="8583" xr:uid="{00000000-0005-0000-0000-00000F060000}"/>
    <cellStyle name="Normal 2 5 3 5 2 3" xfId="10980" xr:uid="{00000000-0005-0000-0000-00000F060000}"/>
    <cellStyle name="Normal 2 5 3 5 3" xfId="5593" xr:uid="{00000000-0005-0000-0000-0000BD020000}"/>
    <cellStyle name="Normal 2 5 3 5 4" xfId="7230" xr:uid="{00000000-0005-0000-0000-00000E060000}"/>
    <cellStyle name="Normal 2 5 3 5 5" xfId="9635" xr:uid="{00000000-0005-0000-0000-00000E060000}"/>
    <cellStyle name="Normal 2 5 3 6" xfId="2910" xr:uid="{00000000-0005-0000-0000-000091040000}"/>
    <cellStyle name="Normal 2 5 3 6 2" xfId="8235" xr:uid="{00000000-0005-0000-0000-000010060000}"/>
    <cellStyle name="Normal 2 5 3 6 3" xfId="10632" xr:uid="{00000000-0005-0000-0000-000010060000}"/>
    <cellStyle name="Normal 2 5 3 7" xfId="2469" xr:uid="{00000000-0005-0000-0000-000092040000}"/>
    <cellStyle name="Normal 2 5 3 7 2" xfId="7667" xr:uid="{00000000-0005-0000-0000-000011060000}"/>
    <cellStyle name="Normal 2 5 3 7 3" xfId="10064" xr:uid="{00000000-0005-0000-0000-000011060000}"/>
    <cellStyle name="Normal 2 5 3 8" xfId="2223" xr:uid="{00000000-0005-0000-0000-000081040000}"/>
    <cellStyle name="Normal 2 5 3 9" xfId="3945" xr:uid="{00000000-0005-0000-0000-0000EC010000}"/>
    <cellStyle name="Normal 2 5 4" xfId="799" xr:uid="{00000000-0005-0000-0000-0000CB040000}"/>
    <cellStyle name="Normal 2 5 4 10" xfId="4786" xr:uid="{00000000-0005-0000-0000-000076020000}"/>
    <cellStyle name="Normal 2 5 4 11" xfId="6654" xr:uid="{00000000-0005-0000-0000-000012060000}"/>
    <cellStyle name="Normal 2 5 4 12" xfId="9075" xr:uid="{00000000-0005-0000-0000-000012060000}"/>
    <cellStyle name="Normal 2 5 4 2" xfId="800" xr:uid="{00000000-0005-0000-0000-0000CC040000}"/>
    <cellStyle name="Normal 2 5 4 2 10" xfId="6815" xr:uid="{00000000-0005-0000-0000-000013060000}"/>
    <cellStyle name="Normal 2 5 4 2 11" xfId="9236" xr:uid="{00000000-0005-0000-0000-000013060000}"/>
    <cellStyle name="Normal 2 5 4 2 2" xfId="801" xr:uid="{00000000-0005-0000-0000-0000CD040000}"/>
    <cellStyle name="Normal 2 5 4 2 2 2" xfId="3232" xr:uid="{00000000-0005-0000-0000-000096040000}"/>
    <cellStyle name="Normal 2 5 4 2 2 2 2" xfId="8585" xr:uid="{00000000-0005-0000-0000-000015060000}"/>
    <cellStyle name="Normal 2 5 4 2 2 2 3" xfId="10982" xr:uid="{00000000-0005-0000-0000-000015060000}"/>
    <cellStyle name="Normal 2 5 4 2 2 3" xfId="4311" xr:uid="{00000000-0005-0000-0000-000095040000}"/>
    <cellStyle name="Normal 2 5 4 2 2 3 2" xfId="7996" xr:uid="{00000000-0005-0000-0000-000016060000}"/>
    <cellStyle name="Normal 2 5 4 2 2 3 3" xfId="10393" xr:uid="{00000000-0005-0000-0000-000016060000}"/>
    <cellStyle name="Normal 2 5 4 2 2 4" xfId="5885" xr:uid="{00000000-0005-0000-0000-0000C0020000}"/>
    <cellStyle name="Normal 2 5 4 2 2 5" xfId="5140" xr:uid="{00000000-0005-0000-0000-000078020000}"/>
    <cellStyle name="Normal 2 5 4 2 2 6" xfId="7237" xr:uid="{00000000-0005-0000-0000-000014060000}"/>
    <cellStyle name="Normal 2 5 4 2 2 7" xfId="9642" xr:uid="{00000000-0005-0000-0000-000014060000}"/>
    <cellStyle name="Normal 2 5 4 2 3" xfId="3233" xr:uid="{00000000-0005-0000-0000-000097040000}"/>
    <cellStyle name="Normal 2 5 4 2 3 2" xfId="4486" xr:uid="{00000000-0005-0000-0000-000097040000}"/>
    <cellStyle name="Normal 2 5 4 2 3 2 2" xfId="8586" xr:uid="{00000000-0005-0000-0000-000018060000}"/>
    <cellStyle name="Normal 2 5 4 2 3 2 3" xfId="10983" xr:uid="{00000000-0005-0000-0000-000018060000}"/>
    <cellStyle name="Normal 2 5 4 2 3 3" xfId="5721" xr:uid="{00000000-0005-0000-0000-0000C1020000}"/>
    <cellStyle name="Normal 2 5 4 2 3 4" xfId="7236" xr:uid="{00000000-0005-0000-0000-000017060000}"/>
    <cellStyle name="Normal 2 5 4 2 3 5" xfId="9641" xr:uid="{00000000-0005-0000-0000-000017060000}"/>
    <cellStyle name="Normal 2 5 4 2 4" xfId="3231" xr:uid="{00000000-0005-0000-0000-000098040000}"/>
    <cellStyle name="Normal 2 5 4 2 4 2" xfId="8584" xr:uid="{00000000-0005-0000-0000-000019060000}"/>
    <cellStyle name="Normal 2 5 4 2 4 3" xfId="10981" xr:uid="{00000000-0005-0000-0000-000019060000}"/>
    <cellStyle name="Normal 2 5 4 2 5" xfId="2615" xr:uid="{00000000-0005-0000-0000-000099040000}"/>
    <cellStyle name="Normal 2 5 4 2 5 2" xfId="7813" xr:uid="{00000000-0005-0000-0000-00001A060000}"/>
    <cellStyle name="Normal 2 5 4 2 5 3" xfId="10210" xr:uid="{00000000-0005-0000-0000-00001A060000}"/>
    <cellStyle name="Normal 2 5 4 2 6" xfId="2336" xr:uid="{00000000-0005-0000-0000-000094040000}"/>
    <cellStyle name="Normal 2 5 4 2 7" xfId="3851" xr:uid="{00000000-0005-0000-0000-0000EF010000}"/>
    <cellStyle name="Normal 2 5 4 2 8" xfId="5491" xr:uid="{00000000-0005-0000-0000-0000BF020000}"/>
    <cellStyle name="Normal 2 5 4 2 9" xfId="4908" xr:uid="{00000000-0005-0000-0000-000077020000}"/>
    <cellStyle name="Normal 2 5 4 3" xfId="802" xr:uid="{00000000-0005-0000-0000-0000CE040000}"/>
    <cellStyle name="Normal 2 5 4 3 2" xfId="3234" xr:uid="{00000000-0005-0000-0000-00009B040000}"/>
    <cellStyle name="Normal 2 5 4 3 2 2" xfId="8587" xr:uid="{00000000-0005-0000-0000-00001C060000}"/>
    <cellStyle name="Normal 2 5 4 3 2 2 2" xfId="11893" xr:uid="{00000000-0005-0000-0000-000070060000}"/>
    <cellStyle name="Normal 2 5 4 3 2 3" xfId="10984" xr:uid="{00000000-0005-0000-0000-00001C060000}"/>
    <cellStyle name="Normal 2 5 4 3 2 4" xfId="11688" xr:uid="{00000000-0005-0000-0000-00006F060000}"/>
    <cellStyle name="Normal 2 5 4 3 3" xfId="2745" xr:uid="{00000000-0005-0000-0000-00009C040000}"/>
    <cellStyle name="Normal 2 5 4 3 3 2" xfId="7995" xr:uid="{00000000-0005-0000-0000-00001D060000}"/>
    <cellStyle name="Normal 2 5 4 3 3 3" xfId="10392" xr:uid="{00000000-0005-0000-0000-00001D060000}"/>
    <cellStyle name="Normal 2 5 4 3 4" xfId="4170" xr:uid="{00000000-0005-0000-0000-00009A040000}"/>
    <cellStyle name="Normal 2 5 4 3 4 2" xfId="11815" xr:uid="{00000000-0005-0000-0000-000072060000}"/>
    <cellStyle name="Normal 2 5 4 3 5" xfId="5884" xr:uid="{00000000-0005-0000-0000-0000C2020000}"/>
    <cellStyle name="Normal 2 5 4 3 6" xfId="5139" xr:uid="{00000000-0005-0000-0000-000079020000}"/>
    <cellStyle name="Normal 2 5 4 3 7" xfId="7238" xr:uid="{00000000-0005-0000-0000-00001B060000}"/>
    <cellStyle name="Normal 2 5 4 3 8" xfId="9643" xr:uid="{00000000-0005-0000-0000-00001B060000}"/>
    <cellStyle name="Normal 2 5 4 4" xfId="803" xr:uid="{00000000-0005-0000-0000-0000CF040000}"/>
    <cellStyle name="Normal 2 5 4 4 2" xfId="4487" xr:uid="{00000000-0005-0000-0000-00009D040000}"/>
    <cellStyle name="Normal 2 5 4 4 2 2" xfId="8588" xr:uid="{00000000-0005-0000-0000-00001F060000}"/>
    <cellStyle name="Normal 2 5 4 4 2 3" xfId="10985" xr:uid="{00000000-0005-0000-0000-00001F060000}"/>
    <cellStyle name="Normal 2 5 4 4 3" xfId="5576" xr:uid="{00000000-0005-0000-0000-0000C3020000}"/>
    <cellStyle name="Normal 2 5 4 4 4" xfId="7239" xr:uid="{00000000-0005-0000-0000-00001E060000}"/>
    <cellStyle name="Normal 2 5 4 4 5" xfId="9644" xr:uid="{00000000-0005-0000-0000-00001E060000}"/>
    <cellStyle name="Normal 2 5 4 5" xfId="2911" xr:uid="{00000000-0005-0000-0000-00009E040000}"/>
    <cellStyle name="Normal 2 5 4 5 2" xfId="8236" xr:uid="{00000000-0005-0000-0000-000021060000}"/>
    <cellStyle name="Normal 2 5 4 5 2 2" xfId="10633" xr:uid="{00000000-0005-0000-0000-000021060000}"/>
    <cellStyle name="Normal 2 5 4 5 3" xfId="7235" xr:uid="{00000000-0005-0000-0000-000020060000}"/>
    <cellStyle name="Normal 2 5 4 5 4" xfId="9640" xr:uid="{00000000-0005-0000-0000-000020060000}"/>
    <cellStyle name="Normal 2 5 4 6" xfId="2452" xr:uid="{00000000-0005-0000-0000-00009F040000}"/>
    <cellStyle name="Normal 2 5 4 6 2" xfId="7650" xr:uid="{00000000-0005-0000-0000-000022060000}"/>
    <cellStyle name="Normal 2 5 4 6 3" xfId="10047" xr:uid="{00000000-0005-0000-0000-000022060000}"/>
    <cellStyle name="Normal 2 5 4 7" xfId="2206" xr:uid="{00000000-0005-0000-0000-000093040000}"/>
    <cellStyle name="Normal 2 5 4 8" xfId="3946" xr:uid="{00000000-0005-0000-0000-0000EE010000}"/>
    <cellStyle name="Normal 2 5 4 9" xfId="5330" xr:uid="{00000000-0005-0000-0000-0000BE020000}"/>
    <cellStyle name="Normal 2 5 5" xfId="804" xr:uid="{00000000-0005-0000-0000-0000D0040000}"/>
    <cellStyle name="Normal 2 5 5 10" xfId="6655" xr:uid="{00000000-0005-0000-0000-000023060000}"/>
    <cellStyle name="Normal 2 5 5 11" xfId="9076" xr:uid="{00000000-0005-0000-0000-000023060000}"/>
    <cellStyle name="Normal 2 5 5 2" xfId="805" xr:uid="{00000000-0005-0000-0000-0000D1040000}"/>
    <cellStyle name="Normal 2 5 5 2 2" xfId="806" xr:uid="{00000000-0005-0000-0000-0000D2040000}"/>
    <cellStyle name="Normal 2 5 5 2 2 2" xfId="6392" xr:uid="{00000000-0005-0000-0000-0000A2040000}"/>
    <cellStyle name="Normal 2 5 5 2 2 2 2" xfId="8589" xr:uid="{00000000-0005-0000-0000-000026060000}"/>
    <cellStyle name="Normal 2 5 5 2 2 2 3" xfId="10986" xr:uid="{00000000-0005-0000-0000-000026060000}"/>
    <cellStyle name="Normal 2 5 5 2 2 3" xfId="7242" xr:uid="{00000000-0005-0000-0000-000025060000}"/>
    <cellStyle name="Normal 2 5 5 2 2 3 2" xfId="12079" xr:uid="{00000000-0005-0000-0000-0000F0040000}"/>
    <cellStyle name="Normal 2 5 5 2 2 4" xfId="9647" xr:uid="{00000000-0005-0000-0000-000025060000}"/>
    <cellStyle name="Normal 2 5 5 2 2 5" xfId="12043" xr:uid="{00000000-0005-0000-0000-0000EE040000}"/>
    <cellStyle name="Normal 2 5 5 2 3" xfId="2746" xr:uid="{00000000-0005-0000-0000-0000A3040000}"/>
    <cellStyle name="Normal 2 5 5 2 3 2" xfId="6201" xr:uid="{00000000-0005-0000-0000-0000A3040000}"/>
    <cellStyle name="Normal 2 5 5 2 3 3" xfId="7241" xr:uid="{00000000-0005-0000-0000-000027060000}"/>
    <cellStyle name="Normal 2 5 5 2 3 4" xfId="9646" xr:uid="{00000000-0005-0000-0000-000027060000}"/>
    <cellStyle name="Normal 2 5 5 2 4" xfId="4171" xr:uid="{00000000-0005-0000-0000-0000A1040000}"/>
    <cellStyle name="Normal 2 5 5 2 4 2" xfId="7997" xr:uid="{00000000-0005-0000-0000-000028060000}"/>
    <cellStyle name="Normal 2 5 5 2 4 3" xfId="10394" xr:uid="{00000000-0005-0000-0000-000028060000}"/>
    <cellStyle name="Normal 2 5 5 2 5" xfId="5886" xr:uid="{00000000-0005-0000-0000-0000C5020000}"/>
    <cellStyle name="Normal 2 5 5 2 6" xfId="5141" xr:uid="{00000000-0005-0000-0000-00007B020000}"/>
    <cellStyle name="Normal 2 5 5 2 7" xfId="6816" xr:uid="{00000000-0005-0000-0000-000024060000}"/>
    <cellStyle name="Normal 2 5 5 2 8" xfId="9237" xr:uid="{00000000-0005-0000-0000-000024060000}"/>
    <cellStyle name="Normal 2 5 5 3" xfId="807" xr:uid="{00000000-0005-0000-0000-0000D3040000}"/>
    <cellStyle name="Normal 2 5 5 3 2" xfId="4488" xr:uid="{00000000-0005-0000-0000-0000A4040000}"/>
    <cellStyle name="Normal 2 5 5 3 2 2" xfId="8590" xr:uid="{00000000-0005-0000-0000-00002A060000}"/>
    <cellStyle name="Normal 2 5 5 3 2 3" xfId="10987" xr:uid="{00000000-0005-0000-0000-00002A060000}"/>
    <cellStyle name="Normal 2 5 5 3 3" xfId="5636" xr:uid="{00000000-0005-0000-0000-0000C6020000}"/>
    <cellStyle name="Normal 2 5 5 3 3 2" xfId="11689" xr:uid="{00000000-0005-0000-0000-000080060000}"/>
    <cellStyle name="Normal 2 5 5 3 4" xfId="7243" xr:uid="{00000000-0005-0000-0000-000029060000}"/>
    <cellStyle name="Normal 2 5 5 3 4 2" xfId="11894" xr:uid="{00000000-0005-0000-0000-000081060000}"/>
    <cellStyle name="Normal 2 5 5 3 5" xfId="9648" xr:uid="{00000000-0005-0000-0000-000029060000}"/>
    <cellStyle name="Normal 2 5 5 3 6" xfId="11651" xr:uid="{00000000-0005-0000-0000-00007E060000}"/>
    <cellStyle name="Normal 2 5 5 4" xfId="808" xr:uid="{00000000-0005-0000-0000-0000D4040000}"/>
    <cellStyle name="Normal 2 5 5 4 2" xfId="6303" xr:uid="{00000000-0005-0000-0000-0000A5040000}"/>
    <cellStyle name="Normal 2 5 5 4 2 2" xfId="8237" xr:uid="{00000000-0005-0000-0000-00002C060000}"/>
    <cellStyle name="Normal 2 5 5 4 2 3" xfId="10634" xr:uid="{00000000-0005-0000-0000-00002C060000}"/>
    <cellStyle name="Normal 2 5 5 4 3" xfId="7244" xr:uid="{00000000-0005-0000-0000-00002B060000}"/>
    <cellStyle name="Normal 2 5 5 4 4" xfId="9649" xr:uid="{00000000-0005-0000-0000-00002B060000}"/>
    <cellStyle name="Normal 2 5 5 5" xfId="2512" xr:uid="{00000000-0005-0000-0000-0000A6040000}"/>
    <cellStyle name="Normal 2 5 5 5 2" xfId="7240" xr:uid="{00000000-0005-0000-0000-00002D060000}"/>
    <cellStyle name="Normal 2 5 5 5 3" xfId="9645" xr:uid="{00000000-0005-0000-0000-00002D060000}"/>
    <cellStyle name="Normal 2 5 5 6" xfId="2337" xr:uid="{00000000-0005-0000-0000-0000A0040000}"/>
    <cellStyle name="Normal 2 5 5 6 2" xfId="7710" xr:uid="{00000000-0005-0000-0000-00002E060000}"/>
    <cellStyle name="Normal 2 5 5 6 3" xfId="10107" xr:uid="{00000000-0005-0000-0000-00002E060000}"/>
    <cellStyle name="Normal 2 5 5 7" xfId="3947" xr:uid="{00000000-0005-0000-0000-0000F0010000}"/>
    <cellStyle name="Normal 2 5 5 8" xfId="5390" xr:uid="{00000000-0005-0000-0000-0000C4020000}"/>
    <cellStyle name="Normal 2 5 5 9" xfId="4909" xr:uid="{00000000-0005-0000-0000-00007A020000}"/>
    <cellStyle name="Normal 2 5 6" xfId="809" xr:uid="{00000000-0005-0000-0000-0000D5040000}"/>
    <cellStyle name="Normal 2 5 6 10" xfId="6656" xr:uid="{00000000-0005-0000-0000-00002F060000}"/>
    <cellStyle name="Normal 2 5 6 11" xfId="9077" xr:uid="{00000000-0005-0000-0000-00002F060000}"/>
    <cellStyle name="Normal 2 5 6 2" xfId="810" xr:uid="{00000000-0005-0000-0000-0000D6040000}"/>
    <cellStyle name="Normal 2 5 6 2 2" xfId="811" xr:uid="{00000000-0005-0000-0000-0000D7040000}"/>
    <cellStyle name="Normal 2 5 6 2 2 2" xfId="6393" xr:uid="{00000000-0005-0000-0000-0000A9040000}"/>
    <cellStyle name="Normal 2 5 6 2 2 2 2" xfId="8591" xr:uid="{00000000-0005-0000-0000-000032060000}"/>
    <cellStyle name="Normal 2 5 6 2 2 2 3" xfId="10988" xr:uid="{00000000-0005-0000-0000-000032060000}"/>
    <cellStyle name="Normal 2 5 6 2 2 3" xfId="7247" xr:uid="{00000000-0005-0000-0000-000031060000}"/>
    <cellStyle name="Normal 2 5 6 2 2 3 2" xfId="12080" xr:uid="{00000000-0005-0000-0000-0000FC040000}"/>
    <cellStyle name="Normal 2 5 6 2 2 4" xfId="9652" xr:uid="{00000000-0005-0000-0000-000031060000}"/>
    <cellStyle name="Normal 2 5 6 2 2 5" xfId="12044" xr:uid="{00000000-0005-0000-0000-0000FA040000}"/>
    <cellStyle name="Normal 2 5 6 2 3" xfId="2747" xr:uid="{00000000-0005-0000-0000-0000AA040000}"/>
    <cellStyle name="Normal 2 5 6 2 3 2" xfId="6202" xr:uid="{00000000-0005-0000-0000-0000AA040000}"/>
    <cellStyle name="Normal 2 5 6 2 3 3" xfId="7246" xr:uid="{00000000-0005-0000-0000-000033060000}"/>
    <cellStyle name="Normal 2 5 6 2 3 4" xfId="9651" xr:uid="{00000000-0005-0000-0000-000033060000}"/>
    <cellStyle name="Normal 2 5 6 2 4" xfId="4172" xr:uid="{00000000-0005-0000-0000-0000A8040000}"/>
    <cellStyle name="Normal 2 5 6 2 4 2" xfId="7998" xr:uid="{00000000-0005-0000-0000-000034060000}"/>
    <cellStyle name="Normal 2 5 6 2 4 3" xfId="10395" xr:uid="{00000000-0005-0000-0000-000034060000}"/>
    <cellStyle name="Normal 2 5 6 2 5" xfId="5887" xr:uid="{00000000-0005-0000-0000-0000C8020000}"/>
    <cellStyle name="Normal 2 5 6 2 6" xfId="5142" xr:uid="{00000000-0005-0000-0000-00007D020000}"/>
    <cellStyle name="Normal 2 5 6 2 7" xfId="6817" xr:uid="{00000000-0005-0000-0000-000030060000}"/>
    <cellStyle name="Normal 2 5 6 2 8" xfId="9238" xr:uid="{00000000-0005-0000-0000-000030060000}"/>
    <cellStyle name="Normal 2 5 6 3" xfId="812" xr:uid="{00000000-0005-0000-0000-0000D8040000}"/>
    <cellStyle name="Normal 2 5 6 3 2" xfId="4489" xr:uid="{00000000-0005-0000-0000-0000AB040000}"/>
    <cellStyle name="Normal 2 5 6 3 2 2" xfId="8592" xr:uid="{00000000-0005-0000-0000-000036060000}"/>
    <cellStyle name="Normal 2 5 6 3 2 3" xfId="10989" xr:uid="{00000000-0005-0000-0000-000036060000}"/>
    <cellStyle name="Normal 2 5 6 3 3" xfId="5679" xr:uid="{00000000-0005-0000-0000-0000C9020000}"/>
    <cellStyle name="Normal 2 5 6 3 3 2" xfId="12081" xr:uid="{00000000-0005-0000-0000-000001050000}"/>
    <cellStyle name="Normal 2 5 6 3 4" xfId="7248" xr:uid="{00000000-0005-0000-0000-000035060000}"/>
    <cellStyle name="Normal 2 5 6 3 5" xfId="9653" xr:uid="{00000000-0005-0000-0000-000035060000}"/>
    <cellStyle name="Normal 2 5 6 4" xfId="813" xr:uid="{00000000-0005-0000-0000-0000D9040000}"/>
    <cellStyle name="Normal 2 5 6 4 2" xfId="6304" xr:uid="{00000000-0005-0000-0000-0000AC040000}"/>
    <cellStyle name="Normal 2 5 6 4 2 2" xfId="8238" xr:uid="{00000000-0005-0000-0000-000038060000}"/>
    <cellStyle name="Normal 2 5 6 4 2 3" xfId="10635" xr:uid="{00000000-0005-0000-0000-000038060000}"/>
    <cellStyle name="Normal 2 5 6 4 3" xfId="7249" xr:uid="{00000000-0005-0000-0000-000037060000}"/>
    <cellStyle name="Normal 2 5 6 4 4" xfId="9654" xr:uid="{00000000-0005-0000-0000-000037060000}"/>
    <cellStyle name="Normal 2 5 6 5" xfId="2572" xr:uid="{00000000-0005-0000-0000-0000AD040000}"/>
    <cellStyle name="Normal 2 5 6 5 2" xfId="7245" xr:uid="{00000000-0005-0000-0000-000039060000}"/>
    <cellStyle name="Normal 2 5 6 5 3" xfId="9650" xr:uid="{00000000-0005-0000-0000-000039060000}"/>
    <cellStyle name="Normal 2 5 6 6" xfId="2338" xr:uid="{00000000-0005-0000-0000-0000A7040000}"/>
    <cellStyle name="Normal 2 5 6 6 2" xfId="7770" xr:uid="{00000000-0005-0000-0000-00003A060000}"/>
    <cellStyle name="Normal 2 5 6 6 3" xfId="10167" xr:uid="{00000000-0005-0000-0000-00003A060000}"/>
    <cellStyle name="Normal 2 5 6 7" xfId="3948" xr:uid="{00000000-0005-0000-0000-0000F1010000}"/>
    <cellStyle name="Normal 2 5 6 8" xfId="5448" xr:uid="{00000000-0005-0000-0000-0000C7020000}"/>
    <cellStyle name="Normal 2 5 6 9" xfId="4910" xr:uid="{00000000-0005-0000-0000-00007C020000}"/>
    <cellStyle name="Normal 2 5 7" xfId="814" xr:uid="{00000000-0005-0000-0000-0000DA040000}"/>
    <cellStyle name="Normal 2 5 7 2" xfId="815" xr:uid="{00000000-0005-0000-0000-0000DB040000}"/>
    <cellStyle name="Normal 2 5 7 2 2" xfId="2912" xr:uid="{00000000-0005-0000-0000-0000B0040000}"/>
    <cellStyle name="Normal 2 5 7 2 2 2" xfId="6305" xr:uid="{00000000-0005-0000-0000-0000B0040000}"/>
    <cellStyle name="Normal 2 5 7 2 2 3" xfId="7251" xr:uid="{00000000-0005-0000-0000-00003D060000}"/>
    <cellStyle name="Normal 2 5 7 2 2 4" xfId="9656" xr:uid="{00000000-0005-0000-0000-00003D060000}"/>
    <cellStyle name="Normal 2 5 7 2 3" xfId="4732" xr:uid="{00000000-0005-0000-0000-000080030000}"/>
    <cellStyle name="Normal 2 5 7 2 3 2" xfId="6112" xr:uid="{00000000-0005-0000-0000-0000AF040000}"/>
    <cellStyle name="Normal 2 5 7 2 3 3" xfId="8239" xr:uid="{00000000-0005-0000-0000-00003E060000}"/>
    <cellStyle name="Normal 2 5 7 2 3 4" xfId="10636" xr:uid="{00000000-0005-0000-0000-00003E060000}"/>
    <cellStyle name="Normal 2 5 7 2 4" xfId="5143" xr:uid="{00000000-0005-0000-0000-00007F020000}"/>
    <cellStyle name="Normal 2 5 7 2 5" xfId="6818" xr:uid="{00000000-0005-0000-0000-00003C060000}"/>
    <cellStyle name="Normal 2 5 7 2 6" xfId="9239" xr:uid="{00000000-0005-0000-0000-00003C060000}"/>
    <cellStyle name="Normal 2 5 7 3" xfId="816" xr:uid="{00000000-0005-0000-0000-0000DC040000}"/>
    <cellStyle name="Normal 2 5 7 3 2" xfId="6203" xr:uid="{00000000-0005-0000-0000-0000B1040000}"/>
    <cellStyle name="Normal 2 5 7 3 3" xfId="7252" xr:uid="{00000000-0005-0000-0000-00003F060000}"/>
    <cellStyle name="Normal 2 5 7 3 4" xfId="9657" xr:uid="{00000000-0005-0000-0000-00003F060000}"/>
    <cellStyle name="Normal 2 5 7 4" xfId="2339" xr:uid="{00000000-0005-0000-0000-0000AE040000}"/>
    <cellStyle name="Normal 2 5 7 4 2" xfId="6068" xr:uid="{00000000-0005-0000-0000-0000AE040000}"/>
    <cellStyle name="Normal 2 5 7 4 3" xfId="7250" xr:uid="{00000000-0005-0000-0000-000040060000}"/>
    <cellStyle name="Normal 2 5 7 4 4" xfId="9655" xr:uid="{00000000-0005-0000-0000-000040060000}"/>
    <cellStyle name="Normal 2 5 7 5" xfId="3949" xr:uid="{00000000-0005-0000-0000-0000F2010000}"/>
    <cellStyle name="Normal 2 5 7 5 2" xfId="7999" xr:uid="{00000000-0005-0000-0000-000041060000}"/>
    <cellStyle name="Normal 2 5 7 5 3" xfId="10396" xr:uid="{00000000-0005-0000-0000-000041060000}"/>
    <cellStyle name="Normal 2 5 7 6" xfId="5888" xr:uid="{00000000-0005-0000-0000-0000CA020000}"/>
    <cellStyle name="Normal 2 5 7 7" xfId="4911" xr:uid="{00000000-0005-0000-0000-00007E020000}"/>
    <cellStyle name="Normal 2 5 7 8" xfId="6657" xr:uid="{00000000-0005-0000-0000-00003B060000}"/>
    <cellStyle name="Normal 2 5 7 9" xfId="9078" xr:uid="{00000000-0005-0000-0000-00003B060000}"/>
    <cellStyle name="Normal 2 5 8" xfId="817" xr:uid="{00000000-0005-0000-0000-0000DD040000}"/>
    <cellStyle name="Normal 2 5 8 2" xfId="818" xr:uid="{00000000-0005-0000-0000-0000DE040000}"/>
    <cellStyle name="Normal 2 5 8 2 2" xfId="2913" xr:uid="{00000000-0005-0000-0000-0000B4040000}"/>
    <cellStyle name="Normal 2 5 8 2 2 2" xfId="6306" xr:uid="{00000000-0005-0000-0000-0000B4040000}"/>
    <cellStyle name="Normal 2 5 8 2 2 3" xfId="7254" xr:uid="{00000000-0005-0000-0000-000044060000}"/>
    <cellStyle name="Normal 2 5 8 2 2 4" xfId="9659" xr:uid="{00000000-0005-0000-0000-000044060000}"/>
    <cellStyle name="Normal 2 5 8 2 3" xfId="4733" xr:uid="{00000000-0005-0000-0000-000086030000}"/>
    <cellStyle name="Normal 2 5 8 2 3 2" xfId="6113" xr:uid="{00000000-0005-0000-0000-0000B3040000}"/>
    <cellStyle name="Normal 2 5 8 2 3 3" xfId="8240" xr:uid="{00000000-0005-0000-0000-000045060000}"/>
    <cellStyle name="Normal 2 5 8 2 3 4" xfId="10637" xr:uid="{00000000-0005-0000-0000-000045060000}"/>
    <cellStyle name="Normal 2 5 8 2 4" xfId="5144" xr:uid="{00000000-0005-0000-0000-000081020000}"/>
    <cellStyle name="Normal 2 5 8 2 5" xfId="6819" xr:uid="{00000000-0005-0000-0000-000043060000}"/>
    <cellStyle name="Normal 2 5 8 2 6" xfId="9240" xr:uid="{00000000-0005-0000-0000-000043060000}"/>
    <cellStyle name="Normal 2 5 8 3" xfId="819" xr:uid="{00000000-0005-0000-0000-0000DF040000}"/>
    <cellStyle name="Normal 2 5 8 3 2" xfId="6204" xr:uid="{00000000-0005-0000-0000-0000B5040000}"/>
    <cellStyle name="Normal 2 5 8 3 3" xfId="7255" xr:uid="{00000000-0005-0000-0000-000046060000}"/>
    <cellStyle name="Normal 2 5 8 3 4" xfId="9660" xr:uid="{00000000-0005-0000-0000-000046060000}"/>
    <cellStyle name="Normal 2 5 8 4" xfId="2340" xr:uid="{00000000-0005-0000-0000-0000B2040000}"/>
    <cellStyle name="Normal 2 5 8 4 2" xfId="6069" xr:uid="{00000000-0005-0000-0000-0000B2040000}"/>
    <cellStyle name="Normal 2 5 8 4 3" xfId="7253" xr:uid="{00000000-0005-0000-0000-000047060000}"/>
    <cellStyle name="Normal 2 5 8 4 4" xfId="9658" xr:uid="{00000000-0005-0000-0000-000047060000}"/>
    <cellStyle name="Normal 2 5 8 5" xfId="3950" xr:uid="{00000000-0005-0000-0000-0000F3010000}"/>
    <cellStyle name="Normal 2 5 8 5 2" xfId="8000" xr:uid="{00000000-0005-0000-0000-000048060000}"/>
    <cellStyle name="Normal 2 5 8 5 3" xfId="10397" xr:uid="{00000000-0005-0000-0000-000048060000}"/>
    <cellStyle name="Normal 2 5 8 6" xfId="5889" xr:uid="{00000000-0005-0000-0000-0000CB020000}"/>
    <cellStyle name="Normal 2 5 8 7" xfId="4912" xr:uid="{00000000-0005-0000-0000-000080020000}"/>
    <cellStyle name="Normal 2 5 8 8" xfId="6658" xr:uid="{00000000-0005-0000-0000-000042060000}"/>
    <cellStyle name="Normal 2 5 8 9" xfId="9079" xr:uid="{00000000-0005-0000-0000-000042060000}"/>
    <cellStyle name="Normal 2 5 9" xfId="820" xr:uid="{00000000-0005-0000-0000-0000E0040000}"/>
    <cellStyle name="Normal 2 5 9 2" xfId="3235" xr:uid="{00000000-0005-0000-0000-0000B7040000}"/>
    <cellStyle name="Normal 2 5 9 2 2" xfId="6394" xr:uid="{00000000-0005-0000-0000-0000B7040000}"/>
    <cellStyle name="Normal 2 5 9 2 2 2" xfId="8593" xr:uid="{00000000-0005-0000-0000-00004B060000}"/>
    <cellStyle name="Normal 2 5 9 2 2 3" xfId="10990" xr:uid="{00000000-0005-0000-0000-00004B060000}"/>
    <cellStyle name="Normal 2 5 9 2 3" xfId="5145" xr:uid="{00000000-0005-0000-0000-000083020000}"/>
    <cellStyle name="Normal 2 5 9 2 4" xfId="7256" xr:uid="{00000000-0005-0000-0000-00004A060000}"/>
    <cellStyle name="Normal 2 5 9 2 5" xfId="9661" xr:uid="{00000000-0005-0000-0000-00004A060000}"/>
    <cellStyle name="Normal 2 5 9 3" xfId="2739" xr:uid="{00000000-0005-0000-0000-0000B8040000}"/>
    <cellStyle name="Normal 2 5 9 3 2" xfId="6200" xr:uid="{00000000-0005-0000-0000-0000B8040000}"/>
    <cellStyle name="Normal 2 5 9 3 3" xfId="7987" xr:uid="{00000000-0005-0000-0000-00004C060000}"/>
    <cellStyle name="Normal 2 5 9 3 4" xfId="10384" xr:uid="{00000000-0005-0000-0000-00004C060000}"/>
    <cellStyle name="Normal 2 5 9 4" xfId="2272" xr:uid="{00000000-0005-0000-0000-0000B6040000}"/>
    <cellStyle name="Normal 2 5 9 4 2" xfId="11402" xr:uid="{00000000-0005-0000-0000-0000F1050000}"/>
    <cellStyle name="Normal 2 5 9 5" xfId="3810" xr:uid="{00000000-0005-0000-0000-0000F4010000}"/>
    <cellStyle name="Normal 2 5 9 6" xfId="5877" xr:uid="{00000000-0005-0000-0000-0000CC020000}"/>
    <cellStyle name="Normal 2 5 9 7" xfId="4905" xr:uid="{00000000-0005-0000-0000-000082020000}"/>
    <cellStyle name="Normal 2 5 9 8" xfId="6651" xr:uid="{00000000-0005-0000-0000-000049060000}"/>
    <cellStyle name="Normal 2 5 9 9" xfId="9072" xr:uid="{00000000-0005-0000-0000-000049060000}"/>
    <cellStyle name="Normal 2 6" xfId="821" xr:uid="{00000000-0005-0000-0000-0000E1040000}"/>
    <cellStyle name="Normal 2 6 10" xfId="5350" xr:uid="{00000000-0005-0000-0000-0000CD020000}"/>
    <cellStyle name="Normal 2 6 11" xfId="4806" xr:uid="{00000000-0005-0000-0000-000084020000}"/>
    <cellStyle name="Normal 2 6 12" xfId="6552" xr:uid="{00000000-0005-0000-0000-00004D060000}"/>
    <cellStyle name="Normal 2 6 13" xfId="8973" xr:uid="{00000000-0005-0000-0000-00004D060000}"/>
    <cellStyle name="Normal 2 6 2" xfId="822" xr:uid="{00000000-0005-0000-0000-0000E2040000}"/>
    <cellStyle name="Normal 2 6 2 10" xfId="4913" xr:uid="{00000000-0005-0000-0000-000085020000}"/>
    <cellStyle name="Normal 2 6 2 11" xfId="6659" xr:uid="{00000000-0005-0000-0000-00004E060000}"/>
    <cellStyle name="Normal 2 6 2 12" xfId="9080" xr:uid="{00000000-0005-0000-0000-00004E060000}"/>
    <cellStyle name="Normal 2 6 2 2" xfId="823" xr:uid="{00000000-0005-0000-0000-0000E3040000}"/>
    <cellStyle name="Normal 2 6 2 2 2" xfId="2750" xr:uid="{00000000-0005-0000-0000-0000BC040000}"/>
    <cellStyle name="Normal 2 6 2 2 2 2" xfId="3238" xr:uid="{00000000-0005-0000-0000-0000BD040000}"/>
    <cellStyle name="Normal 2 6 2 2 2 2 2" xfId="8596" xr:uid="{00000000-0005-0000-0000-000051060000}"/>
    <cellStyle name="Normal 2 6 2 2 2 2 3" xfId="10993" xr:uid="{00000000-0005-0000-0000-000051060000}"/>
    <cellStyle name="Normal 2 6 2 2 2 3" xfId="4313" xr:uid="{00000000-0005-0000-0000-0000BC040000}"/>
    <cellStyle name="Normal 2 6 2 2 2 3 2" xfId="11404" xr:uid="{00000000-0005-0000-0000-0000F7050000}"/>
    <cellStyle name="Normal 2 6 2 2 2 4" xfId="8003" xr:uid="{00000000-0005-0000-0000-000050060000}"/>
    <cellStyle name="Normal 2 6 2 2 2 5" xfId="10400" xr:uid="{00000000-0005-0000-0000-000050060000}"/>
    <cellStyle name="Normal 2 6 2 2 3" xfId="3239" xr:uid="{00000000-0005-0000-0000-0000BE040000}"/>
    <cellStyle name="Normal 2 6 2 2 3 2" xfId="4490" xr:uid="{00000000-0005-0000-0000-0000BE040000}"/>
    <cellStyle name="Normal 2 6 2 2 3 3" xfId="8597" xr:uid="{00000000-0005-0000-0000-000052060000}"/>
    <cellStyle name="Normal 2 6 2 2 3 4" xfId="10994" xr:uid="{00000000-0005-0000-0000-000052060000}"/>
    <cellStyle name="Normal 2 6 2 2 4" xfId="3237" xr:uid="{00000000-0005-0000-0000-0000BF040000}"/>
    <cellStyle name="Normal 2 6 2 2 4 2" xfId="8595" xr:uid="{00000000-0005-0000-0000-000053060000}"/>
    <cellStyle name="Normal 2 6 2 2 4 3" xfId="10992" xr:uid="{00000000-0005-0000-0000-000053060000}"/>
    <cellStyle name="Normal 2 6 2 2 5" xfId="4237" xr:uid="{00000000-0005-0000-0000-0000BB040000}"/>
    <cellStyle name="Normal 2 6 2 2 5 2" xfId="7833" xr:uid="{00000000-0005-0000-0000-000054060000}"/>
    <cellStyle name="Normal 2 6 2 2 5 3" xfId="10230" xr:uid="{00000000-0005-0000-0000-000054060000}"/>
    <cellStyle name="Normal 2 6 2 2 6" xfId="5511" xr:uid="{00000000-0005-0000-0000-0000CF020000}"/>
    <cellStyle name="Normal 2 6 2 2 7" xfId="5147" xr:uid="{00000000-0005-0000-0000-000086020000}"/>
    <cellStyle name="Normal 2 6 2 2 8" xfId="7259" xr:uid="{00000000-0005-0000-0000-00004F060000}"/>
    <cellStyle name="Normal 2 6 2 2 9" xfId="9664" xr:uid="{00000000-0005-0000-0000-00004F060000}"/>
    <cellStyle name="Normal 2 6 2 3" xfId="2749" xr:uid="{00000000-0005-0000-0000-0000C0040000}"/>
    <cellStyle name="Normal 2 6 2 3 2" xfId="3240" xr:uid="{00000000-0005-0000-0000-0000C1040000}"/>
    <cellStyle name="Normal 2 6 2 3 2 2" xfId="8598" xr:uid="{00000000-0005-0000-0000-000056060000}"/>
    <cellStyle name="Normal 2 6 2 3 2 3" xfId="10995" xr:uid="{00000000-0005-0000-0000-000056060000}"/>
    <cellStyle name="Normal 2 6 2 3 3" xfId="4312" xr:uid="{00000000-0005-0000-0000-0000C0040000}"/>
    <cellStyle name="Normal 2 6 2 3 3 2" xfId="8002" xr:uid="{00000000-0005-0000-0000-000057060000}"/>
    <cellStyle name="Normal 2 6 2 3 3 3" xfId="10399" xr:uid="{00000000-0005-0000-0000-000057060000}"/>
    <cellStyle name="Normal 2 6 2 3 4" xfId="5891" xr:uid="{00000000-0005-0000-0000-0000D2020000}"/>
    <cellStyle name="Normal 2 6 2 3 5" xfId="7258" xr:uid="{00000000-0005-0000-0000-000055060000}"/>
    <cellStyle name="Normal 2 6 2 3 6" xfId="9663" xr:uid="{00000000-0005-0000-0000-000055060000}"/>
    <cellStyle name="Normal 2 6 2 4" xfId="3241" xr:uid="{00000000-0005-0000-0000-0000C2040000}"/>
    <cellStyle name="Normal 2 6 2 4 2" xfId="4491" xr:uid="{00000000-0005-0000-0000-0000C2040000}"/>
    <cellStyle name="Normal 2 6 2 4 3" xfId="8599" xr:uid="{00000000-0005-0000-0000-000058060000}"/>
    <cellStyle name="Normal 2 6 2 4 4" xfId="10996" xr:uid="{00000000-0005-0000-0000-000058060000}"/>
    <cellStyle name="Normal 2 6 2 5" xfId="3236" xr:uid="{00000000-0005-0000-0000-0000C3040000}"/>
    <cellStyle name="Normal 2 6 2 5 2" xfId="8594" xr:uid="{00000000-0005-0000-0000-000059060000}"/>
    <cellStyle name="Normal 2 6 2 5 3" xfId="10991" xr:uid="{00000000-0005-0000-0000-000059060000}"/>
    <cellStyle name="Normal 2 6 2 6" xfId="2532" xr:uid="{00000000-0005-0000-0000-0000C4040000}"/>
    <cellStyle name="Normal 2 6 2 6 2" xfId="7730" xr:uid="{00000000-0005-0000-0000-00005A060000}"/>
    <cellStyle name="Normal 2 6 2 6 3" xfId="10127" xr:uid="{00000000-0005-0000-0000-00005A060000}"/>
    <cellStyle name="Normal 2 6 2 7" xfId="2226" xr:uid="{00000000-0005-0000-0000-0000BA040000}"/>
    <cellStyle name="Normal 2 6 2 8" xfId="3792" xr:uid="{00000000-0005-0000-0000-0000F6010000}"/>
    <cellStyle name="Normal 2 6 2 9" xfId="5410" xr:uid="{00000000-0005-0000-0000-0000CE020000}"/>
    <cellStyle name="Normal 2 6 3" xfId="824" xr:uid="{00000000-0005-0000-0000-0000E4040000}"/>
    <cellStyle name="Normal 2 6 3 10" xfId="6820" xr:uid="{00000000-0005-0000-0000-00005B060000}"/>
    <cellStyle name="Normal 2 6 3 11" xfId="9241" xr:uid="{00000000-0005-0000-0000-00005B060000}"/>
    <cellStyle name="Normal 2 6 3 2" xfId="2751" xr:uid="{00000000-0005-0000-0000-0000C6040000}"/>
    <cellStyle name="Normal 2 6 3 2 2" xfId="3243" xr:uid="{00000000-0005-0000-0000-0000C7040000}"/>
    <cellStyle name="Normal 2 6 3 2 2 2" xfId="8601" xr:uid="{00000000-0005-0000-0000-00005D060000}"/>
    <cellStyle name="Normal 2 6 3 2 2 3" xfId="10998" xr:uid="{00000000-0005-0000-0000-00005D060000}"/>
    <cellStyle name="Normal 2 6 3 2 3" xfId="4314" xr:uid="{00000000-0005-0000-0000-0000C6040000}"/>
    <cellStyle name="Normal 2 6 3 2 3 2" xfId="8004" xr:uid="{00000000-0005-0000-0000-00005E060000}"/>
    <cellStyle name="Normal 2 6 3 2 3 3" xfId="10401" xr:uid="{00000000-0005-0000-0000-00005E060000}"/>
    <cellStyle name="Normal 2 6 3 2 4" xfId="5892" xr:uid="{00000000-0005-0000-0000-0000D5020000}"/>
    <cellStyle name="Normal 2 6 3 2 5" xfId="7260" xr:uid="{00000000-0005-0000-0000-00005C060000}"/>
    <cellStyle name="Normal 2 6 3 2 6" xfId="9665" xr:uid="{00000000-0005-0000-0000-00005C060000}"/>
    <cellStyle name="Normal 2 6 3 3" xfId="3244" xr:uid="{00000000-0005-0000-0000-0000C8040000}"/>
    <cellStyle name="Normal 2 6 3 3 2" xfId="4492" xr:uid="{00000000-0005-0000-0000-0000C8040000}"/>
    <cellStyle name="Normal 2 6 3 3 2 2" xfId="11895" xr:uid="{00000000-0005-0000-0000-0000B4060000}"/>
    <cellStyle name="Normal 2 6 3 3 3" xfId="5682" xr:uid="{00000000-0005-0000-0000-0000D6020000}"/>
    <cellStyle name="Normal 2 6 3 3 4" xfId="8602" xr:uid="{00000000-0005-0000-0000-00005F060000}"/>
    <cellStyle name="Normal 2 6 3 3 5" xfId="10999" xr:uid="{00000000-0005-0000-0000-00005F060000}"/>
    <cellStyle name="Normal 2 6 3 4" xfId="3242" xr:uid="{00000000-0005-0000-0000-0000C9040000}"/>
    <cellStyle name="Normal 2 6 3 4 2" xfId="8600" xr:uid="{00000000-0005-0000-0000-000060060000}"/>
    <cellStyle name="Normal 2 6 3 4 3" xfId="10997" xr:uid="{00000000-0005-0000-0000-000060060000}"/>
    <cellStyle name="Normal 2 6 3 5" xfId="2575" xr:uid="{00000000-0005-0000-0000-0000CA040000}"/>
    <cellStyle name="Normal 2 6 3 5 2" xfId="7773" xr:uid="{00000000-0005-0000-0000-000061060000}"/>
    <cellStyle name="Normal 2 6 3 5 3" xfId="10170" xr:uid="{00000000-0005-0000-0000-000061060000}"/>
    <cellStyle name="Normal 2 6 3 6" xfId="2341" xr:uid="{00000000-0005-0000-0000-0000C5040000}"/>
    <cellStyle name="Normal 2 6 3 7" xfId="3852" xr:uid="{00000000-0005-0000-0000-0000F7010000}"/>
    <cellStyle name="Normal 2 6 3 8" xfId="5451" xr:uid="{00000000-0005-0000-0000-0000D4020000}"/>
    <cellStyle name="Normal 2 6 3 9" xfId="5146" xr:uid="{00000000-0005-0000-0000-000087020000}"/>
    <cellStyle name="Normal 2 6 4" xfId="825" xr:uid="{00000000-0005-0000-0000-0000E5040000}"/>
    <cellStyle name="Normal 2 6 4 2" xfId="3245" xr:uid="{00000000-0005-0000-0000-0000CC040000}"/>
    <cellStyle name="Normal 2 6 4 2 2" xfId="8603" xr:uid="{00000000-0005-0000-0000-000063060000}"/>
    <cellStyle name="Normal 2 6 4 2 3" xfId="11000" xr:uid="{00000000-0005-0000-0000-000063060000}"/>
    <cellStyle name="Normal 2 6 4 3" xfId="2748" xr:uid="{00000000-0005-0000-0000-0000CD040000}"/>
    <cellStyle name="Normal 2 6 4 3 2" xfId="8001" xr:uid="{00000000-0005-0000-0000-000064060000}"/>
    <cellStyle name="Normal 2 6 4 3 3" xfId="10398" xr:uid="{00000000-0005-0000-0000-000064060000}"/>
    <cellStyle name="Normal 2 6 4 4" xfId="4173" xr:uid="{00000000-0005-0000-0000-0000CB040000}"/>
    <cellStyle name="Normal 2 6 4 5" xfId="5890" xr:uid="{00000000-0005-0000-0000-0000D7020000}"/>
    <cellStyle name="Normal 2 6 4 6" xfId="7261" xr:uid="{00000000-0005-0000-0000-000062060000}"/>
    <cellStyle name="Normal 2 6 4 7" xfId="9666" xr:uid="{00000000-0005-0000-0000-000062060000}"/>
    <cellStyle name="Normal 2 6 5" xfId="3246" xr:uid="{00000000-0005-0000-0000-0000CE040000}"/>
    <cellStyle name="Normal 2 6 5 2" xfId="4493" xr:uid="{00000000-0005-0000-0000-0000CE040000}"/>
    <cellStyle name="Normal 2 6 5 2 2" xfId="8604" xr:uid="{00000000-0005-0000-0000-000066060000}"/>
    <cellStyle name="Normal 2 6 5 2 3" xfId="11001" xr:uid="{00000000-0005-0000-0000-000066060000}"/>
    <cellStyle name="Normal 2 6 5 3" xfId="5596" xr:uid="{00000000-0005-0000-0000-0000D8020000}"/>
    <cellStyle name="Normal 2 6 5 4" xfId="7257" xr:uid="{00000000-0005-0000-0000-000065060000}"/>
    <cellStyle name="Normal 2 6 5 5" xfId="9662" xr:uid="{00000000-0005-0000-0000-000065060000}"/>
    <cellStyle name="Normal 2 6 6" xfId="2914" xr:uid="{00000000-0005-0000-0000-0000CF040000}"/>
    <cellStyle name="Normal 2 6 6 2" xfId="8241" xr:uid="{00000000-0005-0000-0000-000067060000}"/>
    <cellStyle name="Normal 2 6 6 3" xfId="10638" xr:uid="{00000000-0005-0000-0000-000067060000}"/>
    <cellStyle name="Normal 2 6 7" xfId="2472" xr:uid="{00000000-0005-0000-0000-0000D0040000}"/>
    <cellStyle name="Normal 2 6 7 2" xfId="7670" xr:uid="{00000000-0005-0000-0000-000068060000}"/>
    <cellStyle name="Normal 2 6 7 3" xfId="10067" xr:uid="{00000000-0005-0000-0000-000068060000}"/>
    <cellStyle name="Normal 2 6 8" xfId="2166" xr:uid="{00000000-0005-0000-0000-0000B9040000}"/>
    <cellStyle name="Normal 2 6 9" xfId="3951" xr:uid="{00000000-0005-0000-0000-0000F5010000}"/>
    <cellStyle name="Normal 2 7" xfId="826" xr:uid="{00000000-0005-0000-0000-0000E6040000}"/>
    <cellStyle name="Normal 2 7 10" xfId="5365" xr:uid="{00000000-0005-0000-0000-0000D9020000}"/>
    <cellStyle name="Normal 2 7 11" xfId="4821" xr:uid="{00000000-0005-0000-0000-000088020000}"/>
    <cellStyle name="Normal 2 7 12" xfId="6567" xr:uid="{00000000-0005-0000-0000-000069060000}"/>
    <cellStyle name="Normal 2 7 13" xfId="8988" xr:uid="{00000000-0005-0000-0000-000069060000}"/>
    <cellStyle name="Normal 2 7 2" xfId="827" xr:uid="{00000000-0005-0000-0000-0000E7040000}"/>
    <cellStyle name="Normal 2 7 2 10" xfId="4914" xr:uid="{00000000-0005-0000-0000-000089020000}"/>
    <cellStyle name="Normal 2 7 2 11" xfId="6660" xr:uid="{00000000-0005-0000-0000-00006A060000}"/>
    <cellStyle name="Normal 2 7 2 12" xfId="9081" xr:uid="{00000000-0005-0000-0000-00006A060000}"/>
    <cellStyle name="Normal 2 7 2 2" xfId="828" xr:uid="{00000000-0005-0000-0000-0000E8040000}"/>
    <cellStyle name="Normal 2 7 2 2 2" xfId="2754" xr:uid="{00000000-0005-0000-0000-0000D4040000}"/>
    <cellStyle name="Normal 2 7 2 2 2 2" xfId="3249" xr:uid="{00000000-0005-0000-0000-0000D5040000}"/>
    <cellStyle name="Normal 2 7 2 2 2 2 2" xfId="8607" xr:uid="{00000000-0005-0000-0000-00006D060000}"/>
    <cellStyle name="Normal 2 7 2 2 2 2 3" xfId="11004" xr:uid="{00000000-0005-0000-0000-00006D060000}"/>
    <cellStyle name="Normal 2 7 2 2 2 3" xfId="4316" xr:uid="{00000000-0005-0000-0000-0000D4040000}"/>
    <cellStyle name="Normal 2 7 2 2 2 3 2" xfId="11405" xr:uid="{00000000-0005-0000-0000-000013060000}"/>
    <cellStyle name="Normal 2 7 2 2 2 4" xfId="8007" xr:uid="{00000000-0005-0000-0000-00006C060000}"/>
    <cellStyle name="Normal 2 7 2 2 2 5" xfId="10404" xr:uid="{00000000-0005-0000-0000-00006C060000}"/>
    <cellStyle name="Normal 2 7 2 2 3" xfId="3250" xr:uid="{00000000-0005-0000-0000-0000D6040000}"/>
    <cellStyle name="Normal 2 7 2 2 3 2" xfId="4494" xr:uid="{00000000-0005-0000-0000-0000D6040000}"/>
    <cellStyle name="Normal 2 7 2 2 3 3" xfId="8608" xr:uid="{00000000-0005-0000-0000-00006E060000}"/>
    <cellStyle name="Normal 2 7 2 2 3 4" xfId="11005" xr:uid="{00000000-0005-0000-0000-00006E060000}"/>
    <cellStyle name="Normal 2 7 2 2 4" xfId="3248" xr:uid="{00000000-0005-0000-0000-0000D7040000}"/>
    <cellStyle name="Normal 2 7 2 2 4 2" xfId="8606" xr:uid="{00000000-0005-0000-0000-00006F060000}"/>
    <cellStyle name="Normal 2 7 2 2 4 3" xfId="11003" xr:uid="{00000000-0005-0000-0000-00006F060000}"/>
    <cellStyle name="Normal 2 7 2 2 5" xfId="4239" xr:uid="{00000000-0005-0000-0000-0000D3040000}"/>
    <cellStyle name="Normal 2 7 2 2 5 2" xfId="7848" xr:uid="{00000000-0005-0000-0000-000070060000}"/>
    <cellStyle name="Normal 2 7 2 2 5 3" xfId="10245" xr:uid="{00000000-0005-0000-0000-000070060000}"/>
    <cellStyle name="Normal 2 7 2 2 6" xfId="5526" xr:uid="{00000000-0005-0000-0000-0000DB020000}"/>
    <cellStyle name="Normal 2 7 2 2 7" xfId="5149" xr:uid="{00000000-0005-0000-0000-00008A020000}"/>
    <cellStyle name="Normal 2 7 2 2 8" xfId="7264" xr:uid="{00000000-0005-0000-0000-00006B060000}"/>
    <cellStyle name="Normal 2 7 2 2 9" xfId="9669" xr:uid="{00000000-0005-0000-0000-00006B060000}"/>
    <cellStyle name="Normal 2 7 2 3" xfId="2753" xr:uid="{00000000-0005-0000-0000-0000D8040000}"/>
    <cellStyle name="Normal 2 7 2 3 2" xfId="3251" xr:uid="{00000000-0005-0000-0000-0000D9040000}"/>
    <cellStyle name="Normal 2 7 2 3 2 2" xfId="8609" xr:uid="{00000000-0005-0000-0000-000072060000}"/>
    <cellStyle name="Normal 2 7 2 3 2 3" xfId="11006" xr:uid="{00000000-0005-0000-0000-000072060000}"/>
    <cellStyle name="Normal 2 7 2 3 3" xfId="4315" xr:uid="{00000000-0005-0000-0000-0000D8040000}"/>
    <cellStyle name="Normal 2 7 2 3 3 2" xfId="8006" xr:uid="{00000000-0005-0000-0000-000073060000}"/>
    <cellStyle name="Normal 2 7 2 3 3 3" xfId="10403" xr:uid="{00000000-0005-0000-0000-000073060000}"/>
    <cellStyle name="Normal 2 7 2 3 4" xfId="5894" xr:uid="{00000000-0005-0000-0000-0000DE020000}"/>
    <cellStyle name="Normal 2 7 2 3 5" xfId="7263" xr:uid="{00000000-0005-0000-0000-000071060000}"/>
    <cellStyle name="Normal 2 7 2 3 6" xfId="9668" xr:uid="{00000000-0005-0000-0000-000071060000}"/>
    <cellStyle name="Normal 2 7 2 4" xfId="3252" xr:uid="{00000000-0005-0000-0000-0000DA040000}"/>
    <cellStyle name="Normal 2 7 2 4 2" xfId="4495" xr:uid="{00000000-0005-0000-0000-0000DA040000}"/>
    <cellStyle name="Normal 2 7 2 4 3" xfId="8610" xr:uid="{00000000-0005-0000-0000-000074060000}"/>
    <cellStyle name="Normal 2 7 2 4 4" xfId="11007" xr:uid="{00000000-0005-0000-0000-000074060000}"/>
    <cellStyle name="Normal 2 7 2 5" xfId="3247" xr:uid="{00000000-0005-0000-0000-0000DB040000}"/>
    <cellStyle name="Normal 2 7 2 5 2" xfId="8605" xr:uid="{00000000-0005-0000-0000-000075060000}"/>
    <cellStyle name="Normal 2 7 2 5 3" xfId="11002" xr:uid="{00000000-0005-0000-0000-000075060000}"/>
    <cellStyle name="Normal 2 7 2 6" xfId="2547" xr:uid="{00000000-0005-0000-0000-0000DC040000}"/>
    <cellStyle name="Normal 2 7 2 6 2" xfId="7745" xr:uid="{00000000-0005-0000-0000-000076060000}"/>
    <cellStyle name="Normal 2 7 2 6 3" xfId="10142" xr:uid="{00000000-0005-0000-0000-000076060000}"/>
    <cellStyle name="Normal 2 7 2 7" xfId="2241" xr:uid="{00000000-0005-0000-0000-0000D2040000}"/>
    <cellStyle name="Normal 2 7 2 8" xfId="3794" xr:uid="{00000000-0005-0000-0000-0000F9010000}"/>
    <cellStyle name="Normal 2 7 2 9" xfId="5425" xr:uid="{00000000-0005-0000-0000-0000DA020000}"/>
    <cellStyle name="Normal 2 7 3" xfId="829" xr:uid="{00000000-0005-0000-0000-0000E9040000}"/>
    <cellStyle name="Normal 2 7 3 10" xfId="6821" xr:uid="{00000000-0005-0000-0000-000077060000}"/>
    <cellStyle name="Normal 2 7 3 11" xfId="9242" xr:uid="{00000000-0005-0000-0000-000077060000}"/>
    <cellStyle name="Normal 2 7 3 2" xfId="2755" xr:uid="{00000000-0005-0000-0000-0000DE040000}"/>
    <cellStyle name="Normal 2 7 3 2 2" xfId="3254" xr:uid="{00000000-0005-0000-0000-0000DF040000}"/>
    <cellStyle name="Normal 2 7 3 2 2 2" xfId="8612" xr:uid="{00000000-0005-0000-0000-000079060000}"/>
    <cellStyle name="Normal 2 7 3 2 2 3" xfId="11009" xr:uid="{00000000-0005-0000-0000-000079060000}"/>
    <cellStyle name="Normal 2 7 3 2 3" xfId="4317" xr:uid="{00000000-0005-0000-0000-0000DE040000}"/>
    <cellStyle name="Normal 2 7 3 2 3 2" xfId="8008" xr:uid="{00000000-0005-0000-0000-00007A060000}"/>
    <cellStyle name="Normal 2 7 3 2 3 3" xfId="10405" xr:uid="{00000000-0005-0000-0000-00007A060000}"/>
    <cellStyle name="Normal 2 7 3 2 4" xfId="5895" xr:uid="{00000000-0005-0000-0000-0000E1020000}"/>
    <cellStyle name="Normal 2 7 3 2 5" xfId="7265" xr:uid="{00000000-0005-0000-0000-000078060000}"/>
    <cellStyle name="Normal 2 7 3 2 6" xfId="9670" xr:uid="{00000000-0005-0000-0000-000078060000}"/>
    <cellStyle name="Normal 2 7 3 3" xfId="3255" xr:uid="{00000000-0005-0000-0000-0000E0040000}"/>
    <cellStyle name="Normal 2 7 3 3 2" xfId="4496" xr:uid="{00000000-0005-0000-0000-0000E0040000}"/>
    <cellStyle name="Normal 2 7 3 3 2 2" xfId="11896" xr:uid="{00000000-0005-0000-0000-0000D2060000}"/>
    <cellStyle name="Normal 2 7 3 3 3" xfId="5697" xr:uid="{00000000-0005-0000-0000-0000E2020000}"/>
    <cellStyle name="Normal 2 7 3 3 4" xfId="8613" xr:uid="{00000000-0005-0000-0000-00007B060000}"/>
    <cellStyle name="Normal 2 7 3 3 5" xfId="11010" xr:uid="{00000000-0005-0000-0000-00007B060000}"/>
    <cellStyle name="Normal 2 7 3 4" xfId="3253" xr:uid="{00000000-0005-0000-0000-0000E1040000}"/>
    <cellStyle name="Normal 2 7 3 4 2" xfId="8611" xr:uid="{00000000-0005-0000-0000-00007C060000}"/>
    <cellStyle name="Normal 2 7 3 4 3" xfId="11008" xr:uid="{00000000-0005-0000-0000-00007C060000}"/>
    <cellStyle name="Normal 2 7 3 5" xfId="2590" xr:uid="{00000000-0005-0000-0000-0000E2040000}"/>
    <cellStyle name="Normal 2 7 3 5 2" xfId="7788" xr:uid="{00000000-0005-0000-0000-00007D060000}"/>
    <cellStyle name="Normal 2 7 3 5 3" xfId="10185" xr:uid="{00000000-0005-0000-0000-00007D060000}"/>
    <cellStyle name="Normal 2 7 3 6" xfId="2342" xr:uid="{00000000-0005-0000-0000-0000DD040000}"/>
    <cellStyle name="Normal 2 7 3 7" xfId="3853" xr:uid="{00000000-0005-0000-0000-0000FA010000}"/>
    <cellStyle name="Normal 2 7 3 8" xfId="5466" xr:uid="{00000000-0005-0000-0000-0000E0020000}"/>
    <cellStyle name="Normal 2 7 3 9" xfId="5148" xr:uid="{00000000-0005-0000-0000-00008B020000}"/>
    <cellStyle name="Normal 2 7 4" xfId="830" xr:uid="{00000000-0005-0000-0000-0000EA040000}"/>
    <cellStyle name="Normal 2 7 4 2" xfId="3256" xr:uid="{00000000-0005-0000-0000-0000E4040000}"/>
    <cellStyle name="Normal 2 7 4 2 2" xfId="8614" xr:uid="{00000000-0005-0000-0000-00007F060000}"/>
    <cellStyle name="Normal 2 7 4 2 3" xfId="11011" xr:uid="{00000000-0005-0000-0000-00007F060000}"/>
    <cellStyle name="Normal 2 7 4 3" xfId="2752" xr:uid="{00000000-0005-0000-0000-0000E5040000}"/>
    <cellStyle name="Normal 2 7 4 3 2" xfId="8005" xr:uid="{00000000-0005-0000-0000-000080060000}"/>
    <cellStyle name="Normal 2 7 4 3 3" xfId="10402" xr:uid="{00000000-0005-0000-0000-000080060000}"/>
    <cellStyle name="Normal 2 7 4 4" xfId="4174" xr:uid="{00000000-0005-0000-0000-0000E3040000}"/>
    <cellStyle name="Normal 2 7 4 5" xfId="5893" xr:uid="{00000000-0005-0000-0000-0000E3020000}"/>
    <cellStyle name="Normal 2 7 4 6" xfId="7266" xr:uid="{00000000-0005-0000-0000-00007E060000}"/>
    <cellStyle name="Normal 2 7 4 7" xfId="9671" xr:uid="{00000000-0005-0000-0000-00007E060000}"/>
    <cellStyle name="Normal 2 7 5" xfId="3257" xr:uid="{00000000-0005-0000-0000-0000E6040000}"/>
    <cellStyle name="Normal 2 7 5 2" xfId="4497" xr:uid="{00000000-0005-0000-0000-0000E6040000}"/>
    <cellStyle name="Normal 2 7 5 2 2" xfId="8615" xr:uid="{00000000-0005-0000-0000-000082060000}"/>
    <cellStyle name="Normal 2 7 5 2 3" xfId="11012" xr:uid="{00000000-0005-0000-0000-000082060000}"/>
    <cellStyle name="Normal 2 7 5 3" xfId="5611" xr:uid="{00000000-0005-0000-0000-0000E4020000}"/>
    <cellStyle name="Normal 2 7 5 4" xfId="7262" xr:uid="{00000000-0005-0000-0000-000081060000}"/>
    <cellStyle name="Normal 2 7 5 5" xfId="9667" xr:uid="{00000000-0005-0000-0000-000081060000}"/>
    <cellStyle name="Normal 2 7 6" xfId="2915" xr:uid="{00000000-0005-0000-0000-0000E7040000}"/>
    <cellStyle name="Normal 2 7 6 2" xfId="8242" xr:uid="{00000000-0005-0000-0000-000083060000}"/>
    <cellStyle name="Normal 2 7 6 3" xfId="10639" xr:uid="{00000000-0005-0000-0000-000083060000}"/>
    <cellStyle name="Normal 2 7 7" xfId="2487" xr:uid="{00000000-0005-0000-0000-0000E8040000}"/>
    <cellStyle name="Normal 2 7 7 2" xfId="7685" xr:uid="{00000000-0005-0000-0000-000084060000}"/>
    <cellStyle name="Normal 2 7 7 3" xfId="10082" xr:uid="{00000000-0005-0000-0000-000084060000}"/>
    <cellStyle name="Normal 2 7 8" xfId="2181" xr:uid="{00000000-0005-0000-0000-0000D1040000}"/>
    <cellStyle name="Normal 2 7 9" xfId="3952" xr:uid="{00000000-0005-0000-0000-0000F8010000}"/>
    <cellStyle name="Normal 2 8" xfId="831" xr:uid="{00000000-0005-0000-0000-0000EB040000}"/>
    <cellStyle name="Normal 2 8 10" xfId="5339" xr:uid="{00000000-0005-0000-0000-0000E5020000}"/>
    <cellStyle name="Normal 2 8 11" xfId="4795" xr:uid="{00000000-0005-0000-0000-00008C020000}"/>
    <cellStyle name="Normal 2 8 12" xfId="6541" xr:uid="{00000000-0005-0000-0000-000085060000}"/>
    <cellStyle name="Normal 2 8 13" xfId="8962" xr:uid="{00000000-0005-0000-0000-000085060000}"/>
    <cellStyle name="Normal 2 8 2" xfId="832" xr:uid="{00000000-0005-0000-0000-0000EC040000}"/>
    <cellStyle name="Normal 2 8 2 10" xfId="6661" xr:uid="{00000000-0005-0000-0000-000086060000}"/>
    <cellStyle name="Normal 2 8 2 11" xfId="9082" xr:uid="{00000000-0005-0000-0000-000086060000}"/>
    <cellStyle name="Normal 2 8 2 2" xfId="833" xr:uid="{00000000-0005-0000-0000-0000ED040000}"/>
    <cellStyle name="Normal 2 8 2 2 2" xfId="3259" xr:uid="{00000000-0005-0000-0000-0000EC040000}"/>
    <cellStyle name="Normal 2 8 2 2 2 2" xfId="8617" xr:uid="{00000000-0005-0000-0000-000088060000}"/>
    <cellStyle name="Normal 2 8 2 2 2 3" xfId="11014" xr:uid="{00000000-0005-0000-0000-000088060000}"/>
    <cellStyle name="Normal 2 8 2 2 3" xfId="4319" xr:uid="{00000000-0005-0000-0000-0000EB040000}"/>
    <cellStyle name="Normal 2 8 2 2 3 2" xfId="8010" xr:uid="{00000000-0005-0000-0000-000089060000}"/>
    <cellStyle name="Normal 2 8 2 2 3 3" xfId="10407" xr:uid="{00000000-0005-0000-0000-000089060000}"/>
    <cellStyle name="Normal 2 8 2 2 4" xfId="5897" xr:uid="{00000000-0005-0000-0000-0000E7020000}"/>
    <cellStyle name="Normal 2 8 2 2 5" xfId="5151" xr:uid="{00000000-0005-0000-0000-00008E020000}"/>
    <cellStyle name="Normal 2 8 2 2 6" xfId="7269" xr:uid="{00000000-0005-0000-0000-000087060000}"/>
    <cellStyle name="Normal 2 8 2 2 7" xfId="9674" xr:uid="{00000000-0005-0000-0000-000087060000}"/>
    <cellStyle name="Normal 2 8 2 3" xfId="3260" xr:uid="{00000000-0005-0000-0000-0000ED040000}"/>
    <cellStyle name="Normal 2 8 2 3 2" xfId="4498" xr:uid="{00000000-0005-0000-0000-0000ED040000}"/>
    <cellStyle name="Normal 2 8 2 3 2 2" xfId="8618" xr:uid="{00000000-0005-0000-0000-00008B060000}"/>
    <cellStyle name="Normal 2 8 2 3 2 3" xfId="11015" xr:uid="{00000000-0005-0000-0000-00008B060000}"/>
    <cellStyle name="Normal 2 8 2 3 3" xfId="5645" xr:uid="{00000000-0005-0000-0000-0000E8020000}"/>
    <cellStyle name="Normal 2 8 2 3 4" xfId="7268" xr:uid="{00000000-0005-0000-0000-00008A060000}"/>
    <cellStyle name="Normal 2 8 2 3 5" xfId="9673" xr:uid="{00000000-0005-0000-0000-00008A060000}"/>
    <cellStyle name="Normal 2 8 2 4" xfId="3258" xr:uid="{00000000-0005-0000-0000-0000EE040000}"/>
    <cellStyle name="Normal 2 8 2 4 2" xfId="8616" xr:uid="{00000000-0005-0000-0000-00008C060000}"/>
    <cellStyle name="Normal 2 8 2 4 3" xfId="11013" xr:uid="{00000000-0005-0000-0000-00008C060000}"/>
    <cellStyle name="Normal 2 8 2 5" xfId="2521" xr:uid="{00000000-0005-0000-0000-0000EF040000}"/>
    <cellStyle name="Normal 2 8 2 5 2" xfId="7719" xr:uid="{00000000-0005-0000-0000-00008D060000}"/>
    <cellStyle name="Normal 2 8 2 5 3" xfId="10116" xr:uid="{00000000-0005-0000-0000-00008D060000}"/>
    <cellStyle name="Normal 2 8 2 6" xfId="2343" xr:uid="{00000000-0005-0000-0000-0000EA040000}"/>
    <cellStyle name="Normal 2 8 2 7" xfId="3854" xr:uid="{00000000-0005-0000-0000-0000FC010000}"/>
    <cellStyle name="Normal 2 8 2 8" xfId="5399" xr:uid="{00000000-0005-0000-0000-0000E6020000}"/>
    <cellStyle name="Normal 2 8 2 9" xfId="4915" xr:uid="{00000000-0005-0000-0000-00008D020000}"/>
    <cellStyle name="Normal 2 8 3" xfId="834" xr:uid="{00000000-0005-0000-0000-0000EE040000}"/>
    <cellStyle name="Normal 2 8 3 10" xfId="9243" xr:uid="{00000000-0005-0000-0000-00008E060000}"/>
    <cellStyle name="Normal 2 8 3 2" xfId="2756" xr:uid="{00000000-0005-0000-0000-0000F1040000}"/>
    <cellStyle name="Normal 2 8 3 2 2" xfId="3262" xr:uid="{00000000-0005-0000-0000-0000F2040000}"/>
    <cellStyle name="Normal 2 8 3 2 2 2" xfId="8620" xr:uid="{00000000-0005-0000-0000-000090060000}"/>
    <cellStyle name="Normal 2 8 3 2 2 3" xfId="11017" xr:uid="{00000000-0005-0000-0000-000090060000}"/>
    <cellStyle name="Normal 2 8 3 2 3" xfId="4320" xr:uid="{00000000-0005-0000-0000-0000F1040000}"/>
    <cellStyle name="Normal 2 8 3 2 3 2" xfId="8011" xr:uid="{00000000-0005-0000-0000-000091060000}"/>
    <cellStyle name="Normal 2 8 3 2 3 3" xfId="10408" xr:uid="{00000000-0005-0000-0000-000091060000}"/>
    <cellStyle name="Normal 2 8 3 2 4" xfId="5898" xr:uid="{00000000-0005-0000-0000-0000EA020000}"/>
    <cellStyle name="Normal 2 8 3 2 5" xfId="7270" xr:uid="{00000000-0005-0000-0000-00008F060000}"/>
    <cellStyle name="Normal 2 8 3 2 6" xfId="9675" xr:uid="{00000000-0005-0000-0000-00008F060000}"/>
    <cellStyle name="Normal 2 8 3 3" xfId="3263" xr:uid="{00000000-0005-0000-0000-0000F3040000}"/>
    <cellStyle name="Normal 2 8 3 3 2" xfId="4499" xr:uid="{00000000-0005-0000-0000-0000F3040000}"/>
    <cellStyle name="Normal 2 8 3 3 2 2" xfId="11897" xr:uid="{00000000-0005-0000-0000-0000EA060000}"/>
    <cellStyle name="Normal 2 8 3 3 3" xfId="5730" xr:uid="{00000000-0005-0000-0000-0000EB020000}"/>
    <cellStyle name="Normal 2 8 3 3 4" xfId="8621" xr:uid="{00000000-0005-0000-0000-000092060000}"/>
    <cellStyle name="Normal 2 8 3 3 5" xfId="11018" xr:uid="{00000000-0005-0000-0000-000092060000}"/>
    <cellStyle name="Normal 2 8 3 4" xfId="3261" xr:uid="{00000000-0005-0000-0000-0000F4040000}"/>
    <cellStyle name="Normal 2 8 3 4 2" xfId="8619" xr:uid="{00000000-0005-0000-0000-000093060000}"/>
    <cellStyle name="Normal 2 8 3 4 3" xfId="11016" xr:uid="{00000000-0005-0000-0000-000093060000}"/>
    <cellStyle name="Normal 2 8 3 5" xfId="2624" xr:uid="{00000000-0005-0000-0000-0000F5040000}"/>
    <cellStyle name="Normal 2 8 3 5 2" xfId="7822" xr:uid="{00000000-0005-0000-0000-000094060000}"/>
    <cellStyle name="Normal 2 8 3 5 3" xfId="10219" xr:uid="{00000000-0005-0000-0000-000094060000}"/>
    <cellStyle name="Normal 2 8 3 6" xfId="4175" xr:uid="{00000000-0005-0000-0000-0000F0040000}"/>
    <cellStyle name="Normal 2 8 3 7" xfId="5500" xr:uid="{00000000-0005-0000-0000-0000E9020000}"/>
    <cellStyle name="Normal 2 8 3 8" xfId="5150" xr:uid="{00000000-0005-0000-0000-00008F020000}"/>
    <cellStyle name="Normal 2 8 3 9" xfId="6822" xr:uid="{00000000-0005-0000-0000-00008E060000}"/>
    <cellStyle name="Normal 2 8 4" xfId="835" xr:uid="{00000000-0005-0000-0000-0000EF040000}"/>
    <cellStyle name="Normal 2 8 4 2" xfId="3264" xr:uid="{00000000-0005-0000-0000-0000F7040000}"/>
    <cellStyle name="Normal 2 8 4 2 2" xfId="8622" xr:uid="{00000000-0005-0000-0000-000096060000}"/>
    <cellStyle name="Normal 2 8 4 2 3" xfId="11019" xr:uid="{00000000-0005-0000-0000-000096060000}"/>
    <cellStyle name="Normal 2 8 4 3" xfId="4318" xr:uid="{00000000-0005-0000-0000-0000F6040000}"/>
    <cellStyle name="Normal 2 8 4 3 2" xfId="8009" xr:uid="{00000000-0005-0000-0000-000097060000}"/>
    <cellStyle name="Normal 2 8 4 3 3" xfId="10406" xr:uid="{00000000-0005-0000-0000-000097060000}"/>
    <cellStyle name="Normal 2 8 4 4" xfId="5896" xr:uid="{00000000-0005-0000-0000-0000EC020000}"/>
    <cellStyle name="Normal 2 8 4 5" xfId="7271" xr:uid="{00000000-0005-0000-0000-000095060000}"/>
    <cellStyle name="Normal 2 8 4 6" xfId="9676" xr:uid="{00000000-0005-0000-0000-000095060000}"/>
    <cellStyle name="Normal 2 8 5" xfId="3265" xr:uid="{00000000-0005-0000-0000-0000F8040000}"/>
    <cellStyle name="Normal 2 8 5 2" xfId="4500" xr:uid="{00000000-0005-0000-0000-0000F8040000}"/>
    <cellStyle name="Normal 2 8 5 2 2" xfId="8623" xr:uid="{00000000-0005-0000-0000-000099060000}"/>
    <cellStyle name="Normal 2 8 5 2 3" xfId="11020" xr:uid="{00000000-0005-0000-0000-000099060000}"/>
    <cellStyle name="Normal 2 8 5 3" xfId="5585" xr:uid="{00000000-0005-0000-0000-0000ED020000}"/>
    <cellStyle name="Normal 2 8 5 4" xfId="7267" xr:uid="{00000000-0005-0000-0000-000098060000}"/>
    <cellStyle name="Normal 2 8 5 5" xfId="9672" xr:uid="{00000000-0005-0000-0000-000098060000}"/>
    <cellStyle name="Normal 2 8 6" xfId="2916" xr:uid="{00000000-0005-0000-0000-0000F9040000}"/>
    <cellStyle name="Normal 2 8 6 2" xfId="8243" xr:uid="{00000000-0005-0000-0000-00009A060000}"/>
    <cellStyle name="Normal 2 8 6 3" xfId="10640" xr:uid="{00000000-0005-0000-0000-00009A060000}"/>
    <cellStyle name="Normal 2 8 7" xfId="2461" xr:uid="{00000000-0005-0000-0000-0000FA040000}"/>
    <cellStyle name="Normal 2 8 7 2" xfId="7659" xr:uid="{00000000-0005-0000-0000-00009B060000}"/>
    <cellStyle name="Normal 2 8 7 3" xfId="10056" xr:uid="{00000000-0005-0000-0000-00009B060000}"/>
    <cellStyle name="Normal 2 8 8" xfId="2215" xr:uid="{00000000-0005-0000-0000-0000E9040000}"/>
    <cellStyle name="Normal 2 8 9" xfId="3953" xr:uid="{00000000-0005-0000-0000-0000FB010000}"/>
    <cellStyle name="Normal 2 9" xfId="836" xr:uid="{00000000-0005-0000-0000-0000F0040000}"/>
    <cellStyle name="Normal 2 9 10" xfId="4778" xr:uid="{00000000-0005-0000-0000-000090020000}"/>
    <cellStyle name="Normal 2 9 11" xfId="6662" xr:uid="{00000000-0005-0000-0000-00009C060000}"/>
    <cellStyle name="Normal 2 9 12" xfId="9083" xr:uid="{00000000-0005-0000-0000-00009C060000}"/>
    <cellStyle name="Normal 2 9 2" xfId="837" xr:uid="{00000000-0005-0000-0000-0000F1040000}"/>
    <cellStyle name="Normal 2 9 2 10" xfId="6823" xr:uid="{00000000-0005-0000-0000-00009D060000}"/>
    <cellStyle name="Normal 2 9 2 11" xfId="9244" xr:uid="{00000000-0005-0000-0000-00009D060000}"/>
    <cellStyle name="Normal 2 9 2 2" xfId="838" xr:uid="{00000000-0005-0000-0000-0000F2040000}"/>
    <cellStyle name="Normal 2 9 2 2 2" xfId="3267" xr:uid="{00000000-0005-0000-0000-0000FE040000}"/>
    <cellStyle name="Normal 2 9 2 2 2 2" xfId="8625" xr:uid="{00000000-0005-0000-0000-00009F060000}"/>
    <cellStyle name="Normal 2 9 2 2 2 3" xfId="11022" xr:uid="{00000000-0005-0000-0000-00009F060000}"/>
    <cellStyle name="Normal 2 9 2 2 3" xfId="4321" xr:uid="{00000000-0005-0000-0000-0000FD040000}"/>
    <cellStyle name="Normal 2 9 2 2 3 2" xfId="8013" xr:uid="{00000000-0005-0000-0000-0000A0060000}"/>
    <cellStyle name="Normal 2 9 2 2 3 3" xfId="10410" xr:uid="{00000000-0005-0000-0000-0000A0060000}"/>
    <cellStyle name="Normal 2 9 2 2 4" xfId="5900" xr:uid="{00000000-0005-0000-0000-0000F0020000}"/>
    <cellStyle name="Normal 2 9 2 2 5" xfId="5153" xr:uid="{00000000-0005-0000-0000-000092020000}"/>
    <cellStyle name="Normal 2 9 2 2 6" xfId="7274" xr:uid="{00000000-0005-0000-0000-00009E060000}"/>
    <cellStyle name="Normal 2 9 2 2 7" xfId="9679" xr:uid="{00000000-0005-0000-0000-00009E060000}"/>
    <cellStyle name="Normal 2 9 2 3" xfId="3268" xr:uid="{00000000-0005-0000-0000-0000FF040000}"/>
    <cellStyle name="Normal 2 9 2 3 2" xfId="4501" xr:uid="{00000000-0005-0000-0000-0000FF040000}"/>
    <cellStyle name="Normal 2 9 2 3 2 2" xfId="8626" xr:uid="{00000000-0005-0000-0000-0000A2060000}"/>
    <cellStyle name="Normal 2 9 2 3 2 3" xfId="11023" xr:uid="{00000000-0005-0000-0000-0000A2060000}"/>
    <cellStyle name="Normal 2 9 2 3 3" xfId="5713" xr:uid="{00000000-0005-0000-0000-0000F1020000}"/>
    <cellStyle name="Normal 2 9 2 3 4" xfId="7273" xr:uid="{00000000-0005-0000-0000-0000A1060000}"/>
    <cellStyle name="Normal 2 9 2 3 5" xfId="9678" xr:uid="{00000000-0005-0000-0000-0000A1060000}"/>
    <cellStyle name="Normal 2 9 2 4" xfId="3266" xr:uid="{00000000-0005-0000-0000-000000050000}"/>
    <cellStyle name="Normal 2 9 2 4 2" xfId="8624" xr:uid="{00000000-0005-0000-0000-0000A3060000}"/>
    <cellStyle name="Normal 2 9 2 4 3" xfId="11021" xr:uid="{00000000-0005-0000-0000-0000A3060000}"/>
    <cellStyle name="Normal 2 9 2 5" xfId="2607" xr:uid="{00000000-0005-0000-0000-000001050000}"/>
    <cellStyle name="Normal 2 9 2 5 2" xfId="7805" xr:uid="{00000000-0005-0000-0000-0000A4060000}"/>
    <cellStyle name="Normal 2 9 2 5 3" xfId="10202" xr:uid="{00000000-0005-0000-0000-0000A4060000}"/>
    <cellStyle name="Normal 2 9 2 6" xfId="2344" xr:uid="{00000000-0005-0000-0000-0000FC040000}"/>
    <cellStyle name="Normal 2 9 2 7" xfId="3856" xr:uid="{00000000-0005-0000-0000-0000FE010000}"/>
    <cellStyle name="Normal 2 9 2 8" xfId="5483" xr:uid="{00000000-0005-0000-0000-0000EF020000}"/>
    <cellStyle name="Normal 2 9 2 9" xfId="4916" xr:uid="{00000000-0005-0000-0000-000091020000}"/>
    <cellStyle name="Normal 2 9 3" xfId="839" xr:uid="{00000000-0005-0000-0000-0000F3040000}"/>
    <cellStyle name="Normal 2 9 3 2" xfId="3269" xr:uid="{00000000-0005-0000-0000-000003050000}"/>
    <cellStyle name="Normal 2 9 3 2 2" xfId="8627" xr:uid="{00000000-0005-0000-0000-0000A6060000}"/>
    <cellStyle name="Normal 2 9 3 2 2 2" xfId="11898" xr:uid="{00000000-0005-0000-0000-0000FF060000}"/>
    <cellStyle name="Normal 2 9 3 2 3" xfId="11024" xr:uid="{00000000-0005-0000-0000-0000A6060000}"/>
    <cellStyle name="Normal 2 9 3 2 4" xfId="11690" xr:uid="{00000000-0005-0000-0000-0000FE060000}"/>
    <cellStyle name="Normal 2 9 3 3" xfId="2757" xr:uid="{00000000-0005-0000-0000-000004050000}"/>
    <cellStyle name="Normal 2 9 3 3 2" xfId="8012" xr:uid="{00000000-0005-0000-0000-0000A7060000}"/>
    <cellStyle name="Normal 2 9 3 3 3" xfId="10409" xr:uid="{00000000-0005-0000-0000-0000A7060000}"/>
    <cellStyle name="Normal 2 9 3 4" xfId="4176" xr:uid="{00000000-0005-0000-0000-000002050000}"/>
    <cellStyle name="Normal 2 9 3 4 2" xfId="11816" xr:uid="{00000000-0005-0000-0000-000001070000}"/>
    <cellStyle name="Normal 2 9 3 5" xfId="5899" xr:uid="{00000000-0005-0000-0000-0000F2020000}"/>
    <cellStyle name="Normal 2 9 3 6" xfId="5152" xr:uid="{00000000-0005-0000-0000-000093020000}"/>
    <cellStyle name="Normal 2 9 3 7" xfId="7275" xr:uid="{00000000-0005-0000-0000-0000A5060000}"/>
    <cellStyle name="Normal 2 9 3 8" xfId="9680" xr:uid="{00000000-0005-0000-0000-0000A5060000}"/>
    <cellStyle name="Normal 2 9 4" xfId="840" xr:uid="{00000000-0005-0000-0000-0000F4040000}"/>
    <cellStyle name="Normal 2 9 4 2" xfId="4502" xr:uid="{00000000-0005-0000-0000-000005050000}"/>
    <cellStyle name="Normal 2 9 4 2 2" xfId="8628" xr:uid="{00000000-0005-0000-0000-0000A9060000}"/>
    <cellStyle name="Normal 2 9 4 2 3" xfId="11025" xr:uid="{00000000-0005-0000-0000-0000A9060000}"/>
    <cellStyle name="Normal 2 9 4 3" xfId="5568" xr:uid="{00000000-0005-0000-0000-0000F3020000}"/>
    <cellStyle name="Normal 2 9 4 4" xfId="7276" xr:uid="{00000000-0005-0000-0000-0000A8060000}"/>
    <cellStyle name="Normal 2 9 4 5" xfId="9681" xr:uid="{00000000-0005-0000-0000-0000A8060000}"/>
    <cellStyle name="Normal 2 9 5" xfId="2917" xr:uid="{00000000-0005-0000-0000-000006050000}"/>
    <cellStyle name="Normal 2 9 5 2" xfId="8244" xr:uid="{00000000-0005-0000-0000-0000AB060000}"/>
    <cellStyle name="Normal 2 9 5 2 2" xfId="10641" xr:uid="{00000000-0005-0000-0000-0000AB060000}"/>
    <cellStyle name="Normal 2 9 5 3" xfId="7272" xr:uid="{00000000-0005-0000-0000-0000AA060000}"/>
    <cellStyle name="Normal 2 9 5 4" xfId="9677" xr:uid="{00000000-0005-0000-0000-0000AA060000}"/>
    <cellStyle name="Normal 2 9 6" xfId="2444" xr:uid="{00000000-0005-0000-0000-000007050000}"/>
    <cellStyle name="Normal 2 9 6 2" xfId="7642" xr:uid="{00000000-0005-0000-0000-0000AC060000}"/>
    <cellStyle name="Normal 2 9 6 3" xfId="10039" xr:uid="{00000000-0005-0000-0000-0000AC060000}"/>
    <cellStyle name="Normal 2 9 7" xfId="2198" xr:uid="{00000000-0005-0000-0000-0000FB040000}"/>
    <cellStyle name="Normal 2 9 8" xfId="3954" xr:uid="{00000000-0005-0000-0000-0000FD010000}"/>
    <cellStyle name="Normal 2 9 9" xfId="5322" xr:uid="{00000000-0005-0000-0000-0000EE020000}"/>
    <cellStyle name="Normal 3" xfId="841" xr:uid="{00000000-0005-0000-0000-0000F5040000}"/>
    <cellStyle name="Normal 3 2" xfId="842" xr:uid="{00000000-0005-0000-0000-0000F6040000}"/>
    <cellStyle name="Normal 3 2 2" xfId="843" xr:uid="{00000000-0005-0000-0000-0000F7040000}"/>
    <cellStyle name="Normal 3 2 2 2" xfId="844" xr:uid="{00000000-0005-0000-0000-0000F8040000}"/>
    <cellStyle name="Normal 3 2 2 3" xfId="845" xr:uid="{00000000-0005-0000-0000-0000F9040000}"/>
    <cellStyle name="Normal 3 2 2 3 2" xfId="846" xr:uid="{00000000-0005-0000-0000-0000FA040000}"/>
    <cellStyle name="Normal 3 2 2 3 3" xfId="4698" xr:uid="{00000000-0005-0000-0000-00007D120000}"/>
    <cellStyle name="Normal 3 2 2 4" xfId="847" xr:uid="{00000000-0005-0000-0000-0000FB040000}"/>
    <cellStyle name="Normal 3 2 2 4 2" xfId="848" xr:uid="{00000000-0005-0000-0000-0000FC040000}"/>
    <cellStyle name="Normal 3 2 2 4 3" xfId="3711" xr:uid="{00000000-0005-0000-0000-000069040000}"/>
    <cellStyle name="Normal 3 2 3" xfId="849" xr:uid="{00000000-0005-0000-0000-0000FD040000}"/>
    <cellStyle name="Normal 3 2 3 2" xfId="850" xr:uid="{00000000-0005-0000-0000-0000FE040000}"/>
    <cellStyle name="Normal 3 2 3 3" xfId="851" xr:uid="{00000000-0005-0000-0000-0000FF040000}"/>
    <cellStyle name="Normal 3 2 3 3 2" xfId="852" xr:uid="{00000000-0005-0000-0000-000000050000}"/>
    <cellStyle name="Normal 3 2 3 3 2 2" xfId="853" xr:uid="{00000000-0005-0000-0000-000001050000}"/>
    <cellStyle name="Normal 3 2 3 3 2 3" xfId="854" xr:uid="{00000000-0005-0000-0000-000002050000}"/>
    <cellStyle name="Normal 3 2 3 3 2 3 2" xfId="855" xr:uid="{00000000-0005-0000-0000-000003050000}"/>
    <cellStyle name="Normal 3 2 3 3 2 3 2 2" xfId="856" xr:uid="{00000000-0005-0000-0000-000004050000}"/>
    <cellStyle name="Normal 3 2 3 3 2 3 2 2 2" xfId="11379" xr:uid="{00000000-0005-0000-0000-0000E62C0000}"/>
    <cellStyle name="Normal 3 2 3 3 2 3 2 2 2 2" xfId="11489" xr:uid="{00000000-0005-0000-0000-00009F020000}"/>
    <cellStyle name="Normal 3 2 3 3 2 3 2 3" xfId="857" xr:uid="{00000000-0005-0000-0000-000005050000}"/>
    <cellStyle name="Normal 3 2 3 3 2 3 2 3 2" xfId="1988" xr:uid="{00000000-0005-0000-0000-000006050000}"/>
    <cellStyle name="Normal 3 2 3 3 2 3 2 3 3" xfId="3712" xr:uid="{00000000-0005-0000-0000-000073040000}"/>
    <cellStyle name="Normal 3 2 3 3 2 3 2 4" xfId="4998" xr:uid="{00000000-0005-0000-0000-00009E020000}"/>
    <cellStyle name="Normal 3 2 3 3 2 3 2 4 2" xfId="11529" xr:uid="{00000000-0005-0000-0000-0000CB030000}"/>
    <cellStyle name="Normal 3 2 3 3 2 3 3" xfId="858" xr:uid="{00000000-0005-0000-0000-000007050000}"/>
    <cellStyle name="Normal 3 2 3 3 2 3 4" xfId="2919" xr:uid="{00000000-0005-0000-0000-000014050000}"/>
    <cellStyle name="Normal 3 2 3 3 2 3 5" xfId="2094" xr:uid="{00000000-0005-0000-0000-000008020000}"/>
    <cellStyle name="Normal 3 2 3 3 2 3 5 2" xfId="4649" xr:uid="{00000000-0005-0000-0000-000011050000}"/>
    <cellStyle name="Normal 3 2 3 3 2 3 6" xfId="3957" xr:uid="{00000000-0005-0000-0000-000008020000}"/>
    <cellStyle name="Normal 3 2 3 3 2 4" xfId="859" xr:uid="{00000000-0005-0000-0000-000008050000}"/>
    <cellStyle name="Normal 3 2 3 3 2 4 2" xfId="2918" xr:uid="{00000000-0005-0000-0000-000015050000}"/>
    <cellStyle name="Normal 3 2 3 3 2 4 3" xfId="4699" xr:uid="{00000000-0005-0000-0000-00007E120000}"/>
    <cellStyle name="Normal 3 2 3 3 2 5" xfId="2093" xr:uid="{00000000-0005-0000-0000-000006020000}"/>
    <cellStyle name="Normal 3 2 3 3 2 5 2" xfId="4666" xr:uid="{00000000-0005-0000-0000-00000F050000}"/>
    <cellStyle name="Normal 3 2 3 3 2 6" xfId="3956" xr:uid="{00000000-0005-0000-0000-000006020000}"/>
    <cellStyle name="Normal 3 2 3 3 3" xfId="860" xr:uid="{00000000-0005-0000-0000-000009050000}"/>
    <cellStyle name="Normal 3 2 3 3 4" xfId="861" xr:uid="{00000000-0005-0000-0000-00000A050000}"/>
    <cellStyle name="Normal 3 2 3 3 4 2" xfId="862" xr:uid="{00000000-0005-0000-0000-00000B050000}"/>
    <cellStyle name="Normal 3 2 3 3 4 2 2" xfId="863" xr:uid="{00000000-0005-0000-0000-00000C050000}"/>
    <cellStyle name="Normal 3 2 3 3 4 2 2 2" xfId="864" xr:uid="{00000000-0005-0000-0000-00000D050000}"/>
    <cellStyle name="Normal 3 2 3 3 4 2 2 2 2" xfId="1989" xr:uid="{00000000-0005-0000-0000-00000E050000}"/>
    <cellStyle name="Normal 3 2 3 3 4 2 2 2 2 2" xfId="11375" xr:uid="{00000000-0005-0000-0000-0000E72C0000}"/>
    <cellStyle name="Normal 3 2 3 3 4 2 2 2 3" xfId="3713" xr:uid="{00000000-0005-0000-0000-00007A040000}"/>
    <cellStyle name="Normal 3 2 3 3 4 2 2 2 3 2" xfId="11490" xr:uid="{00000000-0005-0000-0000-0000A5020000}"/>
    <cellStyle name="Normal 3 2 3 3 4 2 2 3" xfId="1990" xr:uid="{00000000-0005-0000-0000-00000F050000}"/>
    <cellStyle name="Normal 3 2 3 3 4 2 2 4" xfId="4999" xr:uid="{00000000-0005-0000-0000-0000A4020000}"/>
    <cellStyle name="Normal 3 2 3 3 4 2 2 4 2" xfId="11530" xr:uid="{00000000-0005-0000-0000-0000D3030000}"/>
    <cellStyle name="Normal 3 2 3 3 4 2 3" xfId="865" xr:uid="{00000000-0005-0000-0000-000010050000}"/>
    <cellStyle name="Normal 3 2 3 3 4 2 3 2" xfId="866" xr:uid="{00000000-0005-0000-0000-000011050000}"/>
    <cellStyle name="Normal 3 2 3 3 4 2 3 2 2" xfId="6044" xr:uid="{00000000-0005-0000-0000-00000F020000}"/>
    <cellStyle name="Normal 3 2 3 3 4 2 3 2 3" xfId="5280" xr:uid="{00000000-0005-0000-0000-0000A7020000}"/>
    <cellStyle name="Normal 3 2 3 3 4 2 3 3" xfId="867" xr:uid="{00000000-0005-0000-0000-000012050000}"/>
    <cellStyle name="Normal 3 2 3 3 4 2 3 3 2" xfId="11365" xr:uid="{00000000-0005-0000-0000-0000E82C0000}"/>
    <cellStyle name="Normal 3 2 3 3 4 2 3 3 2 2" xfId="11520" xr:uid="{00000000-0005-0000-0000-000012050000}"/>
    <cellStyle name="Normal 3 2 3 3 4 2 3 4" xfId="2096" xr:uid="{00000000-0005-0000-0000-00000E020000}"/>
    <cellStyle name="Normal 3 2 3 3 4 2 3 4 2" xfId="11487" xr:uid="{00000000-0005-0000-0000-0000D7030000}"/>
    <cellStyle name="Normal 3 2 3 3 4 2 3 5" xfId="5154" xr:uid="{00000000-0005-0000-0000-0000A6020000}"/>
    <cellStyle name="Normal 3 2 3 3 4 2 4" xfId="4700" xr:uid="{00000000-0005-0000-0000-00007F120000}"/>
    <cellStyle name="Normal 3 2 3 3 4 3" xfId="868" xr:uid="{00000000-0005-0000-0000-000013050000}"/>
    <cellStyle name="Normal 3 2 3 3 4 4" xfId="2920" xr:uid="{00000000-0005-0000-0000-00001D050000}"/>
    <cellStyle name="Normal 3 2 3 3 4 5" xfId="2095" xr:uid="{00000000-0005-0000-0000-00000B020000}"/>
    <cellStyle name="Normal 3 2 3 3 4 5 2" xfId="3808" xr:uid="{00000000-0005-0000-0000-000017050000}"/>
    <cellStyle name="Normal 3 2 3 3 4 6" xfId="3958" xr:uid="{00000000-0005-0000-0000-00000B020000}"/>
    <cellStyle name="Normal 3 2 3 3 5" xfId="869" xr:uid="{00000000-0005-0000-0000-000014050000}"/>
    <cellStyle name="Normal 3 2 3 3 5 2" xfId="870" xr:uid="{00000000-0005-0000-0000-000015050000}"/>
    <cellStyle name="Normal 3 2 3 3 5 3" xfId="3714" xr:uid="{00000000-0005-0000-0000-000081040000}"/>
    <cellStyle name="Normal 3 2 3 3 5 3 2" xfId="6499" xr:uid="{00000000-0005-0000-0000-00006D060000}"/>
    <cellStyle name="Normal 3 2 3 4" xfId="871" xr:uid="{00000000-0005-0000-0000-000016050000}"/>
    <cellStyle name="Normal 3 2 3 4 2" xfId="872" xr:uid="{00000000-0005-0000-0000-000017050000}"/>
    <cellStyle name="Normal 3 2 3 4 3" xfId="873" xr:uid="{00000000-0005-0000-0000-000018050000}"/>
    <cellStyle name="Normal 3 2 3 4 3 2" xfId="874" xr:uid="{00000000-0005-0000-0000-000019050000}"/>
    <cellStyle name="Normal 3 2 3 4 3 2 2" xfId="875" xr:uid="{00000000-0005-0000-0000-00001A050000}"/>
    <cellStyle name="Normal 3 2 3 4 3 2 2 2" xfId="11357" xr:uid="{00000000-0005-0000-0000-0000E92C0000}"/>
    <cellStyle name="Normal 3 2 3 4 3 2 2 2 2" xfId="11491" xr:uid="{00000000-0005-0000-0000-0000AE020000}"/>
    <cellStyle name="Normal 3 2 3 4 3 2 3" xfId="876" xr:uid="{00000000-0005-0000-0000-00001B050000}"/>
    <cellStyle name="Normal 3 2 3 4 3 2 3 2" xfId="1991" xr:uid="{00000000-0005-0000-0000-00001C050000}"/>
    <cellStyle name="Normal 3 2 3 4 3 2 3 3" xfId="3715" xr:uid="{00000000-0005-0000-0000-000088040000}"/>
    <cellStyle name="Normal 3 2 3 4 3 2 4" xfId="5000" xr:uid="{00000000-0005-0000-0000-0000AD020000}"/>
    <cellStyle name="Normal 3 2 3 4 3 2 4 2" xfId="11531" xr:uid="{00000000-0005-0000-0000-0000E1030000}"/>
    <cellStyle name="Normal 3 2 3 4 3 3" xfId="877" xr:uid="{00000000-0005-0000-0000-00001D050000}"/>
    <cellStyle name="Normal 3 2 3 4 3 4" xfId="2921" xr:uid="{00000000-0005-0000-0000-000023050000}"/>
    <cellStyle name="Normal 3 2 3 4 3 5" xfId="2098" xr:uid="{00000000-0005-0000-0000-000012020000}"/>
    <cellStyle name="Normal 3 2 3 4 3 5 2" xfId="4671" xr:uid="{00000000-0005-0000-0000-000020050000}"/>
    <cellStyle name="Normal 3 2 3 4 3 6" xfId="3960" xr:uid="{00000000-0005-0000-0000-000012020000}"/>
    <cellStyle name="Normal 3 2 3 4 4" xfId="878" xr:uid="{00000000-0005-0000-0000-00001E050000}"/>
    <cellStyle name="Normal 3 2 3 4 4 2" xfId="1992" xr:uid="{00000000-0005-0000-0000-00001F050000}"/>
    <cellStyle name="Normal 3 2 3 4 4 3" xfId="3716" xr:uid="{00000000-0005-0000-0000-00008B040000}"/>
    <cellStyle name="Normal 3 2 3 4 5" xfId="2097" xr:uid="{00000000-0005-0000-0000-000010020000}"/>
    <cellStyle name="Normal 3 2 3 4 5 2" xfId="3778" xr:uid="{00000000-0005-0000-0000-00001E050000}"/>
    <cellStyle name="Normal 3 2 3 4 6" xfId="3959" xr:uid="{00000000-0005-0000-0000-000010020000}"/>
    <cellStyle name="Normal 3 2 3 5" xfId="2066" xr:uid="{00000000-0005-0000-0000-000003020000}"/>
    <cellStyle name="Normal 3 2 4" xfId="879" xr:uid="{00000000-0005-0000-0000-000020050000}"/>
    <cellStyle name="Normal 3 2 4 2" xfId="880" xr:uid="{00000000-0005-0000-0000-000021050000}"/>
    <cellStyle name="Normal 3 2 4 3" xfId="881" xr:uid="{00000000-0005-0000-0000-000022050000}"/>
    <cellStyle name="Normal 3 2 4 3 2" xfId="882" xr:uid="{00000000-0005-0000-0000-000023050000}"/>
    <cellStyle name="Normal 3 2 4 3 2 2" xfId="883" xr:uid="{00000000-0005-0000-0000-000024050000}"/>
    <cellStyle name="Normal 3 2 4 3 2 2 2" xfId="11373" xr:uid="{00000000-0005-0000-0000-0000EA2C0000}"/>
    <cellStyle name="Normal 3 2 4 3 2 2 2 2" xfId="11492" xr:uid="{00000000-0005-0000-0000-0000B4020000}"/>
    <cellStyle name="Normal 3 2 4 3 2 3" xfId="884" xr:uid="{00000000-0005-0000-0000-000025050000}"/>
    <cellStyle name="Normal 3 2 4 3 2 3 2" xfId="1993" xr:uid="{00000000-0005-0000-0000-000026050000}"/>
    <cellStyle name="Normal 3 2 4 3 2 3 3" xfId="3717" xr:uid="{00000000-0005-0000-0000-000092040000}"/>
    <cellStyle name="Normal 3 2 4 3 2 4" xfId="5001" xr:uid="{00000000-0005-0000-0000-0000B3020000}"/>
    <cellStyle name="Normal 3 2 4 3 2 4 2" xfId="11532" xr:uid="{00000000-0005-0000-0000-0000E9030000}"/>
    <cellStyle name="Normal 3 2 4 3 3" xfId="885" xr:uid="{00000000-0005-0000-0000-000027050000}"/>
    <cellStyle name="Normal 3 2 4 3 4" xfId="2923" xr:uid="{00000000-0005-0000-0000-00002A050000}"/>
    <cellStyle name="Normal 3 2 4 3 5" xfId="2100" xr:uid="{00000000-0005-0000-0000-000016020000}"/>
    <cellStyle name="Normal 3 2 4 3 5 2" xfId="4686" xr:uid="{00000000-0005-0000-0000-000027050000}"/>
    <cellStyle name="Normal 3 2 4 3 6" xfId="3963" xr:uid="{00000000-0005-0000-0000-000016020000}"/>
    <cellStyle name="Normal 3 2 4 4" xfId="2922" xr:uid="{00000000-0005-0000-0000-00002B050000}"/>
    <cellStyle name="Normal 3 2 4 4 2" xfId="11572" xr:uid="{00000000-0005-0000-0000-0000612D0000}"/>
    <cellStyle name="Normal 3 2 4 4 3" xfId="11571" xr:uid="{00000000-0005-0000-0000-0000602D0000}"/>
    <cellStyle name="Normal 3 2 4 5" xfId="2099" xr:uid="{00000000-0005-0000-0000-000014020000}"/>
    <cellStyle name="Normal 3 2 4 5 2" xfId="4645" xr:uid="{00000000-0005-0000-0000-000025050000}"/>
    <cellStyle name="Normal 3 2 4 6" xfId="3962" xr:uid="{00000000-0005-0000-0000-000014020000}"/>
    <cellStyle name="Normal 3 3" xfId="886" xr:uid="{00000000-0005-0000-0000-000028050000}"/>
    <cellStyle name="Normal 4" xfId="887" xr:uid="{00000000-0005-0000-0000-000029050000}"/>
    <cellStyle name="Normal 4 10" xfId="888" xr:uid="{00000000-0005-0000-0000-00002A050000}"/>
    <cellStyle name="Normal 4 10 10" xfId="6664" xr:uid="{00000000-0005-0000-0000-0000E4060000}"/>
    <cellStyle name="Normal 4 10 11" xfId="9085" xr:uid="{00000000-0005-0000-0000-0000E4060000}"/>
    <cellStyle name="Normal 4 10 2" xfId="889" xr:uid="{00000000-0005-0000-0000-00002B050000}"/>
    <cellStyle name="Normal 4 10 2 2" xfId="890" xr:uid="{00000000-0005-0000-0000-00002C050000}"/>
    <cellStyle name="Normal 4 10 2 2 2" xfId="6395" xr:uid="{00000000-0005-0000-0000-000030050000}"/>
    <cellStyle name="Normal 4 10 2 2 2 2" xfId="8629" xr:uid="{00000000-0005-0000-0000-0000E7060000}"/>
    <cellStyle name="Normal 4 10 2 2 2 3" xfId="11026" xr:uid="{00000000-0005-0000-0000-0000E7060000}"/>
    <cellStyle name="Normal 4 10 2 2 3" xfId="7280" xr:uid="{00000000-0005-0000-0000-0000E6060000}"/>
    <cellStyle name="Normal 4 10 2 2 3 2" xfId="12082" xr:uid="{00000000-0005-0000-0000-000073050000}"/>
    <cellStyle name="Normal 4 10 2 2 4" xfId="9685" xr:uid="{00000000-0005-0000-0000-0000E6060000}"/>
    <cellStyle name="Normal 4 10 2 2 5" xfId="12045" xr:uid="{00000000-0005-0000-0000-000071050000}"/>
    <cellStyle name="Normal 4 10 2 3" xfId="2759" xr:uid="{00000000-0005-0000-0000-000031050000}"/>
    <cellStyle name="Normal 4 10 2 3 2" xfId="6206" xr:uid="{00000000-0005-0000-0000-000031050000}"/>
    <cellStyle name="Normal 4 10 2 3 3" xfId="7279" xr:uid="{00000000-0005-0000-0000-0000E8060000}"/>
    <cellStyle name="Normal 4 10 2 3 4" xfId="9684" xr:uid="{00000000-0005-0000-0000-0000E8060000}"/>
    <cellStyle name="Normal 4 10 2 4" xfId="4177" xr:uid="{00000000-0005-0000-0000-00002F050000}"/>
    <cellStyle name="Normal 4 10 2 4 2" xfId="8015" xr:uid="{00000000-0005-0000-0000-0000E9060000}"/>
    <cellStyle name="Normal 4 10 2 4 3" xfId="10412" xr:uid="{00000000-0005-0000-0000-0000E9060000}"/>
    <cellStyle name="Normal 4 10 2 5" xfId="5902" xr:uid="{00000000-0005-0000-0000-000011030000}"/>
    <cellStyle name="Normal 4 10 2 6" xfId="5156" xr:uid="{00000000-0005-0000-0000-0000B9020000}"/>
    <cellStyle name="Normal 4 10 2 7" xfId="6825" xr:uid="{00000000-0005-0000-0000-0000E5060000}"/>
    <cellStyle name="Normal 4 10 2 8" xfId="9246" xr:uid="{00000000-0005-0000-0000-0000E5060000}"/>
    <cellStyle name="Normal 4 10 3" xfId="891" xr:uid="{00000000-0005-0000-0000-00002D050000}"/>
    <cellStyle name="Normal 4 10 3 2" xfId="4503" xr:uid="{00000000-0005-0000-0000-000032050000}"/>
    <cellStyle name="Normal 4 10 3 2 2" xfId="8630" xr:uid="{00000000-0005-0000-0000-0000EB060000}"/>
    <cellStyle name="Normal 4 10 3 2 3" xfId="11027" xr:uid="{00000000-0005-0000-0000-0000EB060000}"/>
    <cellStyle name="Normal 4 10 3 3" xfId="5675" xr:uid="{00000000-0005-0000-0000-000012030000}"/>
    <cellStyle name="Normal 4 10 3 3 2" xfId="12083" xr:uid="{00000000-0005-0000-0000-000078050000}"/>
    <cellStyle name="Normal 4 10 3 4" xfId="7281" xr:uid="{00000000-0005-0000-0000-0000EA060000}"/>
    <cellStyle name="Normal 4 10 3 5" xfId="9686" xr:uid="{00000000-0005-0000-0000-0000EA060000}"/>
    <cellStyle name="Normal 4 10 4" xfId="892" xr:uid="{00000000-0005-0000-0000-00002E050000}"/>
    <cellStyle name="Normal 4 10 4 2" xfId="6307" xr:uid="{00000000-0005-0000-0000-000033050000}"/>
    <cellStyle name="Normal 4 10 4 2 2" xfId="8245" xr:uid="{00000000-0005-0000-0000-0000ED060000}"/>
    <cellStyle name="Normal 4 10 4 2 3" xfId="10642" xr:uid="{00000000-0005-0000-0000-0000ED060000}"/>
    <cellStyle name="Normal 4 10 4 3" xfId="7282" xr:uid="{00000000-0005-0000-0000-0000EC060000}"/>
    <cellStyle name="Normal 4 10 4 4" xfId="9687" xr:uid="{00000000-0005-0000-0000-0000EC060000}"/>
    <cellStyle name="Normal 4 10 5" xfId="2566" xr:uid="{00000000-0005-0000-0000-000034050000}"/>
    <cellStyle name="Normal 4 10 5 2" xfId="7278" xr:uid="{00000000-0005-0000-0000-0000EE060000}"/>
    <cellStyle name="Normal 4 10 5 3" xfId="9683" xr:uid="{00000000-0005-0000-0000-0000EE060000}"/>
    <cellStyle name="Normal 4 10 6" xfId="2345" xr:uid="{00000000-0005-0000-0000-00002E050000}"/>
    <cellStyle name="Normal 4 10 6 2" xfId="7764" xr:uid="{00000000-0005-0000-0000-0000EF060000}"/>
    <cellStyle name="Normal 4 10 6 3" xfId="10161" xr:uid="{00000000-0005-0000-0000-0000EF060000}"/>
    <cellStyle name="Normal 4 10 7" xfId="3965" xr:uid="{00000000-0005-0000-0000-00001A020000}"/>
    <cellStyle name="Normal 4 10 8" xfId="5444" xr:uid="{00000000-0005-0000-0000-000010030000}"/>
    <cellStyle name="Normal 4 10 9" xfId="4918" xr:uid="{00000000-0005-0000-0000-0000B8020000}"/>
    <cellStyle name="Normal 4 11" xfId="893" xr:uid="{00000000-0005-0000-0000-00002F050000}"/>
    <cellStyle name="Normal 4 11 10" xfId="9086" xr:uid="{00000000-0005-0000-0000-0000F0060000}"/>
    <cellStyle name="Normal 4 11 2" xfId="894" xr:uid="{00000000-0005-0000-0000-000030050000}"/>
    <cellStyle name="Normal 4 11 2 2" xfId="3270" xr:uid="{00000000-0005-0000-0000-000037050000}"/>
    <cellStyle name="Normal 4 11 2 2 2" xfId="6396" xr:uid="{00000000-0005-0000-0000-000037050000}"/>
    <cellStyle name="Normal 4 11 2 2 3" xfId="7284" xr:uid="{00000000-0005-0000-0000-0000F2060000}"/>
    <cellStyle name="Normal 4 11 2 2 4" xfId="9689" xr:uid="{00000000-0005-0000-0000-0000F2060000}"/>
    <cellStyle name="Normal 4 11 2 3" xfId="4178" xr:uid="{00000000-0005-0000-0000-000036050000}"/>
    <cellStyle name="Normal 4 11 2 3 2" xfId="6114" xr:uid="{00000000-0005-0000-0000-000036050000}"/>
    <cellStyle name="Normal 4 11 2 3 3" xfId="8631" xr:uid="{00000000-0005-0000-0000-0000F3060000}"/>
    <cellStyle name="Normal 4 11 2 3 4" xfId="11028" xr:uid="{00000000-0005-0000-0000-0000F3060000}"/>
    <cellStyle name="Normal 4 11 2 4" xfId="5903" xr:uid="{00000000-0005-0000-0000-000014030000}"/>
    <cellStyle name="Normal 4 11 2 5" xfId="5157" xr:uid="{00000000-0005-0000-0000-0000BB020000}"/>
    <cellStyle name="Normal 4 11 2 6" xfId="6826" xr:uid="{00000000-0005-0000-0000-0000F1060000}"/>
    <cellStyle name="Normal 4 11 2 7" xfId="9247" xr:uid="{00000000-0005-0000-0000-0000F1060000}"/>
    <cellStyle name="Normal 4 11 3" xfId="895" xr:uid="{00000000-0005-0000-0000-000031050000}"/>
    <cellStyle name="Normal 4 11 3 2" xfId="6481" xr:uid="{00000000-0005-0000-0000-00008E060000}"/>
    <cellStyle name="Normal 4 11 3 2 2" xfId="8246" xr:uid="{00000000-0005-0000-0000-0000F5060000}"/>
    <cellStyle name="Normal 4 11 3 2 3" xfId="10643" xr:uid="{00000000-0005-0000-0000-0000F5060000}"/>
    <cellStyle name="Normal 4 11 3 3" xfId="6308" xr:uid="{00000000-0005-0000-0000-000038050000}"/>
    <cellStyle name="Normal 4 11 3 4" xfId="7285" xr:uid="{00000000-0005-0000-0000-0000F4060000}"/>
    <cellStyle name="Normal 4 11 3 5" xfId="9690" xr:uid="{00000000-0005-0000-0000-0000F4060000}"/>
    <cellStyle name="Normal 4 11 4" xfId="2760" xr:uid="{00000000-0005-0000-0000-000039050000}"/>
    <cellStyle name="Normal 4 11 4 2" xfId="6207" xr:uid="{00000000-0005-0000-0000-000039050000}"/>
    <cellStyle name="Normal 4 11 4 3" xfId="7283" xr:uid="{00000000-0005-0000-0000-0000F6060000}"/>
    <cellStyle name="Normal 4 11 4 4" xfId="9688" xr:uid="{00000000-0005-0000-0000-0000F6060000}"/>
    <cellStyle name="Normal 4 11 5" xfId="2346" xr:uid="{00000000-0005-0000-0000-000035050000}"/>
    <cellStyle name="Normal 4 11 5 2" xfId="8016" xr:uid="{00000000-0005-0000-0000-0000F7060000}"/>
    <cellStyle name="Normal 4 11 5 3" xfId="10413" xr:uid="{00000000-0005-0000-0000-0000F7060000}"/>
    <cellStyle name="Normal 4 11 6" xfId="3966" xr:uid="{00000000-0005-0000-0000-00001B020000}"/>
    <cellStyle name="Normal 4 11 7" xfId="5307" xr:uid="{00000000-0005-0000-0000-000013030000}"/>
    <cellStyle name="Normal 4 11 8" xfId="4919" xr:uid="{00000000-0005-0000-0000-0000BA020000}"/>
    <cellStyle name="Normal 4 11 9" xfId="6665" xr:uid="{00000000-0005-0000-0000-0000F0060000}"/>
    <cellStyle name="Normal 4 12" xfId="896" xr:uid="{00000000-0005-0000-0000-000032050000}"/>
    <cellStyle name="Normal 4 12 2" xfId="897" xr:uid="{00000000-0005-0000-0000-000033050000}"/>
    <cellStyle name="Normal 4 12 2 2" xfId="2924" xr:uid="{00000000-0005-0000-0000-00003C050000}"/>
    <cellStyle name="Normal 4 12 2 2 2" xfId="6309" xr:uid="{00000000-0005-0000-0000-00003C050000}"/>
    <cellStyle name="Normal 4 12 2 2 3" xfId="7287" xr:uid="{00000000-0005-0000-0000-0000FA060000}"/>
    <cellStyle name="Normal 4 12 2 2 4" xfId="9692" xr:uid="{00000000-0005-0000-0000-0000FA060000}"/>
    <cellStyle name="Normal 4 12 2 3" xfId="4734" xr:uid="{00000000-0005-0000-0000-0000D8030000}"/>
    <cellStyle name="Normal 4 12 2 3 2" xfId="6115" xr:uid="{00000000-0005-0000-0000-00003B050000}"/>
    <cellStyle name="Normal 4 12 2 3 3" xfId="8247" xr:uid="{00000000-0005-0000-0000-0000FB060000}"/>
    <cellStyle name="Normal 4 12 2 3 4" xfId="10644" xr:uid="{00000000-0005-0000-0000-0000FB060000}"/>
    <cellStyle name="Normal 4 12 2 4" xfId="5158" xr:uid="{00000000-0005-0000-0000-0000BD020000}"/>
    <cellStyle name="Normal 4 12 2 5" xfId="6827" xr:uid="{00000000-0005-0000-0000-0000F9060000}"/>
    <cellStyle name="Normal 4 12 2 6" xfId="9248" xr:uid="{00000000-0005-0000-0000-0000F9060000}"/>
    <cellStyle name="Normal 4 12 3" xfId="898" xr:uid="{00000000-0005-0000-0000-000034050000}"/>
    <cellStyle name="Normal 4 12 3 2" xfId="6208" xr:uid="{00000000-0005-0000-0000-00003D050000}"/>
    <cellStyle name="Normal 4 12 3 3" xfId="7288" xr:uid="{00000000-0005-0000-0000-0000FC060000}"/>
    <cellStyle name="Normal 4 12 3 4" xfId="9693" xr:uid="{00000000-0005-0000-0000-0000FC060000}"/>
    <cellStyle name="Normal 4 12 4" xfId="2347" xr:uid="{00000000-0005-0000-0000-00003A050000}"/>
    <cellStyle name="Normal 4 12 4 2" xfId="6070" xr:uid="{00000000-0005-0000-0000-00003A050000}"/>
    <cellStyle name="Normal 4 12 4 3" xfId="7286" xr:uid="{00000000-0005-0000-0000-0000FD060000}"/>
    <cellStyle name="Normal 4 12 4 4" xfId="9691" xr:uid="{00000000-0005-0000-0000-0000FD060000}"/>
    <cellStyle name="Normal 4 12 5" xfId="3967" xr:uid="{00000000-0005-0000-0000-00001C020000}"/>
    <cellStyle name="Normal 4 12 5 2" xfId="8017" xr:uid="{00000000-0005-0000-0000-0000FE060000}"/>
    <cellStyle name="Normal 4 12 5 3" xfId="10414" xr:uid="{00000000-0005-0000-0000-0000FE060000}"/>
    <cellStyle name="Normal 4 12 6" xfId="5904" xr:uid="{00000000-0005-0000-0000-000015030000}"/>
    <cellStyle name="Normal 4 12 7" xfId="4920" xr:uid="{00000000-0005-0000-0000-0000BC020000}"/>
    <cellStyle name="Normal 4 12 8" xfId="6666" xr:uid="{00000000-0005-0000-0000-0000F8060000}"/>
    <cellStyle name="Normal 4 12 9" xfId="9087" xr:uid="{00000000-0005-0000-0000-0000F8060000}"/>
    <cellStyle name="Normal 4 13" xfId="899" xr:uid="{00000000-0005-0000-0000-000035050000}"/>
    <cellStyle name="Normal 4 13 2" xfId="3271" xr:uid="{00000000-0005-0000-0000-00003F050000}"/>
    <cellStyle name="Normal 4 13 2 2" xfId="6397" xr:uid="{00000000-0005-0000-0000-00003F050000}"/>
    <cellStyle name="Normal 4 13 2 2 2" xfId="8632" xr:uid="{00000000-0005-0000-0000-000001070000}"/>
    <cellStyle name="Normal 4 13 2 2 3" xfId="11029" xr:uid="{00000000-0005-0000-0000-000001070000}"/>
    <cellStyle name="Normal 4 13 2 3" xfId="5159" xr:uid="{00000000-0005-0000-0000-0000BF020000}"/>
    <cellStyle name="Normal 4 13 2 4" xfId="7289" xr:uid="{00000000-0005-0000-0000-000000070000}"/>
    <cellStyle name="Normal 4 13 2 5" xfId="9694" xr:uid="{00000000-0005-0000-0000-000000070000}"/>
    <cellStyle name="Normal 4 13 3" xfId="2758" xr:uid="{00000000-0005-0000-0000-000040050000}"/>
    <cellStyle name="Normal 4 13 3 2" xfId="6205" xr:uid="{00000000-0005-0000-0000-000040050000}"/>
    <cellStyle name="Normal 4 13 3 3" xfId="8014" xr:uid="{00000000-0005-0000-0000-000002070000}"/>
    <cellStyle name="Normal 4 13 3 4" xfId="10411" xr:uid="{00000000-0005-0000-0000-000002070000}"/>
    <cellStyle name="Normal 4 13 4" xfId="2268" xr:uid="{00000000-0005-0000-0000-00003E050000}"/>
    <cellStyle name="Normal 4 13 4 2" xfId="11406" xr:uid="{00000000-0005-0000-0000-000099060000}"/>
    <cellStyle name="Normal 4 13 5" xfId="3964" xr:uid="{00000000-0005-0000-0000-00001D020000}"/>
    <cellStyle name="Normal 4 13 6" xfId="5901" xr:uid="{00000000-0005-0000-0000-000016030000}"/>
    <cellStyle name="Normal 4 13 7" xfId="4917" xr:uid="{00000000-0005-0000-0000-0000BE020000}"/>
    <cellStyle name="Normal 4 13 8" xfId="6663" xr:uid="{00000000-0005-0000-0000-0000FF060000}"/>
    <cellStyle name="Normal 4 13 9" xfId="9084" xr:uid="{00000000-0005-0000-0000-0000FF060000}"/>
    <cellStyle name="Normal 4 14" xfId="900" xr:uid="{00000000-0005-0000-0000-000036050000}"/>
    <cellStyle name="Normal 4 14 2" xfId="3272" xr:uid="{00000000-0005-0000-0000-000042050000}"/>
    <cellStyle name="Normal 4 14 2 2" xfId="6398" xr:uid="{00000000-0005-0000-0000-000042050000}"/>
    <cellStyle name="Normal 4 14 2 2 2" xfId="8633" xr:uid="{00000000-0005-0000-0000-000005070000}"/>
    <cellStyle name="Normal 4 14 2 2 3" xfId="11030" xr:uid="{00000000-0005-0000-0000-000005070000}"/>
    <cellStyle name="Normal 4 14 2 3" xfId="5160" xr:uid="{00000000-0005-0000-0000-0000C1020000}"/>
    <cellStyle name="Normal 4 14 2 4" xfId="7290" xr:uid="{00000000-0005-0000-0000-000004070000}"/>
    <cellStyle name="Normal 4 14 2 5" xfId="9695" xr:uid="{00000000-0005-0000-0000-000004070000}"/>
    <cellStyle name="Normal 4 14 3" xfId="2867" xr:uid="{00000000-0005-0000-0000-000043050000}"/>
    <cellStyle name="Normal 4 14 3 2" xfId="6256" xr:uid="{00000000-0005-0000-0000-000043050000}"/>
    <cellStyle name="Normal 4 14 3 3" xfId="8162" xr:uid="{00000000-0005-0000-0000-000006070000}"/>
    <cellStyle name="Normal 4 14 3 4" xfId="10559" xr:uid="{00000000-0005-0000-0000-000006070000}"/>
    <cellStyle name="Normal 4 14 4" xfId="4115" xr:uid="{00000000-0005-0000-0000-000041050000}"/>
    <cellStyle name="Normal 4 14 4 2" xfId="11424" xr:uid="{00000000-0005-0000-0000-00009E060000}"/>
    <cellStyle name="Normal 4 14 5" xfId="5553" xr:uid="{00000000-0005-0000-0000-000017030000}"/>
    <cellStyle name="Normal 4 14 6" xfId="5029" xr:uid="{00000000-0005-0000-0000-0000C0020000}"/>
    <cellStyle name="Normal 4 14 7" xfId="6824" xr:uid="{00000000-0005-0000-0000-000003070000}"/>
    <cellStyle name="Normal 4 14 8" xfId="9245" xr:uid="{00000000-0005-0000-0000-000003070000}"/>
    <cellStyle name="Normal 4 15" xfId="901" xr:uid="{00000000-0005-0000-0000-000037050000}"/>
    <cellStyle name="Normal 4 15 2" xfId="4692" xr:uid="{00000000-0005-0000-0000-0000E2030000}"/>
    <cellStyle name="Normal 4 15 2 2" xfId="6494" xr:uid="{00000000-0005-0000-0000-0000A0060000}"/>
    <cellStyle name="Normal 4 15 2 3" xfId="5161" xr:uid="{00000000-0005-0000-0000-0000C3020000}"/>
    <cellStyle name="Normal 4 15 2 4" xfId="8166" xr:uid="{00000000-0005-0000-0000-000008070000}"/>
    <cellStyle name="Normal 4 15 2 5" xfId="10563" xr:uid="{00000000-0005-0000-0000-000008070000}"/>
    <cellStyle name="Normal 4 15 3" xfId="6259" xr:uid="{00000000-0005-0000-0000-000044050000}"/>
    <cellStyle name="Normal 4 15 3 2" xfId="11425" xr:uid="{00000000-0005-0000-0000-0000A1060000}"/>
    <cellStyle name="Normal 4 15 3 3" xfId="11565" xr:uid="{00000000-0005-0000-0000-0000FE030000}"/>
    <cellStyle name="Normal 4 15 4" xfId="4762" xr:uid="{00000000-0005-0000-0000-0000C2020000}"/>
    <cellStyle name="Normal 4 15 4 2" xfId="11837" xr:uid="{00000000-0005-0000-0000-00005E070000}"/>
    <cellStyle name="Normal 4 15 5" xfId="7291" xr:uid="{00000000-0005-0000-0000-000007070000}"/>
    <cellStyle name="Normal 4 15 6" xfId="9696" xr:uid="{00000000-0005-0000-0000-000007070000}"/>
    <cellStyle name="Normal 4 16" xfId="902" xr:uid="{00000000-0005-0000-0000-000038050000}"/>
    <cellStyle name="Normal 4 16 2" xfId="6142" xr:uid="{00000000-0005-0000-0000-000045050000}"/>
    <cellStyle name="Normal 4 16 2 2" xfId="11615" xr:uid="{00000000-0005-0000-0000-000060070000}"/>
    <cellStyle name="Normal 4 16 2 3" xfId="11693" xr:uid="{00000000-0005-0000-0000-000060070000}"/>
    <cellStyle name="Normal 4 16 3" xfId="5155" xr:uid="{00000000-0005-0000-0000-0000C4020000}"/>
    <cellStyle name="Normal 4 16 3 2" xfId="11692" xr:uid="{00000000-0005-0000-0000-000061070000}"/>
    <cellStyle name="Normal 4 16 4" xfId="7292" xr:uid="{00000000-0005-0000-0000-000009070000}"/>
    <cellStyle name="Normal 4 16 5" xfId="9697" xr:uid="{00000000-0005-0000-0000-000009070000}"/>
    <cellStyle name="Normal 4 17" xfId="903" xr:uid="{00000000-0005-0000-0000-000039050000}"/>
    <cellStyle name="Normal 4 17 2" xfId="6048" xr:uid="{00000000-0005-0000-0000-00002D050000}"/>
    <cellStyle name="Normal 4 17 2 2" xfId="11616" xr:uid="{00000000-0005-0000-0000-000063070000}"/>
    <cellStyle name="Normal 4 17 2 3" xfId="11695" xr:uid="{00000000-0005-0000-0000-000063070000}"/>
    <cellStyle name="Normal 4 17 3" xfId="7293" xr:uid="{00000000-0005-0000-0000-00000A070000}"/>
    <cellStyle name="Normal 4 17 3 2" xfId="11694" xr:uid="{00000000-0005-0000-0000-000064070000}"/>
    <cellStyle name="Normal 4 17 4" xfId="9698" xr:uid="{00000000-0005-0000-0000-00000A070000}"/>
    <cellStyle name="Normal 4 17 5" xfId="11664" xr:uid="{00000000-0005-0000-0000-000062070000}"/>
    <cellStyle name="Normal 4 18" xfId="3781" xr:uid="{00000000-0005-0000-0000-000019020000}"/>
    <cellStyle name="Normal 4 18 2" xfId="7277" xr:uid="{00000000-0005-0000-0000-00000B070000}"/>
    <cellStyle name="Normal 4 18 2 2" xfId="11617" xr:uid="{00000000-0005-0000-0000-000066070000}"/>
    <cellStyle name="Normal 4 18 2 3" xfId="11697" xr:uid="{00000000-0005-0000-0000-000066070000}"/>
    <cellStyle name="Normal 4 18 3" xfId="9682" xr:uid="{00000000-0005-0000-0000-00000B070000}"/>
    <cellStyle name="Normal 4 18 3 2" xfId="11696" xr:uid="{00000000-0005-0000-0000-000067070000}"/>
    <cellStyle name="Normal 4 18 4" xfId="11591" xr:uid="{00000000-0005-0000-0000-000065070000}"/>
    <cellStyle name="Normal 4 18 5" xfId="11666" xr:uid="{00000000-0005-0000-0000-000065070000}"/>
    <cellStyle name="Normal 4 19" xfId="5300" xr:uid="{00000000-0005-0000-0000-00000F030000}"/>
    <cellStyle name="Normal 4 19 2" xfId="7627" xr:uid="{00000000-0005-0000-0000-00000C070000}"/>
    <cellStyle name="Normal 4 19 2 2" xfId="11618" xr:uid="{00000000-0005-0000-0000-000069070000}"/>
    <cellStyle name="Normal 4 19 2 3" xfId="11699" xr:uid="{00000000-0005-0000-0000-000069070000}"/>
    <cellStyle name="Normal 4 19 3" xfId="10024" xr:uid="{00000000-0005-0000-0000-00000C070000}"/>
    <cellStyle name="Normal 4 19 3 2" xfId="11698" xr:uid="{00000000-0005-0000-0000-00006A070000}"/>
    <cellStyle name="Normal 4 19 4" xfId="11593" xr:uid="{00000000-0005-0000-0000-000068070000}"/>
    <cellStyle name="Normal 4 19 5" xfId="11668" xr:uid="{00000000-0005-0000-0000-000068070000}"/>
    <cellStyle name="Normal 4 2" xfId="904" xr:uid="{00000000-0005-0000-0000-00003A050000}"/>
    <cellStyle name="Normal 4 2 10" xfId="905" xr:uid="{00000000-0005-0000-0000-00003B050000}"/>
    <cellStyle name="Normal 4 2 10 2" xfId="906" xr:uid="{00000000-0005-0000-0000-00003C050000}"/>
    <cellStyle name="Normal 4 2 10 2 2" xfId="2925" xr:uid="{00000000-0005-0000-0000-000049050000}"/>
    <cellStyle name="Normal 4 2 10 2 2 2" xfId="6310" xr:uid="{00000000-0005-0000-0000-000049050000}"/>
    <cellStyle name="Normal 4 2 10 2 2 3" xfId="7296" xr:uid="{00000000-0005-0000-0000-000010070000}"/>
    <cellStyle name="Normal 4 2 10 2 2 4" xfId="9701" xr:uid="{00000000-0005-0000-0000-000010070000}"/>
    <cellStyle name="Normal 4 2 10 2 3" xfId="4735" xr:uid="{00000000-0005-0000-0000-0000E9030000}"/>
    <cellStyle name="Normal 4 2 10 2 3 2" xfId="6116" xr:uid="{00000000-0005-0000-0000-000048050000}"/>
    <cellStyle name="Normal 4 2 10 2 3 3" xfId="8248" xr:uid="{00000000-0005-0000-0000-000011070000}"/>
    <cellStyle name="Normal 4 2 10 2 3 4" xfId="10645" xr:uid="{00000000-0005-0000-0000-000011070000}"/>
    <cellStyle name="Normal 4 2 10 2 4" xfId="5163" xr:uid="{00000000-0005-0000-0000-0000C7020000}"/>
    <cellStyle name="Normal 4 2 10 2 5" xfId="6829" xr:uid="{00000000-0005-0000-0000-00000F070000}"/>
    <cellStyle name="Normal 4 2 10 2 6" xfId="9250" xr:uid="{00000000-0005-0000-0000-00000F070000}"/>
    <cellStyle name="Normal 4 2 10 3" xfId="907" xr:uid="{00000000-0005-0000-0000-00003D050000}"/>
    <cellStyle name="Normal 4 2 10 3 2" xfId="6210" xr:uid="{00000000-0005-0000-0000-00004A050000}"/>
    <cellStyle name="Normal 4 2 10 3 3" xfId="7297" xr:uid="{00000000-0005-0000-0000-000012070000}"/>
    <cellStyle name="Normal 4 2 10 3 4" xfId="9702" xr:uid="{00000000-0005-0000-0000-000012070000}"/>
    <cellStyle name="Normal 4 2 10 4" xfId="2348" xr:uid="{00000000-0005-0000-0000-000047050000}"/>
    <cellStyle name="Normal 4 2 10 4 2" xfId="6071" xr:uid="{00000000-0005-0000-0000-000047050000}"/>
    <cellStyle name="Normal 4 2 10 4 3" xfId="7295" xr:uid="{00000000-0005-0000-0000-000013070000}"/>
    <cellStyle name="Normal 4 2 10 4 4" xfId="9700" xr:uid="{00000000-0005-0000-0000-000013070000}"/>
    <cellStyle name="Normal 4 2 10 5" xfId="3969" xr:uid="{00000000-0005-0000-0000-00001F020000}"/>
    <cellStyle name="Normal 4 2 10 5 2" xfId="8019" xr:uid="{00000000-0005-0000-0000-000014070000}"/>
    <cellStyle name="Normal 4 2 10 5 3" xfId="10416" xr:uid="{00000000-0005-0000-0000-000014070000}"/>
    <cellStyle name="Normal 4 2 10 6" xfId="5906" xr:uid="{00000000-0005-0000-0000-000019030000}"/>
    <cellStyle name="Normal 4 2 10 7" xfId="4922" xr:uid="{00000000-0005-0000-0000-0000C6020000}"/>
    <cellStyle name="Normal 4 2 10 8" xfId="6668" xr:uid="{00000000-0005-0000-0000-00000E070000}"/>
    <cellStyle name="Normal 4 2 10 9" xfId="9089" xr:uid="{00000000-0005-0000-0000-00000E070000}"/>
    <cellStyle name="Normal 4 2 11" xfId="908" xr:uid="{00000000-0005-0000-0000-00003E050000}"/>
    <cellStyle name="Normal 4 2 11 2" xfId="3273" xr:uid="{00000000-0005-0000-0000-00004C050000}"/>
    <cellStyle name="Normal 4 2 11 2 2" xfId="6399" xr:uid="{00000000-0005-0000-0000-00004C050000}"/>
    <cellStyle name="Normal 4 2 11 2 2 2" xfId="8634" xr:uid="{00000000-0005-0000-0000-000017070000}"/>
    <cellStyle name="Normal 4 2 11 2 2 3" xfId="11031" xr:uid="{00000000-0005-0000-0000-000017070000}"/>
    <cellStyle name="Normal 4 2 11 2 3" xfId="5164" xr:uid="{00000000-0005-0000-0000-0000C9020000}"/>
    <cellStyle name="Normal 4 2 11 2 4" xfId="7298" xr:uid="{00000000-0005-0000-0000-000016070000}"/>
    <cellStyle name="Normal 4 2 11 2 5" xfId="9703" xr:uid="{00000000-0005-0000-0000-000016070000}"/>
    <cellStyle name="Normal 4 2 11 3" xfId="2761" xr:uid="{00000000-0005-0000-0000-00004D050000}"/>
    <cellStyle name="Normal 4 2 11 3 2" xfId="6209" xr:uid="{00000000-0005-0000-0000-00004D050000}"/>
    <cellStyle name="Normal 4 2 11 3 3" xfId="8018" xr:uid="{00000000-0005-0000-0000-000018070000}"/>
    <cellStyle name="Normal 4 2 11 3 4" xfId="10415" xr:uid="{00000000-0005-0000-0000-000018070000}"/>
    <cellStyle name="Normal 4 2 11 4" xfId="2269" xr:uid="{00000000-0005-0000-0000-00004B050000}"/>
    <cellStyle name="Normal 4 2 11 4 2" xfId="11407" xr:uid="{00000000-0005-0000-0000-0000AF060000}"/>
    <cellStyle name="Normal 4 2 11 5" xfId="3968" xr:uid="{00000000-0005-0000-0000-000020020000}"/>
    <cellStyle name="Normal 4 2 11 6" xfId="5905" xr:uid="{00000000-0005-0000-0000-00001A030000}"/>
    <cellStyle name="Normal 4 2 11 7" xfId="4921" xr:uid="{00000000-0005-0000-0000-0000C8020000}"/>
    <cellStyle name="Normal 4 2 11 8" xfId="6667" xr:uid="{00000000-0005-0000-0000-000015070000}"/>
    <cellStyle name="Normal 4 2 11 9" xfId="9088" xr:uid="{00000000-0005-0000-0000-000015070000}"/>
    <cellStyle name="Normal 4 2 12" xfId="909" xr:uid="{00000000-0005-0000-0000-00003F050000}"/>
    <cellStyle name="Normal 4 2 12 2" xfId="3274" xr:uid="{00000000-0005-0000-0000-00004F050000}"/>
    <cellStyle name="Normal 4 2 12 2 2" xfId="6400" xr:uid="{00000000-0005-0000-0000-00004F050000}"/>
    <cellStyle name="Normal 4 2 12 2 3" xfId="5165" xr:uid="{00000000-0005-0000-0000-0000CB020000}"/>
    <cellStyle name="Normal 4 2 12 2 4" xfId="7299" xr:uid="{00000000-0005-0000-0000-00001A070000}"/>
    <cellStyle name="Normal 4 2 12 2 5" xfId="9704" xr:uid="{00000000-0005-0000-0000-00001A070000}"/>
    <cellStyle name="Normal 4 2 12 3" xfId="4116" xr:uid="{00000000-0005-0000-0000-00004E050000}"/>
    <cellStyle name="Normal 4 2 12 3 2" xfId="6092" xr:uid="{00000000-0005-0000-0000-00004E050000}"/>
    <cellStyle name="Normal 4 2 12 3 3" xfId="8635" xr:uid="{00000000-0005-0000-0000-00001B070000}"/>
    <cellStyle name="Normal 4 2 12 3 4" xfId="11032" xr:uid="{00000000-0005-0000-0000-00001B070000}"/>
    <cellStyle name="Normal 4 2 12 4" xfId="5554" xr:uid="{00000000-0005-0000-0000-00001B030000}"/>
    <cellStyle name="Normal 4 2 12 4 2" xfId="11899" xr:uid="{00000000-0005-0000-0000-000079070000}"/>
    <cellStyle name="Normal 4 2 12 5" xfId="4763" xr:uid="{00000000-0005-0000-0000-0000CA020000}"/>
    <cellStyle name="Normal 4 2 12 6" xfId="6828" xr:uid="{00000000-0005-0000-0000-000019070000}"/>
    <cellStyle name="Normal 4 2 12 7" xfId="9249" xr:uid="{00000000-0005-0000-0000-000019070000}"/>
    <cellStyle name="Normal 4 2 13" xfId="910" xr:uid="{00000000-0005-0000-0000-000040050000}"/>
    <cellStyle name="Normal 4 2 13 2" xfId="4691" xr:uid="{00000000-0005-0000-0000-0000F3030000}"/>
    <cellStyle name="Normal 4 2 13 2 2" xfId="6260" xr:uid="{00000000-0005-0000-0000-000050050000}"/>
    <cellStyle name="Normal 4 2 13 2 3" xfId="8167" xr:uid="{00000000-0005-0000-0000-00001D070000}"/>
    <cellStyle name="Normal 4 2 13 2 4" xfId="10564" xr:uid="{00000000-0005-0000-0000-00001D070000}"/>
    <cellStyle name="Normal 4 2 13 3" xfId="5162" xr:uid="{00000000-0005-0000-0000-0000CC020000}"/>
    <cellStyle name="Normal 4 2 13 3 2" xfId="11838" xr:uid="{00000000-0005-0000-0000-00007C070000}"/>
    <cellStyle name="Normal 4 2 13 4" xfId="7300" xr:uid="{00000000-0005-0000-0000-00001C070000}"/>
    <cellStyle name="Normal 4 2 13 5" xfId="9705" xr:uid="{00000000-0005-0000-0000-00001C070000}"/>
    <cellStyle name="Normal 4 2 14" xfId="2431" xr:uid="{00000000-0005-0000-0000-000051050000}"/>
    <cellStyle name="Normal 4 2 14 2" xfId="6143" xr:uid="{00000000-0005-0000-0000-000051050000}"/>
    <cellStyle name="Normal 4 2 14 3" xfId="7294" xr:uid="{00000000-0005-0000-0000-00001E070000}"/>
    <cellStyle name="Normal 4 2 14 4" xfId="9699" xr:uid="{00000000-0005-0000-0000-00001E070000}"/>
    <cellStyle name="Normal 4 2 15" xfId="2158" xr:uid="{00000000-0005-0000-0000-000046050000}"/>
    <cellStyle name="Normal 4 2 15 2" xfId="6049" xr:uid="{00000000-0005-0000-0000-000046050000}"/>
    <cellStyle name="Normal 4 2 15 3" xfId="7628" xr:uid="{00000000-0005-0000-0000-00001F070000}"/>
    <cellStyle name="Normal 4 2 15 4" xfId="10025" xr:uid="{00000000-0005-0000-0000-00001F070000}"/>
    <cellStyle name="Normal 4 2 16" xfId="3782" xr:uid="{00000000-0005-0000-0000-00001E020000}"/>
    <cellStyle name="Normal 4 2 16 2" xfId="11791" xr:uid="{00000000-0005-0000-0000-00007F070000}"/>
    <cellStyle name="Normal 4 2 17" xfId="5301" xr:uid="{00000000-0005-0000-0000-000018030000}"/>
    <cellStyle name="Normal 4 2 18" xfId="4756" xr:uid="{00000000-0005-0000-0000-0000C5020000}"/>
    <cellStyle name="Normal 4 2 19" xfId="6527" xr:uid="{00000000-0005-0000-0000-00000D070000}"/>
    <cellStyle name="Normal 4 2 2" xfId="911" xr:uid="{00000000-0005-0000-0000-000041050000}"/>
    <cellStyle name="Normal 4 2 2 10" xfId="912" xr:uid="{00000000-0005-0000-0000-000042050000}"/>
    <cellStyle name="Normal 4 2 2 10 2" xfId="3275" xr:uid="{00000000-0005-0000-0000-000054050000}"/>
    <cellStyle name="Normal 4 2 2 10 2 2" xfId="6401" xr:uid="{00000000-0005-0000-0000-000054050000}"/>
    <cellStyle name="Normal 4 2 2 10 2 3" xfId="7302" xr:uid="{00000000-0005-0000-0000-000022070000}"/>
    <cellStyle name="Normal 4 2 2 10 2 4" xfId="9707" xr:uid="{00000000-0005-0000-0000-000022070000}"/>
    <cellStyle name="Normal 4 2 2 10 3" xfId="4179" xr:uid="{00000000-0005-0000-0000-000053050000}"/>
    <cellStyle name="Normal 4 2 2 10 3 2" xfId="6117" xr:uid="{00000000-0005-0000-0000-000053050000}"/>
    <cellStyle name="Normal 4 2 2 10 3 3" xfId="8636" xr:uid="{00000000-0005-0000-0000-000023070000}"/>
    <cellStyle name="Normal 4 2 2 10 3 4" xfId="11033" xr:uid="{00000000-0005-0000-0000-000023070000}"/>
    <cellStyle name="Normal 4 2 2 10 4" xfId="5562" xr:uid="{00000000-0005-0000-0000-00001D030000}"/>
    <cellStyle name="Normal 4 2 2 10 4 2" xfId="11900" xr:uid="{00000000-0005-0000-0000-000084070000}"/>
    <cellStyle name="Normal 4 2 2 10 5" xfId="5166" xr:uid="{00000000-0005-0000-0000-0000CE020000}"/>
    <cellStyle name="Normal 4 2 2 10 6" xfId="6830" xr:uid="{00000000-0005-0000-0000-000021070000}"/>
    <cellStyle name="Normal 4 2 2 10 7" xfId="9251" xr:uid="{00000000-0005-0000-0000-000021070000}"/>
    <cellStyle name="Normal 4 2 2 11" xfId="913" xr:uid="{00000000-0005-0000-0000-000043050000}"/>
    <cellStyle name="Normal 4 2 2 11 2" xfId="6474" xr:uid="{00000000-0005-0000-0000-0000BB060000}"/>
    <cellStyle name="Normal 4 2 2 11 2 2" xfId="8249" xr:uid="{00000000-0005-0000-0000-000025070000}"/>
    <cellStyle name="Normal 4 2 2 11 2 3" xfId="10646" xr:uid="{00000000-0005-0000-0000-000025070000}"/>
    <cellStyle name="Normal 4 2 2 11 3" xfId="6311" xr:uid="{00000000-0005-0000-0000-000055050000}"/>
    <cellStyle name="Normal 4 2 2 11 4" xfId="7303" xr:uid="{00000000-0005-0000-0000-000024070000}"/>
    <cellStyle name="Normal 4 2 2 11 5" xfId="9708" xr:uid="{00000000-0005-0000-0000-000024070000}"/>
    <cellStyle name="Normal 4 2 2 12" xfId="2439" xr:uid="{00000000-0005-0000-0000-000056050000}"/>
    <cellStyle name="Normal 4 2 2 12 2" xfId="6151" xr:uid="{00000000-0005-0000-0000-000056050000}"/>
    <cellStyle name="Normal 4 2 2 12 3" xfId="7301" xr:uid="{00000000-0005-0000-0000-000026070000}"/>
    <cellStyle name="Normal 4 2 2 12 4" xfId="9706" xr:uid="{00000000-0005-0000-0000-000026070000}"/>
    <cellStyle name="Normal 4 2 2 13" xfId="2169" xr:uid="{00000000-0005-0000-0000-000052050000}"/>
    <cellStyle name="Normal 4 2 2 13 2" xfId="7636" xr:uid="{00000000-0005-0000-0000-000027070000}"/>
    <cellStyle name="Normal 4 2 2 13 3" xfId="10033" xr:uid="{00000000-0005-0000-0000-000027070000}"/>
    <cellStyle name="Normal 4 2 2 14" xfId="3970" xr:uid="{00000000-0005-0000-0000-000021020000}"/>
    <cellStyle name="Normal 4 2 2 15" xfId="5316" xr:uid="{00000000-0005-0000-0000-00001C030000}"/>
    <cellStyle name="Normal 4 2 2 16" xfId="4771" xr:uid="{00000000-0005-0000-0000-0000CD020000}"/>
    <cellStyle name="Normal 4 2 2 17" xfId="6535" xr:uid="{00000000-0005-0000-0000-000020070000}"/>
    <cellStyle name="Normal 4 2 2 18" xfId="8956" xr:uid="{00000000-0005-0000-0000-000020070000}"/>
    <cellStyle name="Normal 4 2 2 2" xfId="914" xr:uid="{00000000-0005-0000-0000-000044050000}"/>
    <cellStyle name="Normal 4 2 2 2 10" xfId="5376" xr:uid="{00000000-0005-0000-0000-00001E030000}"/>
    <cellStyle name="Normal 4 2 2 2 11" xfId="4832" xr:uid="{00000000-0005-0000-0000-0000CF020000}"/>
    <cellStyle name="Normal 4 2 2 2 12" xfId="6578" xr:uid="{00000000-0005-0000-0000-000028070000}"/>
    <cellStyle name="Normal 4 2 2 2 13" xfId="8999" xr:uid="{00000000-0005-0000-0000-000028070000}"/>
    <cellStyle name="Normal 4 2 2 2 2" xfId="915" xr:uid="{00000000-0005-0000-0000-000045050000}"/>
    <cellStyle name="Normal 4 2 2 2 2 10" xfId="4924" xr:uid="{00000000-0005-0000-0000-0000D0020000}"/>
    <cellStyle name="Normal 4 2 2 2 2 11" xfId="6670" xr:uid="{00000000-0005-0000-0000-000029070000}"/>
    <cellStyle name="Normal 4 2 2 2 2 12" xfId="9091" xr:uid="{00000000-0005-0000-0000-000029070000}"/>
    <cellStyle name="Normal 4 2 2 2 2 2" xfId="916" xr:uid="{00000000-0005-0000-0000-000046050000}"/>
    <cellStyle name="Normal 4 2 2 2 2 2 2" xfId="2765" xr:uid="{00000000-0005-0000-0000-00005A050000}"/>
    <cellStyle name="Normal 4 2 2 2 2 2 2 2" xfId="3278" xr:uid="{00000000-0005-0000-0000-00005B050000}"/>
    <cellStyle name="Normal 4 2 2 2 2 2 2 2 2" xfId="8639" xr:uid="{00000000-0005-0000-0000-00002C070000}"/>
    <cellStyle name="Normal 4 2 2 2 2 2 2 2 3" xfId="11036" xr:uid="{00000000-0005-0000-0000-00002C070000}"/>
    <cellStyle name="Normal 4 2 2 2 2 2 2 3" xfId="4323" xr:uid="{00000000-0005-0000-0000-00005A050000}"/>
    <cellStyle name="Normal 4 2 2 2 2 2 2 3 2" xfId="11409" xr:uid="{00000000-0005-0000-0000-0000C2060000}"/>
    <cellStyle name="Normal 4 2 2 2 2 2 2 4" xfId="8023" xr:uid="{00000000-0005-0000-0000-00002B070000}"/>
    <cellStyle name="Normal 4 2 2 2 2 2 2 5" xfId="10420" xr:uid="{00000000-0005-0000-0000-00002B070000}"/>
    <cellStyle name="Normal 4 2 2 2 2 2 3" xfId="3279" xr:uid="{00000000-0005-0000-0000-00005C050000}"/>
    <cellStyle name="Normal 4 2 2 2 2 2 3 2" xfId="4504" xr:uid="{00000000-0005-0000-0000-00005C050000}"/>
    <cellStyle name="Normal 4 2 2 2 2 2 3 3" xfId="8640" xr:uid="{00000000-0005-0000-0000-00002D070000}"/>
    <cellStyle name="Normal 4 2 2 2 2 2 3 4" xfId="11037" xr:uid="{00000000-0005-0000-0000-00002D070000}"/>
    <cellStyle name="Normal 4 2 2 2 2 2 4" xfId="3277" xr:uid="{00000000-0005-0000-0000-00005D050000}"/>
    <cellStyle name="Normal 4 2 2 2 2 2 4 2" xfId="8638" xr:uid="{00000000-0005-0000-0000-00002E070000}"/>
    <cellStyle name="Normal 4 2 2 2 2 2 4 3" xfId="11035" xr:uid="{00000000-0005-0000-0000-00002E070000}"/>
    <cellStyle name="Normal 4 2 2 2 2 2 5" xfId="4248" xr:uid="{00000000-0005-0000-0000-000059050000}"/>
    <cellStyle name="Normal 4 2 2 2 2 2 5 2" xfId="7859" xr:uid="{00000000-0005-0000-0000-00002F070000}"/>
    <cellStyle name="Normal 4 2 2 2 2 2 5 3" xfId="10256" xr:uid="{00000000-0005-0000-0000-00002F070000}"/>
    <cellStyle name="Normal 4 2 2 2 2 2 6" xfId="5537" xr:uid="{00000000-0005-0000-0000-000020030000}"/>
    <cellStyle name="Normal 4 2 2 2 2 2 7" xfId="5168" xr:uid="{00000000-0005-0000-0000-0000D1020000}"/>
    <cellStyle name="Normal 4 2 2 2 2 2 8" xfId="7306" xr:uid="{00000000-0005-0000-0000-00002A070000}"/>
    <cellStyle name="Normal 4 2 2 2 2 2 9" xfId="9711" xr:uid="{00000000-0005-0000-0000-00002A070000}"/>
    <cellStyle name="Normal 4 2 2 2 2 3" xfId="2764" xr:uid="{00000000-0005-0000-0000-00005E050000}"/>
    <cellStyle name="Normal 4 2 2 2 2 3 2" xfId="3280" xr:uid="{00000000-0005-0000-0000-00005F050000}"/>
    <cellStyle name="Normal 4 2 2 2 2 3 2 2" xfId="8641" xr:uid="{00000000-0005-0000-0000-000031070000}"/>
    <cellStyle name="Normal 4 2 2 2 2 3 2 3" xfId="11038" xr:uid="{00000000-0005-0000-0000-000031070000}"/>
    <cellStyle name="Normal 4 2 2 2 2 3 3" xfId="4322" xr:uid="{00000000-0005-0000-0000-00005E050000}"/>
    <cellStyle name="Normal 4 2 2 2 2 3 3 2" xfId="8022" xr:uid="{00000000-0005-0000-0000-000032070000}"/>
    <cellStyle name="Normal 4 2 2 2 2 3 3 3" xfId="10419" xr:uid="{00000000-0005-0000-0000-000032070000}"/>
    <cellStyle name="Normal 4 2 2 2 2 3 4" xfId="5909" xr:uid="{00000000-0005-0000-0000-000023030000}"/>
    <cellStyle name="Normal 4 2 2 2 2 3 5" xfId="7305" xr:uid="{00000000-0005-0000-0000-000030070000}"/>
    <cellStyle name="Normal 4 2 2 2 2 3 6" xfId="9710" xr:uid="{00000000-0005-0000-0000-000030070000}"/>
    <cellStyle name="Normal 4 2 2 2 2 4" xfId="3281" xr:uid="{00000000-0005-0000-0000-000060050000}"/>
    <cellStyle name="Normal 4 2 2 2 2 4 2" xfId="4505" xr:uid="{00000000-0005-0000-0000-000060050000}"/>
    <cellStyle name="Normal 4 2 2 2 2 4 3" xfId="8642" xr:uid="{00000000-0005-0000-0000-000033070000}"/>
    <cellStyle name="Normal 4 2 2 2 2 4 4" xfId="11039" xr:uid="{00000000-0005-0000-0000-000033070000}"/>
    <cellStyle name="Normal 4 2 2 2 2 5" xfId="3276" xr:uid="{00000000-0005-0000-0000-000061050000}"/>
    <cellStyle name="Normal 4 2 2 2 2 5 2" xfId="8637" xr:uid="{00000000-0005-0000-0000-000034070000}"/>
    <cellStyle name="Normal 4 2 2 2 2 5 3" xfId="11034" xr:uid="{00000000-0005-0000-0000-000034070000}"/>
    <cellStyle name="Normal 4 2 2 2 2 6" xfId="2558" xr:uid="{00000000-0005-0000-0000-000062050000}"/>
    <cellStyle name="Normal 4 2 2 2 2 6 2" xfId="7756" xr:uid="{00000000-0005-0000-0000-000035070000}"/>
    <cellStyle name="Normal 4 2 2 2 2 6 3" xfId="10153" xr:uid="{00000000-0005-0000-0000-000035070000}"/>
    <cellStyle name="Normal 4 2 2 2 2 7" xfId="2252" xr:uid="{00000000-0005-0000-0000-000058050000}"/>
    <cellStyle name="Normal 4 2 2 2 2 8" xfId="3803" xr:uid="{00000000-0005-0000-0000-000023020000}"/>
    <cellStyle name="Normal 4 2 2 2 2 9" xfId="5436" xr:uid="{00000000-0005-0000-0000-00001F030000}"/>
    <cellStyle name="Normal 4 2 2 2 3" xfId="917" xr:uid="{00000000-0005-0000-0000-000047050000}"/>
    <cellStyle name="Normal 4 2 2 2 3 10" xfId="6831" xr:uid="{00000000-0005-0000-0000-000036070000}"/>
    <cellStyle name="Normal 4 2 2 2 3 11" xfId="9252" xr:uid="{00000000-0005-0000-0000-000036070000}"/>
    <cellStyle name="Normal 4 2 2 2 3 2" xfId="2766" xr:uid="{00000000-0005-0000-0000-000064050000}"/>
    <cellStyle name="Normal 4 2 2 2 3 2 2" xfId="3283" xr:uid="{00000000-0005-0000-0000-000065050000}"/>
    <cellStyle name="Normal 4 2 2 2 3 2 2 2" xfId="8644" xr:uid="{00000000-0005-0000-0000-000038070000}"/>
    <cellStyle name="Normal 4 2 2 2 3 2 2 3" xfId="11041" xr:uid="{00000000-0005-0000-0000-000038070000}"/>
    <cellStyle name="Normal 4 2 2 2 3 2 3" xfId="4324" xr:uid="{00000000-0005-0000-0000-000064050000}"/>
    <cellStyle name="Normal 4 2 2 2 3 2 3 2" xfId="8024" xr:uid="{00000000-0005-0000-0000-000039070000}"/>
    <cellStyle name="Normal 4 2 2 2 3 2 3 3" xfId="10421" xr:uid="{00000000-0005-0000-0000-000039070000}"/>
    <cellStyle name="Normal 4 2 2 2 3 2 4" xfId="5910" xr:uid="{00000000-0005-0000-0000-000026030000}"/>
    <cellStyle name="Normal 4 2 2 2 3 2 5" xfId="7307" xr:uid="{00000000-0005-0000-0000-000037070000}"/>
    <cellStyle name="Normal 4 2 2 2 3 2 6" xfId="9712" xr:uid="{00000000-0005-0000-0000-000037070000}"/>
    <cellStyle name="Normal 4 2 2 2 3 3" xfId="3284" xr:uid="{00000000-0005-0000-0000-000066050000}"/>
    <cellStyle name="Normal 4 2 2 2 3 3 2" xfId="4506" xr:uid="{00000000-0005-0000-0000-000066050000}"/>
    <cellStyle name="Normal 4 2 2 2 3 3 2 2" xfId="11901" xr:uid="{00000000-0005-0000-0000-00009D070000}"/>
    <cellStyle name="Normal 4 2 2 2 3 3 3" xfId="5708" xr:uid="{00000000-0005-0000-0000-000027030000}"/>
    <cellStyle name="Normal 4 2 2 2 3 3 4" xfId="8645" xr:uid="{00000000-0005-0000-0000-00003A070000}"/>
    <cellStyle name="Normal 4 2 2 2 3 3 5" xfId="11042" xr:uid="{00000000-0005-0000-0000-00003A070000}"/>
    <cellStyle name="Normal 4 2 2 2 3 4" xfId="3282" xr:uid="{00000000-0005-0000-0000-000067050000}"/>
    <cellStyle name="Normal 4 2 2 2 3 4 2" xfId="8643" xr:uid="{00000000-0005-0000-0000-00003B070000}"/>
    <cellStyle name="Normal 4 2 2 2 3 4 3" xfId="11040" xr:uid="{00000000-0005-0000-0000-00003B070000}"/>
    <cellStyle name="Normal 4 2 2 2 3 5" xfId="2601" xr:uid="{00000000-0005-0000-0000-000068050000}"/>
    <cellStyle name="Normal 4 2 2 2 3 5 2" xfId="7799" xr:uid="{00000000-0005-0000-0000-00003C070000}"/>
    <cellStyle name="Normal 4 2 2 2 3 5 3" xfId="10196" xr:uid="{00000000-0005-0000-0000-00003C070000}"/>
    <cellStyle name="Normal 4 2 2 2 3 6" xfId="2350" xr:uid="{00000000-0005-0000-0000-000063050000}"/>
    <cellStyle name="Normal 4 2 2 2 3 7" xfId="3880" xr:uid="{00000000-0005-0000-0000-000024020000}"/>
    <cellStyle name="Normal 4 2 2 2 3 8" xfId="5477" xr:uid="{00000000-0005-0000-0000-000025030000}"/>
    <cellStyle name="Normal 4 2 2 2 3 9" xfId="5167" xr:uid="{00000000-0005-0000-0000-0000D2020000}"/>
    <cellStyle name="Normal 4 2 2 2 4" xfId="918" xr:uid="{00000000-0005-0000-0000-000048050000}"/>
    <cellStyle name="Normal 4 2 2 2 4 2" xfId="3285" xr:uid="{00000000-0005-0000-0000-00006A050000}"/>
    <cellStyle name="Normal 4 2 2 2 4 2 2" xfId="8646" xr:uid="{00000000-0005-0000-0000-00003E070000}"/>
    <cellStyle name="Normal 4 2 2 2 4 2 3" xfId="11043" xr:uid="{00000000-0005-0000-0000-00003E070000}"/>
    <cellStyle name="Normal 4 2 2 2 4 3" xfId="2763" xr:uid="{00000000-0005-0000-0000-00006B050000}"/>
    <cellStyle name="Normal 4 2 2 2 4 3 2" xfId="8021" xr:uid="{00000000-0005-0000-0000-00003F070000}"/>
    <cellStyle name="Normal 4 2 2 2 4 3 3" xfId="10418" xr:uid="{00000000-0005-0000-0000-00003F070000}"/>
    <cellStyle name="Normal 4 2 2 2 4 4" xfId="4180" xr:uid="{00000000-0005-0000-0000-000069050000}"/>
    <cellStyle name="Normal 4 2 2 2 4 5" xfId="5908" xr:uid="{00000000-0005-0000-0000-000028030000}"/>
    <cellStyle name="Normal 4 2 2 2 4 6" xfId="7308" xr:uid="{00000000-0005-0000-0000-00003D070000}"/>
    <cellStyle name="Normal 4 2 2 2 4 7" xfId="9713" xr:uid="{00000000-0005-0000-0000-00003D070000}"/>
    <cellStyle name="Normal 4 2 2 2 5" xfId="3286" xr:uid="{00000000-0005-0000-0000-00006C050000}"/>
    <cellStyle name="Normal 4 2 2 2 5 2" xfId="4507" xr:uid="{00000000-0005-0000-0000-00006C050000}"/>
    <cellStyle name="Normal 4 2 2 2 5 2 2" xfId="8647" xr:uid="{00000000-0005-0000-0000-000041070000}"/>
    <cellStyle name="Normal 4 2 2 2 5 2 3" xfId="11044" xr:uid="{00000000-0005-0000-0000-000041070000}"/>
    <cellStyle name="Normal 4 2 2 2 5 3" xfId="5622" xr:uid="{00000000-0005-0000-0000-000029030000}"/>
    <cellStyle name="Normal 4 2 2 2 5 4" xfId="7304" xr:uid="{00000000-0005-0000-0000-000040070000}"/>
    <cellStyle name="Normal 4 2 2 2 5 5" xfId="9709" xr:uid="{00000000-0005-0000-0000-000040070000}"/>
    <cellStyle name="Normal 4 2 2 2 6" xfId="2926" xr:uid="{00000000-0005-0000-0000-00006D050000}"/>
    <cellStyle name="Normal 4 2 2 2 6 2" xfId="8250" xr:uid="{00000000-0005-0000-0000-000042070000}"/>
    <cellStyle name="Normal 4 2 2 2 6 3" xfId="10647" xr:uid="{00000000-0005-0000-0000-000042070000}"/>
    <cellStyle name="Normal 4 2 2 2 7" xfId="2498" xr:uid="{00000000-0005-0000-0000-00006E050000}"/>
    <cellStyle name="Normal 4 2 2 2 7 2" xfId="7696" xr:uid="{00000000-0005-0000-0000-000043070000}"/>
    <cellStyle name="Normal 4 2 2 2 7 3" xfId="10093" xr:uid="{00000000-0005-0000-0000-000043070000}"/>
    <cellStyle name="Normal 4 2 2 2 8" xfId="2192" xr:uid="{00000000-0005-0000-0000-000057050000}"/>
    <cellStyle name="Normal 4 2 2 2 9" xfId="3971" xr:uid="{00000000-0005-0000-0000-000022020000}"/>
    <cellStyle name="Normal 4 2 2 3" xfId="919" xr:uid="{00000000-0005-0000-0000-000049050000}"/>
    <cellStyle name="Normal 4 2 2 3 10" xfId="5353" xr:uid="{00000000-0005-0000-0000-00002A030000}"/>
    <cellStyle name="Normal 4 2 2 3 11" xfId="4809" xr:uid="{00000000-0005-0000-0000-0000D3020000}"/>
    <cellStyle name="Normal 4 2 2 3 12" xfId="6555" xr:uid="{00000000-0005-0000-0000-000044070000}"/>
    <cellStyle name="Normal 4 2 2 3 13" xfId="8976" xr:uid="{00000000-0005-0000-0000-000044070000}"/>
    <cellStyle name="Normal 4 2 2 3 2" xfId="920" xr:uid="{00000000-0005-0000-0000-00004A050000}"/>
    <cellStyle name="Normal 4 2 2 3 2 10" xfId="6671" xr:uid="{00000000-0005-0000-0000-000045070000}"/>
    <cellStyle name="Normal 4 2 2 3 2 11" xfId="9092" xr:uid="{00000000-0005-0000-0000-000045070000}"/>
    <cellStyle name="Normal 4 2 2 3 2 2" xfId="921" xr:uid="{00000000-0005-0000-0000-00004B050000}"/>
    <cellStyle name="Normal 4 2 2 3 2 2 2" xfId="3288" xr:uid="{00000000-0005-0000-0000-000072050000}"/>
    <cellStyle name="Normal 4 2 2 3 2 2 2 2" xfId="8649" xr:uid="{00000000-0005-0000-0000-000047070000}"/>
    <cellStyle name="Normal 4 2 2 3 2 2 2 3" xfId="11046" xr:uid="{00000000-0005-0000-0000-000047070000}"/>
    <cellStyle name="Normal 4 2 2 3 2 2 3" xfId="4326" xr:uid="{00000000-0005-0000-0000-000071050000}"/>
    <cellStyle name="Normal 4 2 2 3 2 2 3 2" xfId="8026" xr:uid="{00000000-0005-0000-0000-000048070000}"/>
    <cellStyle name="Normal 4 2 2 3 2 2 3 3" xfId="10423" xr:uid="{00000000-0005-0000-0000-000048070000}"/>
    <cellStyle name="Normal 4 2 2 3 2 2 4" xfId="5912" xr:uid="{00000000-0005-0000-0000-00002C030000}"/>
    <cellStyle name="Normal 4 2 2 3 2 2 5" xfId="5170" xr:uid="{00000000-0005-0000-0000-0000D5020000}"/>
    <cellStyle name="Normal 4 2 2 3 2 2 6" xfId="7311" xr:uid="{00000000-0005-0000-0000-000046070000}"/>
    <cellStyle name="Normal 4 2 2 3 2 2 7" xfId="9716" xr:uid="{00000000-0005-0000-0000-000046070000}"/>
    <cellStyle name="Normal 4 2 2 3 2 3" xfId="3289" xr:uid="{00000000-0005-0000-0000-000073050000}"/>
    <cellStyle name="Normal 4 2 2 3 2 3 2" xfId="4508" xr:uid="{00000000-0005-0000-0000-000073050000}"/>
    <cellStyle name="Normal 4 2 2 3 2 3 2 2" xfId="8650" xr:uid="{00000000-0005-0000-0000-00004A070000}"/>
    <cellStyle name="Normal 4 2 2 3 2 3 2 3" xfId="11047" xr:uid="{00000000-0005-0000-0000-00004A070000}"/>
    <cellStyle name="Normal 4 2 2 3 2 3 3" xfId="5658" xr:uid="{00000000-0005-0000-0000-00002D030000}"/>
    <cellStyle name="Normal 4 2 2 3 2 3 4" xfId="7310" xr:uid="{00000000-0005-0000-0000-000049070000}"/>
    <cellStyle name="Normal 4 2 2 3 2 3 5" xfId="9715" xr:uid="{00000000-0005-0000-0000-000049070000}"/>
    <cellStyle name="Normal 4 2 2 3 2 4" xfId="3287" xr:uid="{00000000-0005-0000-0000-000074050000}"/>
    <cellStyle name="Normal 4 2 2 3 2 4 2" xfId="8648" xr:uid="{00000000-0005-0000-0000-00004B070000}"/>
    <cellStyle name="Normal 4 2 2 3 2 4 3" xfId="11045" xr:uid="{00000000-0005-0000-0000-00004B070000}"/>
    <cellStyle name="Normal 4 2 2 3 2 5" xfId="2535" xr:uid="{00000000-0005-0000-0000-000075050000}"/>
    <cellStyle name="Normal 4 2 2 3 2 5 2" xfId="7733" xr:uid="{00000000-0005-0000-0000-00004C070000}"/>
    <cellStyle name="Normal 4 2 2 3 2 5 3" xfId="10130" xr:uid="{00000000-0005-0000-0000-00004C070000}"/>
    <cellStyle name="Normal 4 2 2 3 2 6" xfId="2351" xr:uid="{00000000-0005-0000-0000-000070050000}"/>
    <cellStyle name="Normal 4 2 2 3 2 7" xfId="3892" xr:uid="{00000000-0005-0000-0000-000026020000}"/>
    <cellStyle name="Normal 4 2 2 3 2 8" xfId="5413" xr:uid="{00000000-0005-0000-0000-00002B030000}"/>
    <cellStyle name="Normal 4 2 2 3 2 9" xfId="4925" xr:uid="{00000000-0005-0000-0000-0000D4020000}"/>
    <cellStyle name="Normal 4 2 2 3 3" xfId="922" xr:uid="{00000000-0005-0000-0000-00004C050000}"/>
    <cellStyle name="Normal 4 2 2 3 3 10" xfId="9253" xr:uid="{00000000-0005-0000-0000-00004D070000}"/>
    <cellStyle name="Normal 4 2 2 3 3 2" xfId="2767" xr:uid="{00000000-0005-0000-0000-000077050000}"/>
    <cellStyle name="Normal 4 2 2 3 3 2 2" xfId="3291" xr:uid="{00000000-0005-0000-0000-000078050000}"/>
    <cellStyle name="Normal 4 2 2 3 3 2 2 2" xfId="8652" xr:uid="{00000000-0005-0000-0000-00004F070000}"/>
    <cellStyle name="Normal 4 2 2 3 3 2 2 3" xfId="11049" xr:uid="{00000000-0005-0000-0000-00004F070000}"/>
    <cellStyle name="Normal 4 2 2 3 3 2 3" xfId="4327" xr:uid="{00000000-0005-0000-0000-000077050000}"/>
    <cellStyle name="Normal 4 2 2 3 3 2 3 2" xfId="8027" xr:uid="{00000000-0005-0000-0000-000050070000}"/>
    <cellStyle name="Normal 4 2 2 3 3 2 3 3" xfId="10424" xr:uid="{00000000-0005-0000-0000-000050070000}"/>
    <cellStyle name="Normal 4 2 2 3 3 2 4" xfId="5913" xr:uid="{00000000-0005-0000-0000-00002F030000}"/>
    <cellStyle name="Normal 4 2 2 3 3 2 5" xfId="7312" xr:uid="{00000000-0005-0000-0000-00004E070000}"/>
    <cellStyle name="Normal 4 2 2 3 3 2 6" xfId="9717" xr:uid="{00000000-0005-0000-0000-00004E070000}"/>
    <cellStyle name="Normal 4 2 2 3 3 3" xfId="3292" xr:uid="{00000000-0005-0000-0000-000079050000}"/>
    <cellStyle name="Normal 4 2 2 3 3 3 2" xfId="4509" xr:uid="{00000000-0005-0000-0000-000079050000}"/>
    <cellStyle name="Normal 4 2 2 3 3 3 2 2" xfId="11902" xr:uid="{00000000-0005-0000-0000-0000B5070000}"/>
    <cellStyle name="Normal 4 2 2 3 3 3 3" xfId="5743" xr:uid="{00000000-0005-0000-0000-000030030000}"/>
    <cellStyle name="Normal 4 2 2 3 3 3 4" xfId="8653" xr:uid="{00000000-0005-0000-0000-000051070000}"/>
    <cellStyle name="Normal 4 2 2 3 3 3 5" xfId="11050" xr:uid="{00000000-0005-0000-0000-000051070000}"/>
    <cellStyle name="Normal 4 2 2 3 3 4" xfId="3290" xr:uid="{00000000-0005-0000-0000-00007A050000}"/>
    <cellStyle name="Normal 4 2 2 3 3 4 2" xfId="8651" xr:uid="{00000000-0005-0000-0000-000052070000}"/>
    <cellStyle name="Normal 4 2 2 3 3 4 3" xfId="11048" xr:uid="{00000000-0005-0000-0000-000052070000}"/>
    <cellStyle name="Normal 4 2 2 3 3 5" xfId="2637" xr:uid="{00000000-0005-0000-0000-00007B050000}"/>
    <cellStyle name="Normal 4 2 2 3 3 5 2" xfId="7836" xr:uid="{00000000-0005-0000-0000-000053070000}"/>
    <cellStyle name="Normal 4 2 2 3 3 5 3" xfId="10233" xr:uid="{00000000-0005-0000-0000-000053070000}"/>
    <cellStyle name="Normal 4 2 2 3 3 6" xfId="4181" xr:uid="{00000000-0005-0000-0000-000076050000}"/>
    <cellStyle name="Normal 4 2 2 3 3 7" xfId="5514" xr:uid="{00000000-0005-0000-0000-00002E030000}"/>
    <cellStyle name="Normal 4 2 2 3 3 8" xfId="5169" xr:uid="{00000000-0005-0000-0000-0000D6020000}"/>
    <cellStyle name="Normal 4 2 2 3 3 9" xfId="6832" xr:uid="{00000000-0005-0000-0000-00004D070000}"/>
    <cellStyle name="Normal 4 2 2 3 4" xfId="923" xr:uid="{00000000-0005-0000-0000-00004D050000}"/>
    <cellStyle name="Normal 4 2 2 3 4 2" xfId="3293" xr:uid="{00000000-0005-0000-0000-00007D050000}"/>
    <cellStyle name="Normal 4 2 2 3 4 2 2" xfId="8654" xr:uid="{00000000-0005-0000-0000-000055070000}"/>
    <cellStyle name="Normal 4 2 2 3 4 2 3" xfId="11051" xr:uid="{00000000-0005-0000-0000-000055070000}"/>
    <cellStyle name="Normal 4 2 2 3 4 3" xfId="4325" xr:uid="{00000000-0005-0000-0000-00007C050000}"/>
    <cellStyle name="Normal 4 2 2 3 4 3 2" xfId="8025" xr:uid="{00000000-0005-0000-0000-000056070000}"/>
    <cellStyle name="Normal 4 2 2 3 4 3 3" xfId="10422" xr:uid="{00000000-0005-0000-0000-000056070000}"/>
    <cellStyle name="Normal 4 2 2 3 4 4" xfId="5911" xr:uid="{00000000-0005-0000-0000-000031030000}"/>
    <cellStyle name="Normal 4 2 2 3 4 5" xfId="7313" xr:uid="{00000000-0005-0000-0000-000054070000}"/>
    <cellStyle name="Normal 4 2 2 3 4 6" xfId="9718" xr:uid="{00000000-0005-0000-0000-000054070000}"/>
    <cellStyle name="Normal 4 2 2 3 5" xfId="3294" xr:uid="{00000000-0005-0000-0000-00007E050000}"/>
    <cellStyle name="Normal 4 2 2 3 5 2" xfId="4510" xr:uid="{00000000-0005-0000-0000-00007E050000}"/>
    <cellStyle name="Normal 4 2 2 3 5 2 2" xfId="8655" xr:uid="{00000000-0005-0000-0000-000058070000}"/>
    <cellStyle name="Normal 4 2 2 3 5 2 3" xfId="11052" xr:uid="{00000000-0005-0000-0000-000058070000}"/>
    <cellStyle name="Normal 4 2 2 3 5 3" xfId="5599" xr:uid="{00000000-0005-0000-0000-000032030000}"/>
    <cellStyle name="Normal 4 2 2 3 5 4" xfId="7309" xr:uid="{00000000-0005-0000-0000-000057070000}"/>
    <cellStyle name="Normal 4 2 2 3 5 5" xfId="9714" xr:uid="{00000000-0005-0000-0000-000057070000}"/>
    <cellStyle name="Normal 4 2 2 3 6" xfId="2927" xr:uid="{00000000-0005-0000-0000-00007F050000}"/>
    <cellStyle name="Normal 4 2 2 3 6 2" xfId="8251" xr:uid="{00000000-0005-0000-0000-000059070000}"/>
    <cellStyle name="Normal 4 2 2 3 6 3" xfId="10648" xr:uid="{00000000-0005-0000-0000-000059070000}"/>
    <cellStyle name="Normal 4 2 2 3 7" xfId="2475" xr:uid="{00000000-0005-0000-0000-000080050000}"/>
    <cellStyle name="Normal 4 2 2 3 7 2" xfId="7673" xr:uid="{00000000-0005-0000-0000-00005A070000}"/>
    <cellStyle name="Normal 4 2 2 3 7 3" xfId="10070" xr:uid="{00000000-0005-0000-0000-00005A070000}"/>
    <cellStyle name="Normal 4 2 2 3 8" xfId="2229" xr:uid="{00000000-0005-0000-0000-00006F050000}"/>
    <cellStyle name="Normal 4 2 2 3 9" xfId="3972" xr:uid="{00000000-0005-0000-0000-000025020000}"/>
    <cellStyle name="Normal 4 2 2 4" xfId="924" xr:uid="{00000000-0005-0000-0000-00004E050000}"/>
    <cellStyle name="Normal 4 2 2 4 10" xfId="4789" xr:uid="{00000000-0005-0000-0000-0000D7020000}"/>
    <cellStyle name="Normal 4 2 2 4 11" xfId="6672" xr:uid="{00000000-0005-0000-0000-00005B070000}"/>
    <cellStyle name="Normal 4 2 2 4 12" xfId="9093" xr:uid="{00000000-0005-0000-0000-00005B070000}"/>
    <cellStyle name="Normal 4 2 2 4 2" xfId="925" xr:uid="{00000000-0005-0000-0000-00004F050000}"/>
    <cellStyle name="Normal 4 2 2 4 2 10" xfId="6833" xr:uid="{00000000-0005-0000-0000-00005C070000}"/>
    <cellStyle name="Normal 4 2 2 4 2 11" xfId="9254" xr:uid="{00000000-0005-0000-0000-00005C070000}"/>
    <cellStyle name="Normal 4 2 2 4 2 2" xfId="926" xr:uid="{00000000-0005-0000-0000-000050050000}"/>
    <cellStyle name="Normal 4 2 2 4 2 2 2" xfId="3296" xr:uid="{00000000-0005-0000-0000-000084050000}"/>
    <cellStyle name="Normal 4 2 2 4 2 2 2 2" xfId="8657" xr:uid="{00000000-0005-0000-0000-00005E070000}"/>
    <cellStyle name="Normal 4 2 2 4 2 2 2 3" xfId="11054" xr:uid="{00000000-0005-0000-0000-00005E070000}"/>
    <cellStyle name="Normal 4 2 2 4 2 2 3" xfId="4328" xr:uid="{00000000-0005-0000-0000-000083050000}"/>
    <cellStyle name="Normal 4 2 2 4 2 2 3 2" xfId="8029" xr:uid="{00000000-0005-0000-0000-00005F070000}"/>
    <cellStyle name="Normal 4 2 2 4 2 2 3 3" xfId="10426" xr:uid="{00000000-0005-0000-0000-00005F070000}"/>
    <cellStyle name="Normal 4 2 2 4 2 2 4" xfId="5915" xr:uid="{00000000-0005-0000-0000-000035030000}"/>
    <cellStyle name="Normal 4 2 2 4 2 2 5" xfId="5172" xr:uid="{00000000-0005-0000-0000-0000D9020000}"/>
    <cellStyle name="Normal 4 2 2 4 2 2 6" xfId="7316" xr:uid="{00000000-0005-0000-0000-00005D070000}"/>
    <cellStyle name="Normal 4 2 2 4 2 2 7" xfId="9721" xr:uid="{00000000-0005-0000-0000-00005D070000}"/>
    <cellStyle name="Normal 4 2 2 4 2 3" xfId="3297" xr:uid="{00000000-0005-0000-0000-000085050000}"/>
    <cellStyle name="Normal 4 2 2 4 2 3 2" xfId="4511" xr:uid="{00000000-0005-0000-0000-000085050000}"/>
    <cellStyle name="Normal 4 2 2 4 2 3 2 2" xfId="8658" xr:uid="{00000000-0005-0000-0000-000061070000}"/>
    <cellStyle name="Normal 4 2 2 4 2 3 2 3" xfId="11055" xr:uid="{00000000-0005-0000-0000-000061070000}"/>
    <cellStyle name="Normal 4 2 2 4 2 3 3" xfId="5724" xr:uid="{00000000-0005-0000-0000-000036030000}"/>
    <cellStyle name="Normal 4 2 2 4 2 3 4" xfId="7315" xr:uid="{00000000-0005-0000-0000-000060070000}"/>
    <cellStyle name="Normal 4 2 2 4 2 3 5" xfId="9720" xr:uid="{00000000-0005-0000-0000-000060070000}"/>
    <cellStyle name="Normal 4 2 2 4 2 4" xfId="3295" xr:uid="{00000000-0005-0000-0000-000086050000}"/>
    <cellStyle name="Normal 4 2 2 4 2 4 2" xfId="8656" xr:uid="{00000000-0005-0000-0000-000062070000}"/>
    <cellStyle name="Normal 4 2 2 4 2 4 3" xfId="11053" xr:uid="{00000000-0005-0000-0000-000062070000}"/>
    <cellStyle name="Normal 4 2 2 4 2 5" xfId="2618" xr:uid="{00000000-0005-0000-0000-000087050000}"/>
    <cellStyle name="Normal 4 2 2 4 2 5 2" xfId="7816" xr:uid="{00000000-0005-0000-0000-000063070000}"/>
    <cellStyle name="Normal 4 2 2 4 2 5 3" xfId="10213" xr:uid="{00000000-0005-0000-0000-000063070000}"/>
    <cellStyle name="Normal 4 2 2 4 2 6" xfId="2352" xr:uid="{00000000-0005-0000-0000-000082050000}"/>
    <cellStyle name="Normal 4 2 2 4 2 7" xfId="3893" xr:uid="{00000000-0005-0000-0000-000028020000}"/>
    <cellStyle name="Normal 4 2 2 4 2 8" xfId="5494" xr:uid="{00000000-0005-0000-0000-000034030000}"/>
    <cellStyle name="Normal 4 2 2 4 2 9" xfId="4926" xr:uid="{00000000-0005-0000-0000-0000D8020000}"/>
    <cellStyle name="Normal 4 2 2 4 3" xfId="927" xr:uid="{00000000-0005-0000-0000-000051050000}"/>
    <cellStyle name="Normal 4 2 2 4 3 2" xfId="3298" xr:uid="{00000000-0005-0000-0000-000089050000}"/>
    <cellStyle name="Normal 4 2 2 4 3 2 2" xfId="8659" xr:uid="{00000000-0005-0000-0000-000065070000}"/>
    <cellStyle name="Normal 4 2 2 4 3 2 2 2" xfId="11903" xr:uid="{00000000-0005-0000-0000-0000CA070000}"/>
    <cellStyle name="Normal 4 2 2 4 3 2 3" xfId="11056" xr:uid="{00000000-0005-0000-0000-000065070000}"/>
    <cellStyle name="Normal 4 2 2 4 3 2 4" xfId="11700" xr:uid="{00000000-0005-0000-0000-0000C9070000}"/>
    <cellStyle name="Normal 4 2 2 4 3 3" xfId="2768" xr:uid="{00000000-0005-0000-0000-00008A050000}"/>
    <cellStyle name="Normal 4 2 2 4 3 3 2" xfId="8028" xr:uid="{00000000-0005-0000-0000-000066070000}"/>
    <cellStyle name="Normal 4 2 2 4 3 3 3" xfId="10425" xr:uid="{00000000-0005-0000-0000-000066070000}"/>
    <cellStyle name="Normal 4 2 2 4 3 4" xfId="4182" xr:uid="{00000000-0005-0000-0000-000088050000}"/>
    <cellStyle name="Normal 4 2 2 4 3 4 2" xfId="11817" xr:uid="{00000000-0005-0000-0000-0000CC070000}"/>
    <cellStyle name="Normal 4 2 2 4 3 5" xfId="5914" xr:uid="{00000000-0005-0000-0000-000037030000}"/>
    <cellStyle name="Normal 4 2 2 4 3 6" xfId="5171" xr:uid="{00000000-0005-0000-0000-0000DA020000}"/>
    <cellStyle name="Normal 4 2 2 4 3 7" xfId="7317" xr:uid="{00000000-0005-0000-0000-000064070000}"/>
    <cellStyle name="Normal 4 2 2 4 3 8" xfId="9722" xr:uid="{00000000-0005-0000-0000-000064070000}"/>
    <cellStyle name="Normal 4 2 2 4 4" xfId="928" xr:uid="{00000000-0005-0000-0000-000052050000}"/>
    <cellStyle name="Normal 4 2 2 4 4 2" xfId="4512" xr:uid="{00000000-0005-0000-0000-00008B050000}"/>
    <cellStyle name="Normal 4 2 2 4 4 2 2" xfId="8660" xr:uid="{00000000-0005-0000-0000-000068070000}"/>
    <cellStyle name="Normal 4 2 2 4 4 2 3" xfId="11057" xr:uid="{00000000-0005-0000-0000-000068070000}"/>
    <cellStyle name="Normal 4 2 2 4 4 3" xfId="5579" xr:uid="{00000000-0005-0000-0000-000038030000}"/>
    <cellStyle name="Normal 4 2 2 4 4 4" xfId="7318" xr:uid="{00000000-0005-0000-0000-000067070000}"/>
    <cellStyle name="Normal 4 2 2 4 4 5" xfId="9723" xr:uid="{00000000-0005-0000-0000-000067070000}"/>
    <cellStyle name="Normal 4 2 2 4 5" xfId="2928" xr:uid="{00000000-0005-0000-0000-00008C050000}"/>
    <cellStyle name="Normal 4 2 2 4 5 2" xfId="8252" xr:uid="{00000000-0005-0000-0000-00006A070000}"/>
    <cellStyle name="Normal 4 2 2 4 5 2 2" xfId="10649" xr:uid="{00000000-0005-0000-0000-00006A070000}"/>
    <cellStyle name="Normal 4 2 2 4 5 3" xfId="7314" xr:uid="{00000000-0005-0000-0000-000069070000}"/>
    <cellStyle name="Normal 4 2 2 4 5 4" xfId="9719" xr:uid="{00000000-0005-0000-0000-000069070000}"/>
    <cellStyle name="Normal 4 2 2 4 6" xfId="2455" xr:uid="{00000000-0005-0000-0000-00008D050000}"/>
    <cellStyle name="Normal 4 2 2 4 6 2" xfId="7653" xr:uid="{00000000-0005-0000-0000-00006B070000}"/>
    <cellStyle name="Normal 4 2 2 4 6 3" xfId="10050" xr:uid="{00000000-0005-0000-0000-00006B070000}"/>
    <cellStyle name="Normal 4 2 2 4 7" xfId="2209" xr:uid="{00000000-0005-0000-0000-000081050000}"/>
    <cellStyle name="Normal 4 2 2 4 8" xfId="3973" xr:uid="{00000000-0005-0000-0000-000027020000}"/>
    <cellStyle name="Normal 4 2 2 4 9" xfId="5333" xr:uid="{00000000-0005-0000-0000-000033030000}"/>
    <cellStyle name="Normal 4 2 2 5" xfId="929" xr:uid="{00000000-0005-0000-0000-000053050000}"/>
    <cellStyle name="Normal 4 2 2 5 10" xfId="6673" xr:uid="{00000000-0005-0000-0000-00006C070000}"/>
    <cellStyle name="Normal 4 2 2 5 11" xfId="9094" xr:uid="{00000000-0005-0000-0000-00006C070000}"/>
    <cellStyle name="Normal 4 2 2 5 2" xfId="930" xr:uid="{00000000-0005-0000-0000-000054050000}"/>
    <cellStyle name="Normal 4 2 2 5 2 2" xfId="931" xr:uid="{00000000-0005-0000-0000-000055050000}"/>
    <cellStyle name="Normal 4 2 2 5 2 2 2" xfId="6402" xr:uid="{00000000-0005-0000-0000-000090050000}"/>
    <cellStyle name="Normal 4 2 2 5 2 2 2 2" xfId="8661" xr:uid="{00000000-0005-0000-0000-00006F070000}"/>
    <cellStyle name="Normal 4 2 2 5 2 2 2 3" xfId="11058" xr:uid="{00000000-0005-0000-0000-00006F070000}"/>
    <cellStyle name="Normal 4 2 2 5 2 2 3" xfId="7321" xr:uid="{00000000-0005-0000-0000-00006E070000}"/>
    <cellStyle name="Normal 4 2 2 5 2 2 3 2" xfId="12084" xr:uid="{00000000-0005-0000-0000-0000D3050000}"/>
    <cellStyle name="Normal 4 2 2 5 2 2 4" xfId="9726" xr:uid="{00000000-0005-0000-0000-00006E070000}"/>
    <cellStyle name="Normal 4 2 2 5 2 2 5" xfId="12046" xr:uid="{00000000-0005-0000-0000-0000D1050000}"/>
    <cellStyle name="Normal 4 2 2 5 2 3" xfId="2769" xr:uid="{00000000-0005-0000-0000-000091050000}"/>
    <cellStyle name="Normal 4 2 2 5 2 3 2" xfId="6212" xr:uid="{00000000-0005-0000-0000-000091050000}"/>
    <cellStyle name="Normal 4 2 2 5 2 3 3" xfId="7320" xr:uid="{00000000-0005-0000-0000-000070070000}"/>
    <cellStyle name="Normal 4 2 2 5 2 3 4" xfId="9725" xr:uid="{00000000-0005-0000-0000-000070070000}"/>
    <cellStyle name="Normal 4 2 2 5 2 4" xfId="4183" xr:uid="{00000000-0005-0000-0000-00008F050000}"/>
    <cellStyle name="Normal 4 2 2 5 2 4 2" xfId="8030" xr:uid="{00000000-0005-0000-0000-000071070000}"/>
    <cellStyle name="Normal 4 2 2 5 2 4 3" xfId="10427" xr:uid="{00000000-0005-0000-0000-000071070000}"/>
    <cellStyle name="Normal 4 2 2 5 2 5" xfId="5916" xr:uid="{00000000-0005-0000-0000-00003A030000}"/>
    <cellStyle name="Normal 4 2 2 5 2 6" xfId="5173" xr:uid="{00000000-0005-0000-0000-0000DC020000}"/>
    <cellStyle name="Normal 4 2 2 5 2 7" xfId="6834" xr:uid="{00000000-0005-0000-0000-00006D070000}"/>
    <cellStyle name="Normal 4 2 2 5 2 8" xfId="9255" xr:uid="{00000000-0005-0000-0000-00006D070000}"/>
    <cellStyle name="Normal 4 2 2 5 3" xfId="932" xr:uid="{00000000-0005-0000-0000-000056050000}"/>
    <cellStyle name="Normal 4 2 2 5 3 2" xfId="4513" xr:uid="{00000000-0005-0000-0000-000092050000}"/>
    <cellStyle name="Normal 4 2 2 5 3 2 2" xfId="8662" xr:uid="{00000000-0005-0000-0000-000073070000}"/>
    <cellStyle name="Normal 4 2 2 5 3 2 3" xfId="11059" xr:uid="{00000000-0005-0000-0000-000073070000}"/>
    <cellStyle name="Normal 4 2 2 5 3 3" xfId="5639" xr:uid="{00000000-0005-0000-0000-00003B030000}"/>
    <cellStyle name="Normal 4 2 2 5 3 3 2" xfId="11701" xr:uid="{00000000-0005-0000-0000-0000DA070000}"/>
    <cellStyle name="Normal 4 2 2 5 3 4" xfId="7322" xr:uid="{00000000-0005-0000-0000-000072070000}"/>
    <cellStyle name="Normal 4 2 2 5 3 4 2" xfId="11904" xr:uid="{00000000-0005-0000-0000-0000DB070000}"/>
    <cellStyle name="Normal 4 2 2 5 3 5" xfId="9727" xr:uid="{00000000-0005-0000-0000-000072070000}"/>
    <cellStyle name="Normal 4 2 2 5 3 6" xfId="11654" xr:uid="{00000000-0005-0000-0000-0000D8070000}"/>
    <cellStyle name="Normal 4 2 2 5 4" xfId="933" xr:uid="{00000000-0005-0000-0000-000057050000}"/>
    <cellStyle name="Normal 4 2 2 5 4 2" xfId="6312" xr:uid="{00000000-0005-0000-0000-000093050000}"/>
    <cellStyle name="Normal 4 2 2 5 4 2 2" xfId="8253" xr:uid="{00000000-0005-0000-0000-000075070000}"/>
    <cellStyle name="Normal 4 2 2 5 4 2 3" xfId="10650" xr:uid="{00000000-0005-0000-0000-000075070000}"/>
    <cellStyle name="Normal 4 2 2 5 4 3" xfId="7323" xr:uid="{00000000-0005-0000-0000-000074070000}"/>
    <cellStyle name="Normal 4 2 2 5 4 4" xfId="9728" xr:uid="{00000000-0005-0000-0000-000074070000}"/>
    <cellStyle name="Normal 4 2 2 5 5" xfId="2515" xr:uid="{00000000-0005-0000-0000-000094050000}"/>
    <cellStyle name="Normal 4 2 2 5 5 2" xfId="7319" xr:uid="{00000000-0005-0000-0000-000076070000}"/>
    <cellStyle name="Normal 4 2 2 5 5 3" xfId="9724" xr:uid="{00000000-0005-0000-0000-000076070000}"/>
    <cellStyle name="Normal 4 2 2 5 6" xfId="2353" xr:uid="{00000000-0005-0000-0000-00008E050000}"/>
    <cellStyle name="Normal 4 2 2 5 6 2" xfId="7713" xr:uid="{00000000-0005-0000-0000-000077070000}"/>
    <cellStyle name="Normal 4 2 2 5 6 3" xfId="10110" xr:uid="{00000000-0005-0000-0000-000077070000}"/>
    <cellStyle name="Normal 4 2 2 5 7" xfId="3974" xr:uid="{00000000-0005-0000-0000-000029020000}"/>
    <cellStyle name="Normal 4 2 2 5 8" xfId="5393" xr:uid="{00000000-0005-0000-0000-000039030000}"/>
    <cellStyle name="Normal 4 2 2 5 9" xfId="4927" xr:uid="{00000000-0005-0000-0000-0000DB020000}"/>
    <cellStyle name="Normal 4 2 2 6" xfId="934" xr:uid="{00000000-0005-0000-0000-000058050000}"/>
    <cellStyle name="Normal 4 2 2 6 10" xfId="6674" xr:uid="{00000000-0005-0000-0000-000078070000}"/>
    <cellStyle name="Normal 4 2 2 6 11" xfId="9095" xr:uid="{00000000-0005-0000-0000-000078070000}"/>
    <cellStyle name="Normal 4 2 2 6 2" xfId="935" xr:uid="{00000000-0005-0000-0000-000059050000}"/>
    <cellStyle name="Normal 4 2 2 6 2 2" xfId="936" xr:uid="{00000000-0005-0000-0000-00005A050000}"/>
    <cellStyle name="Normal 4 2 2 6 2 2 2" xfId="6403" xr:uid="{00000000-0005-0000-0000-000097050000}"/>
    <cellStyle name="Normal 4 2 2 6 2 2 2 2" xfId="8663" xr:uid="{00000000-0005-0000-0000-00007B070000}"/>
    <cellStyle name="Normal 4 2 2 6 2 2 2 3" xfId="11060" xr:uid="{00000000-0005-0000-0000-00007B070000}"/>
    <cellStyle name="Normal 4 2 2 6 2 2 3" xfId="7326" xr:uid="{00000000-0005-0000-0000-00007A070000}"/>
    <cellStyle name="Normal 4 2 2 6 2 2 3 2" xfId="12085" xr:uid="{00000000-0005-0000-0000-0000DF050000}"/>
    <cellStyle name="Normal 4 2 2 6 2 2 4" xfId="9731" xr:uid="{00000000-0005-0000-0000-00007A070000}"/>
    <cellStyle name="Normal 4 2 2 6 2 2 5" xfId="12047" xr:uid="{00000000-0005-0000-0000-0000DD050000}"/>
    <cellStyle name="Normal 4 2 2 6 2 3" xfId="2770" xr:uid="{00000000-0005-0000-0000-000098050000}"/>
    <cellStyle name="Normal 4 2 2 6 2 3 2" xfId="6213" xr:uid="{00000000-0005-0000-0000-000098050000}"/>
    <cellStyle name="Normal 4 2 2 6 2 3 3" xfId="7325" xr:uid="{00000000-0005-0000-0000-00007C070000}"/>
    <cellStyle name="Normal 4 2 2 6 2 3 4" xfId="9730" xr:uid="{00000000-0005-0000-0000-00007C070000}"/>
    <cellStyle name="Normal 4 2 2 6 2 4" xfId="4184" xr:uid="{00000000-0005-0000-0000-000096050000}"/>
    <cellStyle name="Normal 4 2 2 6 2 4 2" xfId="8031" xr:uid="{00000000-0005-0000-0000-00007D070000}"/>
    <cellStyle name="Normal 4 2 2 6 2 4 3" xfId="10428" xr:uid="{00000000-0005-0000-0000-00007D070000}"/>
    <cellStyle name="Normal 4 2 2 6 2 5" xfId="5917" xr:uid="{00000000-0005-0000-0000-00003D030000}"/>
    <cellStyle name="Normal 4 2 2 6 2 6" xfId="5174" xr:uid="{00000000-0005-0000-0000-0000DE020000}"/>
    <cellStyle name="Normal 4 2 2 6 2 7" xfId="6835" xr:uid="{00000000-0005-0000-0000-000079070000}"/>
    <cellStyle name="Normal 4 2 2 6 2 8" xfId="9256" xr:uid="{00000000-0005-0000-0000-000079070000}"/>
    <cellStyle name="Normal 4 2 2 6 3" xfId="937" xr:uid="{00000000-0005-0000-0000-00005B050000}"/>
    <cellStyle name="Normal 4 2 2 6 3 2" xfId="4514" xr:uid="{00000000-0005-0000-0000-000099050000}"/>
    <cellStyle name="Normal 4 2 2 6 3 2 2" xfId="8664" xr:uid="{00000000-0005-0000-0000-00007F070000}"/>
    <cellStyle name="Normal 4 2 2 6 3 2 3" xfId="11061" xr:uid="{00000000-0005-0000-0000-00007F070000}"/>
    <cellStyle name="Normal 4 2 2 6 3 3" xfId="5685" xr:uid="{00000000-0005-0000-0000-00003E030000}"/>
    <cellStyle name="Normal 4 2 2 6 3 3 2" xfId="12086" xr:uid="{00000000-0005-0000-0000-0000E4050000}"/>
    <cellStyle name="Normal 4 2 2 6 3 4" xfId="7327" xr:uid="{00000000-0005-0000-0000-00007E070000}"/>
    <cellStyle name="Normal 4 2 2 6 3 5" xfId="9732" xr:uid="{00000000-0005-0000-0000-00007E070000}"/>
    <cellStyle name="Normal 4 2 2 6 4" xfId="938" xr:uid="{00000000-0005-0000-0000-00005C050000}"/>
    <cellStyle name="Normal 4 2 2 6 4 2" xfId="6313" xr:uid="{00000000-0005-0000-0000-00009A050000}"/>
    <cellStyle name="Normal 4 2 2 6 4 2 2" xfId="8254" xr:uid="{00000000-0005-0000-0000-000081070000}"/>
    <cellStyle name="Normal 4 2 2 6 4 2 3" xfId="10651" xr:uid="{00000000-0005-0000-0000-000081070000}"/>
    <cellStyle name="Normal 4 2 2 6 4 3" xfId="7328" xr:uid="{00000000-0005-0000-0000-000080070000}"/>
    <cellStyle name="Normal 4 2 2 6 4 4" xfId="9733" xr:uid="{00000000-0005-0000-0000-000080070000}"/>
    <cellStyle name="Normal 4 2 2 6 5" xfId="2578" xr:uid="{00000000-0005-0000-0000-00009B050000}"/>
    <cellStyle name="Normal 4 2 2 6 5 2" xfId="7324" xr:uid="{00000000-0005-0000-0000-000082070000}"/>
    <cellStyle name="Normal 4 2 2 6 5 3" xfId="9729" xr:uid="{00000000-0005-0000-0000-000082070000}"/>
    <cellStyle name="Normal 4 2 2 6 6" xfId="2354" xr:uid="{00000000-0005-0000-0000-000095050000}"/>
    <cellStyle name="Normal 4 2 2 6 6 2" xfId="7776" xr:uid="{00000000-0005-0000-0000-000083070000}"/>
    <cellStyle name="Normal 4 2 2 6 6 3" xfId="10173" xr:uid="{00000000-0005-0000-0000-000083070000}"/>
    <cellStyle name="Normal 4 2 2 6 7" xfId="3975" xr:uid="{00000000-0005-0000-0000-00002A020000}"/>
    <cellStyle name="Normal 4 2 2 6 8" xfId="5454" xr:uid="{00000000-0005-0000-0000-00003C030000}"/>
    <cellStyle name="Normal 4 2 2 6 9" xfId="4928" xr:uid="{00000000-0005-0000-0000-0000DD020000}"/>
    <cellStyle name="Normal 4 2 2 7" xfId="939" xr:uid="{00000000-0005-0000-0000-00005D050000}"/>
    <cellStyle name="Normal 4 2 2 7 2" xfId="940" xr:uid="{00000000-0005-0000-0000-00005E050000}"/>
    <cellStyle name="Normal 4 2 2 7 2 2" xfId="2929" xr:uid="{00000000-0005-0000-0000-00009E050000}"/>
    <cellStyle name="Normal 4 2 2 7 2 2 2" xfId="6314" xr:uid="{00000000-0005-0000-0000-00009E050000}"/>
    <cellStyle name="Normal 4 2 2 7 2 2 3" xfId="7330" xr:uid="{00000000-0005-0000-0000-000086070000}"/>
    <cellStyle name="Normal 4 2 2 7 2 2 4" xfId="9735" xr:uid="{00000000-0005-0000-0000-000086070000}"/>
    <cellStyle name="Normal 4 2 2 7 2 3" xfId="4736" xr:uid="{00000000-0005-0000-0000-000023040000}"/>
    <cellStyle name="Normal 4 2 2 7 2 3 2" xfId="6118" xr:uid="{00000000-0005-0000-0000-00009D050000}"/>
    <cellStyle name="Normal 4 2 2 7 2 3 3" xfId="8255" xr:uid="{00000000-0005-0000-0000-000087070000}"/>
    <cellStyle name="Normal 4 2 2 7 2 3 4" xfId="10652" xr:uid="{00000000-0005-0000-0000-000087070000}"/>
    <cellStyle name="Normal 4 2 2 7 2 4" xfId="5175" xr:uid="{00000000-0005-0000-0000-0000E0020000}"/>
    <cellStyle name="Normal 4 2 2 7 2 5" xfId="6836" xr:uid="{00000000-0005-0000-0000-000085070000}"/>
    <cellStyle name="Normal 4 2 2 7 2 6" xfId="9257" xr:uid="{00000000-0005-0000-0000-000085070000}"/>
    <cellStyle name="Normal 4 2 2 7 3" xfId="941" xr:uid="{00000000-0005-0000-0000-00005F050000}"/>
    <cellStyle name="Normal 4 2 2 7 3 2" xfId="6214" xr:uid="{00000000-0005-0000-0000-00009F050000}"/>
    <cellStyle name="Normal 4 2 2 7 3 3" xfId="7331" xr:uid="{00000000-0005-0000-0000-000088070000}"/>
    <cellStyle name="Normal 4 2 2 7 3 4" xfId="9736" xr:uid="{00000000-0005-0000-0000-000088070000}"/>
    <cellStyle name="Normal 4 2 2 7 4" xfId="2355" xr:uid="{00000000-0005-0000-0000-00009C050000}"/>
    <cellStyle name="Normal 4 2 2 7 4 2" xfId="6072" xr:uid="{00000000-0005-0000-0000-00009C050000}"/>
    <cellStyle name="Normal 4 2 2 7 4 3" xfId="7329" xr:uid="{00000000-0005-0000-0000-000089070000}"/>
    <cellStyle name="Normal 4 2 2 7 4 4" xfId="9734" xr:uid="{00000000-0005-0000-0000-000089070000}"/>
    <cellStyle name="Normal 4 2 2 7 5" xfId="3976" xr:uid="{00000000-0005-0000-0000-00002B020000}"/>
    <cellStyle name="Normal 4 2 2 7 5 2" xfId="8032" xr:uid="{00000000-0005-0000-0000-00008A070000}"/>
    <cellStyle name="Normal 4 2 2 7 5 3" xfId="10429" xr:uid="{00000000-0005-0000-0000-00008A070000}"/>
    <cellStyle name="Normal 4 2 2 7 6" xfId="5918" xr:uid="{00000000-0005-0000-0000-00003F030000}"/>
    <cellStyle name="Normal 4 2 2 7 7" xfId="4929" xr:uid="{00000000-0005-0000-0000-0000DF020000}"/>
    <cellStyle name="Normal 4 2 2 7 8" xfId="6675" xr:uid="{00000000-0005-0000-0000-000084070000}"/>
    <cellStyle name="Normal 4 2 2 7 9" xfId="9096" xr:uid="{00000000-0005-0000-0000-000084070000}"/>
    <cellStyle name="Normal 4 2 2 8" xfId="942" xr:uid="{00000000-0005-0000-0000-000060050000}"/>
    <cellStyle name="Normal 4 2 2 8 2" xfId="943" xr:uid="{00000000-0005-0000-0000-000061050000}"/>
    <cellStyle name="Normal 4 2 2 8 2 2" xfId="2930" xr:uid="{00000000-0005-0000-0000-0000A2050000}"/>
    <cellStyle name="Normal 4 2 2 8 2 2 2" xfId="6315" xr:uid="{00000000-0005-0000-0000-0000A2050000}"/>
    <cellStyle name="Normal 4 2 2 8 2 2 3" xfId="7333" xr:uid="{00000000-0005-0000-0000-00008D070000}"/>
    <cellStyle name="Normal 4 2 2 8 2 2 4" xfId="9738" xr:uid="{00000000-0005-0000-0000-00008D070000}"/>
    <cellStyle name="Normal 4 2 2 8 2 3" xfId="4737" xr:uid="{00000000-0005-0000-0000-000029040000}"/>
    <cellStyle name="Normal 4 2 2 8 2 3 2" xfId="6119" xr:uid="{00000000-0005-0000-0000-0000A1050000}"/>
    <cellStyle name="Normal 4 2 2 8 2 3 3" xfId="8256" xr:uid="{00000000-0005-0000-0000-00008E070000}"/>
    <cellStyle name="Normal 4 2 2 8 2 3 4" xfId="10653" xr:uid="{00000000-0005-0000-0000-00008E070000}"/>
    <cellStyle name="Normal 4 2 2 8 2 4" xfId="5176" xr:uid="{00000000-0005-0000-0000-0000E2020000}"/>
    <cellStyle name="Normal 4 2 2 8 2 5" xfId="6837" xr:uid="{00000000-0005-0000-0000-00008C070000}"/>
    <cellStyle name="Normal 4 2 2 8 2 6" xfId="9258" xr:uid="{00000000-0005-0000-0000-00008C070000}"/>
    <cellStyle name="Normal 4 2 2 8 3" xfId="944" xr:uid="{00000000-0005-0000-0000-000062050000}"/>
    <cellStyle name="Normal 4 2 2 8 3 2" xfId="6215" xr:uid="{00000000-0005-0000-0000-0000A3050000}"/>
    <cellStyle name="Normal 4 2 2 8 3 3" xfId="7334" xr:uid="{00000000-0005-0000-0000-00008F070000}"/>
    <cellStyle name="Normal 4 2 2 8 3 4" xfId="9739" xr:uid="{00000000-0005-0000-0000-00008F070000}"/>
    <cellStyle name="Normal 4 2 2 8 4" xfId="2356" xr:uid="{00000000-0005-0000-0000-0000A0050000}"/>
    <cellStyle name="Normal 4 2 2 8 4 2" xfId="6073" xr:uid="{00000000-0005-0000-0000-0000A0050000}"/>
    <cellStyle name="Normal 4 2 2 8 4 3" xfId="7332" xr:uid="{00000000-0005-0000-0000-000090070000}"/>
    <cellStyle name="Normal 4 2 2 8 4 4" xfId="9737" xr:uid="{00000000-0005-0000-0000-000090070000}"/>
    <cellStyle name="Normal 4 2 2 8 5" xfId="3977" xr:uid="{00000000-0005-0000-0000-00002C020000}"/>
    <cellStyle name="Normal 4 2 2 8 5 2" xfId="8033" xr:uid="{00000000-0005-0000-0000-000091070000}"/>
    <cellStyle name="Normal 4 2 2 8 5 3" xfId="10430" xr:uid="{00000000-0005-0000-0000-000091070000}"/>
    <cellStyle name="Normal 4 2 2 8 6" xfId="5919" xr:uid="{00000000-0005-0000-0000-000040030000}"/>
    <cellStyle name="Normal 4 2 2 8 7" xfId="4930" xr:uid="{00000000-0005-0000-0000-0000E1020000}"/>
    <cellStyle name="Normal 4 2 2 8 8" xfId="6676" xr:uid="{00000000-0005-0000-0000-00008B070000}"/>
    <cellStyle name="Normal 4 2 2 8 9" xfId="9097" xr:uid="{00000000-0005-0000-0000-00008B070000}"/>
    <cellStyle name="Normal 4 2 2 9" xfId="945" xr:uid="{00000000-0005-0000-0000-000063050000}"/>
    <cellStyle name="Normal 4 2 2 9 2" xfId="3299" xr:uid="{00000000-0005-0000-0000-0000A5050000}"/>
    <cellStyle name="Normal 4 2 2 9 2 2" xfId="6404" xr:uid="{00000000-0005-0000-0000-0000A5050000}"/>
    <cellStyle name="Normal 4 2 2 9 2 2 2" xfId="8665" xr:uid="{00000000-0005-0000-0000-000094070000}"/>
    <cellStyle name="Normal 4 2 2 9 2 2 3" xfId="11062" xr:uid="{00000000-0005-0000-0000-000094070000}"/>
    <cellStyle name="Normal 4 2 2 9 2 3" xfId="5177" xr:uid="{00000000-0005-0000-0000-0000E4020000}"/>
    <cellStyle name="Normal 4 2 2 9 2 4" xfId="7335" xr:uid="{00000000-0005-0000-0000-000093070000}"/>
    <cellStyle name="Normal 4 2 2 9 2 5" xfId="9740" xr:uid="{00000000-0005-0000-0000-000093070000}"/>
    <cellStyle name="Normal 4 2 2 9 3" xfId="2762" xr:uid="{00000000-0005-0000-0000-0000A6050000}"/>
    <cellStyle name="Normal 4 2 2 9 3 2" xfId="6211" xr:uid="{00000000-0005-0000-0000-0000A6050000}"/>
    <cellStyle name="Normal 4 2 2 9 3 3" xfId="8020" xr:uid="{00000000-0005-0000-0000-000095070000}"/>
    <cellStyle name="Normal 4 2 2 9 3 4" xfId="10417" xr:uid="{00000000-0005-0000-0000-000095070000}"/>
    <cellStyle name="Normal 4 2 2 9 4" xfId="2349" xr:uid="{00000000-0005-0000-0000-0000A4050000}"/>
    <cellStyle name="Normal 4 2 2 9 4 2" xfId="11408" xr:uid="{00000000-0005-0000-0000-00001D070000}"/>
    <cellStyle name="Normal 4 2 2 9 5" xfId="3858" xr:uid="{00000000-0005-0000-0000-00002D020000}"/>
    <cellStyle name="Normal 4 2 2 9 6" xfId="5907" xr:uid="{00000000-0005-0000-0000-000041030000}"/>
    <cellStyle name="Normal 4 2 2 9 7" xfId="4923" xr:uid="{00000000-0005-0000-0000-0000E3020000}"/>
    <cellStyle name="Normal 4 2 2 9 8" xfId="6669" xr:uid="{00000000-0005-0000-0000-000092070000}"/>
    <cellStyle name="Normal 4 2 2 9 9" xfId="9090" xr:uid="{00000000-0005-0000-0000-000092070000}"/>
    <cellStyle name="Normal 4 2 20" xfId="8948" xr:uid="{00000000-0005-0000-0000-00000D070000}"/>
    <cellStyle name="Normal 4 2 3" xfId="946" xr:uid="{00000000-0005-0000-0000-000064050000}"/>
    <cellStyle name="Normal 4 2 3 10" xfId="5362" xr:uid="{00000000-0005-0000-0000-000042030000}"/>
    <cellStyle name="Normal 4 2 3 11" xfId="4818" xr:uid="{00000000-0005-0000-0000-0000E5020000}"/>
    <cellStyle name="Normal 4 2 3 12" xfId="6564" xr:uid="{00000000-0005-0000-0000-000096070000}"/>
    <cellStyle name="Normal 4 2 3 13" xfId="8985" xr:uid="{00000000-0005-0000-0000-000096070000}"/>
    <cellStyle name="Normal 4 2 3 2" xfId="947" xr:uid="{00000000-0005-0000-0000-000065050000}"/>
    <cellStyle name="Normal 4 2 3 2 10" xfId="4932" xr:uid="{00000000-0005-0000-0000-0000E6020000}"/>
    <cellStyle name="Normal 4 2 3 2 11" xfId="6678" xr:uid="{00000000-0005-0000-0000-000097070000}"/>
    <cellStyle name="Normal 4 2 3 2 12" xfId="9099" xr:uid="{00000000-0005-0000-0000-000097070000}"/>
    <cellStyle name="Normal 4 2 3 2 2" xfId="948" xr:uid="{00000000-0005-0000-0000-000066050000}"/>
    <cellStyle name="Normal 4 2 3 2 2 10" xfId="6839" xr:uid="{00000000-0005-0000-0000-000098070000}"/>
    <cellStyle name="Normal 4 2 3 2 2 11" xfId="9260" xr:uid="{00000000-0005-0000-0000-000098070000}"/>
    <cellStyle name="Normal 4 2 3 2 2 2" xfId="2773" xr:uid="{00000000-0005-0000-0000-0000AA050000}"/>
    <cellStyle name="Normal 4 2 3 2 2 2 2" xfId="3301" xr:uid="{00000000-0005-0000-0000-0000AB050000}"/>
    <cellStyle name="Normal 4 2 3 2 2 2 2 2" xfId="8667" xr:uid="{00000000-0005-0000-0000-00009A070000}"/>
    <cellStyle name="Normal 4 2 3 2 2 2 2 3" xfId="11064" xr:uid="{00000000-0005-0000-0000-00009A070000}"/>
    <cellStyle name="Normal 4 2 3 2 2 2 3" xfId="4329" xr:uid="{00000000-0005-0000-0000-0000AA050000}"/>
    <cellStyle name="Normal 4 2 3 2 2 2 3 2" xfId="8036" xr:uid="{00000000-0005-0000-0000-00009B070000}"/>
    <cellStyle name="Normal 4 2 3 2 2 2 3 3" xfId="10433" xr:uid="{00000000-0005-0000-0000-00009B070000}"/>
    <cellStyle name="Normal 4 2 3 2 2 2 4" xfId="5922" xr:uid="{00000000-0005-0000-0000-000045030000}"/>
    <cellStyle name="Normal 4 2 3 2 2 2 5" xfId="7338" xr:uid="{00000000-0005-0000-0000-000099070000}"/>
    <cellStyle name="Normal 4 2 3 2 2 2 6" xfId="9743" xr:uid="{00000000-0005-0000-0000-000099070000}"/>
    <cellStyle name="Normal 4 2 3 2 2 3" xfId="3302" xr:uid="{00000000-0005-0000-0000-0000AC050000}"/>
    <cellStyle name="Normal 4 2 3 2 2 3 2" xfId="4515" xr:uid="{00000000-0005-0000-0000-0000AC050000}"/>
    <cellStyle name="Normal 4 2 3 2 2 3 3" xfId="5752" xr:uid="{00000000-0005-0000-0000-000046030000}"/>
    <cellStyle name="Normal 4 2 3 2 2 3 4" xfId="8668" xr:uid="{00000000-0005-0000-0000-00009C070000}"/>
    <cellStyle name="Normal 4 2 3 2 2 3 5" xfId="11065" xr:uid="{00000000-0005-0000-0000-00009C070000}"/>
    <cellStyle name="Normal 4 2 3 2 2 4" xfId="3300" xr:uid="{00000000-0005-0000-0000-0000AD050000}"/>
    <cellStyle name="Normal 4 2 3 2 2 4 2" xfId="8666" xr:uid="{00000000-0005-0000-0000-00009D070000}"/>
    <cellStyle name="Normal 4 2 3 2 2 4 3" xfId="11063" xr:uid="{00000000-0005-0000-0000-00009D070000}"/>
    <cellStyle name="Normal 4 2 3 2 2 5" xfId="2646" xr:uid="{00000000-0005-0000-0000-0000AE050000}"/>
    <cellStyle name="Normal 4 2 3 2 2 5 2" xfId="7845" xr:uid="{00000000-0005-0000-0000-00009E070000}"/>
    <cellStyle name="Normal 4 2 3 2 2 5 3" xfId="10242" xr:uid="{00000000-0005-0000-0000-00009E070000}"/>
    <cellStyle name="Normal 4 2 3 2 2 6" xfId="2358" xr:uid="{00000000-0005-0000-0000-0000A9050000}"/>
    <cellStyle name="Normal 4 2 3 2 2 7" xfId="3895" xr:uid="{00000000-0005-0000-0000-000030020000}"/>
    <cellStyle name="Normal 4 2 3 2 2 8" xfId="5523" xr:uid="{00000000-0005-0000-0000-000044030000}"/>
    <cellStyle name="Normal 4 2 3 2 2 9" xfId="5179" xr:uid="{00000000-0005-0000-0000-0000E7020000}"/>
    <cellStyle name="Normal 4 2 3 2 3" xfId="949" xr:uid="{00000000-0005-0000-0000-000067050000}"/>
    <cellStyle name="Normal 4 2 3 2 3 2" xfId="3303" xr:uid="{00000000-0005-0000-0000-0000B0050000}"/>
    <cellStyle name="Normal 4 2 3 2 3 2 2" xfId="8669" xr:uid="{00000000-0005-0000-0000-0000A0070000}"/>
    <cellStyle name="Normal 4 2 3 2 3 2 3" xfId="11066" xr:uid="{00000000-0005-0000-0000-0000A0070000}"/>
    <cellStyle name="Normal 4 2 3 2 3 3" xfId="2772" xr:uid="{00000000-0005-0000-0000-0000B1050000}"/>
    <cellStyle name="Normal 4 2 3 2 3 3 2" xfId="8035" xr:uid="{00000000-0005-0000-0000-0000A1070000}"/>
    <cellStyle name="Normal 4 2 3 2 3 3 3" xfId="10432" xr:uid="{00000000-0005-0000-0000-0000A1070000}"/>
    <cellStyle name="Normal 4 2 3 2 3 4" xfId="4186" xr:uid="{00000000-0005-0000-0000-0000AF050000}"/>
    <cellStyle name="Normal 4 2 3 2 3 5" xfId="5921" xr:uid="{00000000-0005-0000-0000-000047030000}"/>
    <cellStyle name="Normal 4 2 3 2 3 6" xfId="7339" xr:uid="{00000000-0005-0000-0000-00009F070000}"/>
    <cellStyle name="Normal 4 2 3 2 3 7" xfId="9744" xr:uid="{00000000-0005-0000-0000-00009F070000}"/>
    <cellStyle name="Normal 4 2 3 2 4" xfId="3304" xr:uid="{00000000-0005-0000-0000-0000B2050000}"/>
    <cellStyle name="Normal 4 2 3 2 4 2" xfId="4516" xr:uid="{00000000-0005-0000-0000-0000B2050000}"/>
    <cellStyle name="Normal 4 2 3 2 4 2 2" xfId="8670" xr:uid="{00000000-0005-0000-0000-0000A3070000}"/>
    <cellStyle name="Normal 4 2 3 2 4 2 3" xfId="11067" xr:uid="{00000000-0005-0000-0000-0000A3070000}"/>
    <cellStyle name="Normal 4 2 3 2 4 3" xfId="5667" xr:uid="{00000000-0005-0000-0000-000048030000}"/>
    <cellStyle name="Normal 4 2 3 2 4 4" xfId="7337" xr:uid="{00000000-0005-0000-0000-0000A2070000}"/>
    <cellStyle name="Normal 4 2 3 2 4 5" xfId="9742" xr:uid="{00000000-0005-0000-0000-0000A2070000}"/>
    <cellStyle name="Normal 4 2 3 2 5" xfId="2932" xr:uid="{00000000-0005-0000-0000-0000B3050000}"/>
    <cellStyle name="Normal 4 2 3 2 5 2" xfId="8258" xr:uid="{00000000-0005-0000-0000-0000A4070000}"/>
    <cellStyle name="Normal 4 2 3 2 5 3" xfId="10655" xr:uid="{00000000-0005-0000-0000-0000A4070000}"/>
    <cellStyle name="Normal 4 2 3 2 6" xfId="2544" xr:uid="{00000000-0005-0000-0000-0000B4050000}"/>
    <cellStyle name="Normal 4 2 3 2 6 2" xfId="7742" xr:uid="{00000000-0005-0000-0000-0000A5070000}"/>
    <cellStyle name="Normal 4 2 3 2 6 3" xfId="10139" xr:uid="{00000000-0005-0000-0000-0000A5070000}"/>
    <cellStyle name="Normal 4 2 3 2 7" xfId="2238" xr:uid="{00000000-0005-0000-0000-0000A8050000}"/>
    <cellStyle name="Normal 4 2 3 2 8" xfId="3979" xr:uid="{00000000-0005-0000-0000-00002F020000}"/>
    <cellStyle name="Normal 4 2 3 2 9" xfId="5422" xr:uid="{00000000-0005-0000-0000-000043030000}"/>
    <cellStyle name="Normal 4 2 3 3" xfId="950" xr:uid="{00000000-0005-0000-0000-000068050000}"/>
    <cellStyle name="Normal 4 2 3 3 10" xfId="6677" xr:uid="{00000000-0005-0000-0000-0000A6070000}"/>
    <cellStyle name="Normal 4 2 3 3 11" xfId="9098" xr:uid="{00000000-0005-0000-0000-0000A6070000}"/>
    <cellStyle name="Normal 4 2 3 3 2" xfId="2774" xr:uid="{00000000-0005-0000-0000-0000B6050000}"/>
    <cellStyle name="Normal 4 2 3 3 2 2" xfId="3306" xr:uid="{00000000-0005-0000-0000-0000B7050000}"/>
    <cellStyle name="Normal 4 2 3 3 2 2 2" xfId="8672" xr:uid="{00000000-0005-0000-0000-0000A8070000}"/>
    <cellStyle name="Normal 4 2 3 3 2 2 3" xfId="11069" xr:uid="{00000000-0005-0000-0000-0000A8070000}"/>
    <cellStyle name="Normal 4 2 3 3 2 3" xfId="4330" xr:uid="{00000000-0005-0000-0000-0000B6050000}"/>
    <cellStyle name="Normal 4 2 3 3 2 3 2" xfId="8037" xr:uid="{00000000-0005-0000-0000-0000A9070000}"/>
    <cellStyle name="Normal 4 2 3 3 2 3 3" xfId="10434" xr:uid="{00000000-0005-0000-0000-0000A9070000}"/>
    <cellStyle name="Normal 4 2 3 3 2 4" xfId="5923" xr:uid="{00000000-0005-0000-0000-00004A030000}"/>
    <cellStyle name="Normal 4 2 3 3 2 5" xfId="5180" xr:uid="{00000000-0005-0000-0000-0000E9020000}"/>
    <cellStyle name="Normal 4 2 3 3 2 6" xfId="7340" xr:uid="{00000000-0005-0000-0000-0000A7070000}"/>
    <cellStyle name="Normal 4 2 3 3 2 7" xfId="9745" xr:uid="{00000000-0005-0000-0000-0000A7070000}"/>
    <cellStyle name="Normal 4 2 3 3 3" xfId="3307" xr:uid="{00000000-0005-0000-0000-0000B8050000}"/>
    <cellStyle name="Normal 4 2 3 3 3 2" xfId="4517" xr:uid="{00000000-0005-0000-0000-0000B8050000}"/>
    <cellStyle name="Normal 4 2 3 3 3 2 2" xfId="11476" xr:uid="{00000000-0005-0000-0000-000032070000}"/>
    <cellStyle name="Normal 4 2 3 3 3 3" xfId="5694" xr:uid="{00000000-0005-0000-0000-00004B030000}"/>
    <cellStyle name="Normal 4 2 3 3 3 4" xfId="8673" xr:uid="{00000000-0005-0000-0000-0000AA070000}"/>
    <cellStyle name="Normal 4 2 3 3 3 5" xfId="11070" xr:uid="{00000000-0005-0000-0000-0000AA070000}"/>
    <cellStyle name="Normal 4 2 3 3 4" xfId="3305" xr:uid="{00000000-0005-0000-0000-0000B9050000}"/>
    <cellStyle name="Normal 4 2 3 3 4 2" xfId="8671" xr:uid="{00000000-0005-0000-0000-0000AB070000}"/>
    <cellStyle name="Normal 4 2 3 3 4 3" xfId="11068" xr:uid="{00000000-0005-0000-0000-0000AB070000}"/>
    <cellStyle name="Normal 4 2 3 3 5" xfId="2587" xr:uid="{00000000-0005-0000-0000-0000BA050000}"/>
    <cellStyle name="Normal 4 2 3 3 5 2" xfId="7785" xr:uid="{00000000-0005-0000-0000-0000AC070000}"/>
    <cellStyle name="Normal 4 2 3 3 5 3" xfId="10182" xr:uid="{00000000-0005-0000-0000-0000AC070000}"/>
    <cellStyle name="Normal 4 2 3 3 6" xfId="2357" xr:uid="{00000000-0005-0000-0000-0000B5050000}"/>
    <cellStyle name="Normal 4 2 3 3 7" xfId="3894" xr:uid="{00000000-0005-0000-0000-000031020000}"/>
    <cellStyle name="Normal 4 2 3 3 8" xfId="5463" xr:uid="{00000000-0005-0000-0000-000049030000}"/>
    <cellStyle name="Normal 4 2 3 3 9" xfId="4931" xr:uid="{00000000-0005-0000-0000-0000E8020000}"/>
    <cellStyle name="Normal 4 2 3 4" xfId="951" xr:uid="{00000000-0005-0000-0000-000069050000}"/>
    <cellStyle name="Normal 4 2 3 4 2" xfId="3308" xr:uid="{00000000-0005-0000-0000-0000BC050000}"/>
    <cellStyle name="Normal 4 2 3 4 2 2" xfId="6405" xr:uid="{00000000-0005-0000-0000-0000BC050000}"/>
    <cellStyle name="Normal 4 2 3 4 2 2 2" xfId="8674" xr:uid="{00000000-0005-0000-0000-0000AF070000}"/>
    <cellStyle name="Normal 4 2 3 4 2 2 3" xfId="11071" xr:uid="{00000000-0005-0000-0000-0000AF070000}"/>
    <cellStyle name="Normal 4 2 3 4 2 3" xfId="7341" xr:uid="{00000000-0005-0000-0000-0000AE070000}"/>
    <cellStyle name="Normal 4 2 3 4 2 4" xfId="9746" xr:uid="{00000000-0005-0000-0000-0000AE070000}"/>
    <cellStyle name="Normal 4 2 3 4 3" xfId="2771" xr:uid="{00000000-0005-0000-0000-0000BD050000}"/>
    <cellStyle name="Normal 4 2 3 4 3 2" xfId="6216" xr:uid="{00000000-0005-0000-0000-0000BD050000}"/>
    <cellStyle name="Normal 4 2 3 4 3 3" xfId="8034" xr:uid="{00000000-0005-0000-0000-0000B0070000}"/>
    <cellStyle name="Normal 4 2 3 4 3 4" xfId="10431" xr:uid="{00000000-0005-0000-0000-0000B0070000}"/>
    <cellStyle name="Normal 4 2 3 4 4" xfId="4185" xr:uid="{00000000-0005-0000-0000-0000BB050000}"/>
    <cellStyle name="Normal 4 2 3 4 4 2" xfId="11818" xr:uid="{00000000-0005-0000-0000-000015080000}"/>
    <cellStyle name="Normal 4 2 3 4 5" xfId="5920" xr:uid="{00000000-0005-0000-0000-00004C030000}"/>
    <cellStyle name="Normal 4 2 3 4 6" xfId="5178" xr:uid="{00000000-0005-0000-0000-0000EA020000}"/>
    <cellStyle name="Normal 4 2 3 4 7" xfId="6838" xr:uid="{00000000-0005-0000-0000-0000AD070000}"/>
    <cellStyle name="Normal 4 2 3 4 8" xfId="9259" xr:uid="{00000000-0005-0000-0000-0000AD070000}"/>
    <cellStyle name="Normal 4 2 3 5" xfId="952" xr:uid="{00000000-0005-0000-0000-00006A050000}"/>
    <cellStyle name="Normal 4 2 3 5 2" xfId="4518" xr:uid="{00000000-0005-0000-0000-0000BE050000}"/>
    <cellStyle name="Normal 4 2 3 5 2 2" xfId="8675" xr:uid="{00000000-0005-0000-0000-0000B2070000}"/>
    <cellStyle name="Normal 4 2 3 5 2 3" xfId="11072" xr:uid="{00000000-0005-0000-0000-0000B2070000}"/>
    <cellStyle name="Normal 4 2 3 5 3" xfId="5608" xr:uid="{00000000-0005-0000-0000-00004D030000}"/>
    <cellStyle name="Normal 4 2 3 5 4" xfId="7342" xr:uid="{00000000-0005-0000-0000-0000B1070000}"/>
    <cellStyle name="Normal 4 2 3 5 5" xfId="9747" xr:uid="{00000000-0005-0000-0000-0000B1070000}"/>
    <cellStyle name="Normal 4 2 3 6" xfId="2931" xr:uid="{00000000-0005-0000-0000-0000BF050000}"/>
    <cellStyle name="Normal 4 2 3 6 2" xfId="6316" xr:uid="{00000000-0005-0000-0000-0000BF050000}"/>
    <cellStyle name="Normal 4 2 3 6 2 2" xfId="8257" xr:uid="{00000000-0005-0000-0000-0000B4070000}"/>
    <cellStyle name="Normal 4 2 3 6 2 3" xfId="10654" xr:uid="{00000000-0005-0000-0000-0000B4070000}"/>
    <cellStyle name="Normal 4 2 3 6 3" xfId="7336" xr:uid="{00000000-0005-0000-0000-0000B3070000}"/>
    <cellStyle name="Normal 4 2 3 6 4" xfId="9741" xr:uid="{00000000-0005-0000-0000-0000B3070000}"/>
    <cellStyle name="Normal 4 2 3 7" xfId="2484" xr:uid="{00000000-0005-0000-0000-0000C0050000}"/>
    <cellStyle name="Normal 4 2 3 7 2" xfId="7682" xr:uid="{00000000-0005-0000-0000-0000B5070000}"/>
    <cellStyle name="Normal 4 2 3 7 3" xfId="10079" xr:uid="{00000000-0005-0000-0000-0000B5070000}"/>
    <cellStyle name="Normal 4 2 3 8" xfId="2178" xr:uid="{00000000-0005-0000-0000-0000A7050000}"/>
    <cellStyle name="Normal 4 2 3 9" xfId="3978" xr:uid="{00000000-0005-0000-0000-00002E020000}"/>
    <cellStyle name="Normal 4 2 4" xfId="953" xr:uid="{00000000-0005-0000-0000-00006B050000}"/>
    <cellStyle name="Normal 4 2 4 10" xfId="5368" xr:uid="{00000000-0005-0000-0000-00004E030000}"/>
    <cellStyle name="Normal 4 2 4 11" xfId="4824" xr:uid="{00000000-0005-0000-0000-0000EB020000}"/>
    <cellStyle name="Normal 4 2 4 12" xfId="6570" xr:uid="{00000000-0005-0000-0000-0000B6070000}"/>
    <cellStyle name="Normal 4 2 4 13" xfId="8991" xr:uid="{00000000-0005-0000-0000-0000B6070000}"/>
    <cellStyle name="Normal 4 2 4 2" xfId="954" xr:uid="{00000000-0005-0000-0000-00006C050000}"/>
    <cellStyle name="Normal 4 2 4 2 10" xfId="4933" xr:uid="{00000000-0005-0000-0000-0000EC020000}"/>
    <cellStyle name="Normal 4 2 4 2 11" xfId="6679" xr:uid="{00000000-0005-0000-0000-0000B7070000}"/>
    <cellStyle name="Normal 4 2 4 2 12" xfId="9100" xr:uid="{00000000-0005-0000-0000-0000B7070000}"/>
    <cellStyle name="Normal 4 2 4 2 2" xfId="955" xr:uid="{00000000-0005-0000-0000-00006D050000}"/>
    <cellStyle name="Normal 4 2 4 2 2 2" xfId="2777" xr:uid="{00000000-0005-0000-0000-0000C4050000}"/>
    <cellStyle name="Normal 4 2 4 2 2 2 2" xfId="3311" xr:uid="{00000000-0005-0000-0000-0000C5050000}"/>
    <cellStyle name="Normal 4 2 4 2 2 2 2 2" xfId="8678" xr:uid="{00000000-0005-0000-0000-0000BA070000}"/>
    <cellStyle name="Normal 4 2 4 2 2 2 2 3" xfId="11075" xr:uid="{00000000-0005-0000-0000-0000BA070000}"/>
    <cellStyle name="Normal 4 2 4 2 2 2 3" xfId="4332" xr:uid="{00000000-0005-0000-0000-0000C4050000}"/>
    <cellStyle name="Normal 4 2 4 2 2 2 3 2" xfId="11410" xr:uid="{00000000-0005-0000-0000-000041070000}"/>
    <cellStyle name="Normal 4 2 4 2 2 2 4" xfId="8040" xr:uid="{00000000-0005-0000-0000-0000B9070000}"/>
    <cellStyle name="Normal 4 2 4 2 2 2 5" xfId="10437" xr:uid="{00000000-0005-0000-0000-0000B9070000}"/>
    <cellStyle name="Normal 4 2 4 2 2 3" xfId="3312" xr:uid="{00000000-0005-0000-0000-0000C6050000}"/>
    <cellStyle name="Normal 4 2 4 2 2 3 2" xfId="4519" xr:uid="{00000000-0005-0000-0000-0000C6050000}"/>
    <cellStyle name="Normal 4 2 4 2 2 3 3" xfId="8679" xr:uid="{00000000-0005-0000-0000-0000BB070000}"/>
    <cellStyle name="Normal 4 2 4 2 2 3 4" xfId="11076" xr:uid="{00000000-0005-0000-0000-0000BB070000}"/>
    <cellStyle name="Normal 4 2 4 2 2 4" xfId="3310" xr:uid="{00000000-0005-0000-0000-0000C7050000}"/>
    <cellStyle name="Normal 4 2 4 2 2 4 2" xfId="8677" xr:uid="{00000000-0005-0000-0000-0000BC070000}"/>
    <cellStyle name="Normal 4 2 4 2 2 4 3" xfId="11074" xr:uid="{00000000-0005-0000-0000-0000BC070000}"/>
    <cellStyle name="Normal 4 2 4 2 2 5" xfId="4242" xr:uid="{00000000-0005-0000-0000-0000C3050000}"/>
    <cellStyle name="Normal 4 2 4 2 2 5 2" xfId="7851" xr:uid="{00000000-0005-0000-0000-0000BD070000}"/>
    <cellStyle name="Normal 4 2 4 2 2 5 3" xfId="10248" xr:uid="{00000000-0005-0000-0000-0000BD070000}"/>
    <cellStyle name="Normal 4 2 4 2 2 6" xfId="5529" xr:uid="{00000000-0005-0000-0000-000050030000}"/>
    <cellStyle name="Normal 4 2 4 2 2 7" xfId="5182" xr:uid="{00000000-0005-0000-0000-0000ED020000}"/>
    <cellStyle name="Normal 4 2 4 2 2 8" xfId="7345" xr:uid="{00000000-0005-0000-0000-0000B8070000}"/>
    <cellStyle name="Normal 4 2 4 2 2 9" xfId="9750" xr:uid="{00000000-0005-0000-0000-0000B8070000}"/>
    <cellStyle name="Normal 4 2 4 2 3" xfId="2776" xr:uid="{00000000-0005-0000-0000-0000C8050000}"/>
    <cellStyle name="Normal 4 2 4 2 3 2" xfId="3313" xr:uid="{00000000-0005-0000-0000-0000C9050000}"/>
    <cellStyle name="Normal 4 2 4 2 3 2 2" xfId="8680" xr:uid="{00000000-0005-0000-0000-0000BF070000}"/>
    <cellStyle name="Normal 4 2 4 2 3 2 3" xfId="11077" xr:uid="{00000000-0005-0000-0000-0000BF070000}"/>
    <cellStyle name="Normal 4 2 4 2 3 3" xfId="4331" xr:uid="{00000000-0005-0000-0000-0000C8050000}"/>
    <cellStyle name="Normal 4 2 4 2 3 3 2" xfId="8039" xr:uid="{00000000-0005-0000-0000-0000C0070000}"/>
    <cellStyle name="Normal 4 2 4 2 3 3 3" xfId="10436" xr:uid="{00000000-0005-0000-0000-0000C0070000}"/>
    <cellStyle name="Normal 4 2 4 2 3 4" xfId="5925" xr:uid="{00000000-0005-0000-0000-000053030000}"/>
    <cellStyle name="Normal 4 2 4 2 3 5" xfId="7344" xr:uid="{00000000-0005-0000-0000-0000BE070000}"/>
    <cellStyle name="Normal 4 2 4 2 3 6" xfId="9749" xr:uid="{00000000-0005-0000-0000-0000BE070000}"/>
    <cellStyle name="Normal 4 2 4 2 4" xfId="3314" xr:uid="{00000000-0005-0000-0000-0000CA050000}"/>
    <cellStyle name="Normal 4 2 4 2 4 2" xfId="4520" xr:uid="{00000000-0005-0000-0000-0000CA050000}"/>
    <cellStyle name="Normal 4 2 4 2 4 3" xfId="8681" xr:uid="{00000000-0005-0000-0000-0000C1070000}"/>
    <cellStyle name="Normal 4 2 4 2 4 4" xfId="11078" xr:uid="{00000000-0005-0000-0000-0000C1070000}"/>
    <cellStyle name="Normal 4 2 4 2 5" xfId="3309" xr:uid="{00000000-0005-0000-0000-0000CB050000}"/>
    <cellStyle name="Normal 4 2 4 2 5 2" xfId="8676" xr:uid="{00000000-0005-0000-0000-0000C2070000}"/>
    <cellStyle name="Normal 4 2 4 2 5 3" xfId="11073" xr:uid="{00000000-0005-0000-0000-0000C2070000}"/>
    <cellStyle name="Normal 4 2 4 2 6" xfId="2550" xr:uid="{00000000-0005-0000-0000-0000CC050000}"/>
    <cellStyle name="Normal 4 2 4 2 6 2" xfId="7748" xr:uid="{00000000-0005-0000-0000-0000C3070000}"/>
    <cellStyle name="Normal 4 2 4 2 6 3" xfId="10145" xr:uid="{00000000-0005-0000-0000-0000C3070000}"/>
    <cellStyle name="Normal 4 2 4 2 7" xfId="2244" xr:uid="{00000000-0005-0000-0000-0000C2050000}"/>
    <cellStyle name="Normal 4 2 4 2 8" xfId="3797" xr:uid="{00000000-0005-0000-0000-000033020000}"/>
    <cellStyle name="Normal 4 2 4 2 9" xfId="5428" xr:uid="{00000000-0005-0000-0000-00004F030000}"/>
    <cellStyle name="Normal 4 2 4 3" xfId="956" xr:uid="{00000000-0005-0000-0000-00006E050000}"/>
    <cellStyle name="Normal 4 2 4 3 10" xfId="6840" xr:uid="{00000000-0005-0000-0000-0000C4070000}"/>
    <cellStyle name="Normal 4 2 4 3 11" xfId="9261" xr:uid="{00000000-0005-0000-0000-0000C4070000}"/>
    <cellStyle name="Normal 4 2 4 3 2" xfId="2778" xr:uid="{00000000-0005-0000-0000-0000CE050000}"/>
    <cellStyle name="Normal 4 2 4 3 2 2" xfId="3316" xr:uid="{00000000-0005-0000-0000-0000CF050000}"/>
    <cellStyle name="Normal 4 2 4 3 2 2 2" xfId="8683" xr:uid="{00000000-0005-0000-0000-0000C6070000}"/>
    <cellStyle name="Normal 4 2 4 3 2 2 3" xfId="11080" xr:uid="{00000000-0005-0000-0000-0000C6070000}"/>
    <cellStyle name="Normal 4 2 4 3 2 3" xfId="4333" xr:uid="{00000000-0005-0000-0000-0000CE050000}"/>
    <cellStyle name="Normal 4 2 4 3 2 3 2" xfId="8041" xr:uid="{00000000-0005-0000-0000-0000C7070000}"/>
    <cellStyle name="Normal 4 2 4 3 2 3 3" xfId="10438" xr:uid="{00000000-0005-0000-0000-0000C7070000}"/>
    <cellStyle name="Normal 4 2 4 3 2 4" xfId="5926" xr:uid="{00000000-0005-0000-0000-000056030000}"/>
    <cellStyle name="Normal 4 2 4 3 2 5" xfId="7346" xr:uid="{00000000-0005-0000-0000-0000C5070000}"/>
    <cellStyle name="Normal 4 2 4 3 2 6" xfId="9751" xr:uid="{00000000-0005-0000-0000-0000C5070000}"/>
    <cellStyle name="Normal 4 2 4 3 3" xfId="3317" xr:uid="{00000000-0005-0000-0000-0000D0050000}"/>
    <cellStyle name="Normal 4 2 4 3 3 2" xfId="4521" xr:uid="{00000000-0005-0000-0000-0000D0050000}"/>
    <cellStyle name="Normal 4 2 4 3 3 2 2" xfId="11905" xr:uid="{00000000-0005-0000-0000-00002F080000}"/>
    <cellStyle name="Normal 4 2 4 3 3 3" xfId="5700" xr:uid="{00000000-0005-0000-0000-000057030000}"/>
    <cellStyle name="Normal 4 2 4 3 3 4" xfId="8684" xr:uid="{00000000-0005-0000-0000-0000C8070000}"/>
    <cellStyle name="Normal 4 2 4 3 3 5" xfId="11081" xr:uid="{00000000-0005-0000-0000-0000C8070000}"/>
    <cellStyle name="Normal 4 2 4 3 4" xfId="3315" xr:uid="{00000000-0005-0000-0000-0000D1050000}"/>
    <cellStyle name="Normal 4 2 4 3 4 2" xfId="8682" xr:uid="{00000000-0005-0000-0000-0000C9070000}"/>
    <cellStyle name="Normal 4 2 4 3 4 3" xfId="11079" xr:uid="{00000000-0005-0000-0000-0000C9070000}"/>
    <cellStyle name="Normal 4 2 4 3 5" xfId="2593" xr:uid="{00000000-0005-0000-0000-0000D2050000}"/>
    <cellStyle name="Normal 4 2 4 3 5 2" xfId="7791" xr:uid="{00000000-0005-0000-0000-0000CA070000}"/>
    <cellStyle name="Normal 4 2 4 3 5 3" xfId="10188" xr:uid="{00000000-0005-0000-0000-0000CA070000}"/>
    <cellStyle name="Normal 4 2 4 3 6" xfId="2359" xr:uid="{00000000-0005-0000-0000-0000CD050000}"/>
    <cellStyle name="Normal 4 2 4 3 7" xfId="3896" xr:uid="{00000000-0005-0000-0000-000034020000}"/>
    <cellStyle name="Normal 4 2 4 3 8" xfId="5469" xr:uid="{00000000-0005-0000-0000-000055030000}"/>
    <cellStyle name="Normal 4 2 4 3 9" xfId="5181" xr:uid="{00000000-0005-0000-0000-0000EE020000}"/>
    <cellStyle name="Normal 4 2 4 4" xfId="957" xr:uid="{00000000-0005-0000-0000-00006F050000}"/>
    <cellStyle name="Normal 4 2 4 4 2" xfId="3318" xr:uid="{00000000-0005-0000-0000-0000D4050000}"/>
    <cellStyle name="Normal 4 2 4 4 2 2" xfId="8685" xr:uid="{00000000-0005-0000-0000-0000CC070000}"/>
    <cellStyle name="Normal 4 2 4 4 2 3" xfId="11082" xr:uid="{00000000-0005-0000-0000-0000CC070000}"/>
    <cellStyle name="Normal 4 2 4 4 3" xfId="2775" xr:uid="{00000000-0005-0000-0000-0000D5050000}"/>
    <cellStyle name="Normal 4 2 4 4 3 2" xfId="8038" xr:uid="{00000000-0005-0000-0000-0000CD070000}"/>
    <cellStyle name="Normal 4 2 4 4 3 3" xfId="10435" xr:uid="{00000000-0005-0000-0000-0000CD070000}"/>
    <cellStyle name="Normal 4 2 4 4 4" xfId="4187" xr:uid="{00000000-0005-0000-0000-0000D3050000}"/>
    <cellStyle name="Normal 4 2 4 4 5" xfId="5924" xr:uid="{00000000-0005-0000-0000-000058030000}"/>
    <cellStyle name="Normal 4 2 4 4 6" xfId="7347" xr:uid="{00000000-0005-0000-0000-0000CB070000}"/>
    <cellStyle name="Normal 4 2 4 4 7" xfId="9752" xr:uid="{00000000-0005-0000-0000-0000CB070000}"/>
    <cellStyle name="Normal 4 2 4 5" xfId="3319" xr:uid="{00000000-0005-0000-0000-0000D6050000}"/>
    <cellStyle name="Normal 4 2 4 5 2" xfId="4522" xr:uid="{00000000-0005-0000-0000-0000D6050000}"/>
    <cellStyle name="Normal 4 2 4 5 2 2" xfId="8686" xr:uid="{00000000-0005-0000-0000-0000CF070000}"/>
    <cellStyle name="Normal 4 2 4 5 2 3" xfId="11083" xr:uid="{00000000-0005-0000-0000-0000CF070000}"/>
    <cellStyle name="Normal 4 2 4 5 3" xfId="5614" xr:uid="{00000000-0005-0000-0000-000059030000}"/>
    <cellStyle name="Normal 4 2 4 5 4" xfId="7343" xr:uid="{00000000-0005-0000-0000-0000CE070000}"/>
    <cellStyle name="Normal 4 2 4 5 5" xfId="9748" xr:uid="{00000000-0005-0000-0000-0000CE070000}"/>
    <cellStyle name="Normal 4 2 4 6" xfId="2933" xr:uid="{00000000-0005-0000-0000-0000D7050000}"/>
    <cellStyle name="Normal 4 2 4 6 2" xfId="8259" xr:uid="{00000000-0005-0000-0000-0000D0070000}"/>
    <cellStyle name="Normal 4 2 4 6 3" xfId="10656" xr:uid="{00000000-0005-0000-0000-0000D0070000}"/>
    <cellStyle name="Normal 4 2 4 7" xfId="2490" xr:uid="{00000000-0005-0000-0000-0000D8050000}"/>
    <cellStyle name="Normal 4 2 4 7 2" xfId="7688" xr:uid="{00000000-0005-0000-0000-0000D1070000}"/>
    <cellStyle name="Normal 4 2 4 7 3" xfId="10085" xr:uid="{00000000-0005-0000-0000-0000D1070000}"/>
    <cellStyle name="Normal 4 2 4 8" xfId="2184" xr:uid="{00000000-0005-0000-0000-0000C1050000}"/>
    <cellStyle name="Normal 4 2 4 9" xfId="3980" xr:uid="{00000000-0005-0000-0000-000032020000}"/>
    <cellStyle name="Normal 4 2 5" xfId="958" xr:uid="{00000000-0005-0000-0000-000070050000}"/>
    <cellStyle name="Normal 4 2 5 10" xfId="5342" xr:uid="{00000000-0005-0000-0000-00005A030000}"/>
    <cellStyle name="Normal 4 2 5 11" xfId="4798" xr:uid="{00000000-0005-0000-0000-0000EF020000}"/>
    <cellStyle name="Normal 4 2 5 12" xfId="6544" xr:uid="{00000000-0005-0000-0000-0000D2070000}"/>
    <cellStyle name="Normal 4 2 5 13" xfId="8965" xr:uid="{00000000-0005-0000-0000-0000D2070000}"/>
    <cellStyle name="Normal 4 2 5 2" xfId="959" xr:uid="{00000000-0005-0000-0000-000071050000}"/>
    <cellStyle name="Normal 4 2 5 2 10" xfId="6680" xr:uid="{00000000-0005-0000-0000-0000D3070000}"/>
    <cellStyle name="Normal 4 2 5 2 11" xfId="9101" xr:uid="{00000000-0005-0000-0000-0000D3070000}"/>
    <cellStyle name="Normal 4 2 5 2 2" xfId="960" xr:uid="{00000000-0005-0000-0000-000072050000}"/>
    <cellStyle name="Normal 4 2 5 2 2 2" xfId="3321" xr:uid="{00000000-0005-0000-0000-0000DC050000}"/>
    <cellStyle name="Normal 4 2 5 2 2 2 2" xfId="8688" xr:uid="{00000000-0005-0000-0000-0000D5070000}"/>
    <cellStyle name="Normal 4 2 5 2 2 2 3" xfId="11085" xr:uid="{00000000-0005-0000-0000-0000D5070000}"/>
    <cellStyle name="Normal 4 2 5 2 2 3" xfId="4335" xr:uid="{00000000-0005-0000-0000-0000DB050000}"/>
    <cellStyle name="Normal 4 2 5 2 2 3 2" xfId="8043" xr:uid="{00000000-0005-0000-0000-0000D6070000}"/>
    <cellStyle name="Normal 4 2 5 2 2 3 3" xfId="10440" xr:uid="{00000000-0005-0000-0000-0000D6070000}"/>
    <cellStyle name="Normal 4 2 5 2 2 4" xfId="5928" xr:uid="{00000000-0005-0000-0000-00005C030000}"/>
    <cellStyle name="Normal 4 2 5 2 2 5" xfId="5184" xr:uid="{00000000-0005-0000-0000-0000F1020000}"/>
    <cellStyle name="Normal 4 2 5 2 2 6" xfId="7350" xr:uid="{00000000-0005-0000-0000-0000D4070000}"/>
    <cellStyle name="Normal 4 2 5 2 2 7" xfId="9755" xr:uid="{00000000-0005-0000-0000-0000D4070000}"/>
    <cellStyle name="Normal 4 2 5 2 3" xfId="3322" xr:uid="{00000000-0005-0000-0000-0000DD050000}"/>
    <cellStyle name="Normal 4 2 5 2 3 2" xfId="4523" xr:uid="{00000000-0005-0000-0000-0000DD050000}"/>
    <cellStyle name="Normal 4 2 5 2 3 2 2" xfId="8689" xr:uid="{00000000-0005-0000-0000-0000D8070000}"/>
    <cellStyle name="Normal 4 2 5 2 3 2 3" xfId="11086" xr:uid="{00000000-0005-0000-0000-0000D8070000}"/>
    <cellStyle name="Normal 4 2 5 2 3 3" xfId="5648" xr:uid="{00000000-0005-0000-0000-00005D030000}"/>
    <cellStyle name="Normal 4 2 5 2 3 4" xfId="7349" xr:uid="{00000000-0005-0000-0000-0000D7070000}"/>
    <cellStyle name="Normal 4 2 5 2 3 5" xfId="9754" xr:uid="{00000000-0005-0000-0000-0000D7070000}"/>
    <cellStyle name="Normal 4 2 5 2 4" xfId="3320" xr:uid="{00000000-0005-0000-0000-0000DE050000}"/>
    <cellStyle name="Normal 4 2 5 2 4 2" xfId="8687" xr:uid="{00000000-0005-0000-0000-0000D9070000}"/>
    <cellStyle name="Normal 4 2 5 2 4 3" xfId="11084" xr:uid="{00000000-0005-0000-0000-0000D9070000}"/>
    <cellStyle name="Normal 4 2 5 2 5" xfId="2524" xr:uid="{00000000-0005-0000-0000-0000DF050000}"/>
    <cellStyle name="Normal 4 2 5 2 5 2" xfId="7722" xr:uid="{00000000-0005-0000-0000-0000DA070000}"/>
    <cellStyle name="Normal 4 2 5 2 5 3" xfId="10119" xr:uid="{00000000-0005-0000-0000-0000DA070000}"/>
    <cellStyle name="Normal 4 2 5 2 6" xfId="2360" xr:uid="{00000000-0005-0000-0000-0000DA050000}"/>
    <cellStyle name="Normal 4 2 5 2 7" xfId="3897" xr:uid="{00000000-0005-0000-0000-000036020000}"/>
    <cellStyle name="Normal 4 2 5 2 8" xfId="5402" xr:uid="{00000000-0005-0000-0000-00005B030000}"/>
    <cellStyle name="Normal 4 2 5 2 9" xfId="4934" xr:uid="{00000000-0005-0000-0000-0000F0020000}"/>
    <cellStyle name="Normal 4 2 5 3" xfId="961" xr:uid="{00000000-0005-0000-0000-000073050000}"/>
    <cellStyle name="Normal 4 2 5 3 10" xfId="9262" xr:uid="{00000000-0005-0000-0000-0000DB070000}"/>
    <cellStyle name="Normal 4 2 5 3 2" xfId="2779" xr:uid="{00000000-0005-0000-0000-0000E1050000}"/>
    <cellStyle name="Normal 4 2 5 3 2 2" xfId="3324" xr:uid="{00000000-0005-0000-0000-0000E2050000}"/>
    <cellStyle name="Normal 4 2 5 3 2 2 2" xfId="8691" xr:uid="{00000000-0005-0000-0000-0000DD070000}"/>
    <cellStyle name="Normal 4 2 5 3 2 2 3" xfId="11088" xr:uid="{00000000-0005-0000-0000-0000DD070000}"/>
    <cellStyle name="Normal 4 2 5 3 2 3" xfId="4336" xr:uid="{00000000-0005-0000-0000-0000E1050000}"/>
    <cellStyle name="Normal 4 2 5 3 2 3 2" xfId="8044" xr:uid="{00000000-0005-0000-0000-0000DE070000}"/>
    <cellStyle name="Normal 4 2 5 3 2 3 3" xfId="10441" xr:uid="{00000000-0005-0000-0000-0000DE070000}"/>
    <cellStyle name="Normal 4 2 5 3 2 4" xfId="5929" xr:uid="{00000000-0005-0000-0000-00005F030000}"/>
    <cellStyle name="Normal 4 2 5 3 2 5" xfId="7351" xr:uid="{00000000-0005-0000-0000-0000DC070000}"/>
    <cellStyle name="Normal 4 2 5 3 2 6" xfId="9756" xr:uid="{00000000-0005-0000-0000-0000DC070000}"/>
    <cellStyle name="Normal 4 2 5 3 3" xfId="3325" xr:uid="{00000000-0005-0000-0000-0000E3050000}"/>
    <cellStyle name="Normal 4 2 5 3 3 2" xfId="4524" xr:uid="{00000000-0005-0000-0000-0000E3050000}"/>
    <cellStyle name="Normal 4 2 5 3 3 2 2" xfId="11906" xr:uid="{00000000-0005-0000-0000-000047080000}"/>
    <cellStyle name="Normal 4 2 5 3 3 3" xfId="5733" xr:uid="{00000000-0005-0000-0000-000060030000}"/>
    <cellStyle name="Normal 4 2 5 3 3 4" xfId="8692" xr:uid="{00000000-0005-0000-0000-0000DF070000}"/>
    <cellStyle name="Normal 4 2 5 3 3 5" xfId="11089" xr:uid="{00000000-0005-0000-0000-0000DF070000}"/>
    <cellStyle name="Normal 4 2 5 3 4" xfId="3323" xr:uid="{00000000-0005-0000-0000-0000E4050000}"/>
    <cellStyle name="Normal 4 2 5 3 4 2" xfId="8690" xr:uid="{00000000-0005-0000-0000-0000E0070000}"/>
    <cellStyle name="Normal 4 2 5 3 4 3" xfId="11087" xr:uid="{00000000-0005-0000-0000-0000E0070000}"/>
    <cellStyle name="Normal 4 2 5 3 5" xfId="2627" xr:uid="{00000000-0005-0000-0000-0000E5050000}"/>
    <cellStyle name="Normal 4 2 5 3 5 2" xfId="7825" xr:uid="{00000000-0005-0000-0000-0000E1070000}"/>
    <cellStyle name="Normal 4 2 5 3 5 3" xfId="10222" xr:uid="{00000000-0005-0000-0000-0000E1070000}"/>
    <cellStyle name="Normal 4 2 5 3 6" xfId="4188" xr:uid="{00000000-0005-0000-0000-0000E0050000}"/>
    <cellStyle name="Normal 4 2 5 3 7" xfId="5503" xr:uid="{00000000-0005-0000-0000-00005E030000}"/>
    <cellStyle name="Normal 4 2 5 3 8" xfId="5183" xr:uid="{00000000-0005-0000-0000-0000F2020000}"/>
    <cellStyle name="Normal 4 2 5 3 9" xfId="6841" xr:uid="{00000000-0005-0000-0000-0000DB070000}"/>
    <cellStyle name="Normal 4 2 5 4" xfId="962" xr:uid="{00000000-0005-0000-0000-000074050000}"/>
    <cellStyle name="Normal 4 2 5 4 2" xfId="3326" xr:uid="{00000000-0005-0000-0000-0000E7050000}"/>
    <cellStyle name="Normal 4 2 5 4 2 2" xfId="8693" xr:uid="{00000000-0005-0000-0000-0000E3070000}"/>
    <cellStyle name="Normal 4 2 5 4 2 3" xfId="11090" xr:uid="{00000000-0005-0000-0000-0000E3070000}"/>
    <cellStyle name="Normal 4 2 5 4 3" xfId="4334" xr:uid="{00000000-0005-0000-0000-0000E6050000}"/>
    <cellStyle name="Normal 4 2 5 4 3 2" xfId="8042" xr:uid="{00000000-0005-0000-0000-0000E4070000}"/>
    <cellStyle name="Normal 4 2 5 4 3 3" xfId="10439" xr:uid="{00000000-0005-0000-0000-0000E4070000}"/>
    <cellStyle name="Normal 4 2 5 4 4" xfId="5927" xr:uid="{00000000-0005-0000-0000-000061030000}"/>
    <cellStyle name="Normal 4 2 5 4 5" xfId="7352" xr:uid="{00000000-0005-0000-0000-0000E2070000}"/>
    <cellStyle name="Normal 4 2 5 4 6" xfId="9757" xr:uid="{00000000-0005-0000-0000-0000E2070000}"/>
    <cellStyle name="Normal 4 2 5 5" xfId="3327" xr:uid="{00000000-0005-0000-0000-0000E8050000}"/>
    <cellStyle name="Normal 4 2 5 5 2" xfId="4525" xr:uid="{00000000-0005-0000-0000-0000E8050000}"/>
    <cellStyle name="Normal 4 2 5 5 2 2" xfId="8694" xr:uid="{00000000-0005-0000-0000-0000E6070000}"/>
    <cellStyle name="Normal 4 2 5 5 2 3" xfId="11091" xr:uid="{00000000-0005-0000-0000-0000E6070000}"/>
    <cellStyle name="Normal 4 2 5 5 3" xfId="5588" xr:uid="{00000000-0005-0000-0000-000062030000}"/>
    <cellStyle name="Normal 4 2 5 5 4" xfId="7348" xr:uid="{00000000-0005-0000-0000-0000E5070000}"/>
    <cellStyle name="Normal 4 2 5 5 5" xfId="9753" xr:uid="{00000000-0005-0000-0000-0000E5070000}"/>
    <cellStyle name="Normal 4 2 5 6" xfId="2934" xr:uid="{00000000-0005-0000-0000-0000E9050000}"/>
    <cellStyle name="Normal 4 2 5 6 2" xfId="8260" xr:uid="{00000000-0005-0000-0000-0000E7070000}"/>
    <cellStyle name="Normal 4 2 5 6 3" xfId="10657" xr:uid="{00000000-0005-0000-0000-0000E7070000}"/>
    <cellStyle name="Normal 4 2 5 7" xfId="2464" xr:uid="{00000000-0005-0000-0000-0000EA050000}"/>
    <cellStyle name="Normal 4 2 5 7 2" xfId="7662" xr:uid="{00000000-0005-0000-0000-0000E8070000}"/>
    <cellStyle name="Normal 4 2 5 7 3" xfId="10059" xr:uid="{00000000-0005-0000-0000-0000E8070000}"/>
    <cellStyle name="Normal 4 2 5 8" xfId="2218" xr:uid="{00000000-0005-0000-0000-0000D9050000}"/>
    <cellStyle name="Normal 4 2 5 9" xfId="3981" xr:uid="{00000000-0005-0000-0000-000035020000}"/>
    <cellStyle name="Normal 4 2 6" xfId="963" xr:uid="{00000000-0005-0000-0000-000075050000}"/>
    <cellStyle name="Normal 4 2 6 10" xfId="4781" xr:uid="{00000000-0005-0000-0000-0000F3020000}"/>
    <cellStyle name="Normal 4 2 6 11" xfId="6681" xr:uid="{00000000-0005-0000-0000-0000E9070000}"/>
    <cellStyle name="Normal 4 2 6 12" xfId="9102" xr:uid="{00000000-0005-0000-0000-0000E9070000}"/>
    <cellStyle name="Normal 4 2 6 2" xfId="964" xr:uid="{00000000-0005-0000-0000-000076050000}"/>
    <cellStyle name="Normal 4 2 6 2 10" xfId="6842" xr:uid="{00000000-0005-0000-0000-0000EA070000}"/>
    <cellStyle name="Normal 4 2 6 2 11" xfId="9263" xr:uid="{00000000-0005-0000-0000-0000EA070000}"/>
    <cellStyle name="Normal 4 2 6 2 2" xfId="965" xr:uid="{00000000-0005-0000-0000-000077050000}"/>
    <cellStyle name="Normal 4 2 6 2 2 2" xfId="3329" xr:uid="{00000000-0005-0000-0000-0000EE050000}"/>
    <cellStyle name="Normal 4 2 6 2 2 2 2" xfId="8696" xr:uid="{00000000-0005-0000-0000-0000EC070000}"/>
    <cellStyle name="Normal 4 2 6 2 2 2 3" xfId="11093" xr:uid="{00000000-0005-0000-0000-0000EC070000}"/>
    <cellStyle name="Normal 4 2 6 2 2 3" xfId="4337" xr:uid="{00000000-0005-0000-0000-0000ED050000}"/>
    <cellStyle name="Normal 4 2 6 2 2 3 2" xfId="8046" xr:uid="{00000000-0005-0000-0000-0000ED070000}"/>
    <cellStyle name="Normal 4 2 6 2 2 3 3" xfId="10443" xr:uid="{00000000-0005-0000-0000-0000ED070000}"/>
    <cellStyle name="Normal 4 2 6 2 2 4" xfId="5931" xr:uid="{00000000-0005-0000-0000-000065030000}"/>
    <cellStyle name="Normal 4 2 6 2 2 5" xfId="5186" xr:uid="{00000000-0005-0000-0000-0000F5020000}"/>
    <cellStyle name="Normal 4 2 6 2 2 6" xfId="7355" xr:uid="{00000000-0005-0000-0000-0000EB070000}"/>
    <cellStyle name="Normal 4 2 6 2 2 7" xfId="9760" xr:uid="{00000000-0005-0000-0000-0000EB070000}"/>
    <cellStyle name="Normal 4 2 6 2 3" xfId="3330" xr:uid="{00000000-0005-0000-0000-0000EF050000}"/>
    <cellStyle name="Normal 4 2 6 2 3 2" xfId="4526" xr:uid="{00000000-0005-0000-0000-0000EF050000}"/>
    <cellStyle name="Normal 4 2 6 2 3 2 2" xfId="8697" xr:uid="{00000000-0005-0000-0000-0000EF070000}"/>
    <cellStyle name="Normal 4 2 6 2 3 2 3" xfId="11094" xr:uid="{00000000-0005-0000-0000-0000EF070000}"/>
    <cellStyle name="Normal 4 2 6 2 3 3" xfId="5716" xr:uid="{00000000-0005-0000-0000-000066030000}"/>
    <cellStyle name="Normal 4 2 6 2 3 4" xfId="7354" xr:uid="{00000000-0005-0000-0000-0000EE070000}"/>
    <cellStyle name="Normal 4 2 6 2 3 5" xfId="9759" xr:uid="{00000000-0005-0000-0000-0000EE070000}"/>
    <cellStyle name="Normal 4 2 6 2 4" xfId="3328" xr:uid="{00000000-0005-0000-0000-0000F0050000}"/>
    <cellStyle name="Normal 4 2 6 2 4 2" xfId="8695" xr:uid="{00000000-0005-0000-0000-0000F0070000}"/>
    <cellStyle name="Normal 4 2 6 2 4 3" xfId="11092" xr:uid="{00000000-0005-0000-0000-0000F0070000}"/>
    <cellStyle name="Normal 4 2 6 2 5" xfId="2610" xr:uid="{00000000-0005-0000-0000-0000F1050000}"/>
    <cellStyle name="Normal 4 2 6 2 5 2" xfId="7808" xr:uid="{00000000-0005-0000-0000-0000F1070000}"/>
    <cellStyle name="Normal 4 2 6 2 5 3" xfId="10205" xr:uid="{00000000-0005-0000-0000-0000F1070000}"/>
    <cellStyle name="Normal 4 2 6 2 6" xfId="2361" xr:uid="{00000000-0005-0000-0000-0000EC050000}"/>
    <cellStyle name="Normal 4 2 6 2 7" xfId="3898" xr:uid="{00000000-0005-0000-0000-000038020000}"/>
    <cellStyle name="Normal 4 2 6 2 8" xfId="5486" xr:uid="{00000000-0005-0000-0000-000064030000}"/>
    <cellStyle name="Normal 4 2 6 2 9" xfId="4935" xr:uid="{00000000-0005-0000-0000-0000F4020000}"/>
    <cellStyle name="Normal 4 2 6 3" xfId="966" xr:uid="{00000000-0005-0000-0000-000078050000}"/>
    <cellStyle name="Normal 4 2 6 3 2" xfId="3331" xr:uid="{00000000-0005-0000-0000-0000F3050000}"/>
    <cellStyle name="Normal 4 2 6 3 2 2" xfId="8698" xr:uid="{00000000-0005-0000-0000-0000F3070000}"/>
    <cellStyle name="Normal 4 2 6 3 2 2 2" xfId="11907" xr:uid="{00000000-0005-0000-0000-00005C080000}"/>
    <cellStyle name="Normal 4 2 6 3 2 3" xfId="11095" xr:uid="{00000000-0005-0000-0000-0000F3070000}"/>
    <cellStyle name="Normal 4 2 6 3 2 4" xfId="11702" xr:uid="{00000000-0005-0000-0000-00005B080000}"/>
    <cellStyle name="Normal 4 2 6 3 3" xfId="2780" xr:uid="{00000000-0005-0000-0000-0000F4050000}"/>
    <cellStyle name="Normal 4 2 6 3 3 2" xfId="8045" xr:uid="{00000000-0005-0000-0000-0000F4070000}"/>
    <cellStyle name="Normal 4 2 6 3 3 3" xfId="10442" xr:uid="{00000000-0005-0000-0000-0000F4070000}"/>
    <cellStyle name="Normal 4 2 6 3 4" xfId="4189" xr:uid="{00000000-0005-0000-0000-0000F2050000}"/>
    <cellStyle name="Normal 4 2 6 3 4 2" xfId="11819" xr:uid="{00000000-0005-0000-0000-00005E080000}"/>
    <cellStyle name="Normal 4 2 6 3 5" xfId="5930" xr:uid="{00000000-0005-0000-0000-000067030000}"/>
    <cellStyle name="Normal 4 2 6 3 6" xfId="5185" xr:uid="{00000000-0005-0000-0000-0000F6020000}"/>
    <cellStyle name="Normal 4 2 6 3 7" xfId="7356" xr:uid="{00000000-0005-0000-0000-0000F2070000}"/>
    <cellStyle name="Normal 4 2 6 3 8" xfId="9761" xr:uid="{00000000-0005-0000-0000-0000F2070000}"/>
    <cellStyle name="Normal 4 2 6 4" xfId="967" xr:uid="{00000000-0005-0000-0000-000079050000}"/>
    <cellStyle name="Normal 4 2 6 4 2" xfId="4527" xr:uid="{00000000-0005-0000-0000-0000F5050000}"/>
    <cellStyle name="Normal 4 2 6 4 2 2" xfId="8699" xr:uid="{00000000-0005-0000-0000-0000F6070000}"/>
    <cellStyle name="Normal 4 2 6 4 2 3" xfId="11096" xr:uid="{00000000-0005-0000-0000-0000F6070000}"/>
    <cellStyle name="Normal 4 2 6 4 3" xfId="5571" xr:uid="{00000000-0005-0000-0000-000068030000}"/>
    <cellStyle name="Normal 4 2 6 4 4" xfId="7357" xr:uid="{00000000-0005-0000-0000-0000F5070000}"/>
    <cellStyle name="Normal 4 2 6 4 5" xfId="9762" xr:uid="{00000000-0005-0000-0000-0000F5070000}"/>
    <cellStyle name="Normal 4 2 6 5" xfId="2935" xr:uid="{00000000-0005-0000-0000-0000F6050000}"/>
    <cellStyle name="Normal 4 2 6 5 2" xfId="8261" xr:uid="{00000000-0005-0000-0000-0000F8070000}"/>
    <cellStyle name="Normal 4 2 6 5 2 2" xfId="10658" xr:uid="{00000000-0005-0000-0000-0000F8070000}"/>
    <cellStyle name="Normal 4 2 6 5 3" xfId="7353" xr:uid="{00000000-0005-0000-0000-0000F7070000}"/>
    <cellStyle name="Normal 4 2 6 5 4" xfId="9758" xr:uid="{00000000-0005-0000-0000-0000F7070000}"/>
    <cellStyle name="Normal 4 2 6 6" xfId="2447" xr:uid="{00000000-0005-0000-0000-0000F7050000}"/>
    <cellStyle name="Normal 4 2 6 6 2" xfId="7645" xr:uid="{00000000-0005-0000-0000-0000F9070000}"/>
    <cellStyle name="Normal 4 2 6 6 3" xfId="10042" xr:uid="{00000000-0005-0000-0000-0000F9070000}"/>
    <cellStyle name="Normal 4 2 6 7" xfId="2201" xr:uid="{00000000-0005-0000-0000-0000EB050000}"/>
    <cellStyle name="Normal 4 2 6 8" xfId="3982" xr:uid="{00000000-0005-0000-0000-000037020000}"/>
    <cellStyle name="Normal 4 2 6 9" xfId="5325" xr:uid="{00000000-0005-0000-0000-000063030000}"/>
    <cellStyle name="Normal 4 2 7" xfId="968" xr:uid="{00000000-0005-0000-0000-00007A050000}"/>
    <cellStyle name="Normal 4 2 7 10" xfId="4936" xr:uid="{00000000-0005-0000-0000-0000F7020000}"/>
    <cellStyle name="Normal 4 2 7 11" xfId="6682" xr:uid="{00000000-0005-0000-0000-0000FA070000}"/>
    <cellStyle name="Normal 4 2 7 12" xfId="9103" xr:uid="{00000000-0005-0000-0000-0000FA070000}"/>
    <cellStyle name="Normal 4 2 7 2" xfId="969" xr:uid="{00000000-0005-0000-0000-00007B050000}"/>
    <cellStyle name="Normal 4 2 7 2 10" xfId="6843" xr:uid="{00000000-0005-0000-0000-0000FB070000}"/>
    <cellStyle name="Normal 4 2 7 2 11" xfId="9264" xr:uid="{00000000-0005-0000-0000-0000FB070000}"/>
    <cellStyle name="Normal 4 2 7 2 2" xfId="970" xr:uid="{00000000-0005-0000-0000-00007C050000}"/>
    <cellStyle name="Normal 4 2 7 2 2 2" xfId="3333" xr:uid="{00000000-0005-0000-0000-0000FB050000}"/>
    <cellStyle name="Normal 4 2 7 2 2 2 2" xfId="8701" xr:uid="{00000000-0005-0000-0000-0000FD070000}"/>
    <cellStyle name="Normal 4 2 7 2 2 2 3" xfId="11098" xr:uid="{00000000-0005-0000-0000-0000FD070000}"/>
    <cellStyle name="Normal 4 2 7 2 2 3" xfId="4338" xr:uid="{00000000-0005-0000-0000-0000FA050000}"/>
    <cellStyle name="Normal 4 2 7 2 2 3 2" xfId="8048" xr:uid="{00000000-0005-0000-0000-0000FE070000}"/>
    <cellStyle name="Normal 4 2 7 2 2 3 3" xfId="10445" xr:uid="{00000000-0005-0000-0000-0000FE070000}"/>
    <cellStyle name="Normal 4 2 7 2 2 4" xfId="5933" xr:uid="{00000000-0005-0000-0000-00006B030000}"/>
    <cellStyle name="Normal 4 2 7 2 2 5" xfId="7360" xr:uid="{00000000-0005-0000-0000-0000FC070000}"/>
    <cellStyle name="Normal 4 2 7 2 2 6" xfId="9765" xr:uid="{00000000-0005-0000-0000-0000FC070000}"/>
    <cellStyle name="Normal 4 2 7 2 3" xfId="3334" xr:uid="{00000000-0005-0000-0000-0000FC050000}"/>
    <cellStyle name="Normal 4 2 7 2 3 2" xfId="4528" xr:uid="{00000000-0005-0000-0000-0000FC050000}"/>
    <cellStyle name="Normal 4 2 7 2 3 2 2" xfId="8702" xr:uid="{00000000-0005-0000-0000-000000080000}"/>
    <cellStyle name="Normal 4 2 7 2 3 2 3" xfId="11099" xr:uid="{00000000-0005-0000-0000-000000080000}"/>
    <cellStyle name="Normal 4 2 7 2 3 3" xfId="5763" xr:uid="{00000000-0005-0000-0000-00006C030000}"/>
    <cellStyle name="Normal 4 2 7 2 3 4" xfId="7359" xr:uid="{00000000-0005-0000-0000-0000FF070000}"/>
    <cellStyle name="Normal 4 2 7 2 3 5" xfId="9764" xr:uid="{00000000-0005-0000-0000-0000FF070000}"/>
    <cellStyle name="Normal 4 2 7 2 4" xfId="3332" xr:uid="{00000000-0005-0000-0000-0000FD050000}"/>
    <cellStyle name="Normal 4 2 7 2 4 2" xfId="8700" xr:uid="{00000000-0005-0000-0000-000001080000}"/>
    <cellStyle name="Normal 4 2 7 2 4 3" xfId="11097" xr:uid="{00000000-0005-0000-0000-000001080000}"/>
    <cellStyle name="Normal 4 2 7 2 5" xfId="2658" xr:uid="{00000000-0005-0000-0000-0000FE050000}"/>
    <cellStyle name="Normal 4 2 7 2 5 2" xfId="7870" xr:uid="{00000000-0005-0000-0000-000002080000}"/>
    <cellStyle name="Normal 4 2 7 2 5 3" xfId="10267" xr:uid="{00000000-0005-0000-0000-000002080000}"/>
    <cellStyle name="Normal 4 2 7 2 6" xfId="2362" xr:uid="{00000000-0005-0000-0000-0000F9050000}"/>
    <cellStyle name="Normal 4 2 7 2 7" xfId="3899" xr:uid="{00000000-0005-0000-0000-00003A020000}"/>
    <cellStyle name="Normal 4 2 7 2 8" xfId="5548" xr:uid="{00000000-0005-0000-0000-00006A030000}"/>
    <cellStyle name="Normal 4 2 7 2 9" xfId="5187" xr:uid="{00000000-0005-0000-0000-0000F8020000}"/>
    <cellStyle name="Normal 4 2 7 3" xfId="971" xr:uid="{00000000-0005-0000-0000-00007D050000}"/>
    <cellStyle name="Normal 4 2 7 3 2" xfId="3335" xr:uid="{00000000-0005-0000-0000-000000060000}"/>
    <cellStyle name="Normal 4 2 7 3 2 2" xfId="8703" xr:uid="{00000000-0005-0000-0000-000004080000}"/>
    <cellStyle name="Normal 4 2 7 3 2 2 2" xfId="11908" xr:uid="{00000000-0005-0000-0000-00006F080000}"/>
    <cellStyle name="Normal 4 2 7 3 2 3" xfId="11100" xr:uid="{00000000-0005-0000-0000-000004080000}"/>
    <cellStyle name="Normal 4 2 7 3 2 4" xfId="11703" xr:uid="{00000000-0005-0000-0000-00006E080000}"/>
    <cellStyle name="Normal 4 2 7 3 3" xfId="2781" xr:uid="{00000000-0005-0000-0000-000001060000}"/>
    <cellStyle name="Normal 4 2 7 3 3 2" xfId="8047" xr:uid="{00000000-0005-0000-0000-000005080000}"/>
    <cellStyle name="Normal 4 2 7 3 3 3" xfId="10444" xr:uid="{00000000-0005-0000-0000-000005080000}"/>
    <cellStyle name="Normal 4 2 7 3 4" xfId="4190" xr:uid="{00000000-0005-0000-0000-0000FF050000}"/>
    <cellStyle name="Normal 4 2 7 3 4 2" xfId="11820" xr:uid="{00000000-0005-0000-0000-000071080000}"/>
    <cellStyle name="Normal 4 2 7 3 5" xfId="5932" xr:uid="{00000000-0005-0000-0000-00006D030000}"/>
    <cellStyle name="Normal 4 2 7 3 6" xfId="7361" xr:uid="{00000000-0005-0000-0000-000003080000}"/>
    <cellStyle name="Normal 4 2 7 3 7" xfId="9766" xr:uid="{00000000-0005-0000-0000-000003080000}"/>
    <cellStyle name="Normal 4 2 7 4" xfId="972" xr:uid="{00000000-0005-0000-0000-00007E050000}"/>
    <cellStyle name="Normal 4 2 7 4 2" xfId="4529" xr:uid="{00000000-0005-0000-0000-000002060000}"/>
    <cellStyle name="Normal 4 2 7 4 2 2" xfId="8704" xr:uid="{00000000-0005-0000-0000-000007080000}"/>
    <cellStyle name="Normal 4 2 7 4 2 3" xfId="11101" xr:uid="{00000000-0005-0000-0000-000007080000}"/>
    <cellStyle name="Normal 4 2 7 4 3" xfId="5631" xr:uid="{00000000-0005-0000-0000-00006E030000}"/>
    <cellStyle name="Normal 4 2 7 4 4" xfId="7362" xr:uid="{00000000-0005-0000-0000-000006080000}"/>
    <cellStyle name="Normal 4 2 7 4 5" xfId="9767" xr:uid="{00000000-0005-0000-0000-000006080000}"/>
    <cellStyle name="Normal 4 2 7 5" xfId="2936" xr:uid="{00000000-0005-0000-0000-000003060000}"/>
    <cellStyle name="Normal 4 2 7 5 2" xfId="8262" xr:uid="{00000000-0005-0000-0000-000009080000}"/>
    <cellStyle name="Normal 4 2 7 5 2 2" xfId="10659" xr:uid="{00000000-0005-0000-0000-000009080000}"/>
    <cellStyle name="Normal 4 2 7 5 3" xfId="7358" xr:uid="{00000000-0005-0000-0000-000008080000}"/>
    <cellStyle name="Normal 4 2 7 5 4" xfId="9763" xr:uid="{00000000-0005-0000-0000-000008080000}"/>
    <cellStyle name="Normal 4 2 7 6" xfId="2507" xr:uid="{00000000-0005-0000-0000-000004060000}"/>
    <cellStyle name="Normal 4 2 7 6 2" xfId="7705" xr:uid="{00000000-0005-0000-0000-00000A080000}"/>
    <cellStyle name="Normal 4 2 7 6 3" xfId="10102" xr:uid="{00000000-0005-0000-0000-00000A080000}"/>
    <cellStyle name="Normal 4 2 7 7" xfId="2263" xr:uid="{00000000-0005-0000-0000-0000F8050000}"/>
    <cellStyle name="Normal 4 2 7 8" xfId="3983" xr:uid="{00000000-0005-0000-0000-000039020000}"/>
    <cellStyle name="Normal 4 2 7 9" xfId="5385" xr:uid="{00000000-0005-0000-0000-000069030000}"/>
    <cellStyle name="Normal 4 2 8" xfId="973" xr:uid="{00000000-0005-0000-0000-00007F050000}"/>
    <cellStyle name="Normal 4 2 8 10" xfId="6683" xr:uid="{00000000-0005-0000-0000-00000B080000}"/>
    <cellStyle name="Normal 4 2 8 11" xfId="9104" xr:uid="{00000000-0005-0000-0000-00000B080000}"/>
    <cellStyle name="Normal 4 2 8 2" xfId="974" xr:uid="{00000000-0005-0000-0000-000080050000}"/>
    <cellStyle name="Normal 4 2 8 2 2" xfId="975" xr:uid="{00000000-0005-0000-0000-000081050000}"/>
    <cellStyle name="Normal 4 2 8 2 2 2" xfId="6406" xr:uid="{00000000-0005-0000-0000-000007060000}"/>
    <cellStyle name="Normal 4 2 8 2 2 2 2" xfId="8705" xr:uid="{00000000-0005-0000-0000-00000E080000}"/>
    <cellStyle name="Normal 4 2 8 2 2 2 3" xfId="11102" xr:uid="{00000000-0005-0000-0000-00000E080000}"/>
    <cellStyle name="Normal 4 2 8 2 2 3" xfId="7365" xr:uid="{00000000-0005-0000-0000-00000D080000}"/>
    <cellStyle name="Normal 4 2 8 2 2 3 2" xfId="12087" xr:uid="{00000000-0005-0000-0000-000039060000}"/>
    <cellStyle name="Normal 4 2 8 2 2 4" xfId="9770" xr:uid="{00000000-0005-0000-0000-00000D080000}"/>
    <cellStyle name="Normal 4 2 8 2 2 5" xfId="12048" xr:uid="{00000000-0005-0000-0000-000037060000}"/>
    <cellStyle name="Normal 4 2 8 2 3" xfId="2782" xr:uid="{00000000-0005-0000-0000-000008060000}"/>
    <cellStyle name="Normal 4 2 8 2 3 2" xfId="6217" xr:uid="{00000000-0005-0000-0000-000008060000}"/>
    <cellStyle name="Normal 4 2 8 2 3 3" xfId="7364" xr:uid="{00000000-0005-0000-0000-00000F080000}"/>
    <cellStyle name="Normal 4 2 8 2 3 4" xfId="9769" xr:uid="{00000000-0005-0000-0000-00000F080000}"/>
    <cellStyle name="Normal 4 2 8 2 4" xfId="4191" xr:uid="{00000000-0005-0000-0000-000006060000}"/>
    <cellStyle name="Normal 4 2 8 2 4 2" xfId="8049" xr:uid="{00000000-0005-0000-0000-000010080000}"/>
    <cellStyle name="Normal 4 2 8 2 4 3" xfId="10446" xr:uid="{00000000-0005-0000-0000-000010080000}"/>
    <cellStyle name="Normal 4 2 8 2 5" xfId="5934" xr:uid="{00000000-0005-0000-0000-000070030000}"/>
    <cellStyle name="Normal 4 2 8 2 6" xfId="5188" xr:uid="{00000000-0005-0000-0000-0000FA020000}"/>
    <cellStyle name="Normal 4 2 8 2 7" xfId="6844" xr:uid="{00000000-0005-0000-0000-00000C080000}"/>
    <cellStyle name="Normal 4 2 8 2 8" xfId="9265" xr:uid="{00000000-0005-0000-0000-00000C080000}"/>
    <cellStyle name="Normal 4 2 8 3" xfId="976" xr:uid="{00000000-0005-0000-0000-000082050000}"/>
    <cellStyle name="Normal 4 2 8 3 2" xfId="4530" xr:uid="{00000000-0005-0000-0000-000009060000}"/>
    <cellStyle name="Normal 4 2 8 3 2 2" xfId="8706" xr:uid="{00000000-0005-0000-0000-000012080000}"/>
    <cellStyle name="Normal 4 2 8 3 2 3" xfId="11103" xr:uid="{00000000-0005-0000-0000-000012080000}"/>
    <cellStyle name="Normal 4 2 8 3 3" xfId="5676" xr:uid="{00000000-0005-0000-0000-000071030000}"/>
    <cellStyle name="Normal 4 2 8 3 3 2" xfId="12088" xr:uid="{00000000-0005-0000-0000-00003E060000}"/>
    <cellStyle name="Normal 4 2 8 3 4" xfId="7366" xr:uid="{00000000-0005-0000-0000-000011080000}"/>
    <cellStyle name="Normal 4 2 8 3 5" xfId="9771" xr:uid="{00000000-0005-0000-0000-000011080000}"/>
    <cellStyle name="Normal 4 2 8 4" xfId="977" xr:uid="{00000000-0005-0000-0000-000083050000}"/>
    <cellStyle name="Normal 4 2 8 4 2" xfId="6317" xr:uid="{00000000-0005-0000-0000-00000A060000}"/>
    <cellStyle name="Normal 4 2 8 4 2 2" xfId="8263" xr:uid="{00000000-0005-0000-0000-000014080000}"/>
    <cellStyle name="Normal 4 2 8 4 2 3" xfId="10660" xr:uid="{00000000-0005-0000-0000-000014080000}"/>
    <cellStyle name="Normal 4 2 8 4 3" xfId="7367" xr:uid="{00000000-0005-0000-0000-000013080000}"/>
    <cellStyle name="Normal 4 2 8 4 4" xfId="9772" xr:uid="{00000000-0005-0000-0000-000013080000}"/>
    <cellStyle name="Normal 4 2 8 5" xfId="2567" xr:uid="{00000000-0005-0000-0000-00000B060000}"/>
    <cellStyle name="Normal 4 2 8 5 2" xfId="7363" xr:uid="{00000000-0005-0000-0000-000015080000}"/>
    <cellStyle name="Normal 4 2 8 5 3" xfId="9768" xr:uid="{00000000-0005-0000-0000-000015080000}"/>
    <cellStyle name="Normal 4 2 8 6" xfId="2363" xr:uid="{00000000-0005-0000-0000-000005060000}"/>
    <cellStyle name="Normal 4 2 8 6 2" xfId="7765" xr:uid="{00000000-0005-0000-0000-000016080000}"/>
    <cellStyle name="Normal 4 2 8 6 3" xfId="10162" xr:uid="{00000000-0005-0000-0000-000016080000}"/>
    <cellStyle name="Normal 4 2 8 7" xfId="3984" xr:uid="{00000000-0005-0000-0000-00003B020000}"/>
    <cellStyle name="Normal 4 2 8 8" xfId="5445" xr:uid="{00000000-0005-0000-0000-00006F030000}"/>
    <cellStyle name="Normal 4 2 8 9" xfId="4937" xr:uid="{00000000-0005-0000-0000-0000F9020000}"/>
    <cellStyle name="Normal 4 2 9" xfId="978" xr:uid="{00000000-0005-0000-0000-000084050000}"/>
    <cellStyle name="Normal 4 2 9 10" xfId="9105" xr:uid="{00000000-0005-0000-0000-000017080000}"/>
    <cellStyle name="Normal 4 2 9 2" xfId="979" xr:uid="{00000000-0005-0000-0000-000085050000}"/>
    <cellStyle name="Normal 4 2 9 2 2" xfId="3336" xr:uid="{00000000-0005-0000-0000-00000E060000}"/>
    <cellStyle name="Normal 4 2 9 2 2 2" xfId="6407" xr:uid="{00000000-0005-0000-0000-00000E060000}"/>
    <cellStyle name="Normal 4 2 9 2 2 3" xfId="7369" xr:uid="{00000000-0005-0000-0000-000019080000}"/>
    <cellStyle name="Normal 4 2 9 2 2 4" xfId="9774" xr:uid="{00000000-0005-0000-0000-000019080000}"/>
    <cellStyle name="Normal 4 2 9 2 3" xfId="4192" xr:uid="{00000000-0005-0000-0000-00000D060000}"/>
    <cellStyle name="Normal 4 2 9 2 3 2" xfId="6120" xr:uid="{00000000-0005-0000-0000-00000D060000}"/>
    <cellStyle name="Normal 4 2 9 2 3 3" xfId="8707" xr:uid="{00000000-0005-0000-0000-00001A080000}"/>
    <cellStyle name="Normal 4 2 9 2 3 4" xfId="11104" xr:uid="{00000000-0005-0000-0000-00001A080000}"/>
    <cellStyle name="Normal 4 2 9 2 4" xfId="5935" xr:uid="{00000000-0005-0000-0000-000073030000}"/>
    <cellStyle name="Normal 4 2 9 2 5" xfId="5189" xr:uid="{00000000-0005-0000-0000-0000FC020000}"/>
    <cellStyle name="Normal 4 2 9 2 6" xfId="6845" xr:uid="{00000000-0005-0000-0000-000018080000}"/>
    <cellStyle name="Normal 4 2 9 2 7" xfId="9266" xr:uid="{00000000-0005-0000-0000-000018080000}"/>
    <cellStyle name="Normal 4 2 9 3" xfId="980" xr:uid="{00000000-0005-0000-0000-000086050000}"/>
    <cellStyle name="Normal 4 2 9 3 2" xfId="6458" xr:uid="{00000000-0005-0000-0000-000098070000}"/>
    <cellStyle name="Normal 4 2 9 3 2 2" xfId="8264" xr:uid="{00000000-0005-0000-0000-00001C080000}"/>
    <cellStyle name="Normal 4 2 9 3 2 3" xfId="10661" xr:uid="{00000000-0005-0000-0000-00001C080000}"/>
    <cellStyle name="Normal 4 2 9 3 3" xfId="6318" xr:uid="{00000000-0005-0000-0000-00000F060000}"/>
    <cellStyle name="Normal 4 2 9 3 4" xfId="7370" xr:uid="{00000000-0005-0000-0000-00001B080000}"/>
    <cellStyle name="Normal 4 2 9 3 5" xfId="9775" xr:uid="{00000000-0005-0000-0000-00001B080000}"/>
    <cellStyle name="Normal 4 2 9 4" xfId="2783" xr:uid="{00000000-0005-0000-0000-000010060000}"/>
    <cellStyle name="Normal 4 2 9 4 2" xfId="6218" xr:uid="{00000000-0005-0000-0000-000010060000}"/>
    <cellStyle name="Normal 4 2 9 4 3" xfId="7368" xr:uid="{00000000-0005-0000-0000-00001D080000}"/>
    <cellStyle name="Normal 4 2 9 4 4" xfId="9773" xr:uid="{00000000-0005-0000-0000-00001D080000}"/>
    <cellStyle name="Normal 4 2 9 5" xfId="2364" xr:uid="{00000000-0005-0000-0000-00000C060000}"/>
    <cellStyle name="Normal 4 2 9 5 2" xfId="8050" xr:uid="{00000000-0005-0000-0000-00001E080000}"/>
    <cellStyle name="Normal 4 2 9 5 3" xfId="10447" xr:uid="{00000000-0005-0000-0000-00001E080000}"/>
    <cellStyle name="Normal 4 2 9 6" xfId="3985" xr:uid="{00000000-0005-0000-0000-00003C020000}"/>
    <cellStyle name="Normal 4 2 9 7" xfId="5308" xr:uid="{00000000-0005-0000-0000-000072030000}"/>
    <cellStyle name="Normal 4 2 9 8" xfId="4938" xr:uid="{00000000-0005-0000-0000-0000FB020000}"/>
    <cellStyle name="Normal 4 2 9 9" xfId="6684" xr:uid="{00000000-0005-0000-0000-000017080000}"/>
    <cellStyle name="Normal 4 20" xfId="4755" xr:uid="{00000000-0005-0000-0000-0000B7020000}"/>
    <cellStyle name="Normal 4 20 2" xfId="11573" xr:uid="{00000000-0005-0000-0000-0000622D0000}"/>
    <cellStyle name="Normal 4 20 2 2" xfId="11620" xr:uid="{00000000-0005-0000-0000-000089080000}"/>
    <cellStyle name="Normal 4 20 2 3" xfId="11705" xr:uid="{00000000-0005-0000-0000-000089080000}"/>
    <cellStyle name="Normal 4 20 3" xfId="11619" xr:uid="{00000000-0005-0000-0000-000088080000}"/>
    <cellStyle name="Normal 4 20 4" xfId="11704" xr:uid="{00000000-0005-0000-0000-000088080000}"/>
    <cellStyle name="Normal 4 21" xfId="6526" xr:uid="{00000000-0005-0000-0000-0000E3060000}"/>
    <cellStyle name="Normal 4 21 2" xfId="11621" xr:uid="{00000000-0005-0000-0000-00008A080000}"/>
    <cellStyle name="Normal 4 21 3" xfId="11706" xr:uid="{00000000-0005-0000-0000-00008A080000}"/>
    <cellStyle name="Normal 4 22" xfId="8947" xr:uid="{00000000-0005-0000-0000-0000E3060000}"/>
    <cellStyle name="Normal 4 22 2" xfId="11691" xr:uid="{00000000-0005-0000-0000-00008B080000}"/>
    <cellStyle name="Normal 4 23" xfId="11628" xr:uid="{00000000-0005-0000-0000-00008C080000}"/>
    <cellStyle name="Normal 4 23 2" xfId="11790" xr:uid="{00000000-0005-0000-0000-00008C080000}"/>
    <cellStyle name="Normal 4 24" xfId="11578" xr:uid="{00000000-0005-0000-0000-00003A070000}"/>
    <cellStyle name="Normal 4 25" xfId="11644" xr:uid="{00000000-0005-0000-0000-00003A070000}"/>
    <cellStyle name="Normal 4 3" xfId="981" xr:uid="{00000000-0005-0000-0000-000087050000}"/>
    <cellStyle name="Normal 4 3 2" xfId="982" xr:uid="{00000000-0005-0000-0000-000088050000}"/>
    <cellStyle name="Normal 4 4" xfId="983" xr:uid="{00000000-0005-0000-0000-000089050000}"/>
    <cellStyle name="Normal 4 4 10" xfId="984" xr:uid="{00000000-0005-0000-0000-00008A050000}"/>
    <cellStyle name="Normal 4 4 10 2" xfId="3337" xr:uid="{00000000-0005-0000-0000-000015060000}"/>
    <cellStyle name="Normal 4 4 10 2 2" xfId="6408" xr:uid="{00000000-0005-0000-0000-000015060000}"/>
    <cellStyle name="Normal 4 4 10 2 3" xfId="7373" xr:uid="{00000000-0005-0000-0000-000023080000}"/>
    <cellStyle name="Normal 4 4 10 2 4" xfId="9777" xr:uid="{00000000-0005-0000-0000-000023080000}"/>
    <cellStyle name="Normal 4 4 10 3" xfId="4193" xr:uid="{00000000-0005-0000-0000-000014060000}"/>
    <cellStyle name="Normal 4 4 10 3 2" xfId="6121" xr:uid="{00000000-0005-0000-0000-000014060000}"/>
    <cellStyle name="Normal 4 4 10 3 3" xfId="8708" xr:uid="{00000000-0005-0000-0000-000024080000}"/>
    <cellStyle name="Normal 4 4 10 3 4" xfId="11105" xr:uid="{00000000-0005-0000-0000-000024080000}"/>
    <cellStyle name="Normal 4 4 10 4" xfId="5561" xr:uid="{00000000-0005-0000-0000-000077030000}"/>
    <cellStyle name="Normal 4 4 10 4 2" xfId="11909" xr:uid="{00000000-0005-0000-0000-000093080000}"/>
    <cellStyle name="Normal 4 4 10 5" xfId="5190" xr:uid="{00000000-0005-0000-0000-000000030000}"/>
    <cellStyle name="Normal 4 4 10 6" xfId="6846" xr:uid="{00000000-0005-0000-0000-000022080000}"/>
    <cellStyle name="Normal 4 4 10 7" xfId="9267" xr:uid="{00000000-0005-0000-0000-000022080000}"/>
    <cellStyle name="Normal 4 4 11" xfId="985" xr:uid="{00000000-0005-0000-0000-00008B050000}"/>
    <cellStyle name="Normal 4 4 11 2" xfId="6470" xr:uid="{00000000-0005-0000-0000-0000A0070000}"/>
    <cellStyle name="Normal 4 4 11 2 2" xfId="8265" xr:uid="{00000000-0005-0000-0000-000026080000}"/>
    <cellStyle name="Normal 4 4 11 2 3" xfId="10662" xr:uid="{00000000-0005-0000-0000-000026080000}"/>
    <cellStyle name="Normal 4 4 11 3" xfId="6319" xr:uid="{00000000-0005-0000-0000-000016060000}"/>
    <cellStyle name="Normal 4 4 11 4" xfId="7374" xr:uid="{00000000-0005-0000-0000-000025080000}"/>
    <cellStyle name="Normal 4 4 11 5" xfId="9778" xr:uid="{00000000-0005-0000-0000-000025080000}"/>
    <cellStyle name="Normal 4 4 12" xfId="2438" xr:uid="{00000000-0005-0000-0000-000017060000}"/>
    <cellStyle name="Normal 4 4 12 2" xfId="6150" xr:uid="{00000000-0005-0000-0000-000017060000}"/>
    <cellStyle name="Normal 4 4 12 3" xfId="7372" xr:uid="{00000000-0005-0000-0000-000027080000}"/>
    <cellStyle name="Normal 4 4 12 4" xfId="9776" xr:uid="{00000000-0005-0000-0000-000027080000}"/>
    <cellStyle name="Normal 4 4 13" xfId="2168" xr:uid="{00000000-0005-0000-0000-000013060000}"/>
    <cellStyle name="Normal 4 4 13 2" xfId="7635" xr:uid="{00000000-0005-0000-0000-000028080000}"/>
    <cellStyle name="Normal 4 4 13 3" xfId="10032" xr:uid="{00000000-0005-0000-0000-000028080000}"/>
    <cellStyle name="Normal 4 4 14" xfId="3986" xr:uid="{00000000-0005-0000-0000-00003F020000}"/>
    <cellStyle name="Normal 4 4 15" xfId="5315" xr:uid="{00000000-0005-0000-0000-000076030000}"/>
    <cellStyle name="Normal 4 4 16" xfId="4770" xr:uid="{00000000-0005-0000-0000-0000FF020000}"/>
    <cellStyle name="Normal 4 4 17" xfId="6534" xr:uid="{00000000-0005-0000-0000-000021080000}"/>
    <cellStyle name="Normal 4 4 18" xfId="8955" xr:uid="{00000000-0005-0000-0000-000021080000}"/>
    <cellStyle name="Normal 4 4 2" xfId="986" xr:uid="{00000000-0005-0000-0000-00008C050000}"/>
    <cellStyle name="Normal 4 4 2 10" xfId="5375" xr:uid="{00000000-0005-0000-0000-000078030000}"/>
    <cellStyle name="Normal 4 4 2 11" xfId="4831" xr:uid="{00000000-0005-0000-0000-000001030000}"/>
    <cellStyle name="Normal 4 4 2 12" xfId="6577" xr:uid="{00000000-0005-0000-0000-000029080000}"/>
    <cellStyle name="Normal 4 4 2 13" xfId="8998" xr:uid="{00000000-0005-0000-0000-000029080000}"/>
    <cellStyle name="Normal 4 4 2 2" xfId="987" xr:uid="{00000000-0005-0000-0000-00008D050000}"/>
    <cellStyle name="Normal 4 4 2 2 10" xfId="4940" xr:uid="{00000000-0005-0000-0000-000002030000}"/>
    <cellStyle name="Normal 4 4 2 2 11" xfId="6686" xr:uid="{00000000-0005-0000-0000-00002A080000}"/>
    <cellStyle name="Normal 4 4 2 2 12" xfId="9107" xr:uid="{00000000-0005-0000-0000-00002A080000}"/>
    <cellStyle name="Normal 4 4 2 2 2" xfId="988" xr:uid="{00000000-0005-0000-0000-00008E050000}"/>
    <cellStyle name="Normal 4 4 2 2 2 2" xfId="2787" xr:uid="{00000000-0005-0000-0000-00001B060000}"/>
    <cellStyle name="Normal 4 4 2 2 2 2 2" xfId="3340" xr:uid="{00000000-0005-0000-0000-00001C060000}"/>
    <cellStyle name="Normal 4 4 2 2 2 2 2 2" xfId="8711" xr:uid="{00000000-0005-0000-0000-00002D080000}"/>
    <cellStyle name="Normal 4 4 2 2 2 2 2 3" xfId="11108" xr:uid="{00000000-0005-0000-0000-00002D080000}"/>
    <cellStyle name="Normal 4 4 2 2 2 2 3" xfId="4340" xr:uid="{00000000-0005-0000-0000-00001B060000}"/>
    <cellStyle name="Normal 4 4 2 2 2 2 3 2" xfId="11412" xr:uid="{00000000-0005-0000-0000-0000A7070000}"/>
    <cellStyle name="Normal 4 4 2 2 2 2 4" xfId="8054" xr:uid="{00000000-0005-0000-0000-00002C080000}"/>
    <cellStyle name="Normal 4 4 2 2 2 2 5" xfId="10451" xr:uid="{00000000-0005-0000-0000-00002C080000}"/>
    <cellStyle name="Normal 4 4 2 2 2 3" xfId="3341" xr:uid="{00000000-0005-0000-0000-00001D060000}"/>
    <cellStyle name="Normal 4 4 2 2 2 3 2" xfId="4531" xr:uid="{00000000-0005-0000-0000-00001D060000}"/>
    <cellStyle name="Normal 4 4 2 2 2 3 3" xfId="8712" xr:uid="{00000000-0005-0000-0000-00002E080000}"/>
    <cellStyle name="Normal 4 4 2 2 2 3 4" xfId="11109" xr:uid="{00000000-0005-0000-0000-00002E080000}"/>
    <cellStyle name="Normal 4 4 2 2 2 4" xfId="3339" xr:uid="{00000000-0005-0000-0000-00001E060000}"/>
    <cellStyle name="Normal 4 4 2 2 2 4 2" xfId="8710" xr:uid="{00000000-0005-0000-0000-00002F080000}"/>
    <cellStyle name="Normal 4 4 2 2 2 4 3" xfId="11107" xr:uid="{00000000-0005-0000-0000-00002F080000}"/>
    <cellStyle name="Normal 4 4 2 2 2 5" xfId="4247" xr:uid="{00000000-0005-0000-0000-00001A060000}"/>
    <cellStyle name="Normal 4 4 2 2 2 5 2" xfId="7858" xr:uid="{00000000-0005-0000-0000-000030080000}"/>
    <cellStyle name="Normal 4 4 2 2 2 5 3" xfId="10255" xr:uid="{00000000-0005-0000-0000-000030080000}"/>
    <cellStyle name="Normal 4 4 2 2 2 6" xfId="5536" xr:uid="{00000000-0005-0000-0000-00007A030000}"/>
    <cellStyle name="Normal 4 4 2 2 2 7" xfId="5192" xr:uid="{00000000-0005-0000-0000-000003030000}"/>
    <cellStyle name="Normal 4 4 2 2 2 8" xfId="7377" xr:uid="{00000000-0005-0000-0000-00002B080000}"/>
    <cellStyle name="Normal 4 4 2 2 2 9" xfId="9781" xr:uid="{00000000-0005-0000-0000-00002B080000}"/>
    <cellStyle name="Normal 4 4 2 2 3" xfId="2786" xr:uid="{00000000-0005-0000-0000-00001F060000}"/>
    <cellStyle name="Normal 4 4 2 2 3 2" xfId="3342" xr:uid="{00000000-0005-0000-0000-000020060000}"/>
    <cellStyle name="Normal 4 4 2 2 3 2 2" xfId="8713" xr:uid="{00000000-0005-0000-0000-000032080000}"/>
    <cellStyle name="Normal 4 4 2 2 3 2 3" xfId="11110" xr:uid="{00000000-0005-0000-0000-000032080000}"/>
    <cellStyle name="Normal 4 4 2 2 3 3" xfId="4339" xr:uid="{00000000-0005-0000-0000-00001F060000}"/>
    <cellStyle name="Normal 4 4 2 2 3 3 2" xfId="8053" xr:uid="{00000000-0005-0000-0000-000033080000}"/>
    <cellStyle name="Normal 4 4 2 2 3 3 3" xfId="10450" xr:uid="{00000000-0005-0000-0000-000033080000}"/>
    <cellStyle name="Normal 4 4 2 2 3 4" xfId="5938" xr:uid="{00000000-0005-0000-0000-00007D030000}"/>
    <cellStyle name="Normal 4 4 2 2 3 5" xfId="7376" xr:uid="{00000000-0005-0000-0000-000031080000}"/>
    <cellStyle name="Normal 4 4 2 2 3 6" xfId="9780" xr:uid="{00000000-0005-0000-0000-000031080000}"/>
    <cellStyle name="Normal 4 4 2 2 4" xfId="3343" xr:uid="{00000000-0005-0000-0000-000021060000}"/>
    <cellStyle name="Normal 4 4 2 2 4 2" xfId="4532" xr:uid="{00000000-0005-0000-0000-000021060000}"/>
    <cellStyle name="Normal 4 4 2 2 4 3" xfId="8714" xr:uid="{00000000-0005-0000-0000-000034080000}"/>
    <cellStyle name="Normal 4 4 2 2 4 4" xfId="11111" xr:uid="{00000000-0005-0000-0000-000034080000}"/>
    <cellStyle name="Normal 4 4 2 2 5" xfId="3338" xr:uid="{00000000-0005-0000-0000-000022060000}"/>
    <cellStyle name="Normal 4 4 2 2 5 2" xfId="8709" xr:uid="{00000000-0005-0000-0000-000035080000}"/>
    <cellStyle name="Normal 4 4 2 2 5 3" xfId="11106" xr:uid="{00000000-0005-0000-0000-000035080000}"/>
    <cellStyle name="Normal 4 4 2 2 6" xfId="2557" xr:uid="{00000000-0005-0000-0000-000023060000}"/>
    <cellStyle name="Normal 4 4 2 2 6 2" xfId="7755" xr:uid="{00000000-0005-0000-0000-000036080000}"/>
    <cellStyle name="Normal 4 4 2 2 6 3" xfId="10152" xr:uid="{00000000-0005-0000-0000-000036080000}"/>
    <cellStyle name="Normal 4 4 2 2 7" xfId="2251" xr:uid="{00000000-0005-0000-0000-000019060000}"/>
    <cellStyle name="Normal 4 4 2 2 8" xfId="3802" xr:uid="{00000000-0005-0000-0000-000041020000}"/>
    <cellStyle name="Normal 4 4 2 2 9" xfId="5435" xr:uid="{00000000-0005-0000-0000-000079030000}"/>
    <cellStyle name="Normal 4 4 2 3" xfId="989" xr:uid="{00000000-0005-0000-0000-00008F050000}"/>
    <cellStyle name="Normal 4 4 2 3 10" xfId="6847" xr:uid="{00000000-0005-0000-0000-000037080000}"/>
    <cellStyle name="Normal 4 4 2 3 11" xfId="9268" xr:uid="{00000000-0005-0000-0000-000037080000}"/>
    <cellStyle name="Normal 4 4 2 3 2" xfId="2788" xr:uid="{00000000-0005-0000-0000-000025060000}"/>
    <cellStyle name="Normal 4 4 2 3 2 2" xfId="3345" xr:uid="{00000000-0005-0000-0000-000026060000}"/>
    <cellStyle name="Normal 4 4 2 3 2 2 2" xfId="8716" xr:uid="{00000000-0005-0000-0000-000039080000}"/>
    <cellStyle name="Normal 4 4 2 3 2 2 3" xfId="11113" xr:uid="{00000000-0005-0000-0000-000039080000}"/>
    <cellStyle name="Normal 4 4 2 3 2 3" xfId="4341" xr:uid="{00000000-0005-0000-0000-000025060000}"/>
    <cellStyle name="Normal 4 4 2 3 2 3 2" xfId="8055" xr:uid="{00000000-0005-0000-0000-00003A080000}"/>
    <cellStyle name="Normal 4 4 2 3 2 3 3" xfId="10452" xr:uid="{00000000-0005-0000-0000-00003A080000}"/>
    <cellStyle name="Normal 4 4 2 3 2 4" xfId="5939" xr:uid="{00000000-0005-0000-0000-000080030000}"/>
    <cellStyle name="Normal 4 4 2 3 2 5" xfId="7378" xr:uid="{00000000-0005-0000-0000-000038080000}"/>
    <cellStyle name="Normal 4 4 2 3 2 6" xfId="9782" xr:uid="{00000000-0005-0000-0000-000038080000}"/>
    <cellStyle name="Normal 4 4 2 3 3" xfId="3346" xr:uid="{00000000-0005-0000-0000-000027060000}"/>
    <cellStyle name="Normal 4 4 2 3 3 2" xfId="4533" xr:uid="{00000000-0005-0000-0000-000027060000}"/>
    <cellStyle name="Normal 4 4 2 3 3 2 2" xfId="11910" xr:uid="{00000000-0005-0000-0000-0000AC080000}"/>
    <cellStyle name="Normal 4 4 2 3 3 3" xfId="5707" xr:uid="{00000000-0005-0000-0000-000081030000}"/>
    <cellStyle name="Normal 4 4 2 3 3 4" xfId="8717" xr:uid="{00000000-0005-0000-0000-00003B080000}"/>
    <cellStyle name="Normal 4 4 2 3 3 5" xfId="11114" xr:uid="{00000000-0005-0000-0000-00003B080000}"/>
    <cellStyle name="Normal 4 4 2 3 4" xfId="3344" xr:uid="{00000000-0005-0000-0000-000028060000}"/>
    <cellStyle name="Normal 4 4 2 3 4 2" xfId="8715" xr:uid="{00000000-0005-0000-0000-00003C080000}"/>
    <cellStyle name="Normal 4 4 2 3 4 3" xfId="11112" xr:uid="{00000000-0005-0000-0000-00003C080000}"/>
    <cellStyle name="Normal 4 4 2 3 5" xfId="2600" xr:uid="{00000000-0005-0000-0000-000029060000}"/>
    <cellStyle name="Normal 4 4 2 3 5 2" xfId="7798" xr:uid="{00000000-0005-0000-0000-00003D080000}"/>
    <cellStyle name="Normal 4 4 2 3 5 3" xfId="10195" xr:uid="{00000000-0005-0000-0000-00003D080000}"/>
    <cellStyle name="Normal 4 4 2 3 6" xfId="2366" xr:uid="{00000000-0005-0000-0000-000024060000}"/>
    <cellStyle name="Normal 4 4 2 3 7" xfId="3901" xr:uid="{00000000-0005-0000-0000-000042020000}"/>
    <cellStyle name="Normal 4 4 2 3 8" xfId="5476" xr:uid="{00000000-0005-0000-0000-00007F030000}"/>
    <cellStyle name="Normal 4 4 2 3 9" xfId="5191" xr:uid="{00000000-0005-0000-0000-000004030000}"/>
    <cellStyle name="Normal 4 4 2 4" xfId="990" xr:uid="{00000000-0005-0000-0000-000090050000}"/>
    <cellStyle name="Normal 4 4 2 4 2" xfId="3347" xr:uid="{00000000-0005-0000-0000-00002B060000}"/>
    <cellStyle name="Normal 4 4 2 4 2 2" xfId="8718" xr:uid="{00000000-0005-0000-0000-00003F080000}"/>
    <cellStyle name="Normal 4 4 2 4 2 3" xfId="11115" xr:uid="{00000000-0005-0000-0000-00003F080000}"/>
    <cellStyle name="Normal 4 4 2 4 3" xfId="2785" xr:uid="{00000000-0005-0000-0000-00002C060000}"/>
    <cellStyle name="Normal 4 4 2 4 3 2" xfId="8052" xr:uid="{00000000-0005-0000-0000-000040080000}"/>
    <cellStyle name="Normal 4 4 2 4 3 3" xfId="10449" xr:uid="{00000000-0005-0000-0000-000040080000}"/>
    <cellStyle name="Normal 4 4 2 4 4" xfId="4194" xr:uid="{00000000-0005-0000-0000-00002A060000}"/>
    <cellStyle name="Normal 4 4 2 4 5" xfId="5937" xr:uid="{00000000-0005-0000-0000-000082030000}"/>
    <cellStyle name="Normal 4 4 2 4 6" xfId="7379" xr:uid="{00000000-0005-0000-0000-00003E080000}"/>
    <cellStyle name="Normal 4 4 2 4 7" xfId="9783" xr:uid="{00000000-0005-0000-0000-00003E080000}"/>
    <cellStyle name="Normal 4 4 2 5" xfId="3348" xr:uid="{00000000-0005-0000-0000-00002D060000}"/>
    <cellStyle name="Normal 4 4 2 5 2" xfId="4534" xr:uid="{00000000-0005-0000-0000-00002D060000}"/>
    <cellStyle name="Normal 4 4 2 5 2 2" xfId="8719" xr:uid="{00000000-0005-0000-0000-000042080000}"/>
    <cellStyle name="Normal 4 4 2 5 2 3" xfId="11116" xr:uid="{00000000-0005-0000-0000-000042080000}"/>
    <cellStyle name="Normal 4 4 2 5 3" xfId="5621" xr:uid="{00000000-0005-0000-0000-000083030000}"/>
    <cellStyle name="Normal 4 4 2 5 4" xfId="7375" xr:uid="{00000000-0005-0000-0000-000041080000}"/>
    <cellStyle name="Normal 4 4 2 5 5" xfId="9779" xr:uid="{00000000-0005-0000-0000-000041080000}"/>
    <cellStyle name="Normal 4 4 2 6" xfId="2937" xr:uid="{00000000-0005-0000-0000-00002E060000}"/>
    <cellStyle name="Normal 4 4 2 6 2" xfId="8266" xr:uid="{00000000-0005-0000-0000-000043080000}"/>
    <cellStyle name="Normal 4 4 2 6 3" xfId="10663" xr:uid="{00000000-0005-0000-0000-000043080000}"/>
    <cellStyle name="Normal 4 4 2 7" xfId="2497" xr:uid="{00000000-0005-0000-0000-00002F060000}"/>
    <cellStyle name="Normal 4 4 2 7 2" xfId="7695" xr:uid="{00000000-0005-0000-0000-000044080000}"/>
    <cellStyle name="Normal 4 4 2 7 3" xfId="10092" xr:uid="{00000000-0005-0000-0000-000044080000}"/>
    <cellStyle name="Normal 4 4 2 8" xfId="2191" xr:uid="{00000000-0005-0000-0000-000018060000}"/>
    <cellStyle name="Normal 4 4 2 9" xfId="3987" xr:uid="{00000000-0005-0000-0000-000040020000}"/>
    <cellStyle name="Normal 4 4 3" xfId="991" xr:uid="{00000000-0005-0000-0000-000091050000}"/>
    <cellStyle name="Normal 4 4 3 10" xfId="5352" xr:uid="{00000000-0005-0000-0000-000084030000}"/>
    <cellStyle name="Normal 4 4 3 11" xfId="4808" xr:uid="{00000000-0005-0000-0000-000005030000}"/>
    <cellStyle name="Normal 4 4 3 12" xfId="6554" xr:uid="{00000000-0005-0000-0000-000045080000}"/>
    <cellStyle name="Normal 4 4 3 13" xfId="8975" xr:uid="{00000000-0005-0000-0000-000045080000}"/>
    <cellStyle name="Normal 4 4 3 2" xfId="992" xr:uid="{00000000-0005-0000-0000-000092050000}"/>
    <cellStyle name="Normal 4 4 3 2 10" xfId="6687" xr:uid="{00000000-0005-0000-0000-000046080000}"/>
    <cellStyle name="Normal 4 4 3 2 11" xfId="9108" xr:uid="{00000000-0005-0000-0000-000046080000}"/>
    <cellStyle name="Normal 4 4 3 2 2" xfId="993" xr:uid="{00000000-0005-0000-0000-000093050000}"/>
    <cellStyle name="Normal 4 4 3 2 2 2" xfId="3350" xr:uid="{00000000-0005-0000-0000-000033060000}"/>
    <cellStyle name="Normal 4 4 3 2 2 2 2" xfId="8721" xr:uid="{00000000-0005-0000-0000-000048080000}"/>
    <cellStyle name="Normal 4 4 3 2 2 2 3" xfId="11118" xr:uid="{00000000-0005-0000-0000-000048080000}"/>
    <cellStyle name="Normal 4 4 3 2 2 3" xfId="4343" xr:uid="{00000000-0005-0000-0000-000032060000}"/>
    <cellStyle name="Normal 4 4 3 2 2 3 2" xfId="8057" xr:uid="{00000000-0005-0000-0000-000049080000}"/>
    <cellStyle name="Normal 4 4 3 2 2 3 3" xfId="10454" xr:uid="{00000000-0005-0000-0000-000049080000}"/>
    <cellStyle name="Normal 4 4 3 2 2 4" xfId="5941" xr:uid="{00000000-0005-0000-0000-000086030000}"/>
    <cellStyle name="Normal 4 4 3 2 2 5" xfId="5194" xr:uid="{00000000-0005-0000-0000-000007030000}"/>
    <cellStyle name="Normal 4 4 3 2 2 6" xfId="7382" xr:uid="{00000000-0005-0000-0000-000047080000}"/>
    <cellStyle name="Normal 4 4 3 2 2 7" xfId="9786" xr:uid="{00000000-0005-0000-0000-000047080000}"/>
    <cellStyle name="Normal 4 4 3 2 3" xfId="3351" xr:uid="{00000000-0005-0000-0000-000034060000}"/>
    <cellStyle name="Normal 4 4 3 2 3 2" xfId="4535" xr:uid="{00000000-0005-0000-0000-000034060000}"/>
    <cellStyle name="Normal 4 4 3 2 3 2 2" xfId="8722" xr:uid="{00000000-0005-0000-0000-00004B080000}"/>
    <cellStyle name="Normal 4 4 3 2 3 2 3" xfId="11119" xr:uid="{00000000-0005-0000-0000-00004B080000}"/>
    <cellStyle name="Normal 4 4 3 2 3 3" xfId="5657" xr:uid="{00000000-0005-0000-0000-000087030000}"/>
    <cellStyle name="Normal 4 4 3 2 3 4" xfId="7381" xr:uid="{00000000-0005-0000-0000-00004A080000}"/>
    <cellStyle name="Normal 4 4 3 2 3 5" xfId="9785" xr:uid="{00000000-0005-0000-0000-00004A080000}"/>
    <cellStyle name="Normal 4 4 3 2 4" xfId="3349" xr:uid="{00000000-0005-0000-0000-000035060000}"/>
    <cellStyle name="Normal 4 4 3 2 4 2" xfId="8720" xr:uid="{00000000-0005-0000-0000-00004C080000}"/>
    <cellStyle name="Normal 4 4 3 2 4 3" xfId="11117" xr:uid="{00000000-0005-0000-0000-00004C080000}"/>
    <cellStyle name="Normal 4 4 3 2 5" xfId="2534" xr:uid="{00000000-0005-0000-0000-000036060000}"/>
    <cellStyle name="Normal 4 4 3 2 5 2" xfId="7732" xr:uid="{00000000-0005-0000-0000-00004D080000}"/>
    <cellStyle name="Normal 4 4 3 2 5 3" xfId="10129" xr:uid="{00000000-0005-0000-0000-00004D080000}"/>
    <cellStyle name="Normal 4 4 3 2 6" xfId="2367" xr:uid="{00000000-0005-0000-0000-000031060000}"/>
    <cellStyle name="Normal 4 4 3 2 7" xfId="3902" xr:uid="{00000000-0005-0000-0000-000044020000}"/>
    <cellStyle name="Normal 4 4 3 2 8" xfId="5412" xr:uid="{00000000-0005-0000-0000-000085030000}"/>
    <cellStyle name="Normal 4 4 3 2 9" xfId="4941" xr:uid="{00000000-0005-0000-0000-000006030000}"/>
    <cellStyle name="Normal 4 4 3 3" xfId="994" xr:uid="{00000000-0005-0000-0000-000094050000}"/>
    <cellStyle name="Normal 4 4 3 3 10" xfId="9269" xr:uid="{00000000-0005-0000-0000-00004E080000}"/>
    <cellStyle name="Normal 4 4 3 3 2" xfId="2789" xr:uid="{00000000-0005-0000-0000-000038060000}"/>
    <cellStyle name="Normal 4 4 3 3 2 2" xfId="3353" xr:uid="{00000000-0005-0000-0000-000039060000}"/>
    <cellStyle name="Normal 4 4 3 3 2 2 2" xfId="8724" xr:uid="{00000000-0005-0000-0000-000050080000}"/>
    <cellStyle name="Normal 4 4 3 3 2 2 3" xfId="11121" xr:uid="{00000000-0005-0000-0000-000050080000}"/>
    <cellStyle name="Normal 4 4 3 3 2 3" xfId="4344" xr:uid="{00000000-0005-0000-0000-000038060000}"/>
    <cellStyle name="Normal 4 4 3 3 2 3 2" xfId="8058" xr:uid="{00000000-0005-0000-0000-000051080000}"/>
    <cellStyle name="Normal 4 4 3 3 2 3 3" xfId="10455" xr:uid="{00000000-0005-0000-0000-000051080000}"/>
    <cellStyle name="Normal 4 4 3 3 2 4" xfId="5942" xr:uid="{00000000-0005-0000-0000-000089030000}"/>
    <cellStyle name="Normal 4 4 3 3 2 5" xfId="7383" xr:uid="{00000000-0005-0000-0000-00004F080000}"/>
    <cellStyle name="Normal 4 4 3 3 2 6" xfId="9787" xr:uid="{00000000-0005-0000-0000-00004F080000}"/>
    <cellStyle name="Normal 4 4 3 3 3" xfId="3354" xr:uid="{00000000-0005-0000-0000-00003A060000}"/>
    <cellStyle name="Normal 4 4 3 3 3 2" xfId="4536" xr:uid="{00000000-0005-0000-0000-00003A060000}"/>
    <cellStyle name="Normal 4 4 3 3 3 2 2" xfId="11911" xr:uid="{00000000-0005-0000-0000-0000C4080000}"/>
    <cellStyle name="Normal 4 4 3 3 3 3" xfId="5742" xr:uid="{00000000-0005-0000-0000-00008A030000}"/>
    <cellStyle name="Normal 4 4 3 3 3 4" xfId="8725" xr:uid="{00000000-0005-0000-0000-000052080000}"/>
    <cellStyle name="Normal 4 4 3 3 3 5" xfId="11122" xr:uid="{00000000-0005-0000-0000-000052080000}"/>
    <cellStyle name="Normal 4 4 3 3 4" xfId="3352" xr:uid="{00000000-0005-0000-0000-00003B060000}"/>
    <cellStyle name="Normal 4 4 3 3 4 2" xfId="8723" xr:uid="{00000000-0005-0000-0000-000053080000}"/>
    <cellStyle name="Normal 4 4 3 3 4 3" xfId="11120" xr:uid="{00000000-0005-0000-0000-000053080000}"/>
    <cellStyle name="Normal 4 4 3 3 5" xfId="2636" xr:uid="{00000000-0005-0000-0000-00003C060000}"/>
    <cellStyle name="Normal 4 4 3 3 5 2" xfId="7835" xr:uid="{00000000-0005-0000-0000-000054080000}"/>
    <cellStyle name="Normal 4 4 3 3 5 3" xfId="10232" xr:uid="{00000000-0005-0000-0000-000054080000}"/>
    <cellStyle name="Normal 4 4 3 3 6" xfId="4195" xr:uid="{00000000-0005-0000-0000-000037060000}"/>
    <cellStyle name="Normal 4 4 3 3 7" xfId="5513" xr:uid="{00000000-0005-0000-0000-000088030000}"/>
    <cellStyle name="Normal 4 4 3 3 8" xfId="5193" xr:uid="{00000000-0005-0000-0000-000008030000}"/>
    <cellStyle name="Normal 4 4 3 3 9" xfId="6848" xr:uid="{00000000-0005-0000-0000-00004E080000}"/>
    <cellStyle name="Normal 4 4 3 4" xfId="995" xr:uid="{00000000-0005-0000-0000-000095050000}"/>
    <cellStyle name="Normal 4 4 3 4 2" xfId="3355" xr:uid="{00000000-0005-0000-0000-00003E060000}"/>
    <cellStyle name="Normal 4 4 3 4 2 2" xfId="8726" xr:uid="{00000000-0005-0000-0000-000056080000}"/>
    <cellStyle name="Normal 4 4 3 4 2 3" xfId="11123" xr:uid="{00000000-0005-0000-0000-000056080000}"/>
    <cellStyle name="Normal 4 4 3 4 3" xfId="4342" xr:uid="{00000000-0005-0000-0000-00003D060000}"/>
    <cellStyle name="Normal 4 4 3 4 3 2" xfId="8056" xr:uid="{00000000-0005-0000-0000-000057080000}"/>
    <cellStyle name="Normal 4 4 3 4 3 3" xfId="10453" xr:uid="{00000000-0005-0000-0000-000057080000}"/>
    <cellStyle name="Normal 4 4 3 4 4" xfId="5940" xr:uid="{00000000-0005-0000-0000-00008B030000}"/>
    <cellStyle name="Normal 4 4 3 4 5" xfId="7384" xr:uid="{00000000-0005-0000-0000-000055080000}"/>
    <cellStyle name="Normal 4 4 3 4 6" xfId="9788" xr:uid="{00000000-0005-0000-0000-000055080000}"/>
    <cellStyle name="Normal 4 4 3 5" xfId="3356" xr:uid="{00000000-0005-0000-0000-00003F060000}"/>
    <cellStyle name="Normal 4 4 3 5 2" xfId="4537" xr:uid="{00000000-0005-0000-0000-00003F060000}"/>
    <cellStyle name="Normal 4 4 3 5 2 2" xfId="8727" xr:uid="{00000000-0005-0000-0000-000059080000}"/>
    <cellStyle name="Normal 4 4 3 5 2 3" xfId="11124" xr:uid="{00000000-0005-0000-0000-000059080000}"/>
    <cellStyle name="Normal 4 4 3 5 3" xfId="5598" xr:uid="{00000000-0005-0000-0000-00008C030000}"/>
    <cellStyle name="Normal 4 4 3 5 4" xfId="7380" xr:uid="{00000000-0005-0000-0000-000058080000}"/>
    <cellStyle name="Normal 4 4 3 5 5" xfId="9784" xr:uid="{00000000-0005-0000-0000-000058080000}"/>
    <cellStyle name="Normal 4 4 3 6" xfId="2938" xr:uid="{00000000-0005-0000-0000-000040060000}"/>
    <cellStyle name="Normal 4 4 3 6 2" xfId="8267" xr:uid="{00000000-0005-0000-0000-00005A080000}"/>
    <cellStyle name="Normal 4 4 3 6 3" xfId="10664" xr:uid="{00000000-0005-0000-0000-00005A080000}"/>
    <cellStyle name="Normal 4 4 3 7" xfId="2474" xr:uid="{00000000-0005-0000-0000-000041060000}"/>
    <cellStyle name="Normal 4 4 3 7 2" xfId="7672" xr:uid="{00000000-0005-0000-0000-00005B080000}"/>
    <cellStyle name="Normal 4 4 3 7 3" xfId="10069" xr:uid="{00000000-0005-0000-0000-00005B080000}"/>
    <cellStyle name="Normal 4 4 3 8" xfId="2228" xr:uid="{00000000-0005-0000-0000-000030060000}"/>
    <cellStyle name="Normal 4 4 3 9" xfId="3988" xr:uid="{00000000-0005-0000-0000-000043020000}"/>
    <cellStyle name="Normal 4 4 4" xfId="996" xr:uid="{00000000-0005-0000-0000-000096050000}"/>
    <cellStyle name="Normal 4 4 4 10" xfId="4788" xr:uid="{00000000-0005-0000-0000-000009030000}"/>
    <cellStyle name="Normal 4 4 4 11" xfId="6688" xr:uid="{00000000-0005-0000-0000-00005C080000}"/>
    <cellStyle name="Normal 4 4 4 12" xfId="9109" xr:uid="{00000000-0005-0000-0000-00005C080000}"/>
    <cellStyle name="Normal 4 4 4 2" xfId="997" xr:uid="{00000000-0005-0000-0000-000097050000}"/>
    <cellStyle name="Normal 4 4 4 2 10" xfId="6849" xr:uid="{00000000-0005-0000-0000-00005D080000}"/>
    <cellStyle name="Normal 4 4 4 2 11" xfId="9270" xr:uid="{00000000-0005-0000-0000-00005D080000}"/>
    <cellStyle name="Normal 4 4 4 2 2" xfId="998" xr:uid="{00000000-0005-0000-0000-000098050000}"/>
    <cellStyle name="Normal 4 4 4 2 2 2" xfId="3358" xr:uid="{00000000-0005-0000-0000-000045060000}"/>
    <cellStyle name="Normal 4 4 4 2 2 2 2" xfId="8729" xr:uid="{00000000-0005-0000-0000-00005F080000}"/>
    <cellStyle name="Normal 4 4 4 2 2 2 3" xfId="11126" xr:uid="{00000000-0005-0000-0000-00005F080000}"/>
    <cellStyle name="Normal 4 4 4 2 2 3" xfId="4345" xr:uid="{00000000-0005-0000-0000-000044060000}"/>
    <cellStyle name="Normal 4 4 4 2 2 3 2" xfId="8060" xr:uid="{00000000-0005-0000-0000-000060080000}"/>
    <cellStyle name="Normal 4 4 4 2 2 3 3" xfId="10457" xr:uid="{00000000-0005-0000-0000-000060080000}"/>
    <cellStyle name="Normal 4 4 4 2 2 4" xfId="5944" xr:uid="{00000000-0005-0000-0000-00008F030000}"/>
    <cellStyle name="Normal 4 4 4 2 2 5" xfId="5196" xr:uid="{00000000-0005-0000-0000-00000B030000}"/>
    <cellStyle name="Normal 4 4 4 2 2 6" xfId="7387" xr:uid="{00000000-0005-0000-0000-00005E080000}"/>
    <cellStyle name="Normal 4 4 4 2 2 7" xfId="9791" xr:uid="{00000000-0005-0000-0000-00005E080000}"/>
    <cellStyle name="Normal 4 4 4 2 3" xfId="3359" xr:uid="{00000000-0005-0000-0000-000046060000}"/>
    <cellStyle name="Normal 4 4 4 2 3 2" xfId="4538" xr:uid="{00000000-0005-0000-0000-000046060000}"/>
    <cellStyle name="Normal 4 4 4 2 3 2 2" xfId="8730" xr:uid="{00000000-0005-0000-0000-000062080000}"/>
    <cellStyle name="Normal 4 4 4 2 3 2 3" xfId="11127" xr:uid="{00000000-0005-0000-0000-000062080000}"/>
    <cellStyle name="Normal 4 4 4 2 3 3" xfId="5723" xr:uid="{00000000-0005-0000-0000-000090030000}"/>
    <cellStyle name="Normal 4 4 4 2 3 4" xfId="7386" xr:uid="{00000000-0005-0000-0000-000061080000}"/>
    <cellStyle name="Normal 4 4 4 2 3 5" xfId="9790" xr:uid="{00000000-0005-0000-0000-000061080000}"/>
    <cellStyle name="Normal 4 4 4 2 4" xfId="3357" xr:uid="{00000000-0005-0000-0000-000047060000}"/>
    <cellStyle name="Normal 4 4 4 2 4 2" xfId="8728" xr:uid="{00000000-0005-0000-0000-000063080000}"/>
    <cellStyle name="Normal 4 4 4 2 4 3" xfId="11125" xr:uid="{00000000-0005-0000-0000-000063080000}"/>
    <cellStyle name="Normal 4 4 4 2 5" xfId="2617" xr:uid="{00000000-0005-0000-0000-000048060000}"/>
    <cellStyle name="Normal 4 4 4 2 5 2" xfId="7815" xr:uid="{00000000-0005-0000-0000-000064080000}"/>
    <cellStyle name="Normal 4 4 4 2 5 3" xfId="10212" xr:uid="{00000000-0005-0000-0000-000064080000}"/>
    <cellStyle name="Normal 4 4 4 2 6" xfId="2368" xr:uid="{00000000-0005-0000-0000-000043060000}"/>
    <cellStyle name="Normal 4 4 4 2 7" xfId="3903" xr:uid="{00000000-0005-0000-0000-000046020000}"/>
    <cellStyle name="Normal 4 4 4 2 8" xfId="5493" xr:uid="{00000000-0005-0000-0000-00008E030000}"/>
    <cellStyle name="Normal 4 4 4 2 9" xfId="4942" xr:uid="{00000000-0005-0000-0000-00000A030000}"/>
    <cellStyle name="Normal 4 4 4 3" xfId="999" xr:uid="{00000000-0005-0000-0000-000099050000}"/>
    <cellStyle name="Normal 4 4 4 3 2" xfId="3360" xr:uid="{00000000-0005-0000-0000-00004A060000}"/>
    <cellStyle name="Normal 4 4 4 3 2 2" xfId="8731" xr:uid="{00000000-0005-0000-0000-000066080000}"/>
    <cellStyle name="Normal 4 4 4 3 2 2 2" xfId="11912" xr:uid="{00000000-0005-0000-0000-0000D9080000}"/>
    <cellStyle name="Normal 4 4 4 3 2 3" xfId="11128" xr:uid="{00000000-0005-0000-0000-000066080000}"/>
    <cellStyle name="Normal 4 4 4 3 2 4" xfId="11707" xr:uid="{00000000-0005-0000-0000-0000D8080000}"/>
    <cellStyle name="Normal 4 4 4 3 3" xfId="2790" xr:uid="{00000000-0005-0000-0000-00004B060000}"/>
    <cellStyle name="Normal 4 4 4 3 3 2" xfId="8059" xr:uid="{00000000-0005-0000-0000-000067080000}"/>
    <cellStyle name="Normal 4 4 4 3 3 3" xfId="10456" xr:uid="{00000000-0005-0000-0000-000067080000}"/>
    <cellStyle name="Normal 4 4 4 3 4" xfId="4196" xr:uid="{00000000-0005-0000-0000-000049060000}"/>
    <cellStyle name="Normal 4 4 4 3 4 2" xfId="11821" xr:uid="{00000000-0005-0000-0000-0000DB080000}"/>
    <cellStyle name="Normal 4 4 4 3 5" xfId="5943" xr:uid="{00000000-0005-0000-0000-000091030000}"/>
    <cellStyle name="Normal 4 4 4 3 6" xfId="5195" xr:uid="{00000000-0005-0000-0000-00000C030000}"/>
    <cellStyle name="Normal 4 4 4 3 7" xfId="7388" xr:uid="{00000000-0005-0000-0000-000065080000}"/>
    <cellStyle name="Normal 4 4 4 3 8" xfId="9792" xr:uid="{00000000-0005-0000-0000-000065080000}"/>
    <cellStyle name="Normal 4 4 4 4" xfId="1000" xr:uid="{00000000-0005-0000-0000-00009A050000}"/>
    <cellStyle name="Normal 4 4 4 4 2" xfId="4539" xr:uid="{00000000-0005-0000-0000-00004C060000}"/>
    <cellStyle name="Normal 4 4 4 4 2 2" xfId="8732" xr:uid="{00000000-0005-0000-0000-000069080000}"/>
    <cellStyle name="Normal 4 4 4 4 2 3" xfId="11129" xr:uid="{00000000-0005-0000-0000-000069080000}"/>
    <cellStyle name="Normal 4 4 4 4 3" xfId="5578" xr:uid="{00000000-0005-0000-0000-000092030000}"/>
    <cellStyle name="Normal 4 4 4 4 4" xfId="7389" xr:uid="{00000000-0005-0000-0000-000068080000}"/>
    <cellStyle name="Normal 4 4 4 4 5" xfId="9793" xr:uid="{00000000-0005-0000-0000-000068080000}"/>
    <cellStyle name="Normal 4 4 4 5" xfId="2939" xr:uid="{00000000-0005-0000-0000-00004D060000}"/>
    <cellStyle name="Normal 4 4 4 5 2" xfId="8268" xr:uid="{00000000-0005-0000-0000-00006B080000}"/>
    <cellStyle name="Normal 4 4 4 5 2 2" xfId="10665" xr:uid="{00000000-0005-0000-0000-00006B080000}"/>
    <cellStyle name="Normal 4 4 4 5 3" xfId="7385" xr:uid="{00000000-0005-0000-0000-00006A080000}"/>
    <cellStyle name="Normal 4 4 4 5 4" xfId="9789" xr:uid="{00000000-0005-0000-0000-00006A080000}"/>
    <cellStyle name="Normal 4 4 4 6" xfId="2454" xr:uid="{00000000-0005-0000-0000-00004E060000}"/>
    <cellStyle name="Normal 4 4 4 6 2" xfId="7652" xr:uid="{00000000-0005-0000-0000-00006C080000}"/>
    <cellStyle name="Normal 4 4 4 6 3" xfId="10049" xr:uid="{00000000-0005-0000-0000-00006C080000}"/>
    <cellStyle name="Normal 4 4 4 7" xfId="2208" xr:uid="{00000000-0005-0000-0000-000042060000}"/>
    <cellStyle name="Normal 4 4 4 8" xfId="3989" xr:uid="{00000000-0005-0000-0000-000045020000}"/>
    <cellStyle name="Normal 4 4 4 9" xfId="5332" xr:uid="{00000000-0005-0000-0000-00008D030000}"/>
    <cellStyle name="Normal 4 4 5" xfId="1001" xr:uid="{00000000-0005-0000-0000-00009B050000}"/>
    <cellStyle name="Normal 4 4 5 10" xfId="6689" xr:uid="{00000000-0005-0000-0000-00006D080000}"/>
    <cellStyle name="Normal 4 4 5 11" xfId="9110" xr:uid="{00000000-0005-0000-0000-00006D080000}"/>
    <cellStyle name="Normal 4 4 5 2" xfId="1002" xr:uid="{00000000-0005-0000-0000-00009C050000}"/>
    <cellStyle name="Normal 4 4 5 2 2" xfId="1003" xr:uid="{00000000-0005-0000-0000-00009D050000}"/>
    <cellStyle name="Normal 4 4 5 2 2 2" xfId="6409" xr:uid="{00000000-0005-0000-0000-000051060000}"/>
    <cellStyle name="Normal 4 4 5 2 2 2 2" xfId="8733" xr:uid="{00000000-0005-0000-0000-000070080000}"/>
    <cellStyle name="Normal 4 4 5 2 2 2 3" xfId="11130" xr:uid="{00000000-0005-0000-0000-000070080000}"/>
    <cellStyle name="Normal 4 4 5 2 2 3" xfId="7392" xr:uid="{00000000-0005-0000-0000-00006F080000}"/>
    <cellStyle name="Normal 4 4 5 2 2 3 2" xfId="12089" xr:uid="{00000000-0005-0000-0000-000077060000}"/>
    <cellStyle name="Normal 4 4 5 2 2 4" xfId="9796" xr:uid="{00000000-0005-0000-0000-00006F080000}"/>
    <cellStyle name="Normal 4 4 5 2 2 5" xfId="12049" xr:uid="{00000000-0005-0000-0000-000075060000}"/>
    <cellStyle name="Normal 4 4 5 2 3" xfId="2791" xr:uid="{00000000-0005-0000-0000-000052060000}"/>
    <cellStyle name="Normal 4 4 5 2 3 2" xfId="6220" xr:uid="{00000000-0005-0000-0000-000052060000}"/>
    <cellStyle name="Normal 4 4 5 2 3 3" xfId="7391" xr:uid="{00000000-0005-0000-0000-000071080000}"/>
    <cellStyle name="Normal 4 4 5 2 3 4" xfId="9795" xr:uid="{00000000-0005-0000-0000-000071080000}"/>
    <cellStyle name="Normal 4 4 5 2 4" xfId="4197" xr:uid="{00000000-0005-0000-0000-000050060000}"/>
    <cellStyle name="Normal 4 4 5 2 4 2" xfId="8061" xr:uid="{00000000-0005-0000-0000-000072080000}"/>
    <cellStyle name="Normal 4 4 5 2 4 3" xfId="10458" xr:uid="{00000000-0005-0000-0000-000072080000}"/>
    <cellStyle name="Normal 4 4 5 2 5" xfId="5945" xr:uid="{00000000-0005-0000-0000-000094030000}"/>
    <cellStyle name="Normal 4 4 5 2 6" xfId="5197" xr:uid="{00000000-0005-0000-0000-00000E030000}"/>
    <cellStyle name="Normal 4 4 5 2 7" xfId="6850" xr:uid="{00000000-0005-0000-0000-00006E080000}"/>
    <cellStyle name="Normal 4 4 5 2 8" xfId="9271" xr:uid="{00000000-0005-0000-0000-00006E080000}"/>
    <cellStyle name="Normal 4 4 5 3" xfId="1004" xr:uid="{00000000-0005-0000-0000-00009E050000}"/>
    <cellStyle name="Normal 4 4 5 3 2" xfId="4540" xr:uid="{00000000-0005-0000-0000-000053060000}"/>
    <cellStyle name="Normal 4 4 5 3 2 2" xfId="8734" xr:uid="{00000000-0005-0000-0000-000074080000}"/>
    <cellStyle name="Normal 4 4 5 3 2 3" xfId="11131" xr:uid="{00000000-0005-0000-0000-000074080000}"/>
    <cellStyle name="Normal 4 4 5 3 3" xfId="5638" xr:uid="{00000000-0005-0000-0000-000095030000}"/>
    <cellStyle name="Normal 4 4 5 3 3 2" xfId="11708" xr:uid="{00000000-0005-0000-0000-0000E9080000}"/>
    <cellStyle name="Normal 4 4 5 3 4" xfId="7393" xr:uid="{00000000-0005-0000-0000-000073080000}"/>
    <cellStyle name="Normal 4 4 5 3 4 2" xfId="11913" xr:uid="{00000000-0005-0000-0000-0000EA080000}"/>
    <cellStyle name="Normal 4 4 5 3 5" xfId="9797" xr:uid="{00000000-0005-0000-0000-000073080000}"/>
    <cellStyle name="Normal 4 4 5 3 6" xfId="11653" xr:uid="{00000000-0005-0000-0000-0000E7080000}"/>
    <cellStyle name="Normal 4 4 5 4" xfId="1005" xr:uid="{00000000-0005-0000-0000-00009F050000}"/>
    <cellStyle name="Normal 4 4 5 4 2" xfId="6320" xr:uid="{00000000-0005-0000-0000-000054060000}"/>
    <cellStyle name="Normal 4 4 5 4 2 2" xfId="8269" xr:uid="{00000000-0005-0000-0000-000076080000}"/>
    <cellStyle name="Normal 4 4 5 4 2 3" xfId="10666" xr:uid="{00000000-0005-0000-0000-000076080000}"/>
    <cellStyle name="Normal 4 4 5 4 3" xfId="7394" xr:uid="{00000000-0005-0000-0000-000075080000}"/>
    <cellStyle name="Normal 4 4 5 4 4" xfId="9798" xr:uid="{00000000-0005-0000-0000-000075080000}"/>
    <cellStyle name="Normal 4 4 5 5" xfId="2514" xr:uid="{00000000-0005-0000-0000-000055060000}"/>
    <cellStyle name="Normal 4 4 5 5 2" xfId="7390" xr:uid="{00000000-0005-0000-0000-000077080000}"/>
    <cellStyle name="Normal 4 4 5 5 3" xfId="9794" xr:uid="{00000000-0005-0000-0000-000077080000}"/>
    <cellStyle name="Normal 4 4 5 6" xfId="2369" xr:uid="{00000000-0005-0000-0000-00004F060000}"/>
    <cellStyle name="Normal 4 4 5 6 2" xfId="7712" xr:uid="{00000000-0005-0000-0000-000078080000}"/>
    <cellStyle name="Normal 4 4 5 6 3" xfId="10109" xr:uid="{00000000-0005-0000-0000-000078080000}"/>
    <cellStyle name="Normal 4 4 5 7" xfId="3990" xr:uid="{00000000-0005-0000-0000-000047020000}"/>
    <cellStyle name="Normal 4 4 5 8" xfId="5392" xr:uid="{00000000-0005-0000-0000-000093030000}"/>
    <cellStyle name="Normal 4 4 5 9" xfId="4943" xr:uid="{00000000-0005-0000-0000-00000D030000}"/>
    <cellStyle name="Normal 4 4 6" xfId="1006" xr:uid="{00000000-0005-0000-0000-0000A0050000}"/>
    <cellStyle name="Normal 4 4 6 10" xfId="6690" xr:uid="{00000000-0005-0000-0000-000079080000}"/>
    <cellStyle name="Normal 4 4 6 11" xfId="9111" xr:uid="{00000000-0005-0000-0000-000079080000}"/>
    <cellStyle name="Normal 4 4 6 2" xfId="1007" xr:uid="{00000000-0005-0000-0000-0000A1050000}"/>
    <cellStyle name="Normal 4 4 6 2 2" xfId="1008" xr:uid="{00000000-0005-0000-0000-0000A2050000}"/>
    <cellStyle name="Normal 4 4 6 2 2 2" xfId="6410" xr:uid="{00000000-0005-0000-0000-000058060000}"/>
    <cellStyle name="Normal 4 4 6 2 2 2 2" xfId="8735" xr:uid="{00000000-0005-0000-0000-00007C080000}"/>
    <cellStyle name="Normal 4 4 6 2 2 2 3" xfId="11132" xr:uid="{00000000-0005-0000-0000-00007C080000}"/>
    <cellStyle name="Normal 4 4 6 2 2 3" xfId="7397" xr:uid="{00000000-0005-0000-0000-00007B080000}"/>
    <cellStyle name="Normal 4 4 6 2 2 3 2" xfId="12090" xr:uid="{00000000-0005-0000-0000-000083060000}"/>
    <cellStyle name="Normal 4 4 6 2 2 4" xfId="9801" xr:uid="{00000000-0005-0000-0000-00007B080000}"/>
    <cellStyle name="Normal 4 4 6 2 2 5" xfId="12050" xr:uid="{00000000-0005-0000-0000-000081060000}"/>
    <cellStyle name="Normal 4 4 6 2 3" xfId="2792" xr:uid="{00000000-0005-0000-0000-000059060000}"/>
    <cellStyle name="Normal 4 4 6 2 3 2" xfId="6221" xr:uid="{00000000-0005-0000-0000-000059060000}"/>
    <cellStyle name="Normal 4 4 6 2 3 3" xfId="7396" xr:uid="{00000000-0005-0000-0000-00007D080000}"/>
    <cellStyle name="Normal 4 4 6 2 3 4" xfId="9800" xr:uid="{00000000-0005-0000-0000-00007D080000}"/>
    <cellStyle name="Normal 4 4 6 2 4" xfId="4198" xr:uid="{00000000-0005-0000-0000-000057060000}"/>
    <cellStyle name="Normal 4 4 6 2 4 2" xfId="8062" xr:uid="{00000000-0005-0000-0000-00007E080000}"/>
    <cellStyle name="Normal 4 4 6 2 4 3" xfId="10459" xr:uid="{00000000-0005-0000-0000-00007E080000}"/>
    <cellStyle name="Normal 4 4 6 2 5" xfId="5946" xr:uid="{00000000-0005-0000-0000-000097030000}"/>
    <cellStyle name="Normal 4 4 6 2 6" xfId="5198" xr:uid="{00000000-0005-0000-0000-000010030000}"/>
    <cellStyle name="Normal 4 4 6 2 7" xfId="6851" xr:uid="{00000000-0005-0000-0000-00007A080000}"/>
    <cellStyle name="Normal 4 4 6 2 8" xfId="9272" xr:uid="{00000000-0005-0000-0000-00007A080000}"/>
    <cellStyle name="Normal 4 4 6 3" xfId="1009" xr:uid="{00000000-0005-0000-0000-0000A3050000}"/>
    <cellStyle name="Normal 4 4 6 3 2" xfId="4541" xr:uid="{00000000-0005-0000-0000-00005A060000}"/>
    <cellStyle name="Normal 4 4 6 3 2 2" xfId="8736" xr:uid="{00000000-0005-0000-0000-000080080000}"/>
    <cellStyle name="Normal 4 4 6 3 2 3" xfId="11133" xr:uid="{00000000-0005-0000-0000-000080080000}"/>
    <cellStyle name="Normal 4 4 6 3 3" xfId="5684" xr:uid="{00000000-0005-0000-0000-000098030000}"/>
    <cellStyle name="Normal 4 4 6 3 3 2" xfId="12091" xr:uid="{00000000-0005-0000-0000-000088060000}"/>
    <cellStyle name="Normal 4 4 6 3 4" xfId="7398" xr:uid="{00000000-0005-0000-0000-00007F080000}"/>
    <cellStyle name="Normal 4 4 6 3 5" xfId="9802" xr:uid="{00000000-0005-0000-0000-00007F080000}"/>
    <cellStyle name="Normal 4 4 6 4" xfId="1010" xr:uid="{00000000-0005-0000-0000-0000A4050000}"/>
    <cellStyle name="Normal 4 4 6 4 2" xfId="6321" xr:uid="{00000000-0005-0000-0000-00005B060000}"/>
    <cellStyle name="Normal 4 4 6 4 2 2" xfId="8270" xr:uid="{00000000-0005-0000-0000-000082080000}"/>
    <cellStyle name="Normal 4 4 6 4 2 3" xfId="10667" xr:uid="{00000000-0005-0000-0000-000082080000}"/>
    <cellStyle name="Normal 4 4 6 4 3" xfId="7399" xr:uid="{00000000-0005-0000-0000-000081080000}"/>
    <cellStyle name="Normal 4 4 6 4 4" xfId="9803" xr:uid="{00000000-0005-0000-0000-000081080000}"/>
    <cellStyle name="Normal 4 4 6 5" xfId="2577" xr:uid="{00000000-0005-0000-0000-00005C060000}"/>
    <cellStyle name="Normal 4 4 6 5 2" xfId="7395" xr:uid="{00000000-0005-0000-0000-000083080000}"/>
    <cellStyle name="Normal 4 4 6 5 3" xfId="9799" xr:uid="{00000000-0005-0000-0000-000083080000}"/>
    <cellStyle name="Normal 4 4 6 6" xfId="2370" xr:uid="{00000000-0005-0000-0000-000056060000}"/>
    <cellStyle name="Normal 4 4 6 6 2" xfId="7775" xr:uid="{00000000-0005-0000-0000-000084080000}"/>
    <cellStyle name="Normal 4 4 6 6 3" xfId="10172" xr:uid="{00000000-0005-0000-0000-000084080000}"/>
    <cellStyle name="Normal 4 4 6 7" xfId="3991" xr:uid="{00000000-0005-0000-0000-000048020000}"/>
    <cellStyle name="Normal 4 4 6 8" xfId="5453" xr:uid="{00000000-0005-0000-0000-000096030000}"/>
    <cellStyle name="Normal 4 4 6 9" xfId="4944" xr:uid="{00000000-0005-0000-0000-00000F030000}"/>
    <cellStyle name="Normal 4 4 7" xfId="1011" xr:uid="{00000000-0005-0000-0000-0000A5050000}"/>
    <cellStyle name="Normal 4 4 7 2" xfId="1012" xr:uid="{00000000-0005-0000-0000-0000A6050000}"/>
    <cellStyle name="Normal 4 4 7 2 2" xfId="2940" xr:uid="{00000000-0005-0000-0000-00005F060000}"/>
    <cellStyle name="Normal 4 4 7 2 2 2" xfId="6322" xr:uid="{00000000-0005-0000-0000-00005F060000}"/>
    <cellStyle name="Normal 4 4 7 2 2 3" xfId="7401" xr:uid="{00000000-0005-0000-0000-000087080000}"/>
    <cellStyle name="Normal 4 4 7 2 2 4" xfId="9805" xr:uid="{00000000-0005-0000-0000-000087080000}"/>
    <cellStyle name="Normal 4 4 7 2 3" xfId="4738" xr:uid="{00000000-0005-0000-0000-000097040000}"/>
    <cellStyle name="Normal 4 4 7 2 3 2" xfId="6122" xr:uid="{00000000-0005-0000-0000-00005E060000}"/>
    <cellStyle name="Normal 4 4 7 2 3 3" xfId="8271" xr:uid="{00000000-0005-0000-0000-000088080000}"/>
    <cellStyle name="Normal 4 4 7 2 3 4" xfId="10668" xr:uid="{00000000-0005-0000-0000-000088080000}"/>
    <cellStyle name="Normal 4 4 7 2 4" xfId="5199" xr:uid="{00000000-0005-0000-0000-000012030000}"/>
    <cellStyle name="Normal 4 4 7 2 5" xfId="6852" xr:uid="{00000000-0005-0000-0000-000086080000}"/>
    <cellStyle name="Normal 4 4 7 2 6" xfId="9273" xr:uid="{00000000-0005-0000-0000-000086080000}"/>
    <cellStyle name="Normal 4 4 7 3" xfId="1013" xr:uid="{00000000-0005-0000-0000-0000A7050000}"/>
    <cellStyle name="Normal 4 4 7 3 2" xfId="6222" xr:uid="{00000000-0005-0000-0000-000060060000}"/>
    <cellStyle name="Normal 4 4 7 3 3" xfId="7402" xr:uid="{00000000-0005-0000-0000-000089080000}"/>
    <cellStyle name="Normal 4 4 7 3 4" xfId="9806" xr:uid="{00000000-0005-0000-0000-000089080000}"/>
    <cellStyle name="Normal 4 4 7 4" xfId="2371" xr:uid="{00000000-0005-0000-0000-00005D060000}"/>
    <cellStyle name="Normal 4 4 7 4 2" xfId="6074" xr:uid="{00000000-0005-0000-0000-00005D060000}"/>
    <cellStyle name="Normal 4 4 7 4 3" xfId="7400" xr:uid="{00000000-0005-0000-0000-00008A080000}"/>
    <cellStyle name="Normal 4 4 7 4 4" xfId="9804" xr:uid="{00000000-0005-0000-0000-00008A080000}"/>
    <cellStyle name="Normal 4 4 7 5" xfId="3992" xr:uid="{00000000-0005-0000-0000-000049020000}"/>
    <cellStyle name="Normal 4 4 7 5 2" xfId="8063" xr:uid="{00000000-0005-0000-0000-00008B080000}"/>
    <cellStyle name="Normal 4 4 7 5 3" xfId="10460" xr:uid="{00000000-0005-0000-0000-00008B080000}"/>
    <cellStyle name="Normal 4 4 7 6" xfId="5947" xr:uid="{00000000-0005-0000-0000-000099030000}"/>
    <cellStyle name="Normal 4 4 7 7" xfId="4945" xr:uid="{00000000-0005-0000-0000-000011030000}"/>
    <cellStyle name="Normal 4 4 7 8" xfId="6691" xr:uid="{00000000-0005-0000-0000-000085080000}"/>
    <cellStyle name="Normal 4 4 7 9" xfId="9112" xr:uid="{00000000-0005-0000-0000-000085080000}"/>
    <cellStyle name="Normal 4 4 8" xfId="1014" xr:uid="{00000000-0005-0000-0000-0000A8050000}"/>
    <cellStyle name="Normal 4 4 8 2" xfId="1015" xr:uid="{00000000-0005-0000-0000-0000A9050000}"/>
    <cellStyle name="Normal 4 4 8 2 2" xfId="2941" xr:uid="{00000000-0005-0000-0000-000063060000}"/>
    <cellStyle name="Normal 4 4 8 2 2 2" xfId="6323" xr:uid="{00000000-0005-0000-0000-000063060000}"/>
    <cellStyle name="Normal 4 4 8 2 2 3" xfId="7404" xr:uid="{00000000-0005-0000-0000-00008E080000}"/>
    <cellStyle name="Normal 4 4 8 2 2 4" xfId="9808" xr:uid="{00000000-0005-0000-0000-00008E080000}"/>
    <cellStyle name="Normal 4 4 8 2 3" xfId="4739" xr:uid="{00000000-0005-0000-0000-00009D040000}"/>
    <cellStyle name="Normal 4 4 8 2 3 2" xfId="6123" xr:uid="{00000000-0005-0000-0000-000062060000}"/>
    <cellStyle name="Normal 4 4 8 2 3 3" xfId="8272" xr:uid="{00000000-0005-0000-0000-00008F080000}"/>
    <cellStyle name="Normal 4 4 8 2 3 4" xfId="10669" xr:uid="{00000000-0005-0000-0000-00008F080000}"/>
    <cellStyle name="Normal 4 4 8 2 4" xfId="5200" xr:uid="{00000000-0005-0000-0000-000014030000}"/>
    <cellStyle name="Normal 4 4 8 2 5" xfId="6853" xr:uid="{00000000-0005-0000-0000-00008D080000}"/>
    <cellStyle name="Normal 4 4 8 2 6" xfId="9274" xr:uid="{00000000-0005-0000-0000-00008D080000}"/>
    <cellStyle name="Normal 4 4 8 3" xfId="1016" xr:uid="{00000000-0005-0000-0000-0000AA050000}"/>
    <cellStyle name="Normal 4 4 8 3 2" xfId="6223" xr:uid="{00000000-0005-0000-0000-000064060000}"/>
    <cellStyle name="Normal 4 4 8 3 3" xfId="7405" xr:uid="{00000000-0005-0000-0000-000090080000}"/>
    <cellStyle name="Normal 4 4 8 3 4" xfId="9809" xr:uid="{00000000-0005-0000-0000-000090080000}"/>
    <cellStyle name="Normal 4 4 8 4" xfId="2372" xr:uid="{00000000-0005-0000-0000-000061060000}"/>
    <cellStyle name="Normal 4 4 8 4 2" xfId="6075" xr:uid="{00000000-0005-0000-0000-000061060000}"/>
    <cellStyle name="Normal 4 4 8 4 3" xfId="7403" xr:uid="{00000000-0005-0000-0000-000091080000}"/>
    <cellStyle name="Normal 4 4 8 4 4" xfId="9807" xr:uid="{00000000-0005-0000-0000-000091080000}"/>
    <cellStyle name="Normal 4 4 8 5" xfId="3993" xr:uid="{00000000-0005-0000-0000-00004A020000}"/>
    <cellStyle name="Normal 4 4 8 5 2" xfId="8064" xr:uid="{00000000-0005-0000-0000-000092080000}"/>
    <cellStyle name="Normal 4 4 8 5 3" xfId="10461" xr:uid="{00000000-0005-0000-0000-000092080000}"/>
    <cellStyle name="Normal 4 4 8 6" xfId="5948" xr:uid="{00000000-0005-0000-0000-00009A030000}"/>
    <cellStyle name="Normal 4 4 8 7" xfId="4946" xr:uid="{00000000-0005-0000-0000-000013030000}"/>
    <cellStyle name="Normal 4 4 8 8" xfId="6692" xr:uid="{00000000-0005-0000-0000-00008C080000}"/>
    <cellStyle name="Normal 4 4 8 9" xfId="9113" xr:uid="{00000000-0005-0000-0000-00008C080000}"/>
    <cellStyle name="Normal 4 4 9" xfId="1017" xr:uid="{00000000-0005-0000-0000-0000AB050000}"/>
    <cellStyle name="Normal 4 4 9 2" xfId="3361" xr:uid="{00000000-0005-0000-0000-000066060000}"/>
    <cellStyle name="Normal 4 4 9 2 2" xfId="6411" xr:uid="{00000000-0005-0000-0000-000066060000}"/>
    <cellStyle name="Normal 4 4 9 2 2 2" xfId="8737" xr:uid="{00000000-0005-0000-0000-000095080000}"/>
    <cellStyle name="Normal 4 4 9 2 2 3" xfId="11134" xr:uid="{00000000-0005-0000-0000-000095080000}"/>
    <cellStyle name="Normal 4 4 9 2 3" xfId="5201" xr:uid="{00000000-0005-0000-0000-000016030000}"/>
    <cellStyle name="Normal 4 4 9 2 4" xfId="7406" xr:uid="{00000000-0005-0000-0000-000094080000}"/>
    <cellStyle name="Normal 4 4 9 2 5" xfId="9810" xr:uid="{00000000-0005-0000-0000-000094080000}"/>
    <cellStyle name="Normal 4 4 9 3" xfId="2784" xr:uid="{00000000-0005-0000-0000-000067060000}"/>
    <cellStyle name="Normal 4 4 9 3 2" xfId="6219" xr:uid="{00000000-0005-0000-0000-000067060000}"/>
    <cellStyle name="Normal 4 4 9 3 3" xfId="8051" xr:uid="{00000000-0005-0000-0000-000096080000}"/>
    <cellStyle name="Normal 4 4 9 3 4" xfId="10448" xr:uid="{00000000-0005-0000-0000-000096080000}"/>
    <cellStyle name="Normal 4 4 9 4" xfId="2365" xr:uid="{00000000-0005-0000-0000-000065060000}"/>
    <cellStyle name="Normal 4 4 9 4 2" xfId="11411" xr:uid="{00000000-0005-0000-0000-000002080000}"/>
    <cellStyle name="Normal 4 4 9 5" xfId="3900" xr:uid="{00000000-0005-0000-0000-00004B020000}"/>
    <cellStyle name="Normal 4 4 9 6" xfId="5936" xr:uid="{00000000-0005-0000-0000-00009B030000}"/>
    <cellStyle name="Normal 4 4 9 7" xfId="4939" xr:uid="{00000000-0005-0000-0000-000015030000}"/>
    <cellStyle name="Normal 4 4 9 8" xfId="6685" xr:uid="{00000000-0005-0000-0000-000093080000}"/>
    <cellStyle name="Normal 4 4 9 9" xfId="9106" xr:uid="{00000000-0005-0000-0000-000093080000}"/>
    <cellStyle name="Normal 4 5" xfId="1018" xr:uid="{00000000-0005-0000-0000-0000AC050000}"/>
    <cellStyle name="Normal 4 5 10" xfId="5361" xr:uid="{00000000-0005-0000-0000-00009C030000}"/>
    <cellStyle name="Normal 4 5 11" xfId="4817" xr:uid="{00000000-0005-0000-0000-000017030000}"/>
    <cellStyle name="Normal 4 5 12" xfId="6563" xr:uid="{00000000-0005-0000-0000-000097080000}"/>
    <cellStyle name="Normal 4 5 13" xfId="8984" xr:uid="{00000000-0005-0000-0000-000097080000}"/>
    <cellStyle name="Normal 4 5 2" xfId="1019" xr:uid="{00000000-0005-0000-0000-0000AD050000}"/>
    <cellStyle name="Normal 4 5 2 10" xfId="4948" xr:uid="{00000000-0005-0000-0000-000018030000}"/>
    <cellStyle name="Normal 4 5 2 11" xfId="6694" xr:uid="{00000000-0005-0000-0000-000098080000}"/>
    <cellStyle name="Normal 4 5 2 12" xfId="9115" xr:uid="{00000000-0005-0000-0000-000098080000}"/>
    <cellStyle name="Normal 4 5 2 2" xfId="1020" xr:uid="{00000000-0005-0000-0000-0000AE050000}"/>
    <cellStyle name="Normal 4 5 2 2 10" xfId="6855" xr:uid="{00000000-0005-0000-0000-000099080000}"/>
    <cellStyle name="Normal 4 5 2 2 11" xfId="9276" xr:uid="{00000000-0005-0000-0000-000099080000}"/>
    <cellStyle name="Normal 4 5 2 2 2" xfId="2795" xr:uid="{00000000-0005-0000-0000-00006B060000}"/>
    <cellStyle name="Normal 4 5 2 2 2 2" xfId="3363" xr:uid="{00000000-0005-0000-0000-00006C060000}"/>
    <cellStyle name="Normal 4 5 2 2 2 2 2" xfId="8739" xr:uid="{00000000-0005-0000-0000-00009B080000}"/>
    <cellStyle name="Normal 4 5 2 2 2 2 3" xfId="11136" xr:uid="{00000000-0005-0000-0000-00009B080000}"/>
    <cellStyle name="Normal 4 5 2 2 2 3" xfId="4346" xr:uid="{00000000-0005-0000-0000-00006B060000}"/>
    <cellStyle name="Normal 4 5 2 2 2 3 2" xfId="8067" xr:uid="{00000000-0005-0000-0000-00009C080000}"/>
    <cellStyle name="Normal 4 5 2 2 2 3 3" xfId="10464" xr:uid="{00000000-0005-0000-0000-00009C080000}"/>
    <cellStyle name="Normal 4 5 2 2 2 4" xfId="5951" xr:uid="{00000000-0005-0000-0000-00009F030000}"/>
    <cellStyle name="Normal 4 5 2 2 2 5" xfId="7409" xr:uid="{00000000-0005-0000-0000-00009A080000}"/>
    <cellStyle name="Normal 4 5 2 2 2 6" xfId="9813" xr:uid="{00000000-0005-0000-0000-00009A080000}"/>
    <cellStyle name="Normal 4 5 2 2 3" xfId="3364" xr:uid="{00000000-0005-0000-0000-00006D060000}"/>
    <cellStyle name="Normal 4 5 2 2 3 2" xfId="4542" xr:uid="{00000000-0005-0000-0000-00006D060000}"/>
    <cellStyle name="Normal 4 5 2 2 3 3" xfId="5751" xr:uid="{00000000-0005-0000-0000-0000A0030000}"/>
    <cellStyle name="Normal 4 5 2 2 3 4" xfId="8740" xr:uid="{00000000-0005-0000-0000-00009D080000}"/>
    <cellStyle name="Normal 4 5 2 2 3 5" xfId="11137" xr:uid="{00000000-0005-0000-0000-00009D080000}"/>
    <cellStyle name="Normal 4 5 2 2 4" xfId="3362" xr:uid="{00000000-0005-0000-0000-00006E060000}"/>
    <cellStyle name="Normal 4 5 2 2 4 2" xfId="8738" xr:uid="{00000000-0005-0000-0000-00009E080000}"/>
    <cellStyle name="Normal 4 5 2 2 4 3" xfId="11135" xr:uid="{00000000-0005-0000-0000-00009E080000}"/>
    <cellStyle name="Normal 4 5 2 2 5" xfId="2645" xr:uid="{00000000-0005-0000-0000-00006F060000}"/>
    <cellStyle name="Normal 4 5 2 2 5 2" xfId="7844" xr:uid="{00000000-0005-0000-0000-00009F080000}"/>
    <cellStyle name="Normal 4 5 2 2 5 3" xfId="10241" xr:uid="{00000000-0005-0000-0000-00009F080000}"/>
    <cellStyle name="Normal 4 5 2 2 6" xfId="2374" xr:uid="{00000000-0005-0000-0000-00006A060000}"/>
    <cellStyle name="Normal 4 5 2 2 7" xfId="3925" xr:uid="{00000000-0005-0000-0000-00004E020000}"/>
    <cellStyle name="Normal 4 5 2 2 8" xfId="5522" xr:uid="{00000000-0005-0000-0000-00009E030000}"/>
    <cellStyle name="Normal 4 5 2 2 9" xfId="5203" xr:uid="{00000000-0005-0000-0000-000019030000}"/>
    <cellStyle name="Normal 4 5 2 3" xfId="1021" xr:uid="{00000000-0005-0000-0000-0000AF050000}"/>
    <cellStyle name="Normal 4 5 2 3 2" xfId="3365" xr:uid="{00000000-0005-0000-0000-000071060000}"/>
    <cellStyle name="Normal 4 5 2 3 2 2" xfId="8741" xr:uid="{00000000-0005-0000-0000-0000A1080000}"/>
    <cellStyle name="Normal 4 5 2 3 2 3" xfId="11138" xr:uid="{00000000-0005-0000-0000-0000A1080000}"/>
    <cellStyle name="Normal 4 5 2 3 3" xfId="2794" xr:uid="{00000000-0005-0000-0000-000072060000}"/>
    <cellStyle name="Normal 4 5 2 3 3 2" xfId="8066" xr:uid="{00000000-0005-0000-0000-0000A2080000}"/>
    <cellStyle name="Normal 4 5 2 3 3 3" xfId="10463" xr:uid="{00000000-0005-0000-0000-0000A2080000}"/>
    <cellStyle name="Normal 4 5 2 3 4" xfId="4200" xr:uid="{00000000-0005-0000-0000-000070060000}"/>
    <cellStyle name="Normal 4 5 2 3 5" xfId="5950" xr:uid="{00000000-0005-0000-0000-0000A1030000}"/>
    <cellStyle name="Normal 4 5 2 3 6" xfId="7410" xr:uid="{00000000-0005-0000-0000-0000A0080000}"/>
    <cellStyle name="Normal 4 5 2 3 7" xfId="9814" xr:uid="{00000000-0005-0000-0000-0000A0080000}"/>
    <cellStyle name="Normal 4 5 2 4" xfId="3366" xr:uid="{00000000-0005-0000-0000-000073060000}"/>
    <cellStyle name="Normal 4 5 2 4 2" xfId="4543" xr:uid="{00000000-0005-0000-0000-000073060000}"/>
    <cellStyle name="Normal 4 5 2 4 2 2" xfId="8742" xr:uid="{00000000-0005-0000-0000-0000A4080000}"/>
    <cellStyle name="Normal 4 5 2 4 2 3" xfId="11139" xr:uid="{00000000-0005-0000-0000-0000A4080000}"/>
    <cellStyle name="Normal 4 5 2 4 3" xfId="5666" xr:uid="{00000000-0005-0000-0000-0000A2030000}"/>
    <cellStyle name="Normal 4 5 2 4 4" xfId="7408" xr:uid="{00000000-0005-0000-0000-0000A3080000}"/>
    <cellStyle name="Normal 4 5 2 4 5" xfId="9812" xr:uid="{00000000-0005-0000-0000-0000A3080000}"/>
    <cellStyle name="Normal 4 5 2 5" xfId="2943" xr:uid="{00000000-0005-0000-0000-000074060000}"/>
    <cellStyle name="Normal 4 5 2 5 2" xfId="8274" xr:uid="{00000000-0005-0000-0000-0000A5080000}"/>
    <cellStyle name="Normal 4 5 2 5 3" xfId="10671" xr:uid="{00000000-0005-0000-0000-0000A5080000}"/>
    <cellStyle name="Normal 4 5 2 6" xfId="2543" xr:uid="{00000000-0005-0000-0000-000075060000}"/>
    <cellStyle name="Normal 4 5 2 6 2" xfId="7741" xr:uid="{00000000-0005-0000-0000-0000A6080000}"/>
    <cellStyle name="Normal 4 5 2 6 3" xfId="10138" xr:uid="{00000000-0005-0000-0000-0000A6080000}"/>
    <cellStyle name="Normal 4 5 2 7" xfId="2237" xr:uid="{00000000-0005-0000-0000-000069060000}"/>
    <cellStyle name="Normal 4 5 2 8" xfId="3995" xr:uid="{00000000-0005-0000-0000-00004D020000}"/>
    <cellStyle name="Normal 4 5 2 9" xfId="5421" xr:uid="{00000000-0005-0000-0000-00009D030000}"/>
    <cellStyle name="Normal 4 5 3" xfId="1022" xr:uid="{00000000-0005-0000-0000-0000B0050000}"/>
    <cellStyle name="Normal 4 5 3 10" xfId="6693" xr:uid="{00000000-0005-0000-0000-0000A7080000}"/>
    <cellStyle name="Normal 4 5 3 11" xfId="9114" xr:uid="{00000000-0005-0000-0000-0000A7080000}"/>
    <cellStyle name="Normal 4 5 3 2" xfId="2796" xr:uid="{00000000-0005-0000-0000-000077060000}"/>
    <cellStyle name="Normal 4 5 3 2 2" xfId="3368" xr:uid="{00000000-0005-0000-0000-000078060000}"/>
    <cellStyle name="Normal 4 5 3 2 2 2" xfId="8744" xr:uid="{00000000-0005-0000-0000-0000A9080000}"/>
    <cellStyle name="Normal 4 5 3 2 2 3" xfId="11141" xr:uid="{00000000-0005-0000-0000-0000A9080000}"/>
    <cellStyle name="Normal 4 5 3 2 3" xfId="4347" xr:uid="{00000000-0005-0000-0000-000077060000}"/>
    <cellStyle name="Normal 4 5 3 2 3 2" xfId="8068" xr:uid="{00000000-0005-0000-0000-0000AA080000}"/>
    <cellStyle name="Normal 4 5 3 2 3 3" xfId="10465" xr:uid="{00000000-0005-0000-0000-0000AA080000}"/>
    <cellStyle name="Normal 4 5 3 2 4" xfId="5952" xr:uid="{00000000-0005-0000-0000-0000A4030000}"/>
    <cellStyle name="Normal 4 5 3 2 5" xfId="5204" xr:uid="{00000000-0005-0000-0000-00001B030000}"/>
    <cellStyle name="Normal 4 5 3 2 6" xfId="7411" xr:uid="{00000000-0005-0000-0000-0000A8080000}"/>
    <cellStyle name="Normal 4 5 3 2 7" xfId="9815" xr:uid="{00000000-0005-0000-0000-0000A8080000}"/>
    <cellStyle name="Normal 4 5 3 3" xfId="3369" xr:uid="{00000000-0005-0000-0000-000079060000}"/>
    <cellStyle name="Normal 4 5 3 3 2" xfId="4544" xr:uid="{00000000-0005-0000-0000-000079060000}"/>
    <cellStyle name="Normal 4 5 3 3 2 2" xfId="11478" xr:uid="{00000000-0005-0000-0000-000017080000}"/>
    <cellStyle name="Normal 4 5 3 3 3" xfId="5693" xr:uid="{00000000-0005-0000-0000-0000A5030000}"/>
    <cellStyle name="Normal 4 5 3 3 4" xfId="8745" xr:uid="{00000000-0005-0000-0000-0000AB080000}"/>
    <cellStyle name="Normal 4 5 3 3 5" xfId="11142" xr:uid="{00000000-0005-0000-0000-0000AB080000}"/>
    <cellStyle name="Normal 4 5 3 4" xfId="3367" xr:uid="{00000000-0005-0000-0000-00007A060000}"/>
    <cellStyle name="Normal 4 5 3 4 2" xfId="8743" xr:uid="{00000000-0005-0000-0000-0000AC080000}"/>
    <cellStyle name="Normal 4 5 3 4 3" xfId="11140" xr:uid="{00000000-0005-0000-0000-0000AC080000}"/>
    <cellStyle name="Normal 4 5 3 5" xfId="2586" xr:uid="{00000000-0005-0000-0000-00007B060000}"/>
    <cellStyle name="Normal 4 5 3 5 2" xfId="7784" xr:uid="{00000000-0005-0000-0000-0000AD080000}"/>
    <cellStyle name="Normal 4 5 3 5 3" xfId="10181" xr:uid="{00000000-0005-0000-0000-0000AD080000}"/>
    <cellStyle name="Normal 4 5 3 6" xfId="2373" xr:uid="{00000000-0005-0000-0000-000076060000}"/>
    <cellStyle name="Normal 4 5 3 7" xfId="3916" xr:uid="{00000000-0005-0000-0000-00004F020000}"/>
    <cellStyle name="Normal 4 5 3 8" xfId="5462" xr:uid="{00000000-0005-0000-0000-0000A3030000}"/>
    <cellStyle name="Normal 4 5 3 9" xfId="4947" xr:uid="{00000000-0005-0000-0000-00001A030000}"/>
    <cellStyle name="Normal 4 5 4" xfId="1023" xr:uid="{00000000-0005-0000-0000-0000B1050000}"/>
    <cellStyle name="Normal 4 5 4 2" xfId="3370" xr:uid="{00000000-0005-0000-0000-00007D060000}"/>
    <cellStyle name="Normal 4 5 4 2 2" xfId="6412" xr:uid="{00000000-0005-0000-0000-00007D060000}"/>
    <cellStyle name="Normal 4 5 4 2 2 2" xfId="8746" xr:uid="{00000000-0005-0000-0000-0000B0080000}"/>
    <cellStyle name="Normal 4 5 4 2 2 3" xfId="11143" xr:uid="{00000000-0005-0000-0000-0000B0080000}"/>
    <cellStyle name="Normal 4 5 4 2 3" xfId="7412" xr:uid="{00000000-0005-0000-0000-0000AF080000}"/>
    <cellStyle name="Normal 4 5 4 2 4" xfId="9816" xr:uid="{00000000-0005-0000-0000-0000AF080000}"/>
    <cellStyle name="Normal 4 5 4 3" xfId="2793" xr:uid="{00000000-0005-0000-0000-00007E060000}"/>
    <cellStyle name="Normal 4 5 4 3 2" xfId="6224" xr:uid="{00000000-0005-0000-0000-00007E060000}"/>
    <cellStyle name="Normal 4 5 4 3 3" xfId="8065" xr:uid="{00000000-0005-0000-0000-0000B1080000}"/>
    <cellStyle name="Normal 4 5 4 3 4" xfId="10462" xr:uid="{00000000-0005-0000-0000-0000B1080000}"/>
    <cellStyle name="Normal 4 5 4 4" xfId="4199" xr:uid="{00000000-0005-0000-0000-00007C060000}"/>
    <cellStyle name="Normal 4 5 4 4 2" xfId="11822" xr:uid="{00000000-0005-0000-0000-000024090000}"/>
    <cellStyle name="Normal 4 5 4 5" xfId="5949" xr:uid="{00000000-0005-0000-0000-0000A6030000}"/>
    <cellStyle name="Normal 4 5 4 6" xfId="5202" xr:uid="{00000000-0005-0000-0000-00001C030000}"/>
    <cellStyle name="Normal 4 5 4 7" xfId="6854" xr:uid="{00000000-0005-0000-0000-0000AE080000}"/>
    <cellStyle name="Normal 4 5 4 8" xfId="9275" xr:uid="{00000000-0005-0000-0000-0000AE080000}"/>
    <cellStyle name="Normal 4 5 5" xfId="1024" xr:uid="{00000000-0005-0000-0000-0000B2050000}"/>
    <cellStyle name="Normal 4 5 5 2" xfId="4545" xr:uid="{00000000-0005-0000-0000-00007F060000}"/>
    <cellStyle name="Normal 4 5 5 2 2" xfId="8747" xr:uid="{00000000-0005-0000-0000-0000B3080000}"/>
    <cellStyle name="Normal 4 5 5 2 3" xfId="11144" xr:uid="{00000000-0005-0000-0000-0000B3080000}"/>
    <cellStyle name="Normal 4 5 5 3" xfId="5607" xr:uid="{00000000-0005-0000-0000-0000A7030000}"/>
    <cellStyle name="Normal 4 5 5 4" xfId="7413" xr:uid="{00000000-0005-0000-0000-0000B2080000}"/>
    <cellStyle name="Normal 4 5 5 5" xfId="9817" xr:uid="{00000000-0005-0000-0000-0000B2080000}"/>
    <cellStyle name="Normal 4 5 6" xfId="2942" xr:uid="{00000000-0005-0000-0000-000080060000}"/>
    <cellStyle name="Normal 4 5 6 2" xfId="6324" xr:uid="{00000000-0005-0000-0000-000080060000}"/>
    <cellStyle name="Normal 4 5 6 2 2" xfId="8273" xr:uid="{00000000-0005-0000-0000-0000B5080000}"/>
    <cellStyle name="Normal 4 5 6 2 3" xfId="10670" xr:uid="{00000000-0005-0000-0000-0000B5080000}"/>
    <cellStyle name="Normal 4 5 6 3" xfId="7407" xr:uid="{00000000-0005-0000-0000-0000B4080000}"/>
    <cellStyle name="Normal 4 5 6 4" xfId="9811" xr:uid="{00000000-0005-0000-0000-0000B4080000}"/>
    <cellStyle name="Normal 4 5 7" xfId="2483" xr:uid="{00000000-0005-0000-0000-000081060000}"/>
    <cellStyle name="Normal 4 5 7 2" xfId="7681" xr:uid="{00000000-0005-0000-0000-0000B6080000}"/>
    <cellStyle name="Normal 4 5 7 3" xfId="10078" xr:uid="{00000000-0005-0000-0000-0000B6080000}"/>
    <cellStyle name="Normal 4 5 8" xfId="2177" xr:uid="{00000000-0005-0000-0000-000068060000}"/>
    <cellStyle name="Normal 4 5 9" xfId="3994" xr:uid="{00000000-0005-0000-0000-00004C020000}"/>
    <cellStyle name="Normal 4 6" xfId="1025" xr:uid="{00000000-0005-0000-0000-0000B3050000}"/>
    <cellStyle name="Normal 4 6 10" xfId="5367" xr:uid="{00000000-0005-0000-0000-0000A8030000}"/>
    <cellStyle name="Normal 4 6 11" xfId="4823" xr:uid="{00000000-0005-0000-0000-00001D030000}"/>
    <cellStyle name="Normal 4 6 12" xfId="6569" xr:uid="{00000000-0005-0000-0000-0000B7080000}"/>
    <cellStyle name="Normal 4 6 13" xfId="8990" xr:uid="{00000000-0005-0000-0000-0000B7080000}"/>
    <cellStyle name="Normal 4 6 2" xfId="1026" xr:uid="{00000000-0005-0000-0000-0000B4050000}"/>
    <cellStyle name="Normal 4 6 2 10" xfId="4949" xr:uid="{00000000-0005-0000-0000-00001E030000}"/>
    <cellStyle name="Normal 4 6 2 11" xfId="6695" xr:uid="{00000000-0005-0000-0000-0000B8080000}"/>
    <cellStyle name="Normal 4 6 2 12" xfId="9116" xr:uid="{00000000-0005-0000-0000-0000B8080000}"/>
    <cellStyle name="Normal 4 6 2 2" xfId="1027" xr:uid="{00000000-0005-0000-0000-0000B5050000}"/>
    <cellStyle name="Normal 4 6 2 2 2" xfId="2799" xr:uid="{00000000-0005-0000-0000-000085060000}"/>
    <cellStyle name="Normal 4 6 2 2 2 2" xfId="3373" xr:uid="{00000000-0005-0000-0000-000086060000}"/>
    <cellStyle name="Normal 4 6 2 2 2 2 2" xfId="8750" xr:uid="{00000000-0005-0000-0000-0000BB080000}"/>
    <cellStyle name="Normal 4 6 2 2 2 2 3" xfId="11147" xr:uid="{00000000-0005-0000-0000-0000BB080000}"/>
    <cellStyle name="Normal 4 6 2 2 2 3" xfId="4349" xr:uid="{00000000-0005-0000-0000-000085060000}"/>
    <cellStyle name="Normal 4 6 2 2 2 3 2" xfId="11413" xr:uid="{00000000-0005-0000-0000-000026080000}"/>
    <cellStyle name="Normal 4 6 2 2 2 4" xfId="8071" xr:uid="{00000000-0005-0000-0000-0000BA080000}"/>
    <cellStyle name="Normal 4 6 2 2 2 5" xfId="10468" xr:uid="{00000000-0005-0000-0000-0000BA080000}"/>
    <cellStyle name="Normal 4 6 2 2 3" xfId="3374" xr:uid="{00000000-0005-0000-0000-000087060000}"/>
    <cellStyle name="Normal 4 6 2 2 3 2" xfId="4546" xr:uid="{00000000-0005-0000-0000-000087060000}"/>
    <cellStyle name="Normal 4 6 2 2 3 3" xfId="8751" xr:uid="{00000000-0005-0000-0000-0000BC080000}"/>
    <cellStyle name="Normal 4 6 2 2 3 4" xfId="11148" xr:uid="{00000000-0005-0000-0000-0000BC080000}"/>
    <cellStyle name="Normal 4 6 2 2 4" xfId="3372" xr:uid="{00000000-0005-0000-0000-000088060000}"/>
    <cellStyle name="Normal 4 6 2 2 4 2" xfId="8749" xr:uid="{00000000-0005-0000-0000-0000BD080000}"/>
    <cellStyle name="Normal 4 6 2 2 4 3" xfId="11146" xr:uid="{00000000-0005-0000-0000-0000BD080000}"/>
    <cellStyle name="Normal 4 6 2 2 5" xfId="4241" xr:uid="{00000000-0005-0000-0000-000084060000}"/>
    <cellStyle name="Normal 4 6 2 2 5 2" xfId="7850" xr:uid="{00000000-0005-0000-0000-0000BE080000}"/>
    <cellStyle name="Normal 4 6 2 2 5 3" xfId="10247" xr:uid="{00000000-0005-0000-0000-0000BE080000}"/>
    <cellStyle name="Normal 4 6 2 2 6" xfId="5528" xr:uid="{00000000-0005-0000-0000-0000AA030000}"/>
    <cellStyle name="Normal 4 6 2 2 7" xfId="5206" xr:uid="{00000000-0005-0000-0000-00001F030000}"/>
    <cellStyle name="Normal 4 6 2 2 8" xfId="7416" xr:uid="{00000000-0005-0000-0000-0000B9080000}"/>
    <cellStyle name="Normal 4 6 2 2 9" xfId="9820" xr:uid="{00000000-0005-0000-0000-0000B9080000}"/>
    <cellStyle name="Normal 4 6 2 3" xfId="2798" xr:uid="{00000000-0005-0000-0000-000089060000}"/>
    <cellStyle name="Normal 4 6 2 3 2" xfId="3375" xr:uid="{00000000-0005-0000-0000-00008A060000}"/>
    <cellStyle name="Normal 4 6 2 3 2 2" xfId="8752" xr:uid="{00000000-0005-0000-0000-0000C0080000}"/>
    <cellStyle name="Normal 4 6 2 3 2 3" xfId="11149" xr:uid="{00000000-0005-0000-0000-0000C0080000}"/>
    <cellStyle name="Normal 4 6 2 3 3" xfId="4348" xr:uid="{00000000-0005-0000-0000-000089060000}"/>
    <cellStyle name="Normal 4 6 2 3 3 2" xfId="8070" xr:uid="{00000000-0005-0000-0000-0000C1080000}"/>
    <cellStyle name="Normal 4 6 2 3 3 3" xfId="10467" xr:uid="{00000000-0005-0000-0000-0000C1080000}"/>
    <cellStyle name="Normal 4 6 2 3 4" xfId="5954" xr:uid="{00000000-0005-0000-0000-0000AD030000}"/>
    <cellStyle name="Normal 4 6 2 3 5" xfId="7415" xr:uid="{00000000-0005-0000-0000-0000BF080000}"/>
    <cellStyle name="Normal 4 6 2 3 6" xfId="9819" xr:uid="{00000000-0005-0000-0000-0000BF080000}"/>
    <cellStyle name="Normal 4 6 2 4" xfId="3376" xr:uid="{00000000-0005-0000-0000-00008B060000}"/>
    <cellStyle name="Normal 4 6 2 4 2" xfId="4547" xr:uid="{00000000-0005-0000-0000-00008B060000}"/>
    <cellStyle name="Normal 4 6 2 4 3" xfId="8753" xr:uid="{00000000-0005-0000-0000-0000C2080000}"/>
    <cellStyle name="Normal 4 6 2 4 4" xfId="11150" xr:uid="{00000000-0005-0000-0000-0000C2080000}"/>
    <cellStyle name="Normal 4 6 2 5" xfId="3371" xr:uid="{00000000-0005-0000-0000-00008C060000}"/>
    <cellStyle name="Normal 4 6 2 5 2" xfId="8748" xr:uid="{00000000-0005-0000-0000-0000C3080000}"/>
    <cellStyle name="Normal 4 6 2 5 3" xfId="11145" xr:uid="{00000000-0005-0000-0000-0000C3080000}"/>
    <cellStyle name="Normal 4 6 2 6" xfId="2549" xr:uid="{00000000-0005-0000-0000-00008D060000}"/>
    <cellStyle name="Normal 4 6 2 6 2" xfId="7747" xr:uid="{00000000-0005-0000-0000-0000C4080000}"/>
    <cellStyle name="Normal 4 6 2 6 3" xfId="10144" xr:uid="{00000000-0005-0000-0000-0000C4080000}"/>
    <cellStyle name="Normal 4 6 2 7" xfId="2243" xr:uid="{00000000-0005-0000-0000-000083060000}"/>
    <cellStyle name="Normal 4 6 2 8" xfId="3796" xr:uid="{00000000-0005-0000-0000-000051020000}"/>
    <cellStyle name="Normal 4 6 2 9" xfId="5427" xr:uid="{00000000-0005-0000-0000-0000A9030000}"/>
    <cellStyle name="Normal 4 6 3" xfId="1028" xr:uid="{00000000-0005-0000-0000-0000B6050000}"/>
    <cellStyle name="Normal 4 6 3 10" xfId="6856" xr:uid="{00000000-0005-0000-0000-0000C5080000}"/>
    <cellStyle name="Normal 4 6 3 11" xfId="9277" xr:uid="{00000000-0005-0000-0000-0000C5080000}"/>
    <cellStyle name="Normal 4 6 3 2" xfId="2800" xr:uid="{00000000-0005-0000-0000-00008F060000}"/>
    <cellStyle name="Normal 4 6 3 2 2" xfId="3378" xr:uid="{00000000-0005-0000-0000-000090060000}"/>
    <cellStyle name="Normal 4 6 3 2 2 2" xfId="8755" xr:uid="{00000000-0005-0000-0000-0000C7080000}"/>
    <cellStyle name="Normal 4 6 3 2 2 3" xfId="11152" xr:uid="{00000000-0005-0000-0000-0000C7080000}"/>
    <cellStyle name="Normal 4 6 3 2 3" xfId="4350" xr:uid="{00000000-0005-0000-0000-00008F060000}"/>
    <cellStyle name="Normal 4 6 3 2 3 2" xfId="8072" xr:uid="{00000000-0005-0000-0000-0000C8080000}"/>
    <cellStyle name="Normal 4 6 3 2 3 3" xfId="10469" xr:uid="{00000000-0005-0000-0000-0000C8080000}"/>
    <cellStyle name="Normal 4 6 3 2 4" xfId="5955" xr:uid="{00000000-0005-0000-0000-0000B0030000}"/>
    <cellStyle name="Normal 4 6 3 2 5" xfId="7417" xr:uid="{00000000-0005-0000-0000-0000C6080000}"/>
    <cellStyle name="Normal 4 6 3 2 6" xfId="9821" xr:uid="{00000000-0005-0000-0000-0000C6080000}"/>
    <cellStyle name="Normal 4 6 3 3" xfId="3379" xr:uid="{00000000-0005-0000-0000-000091060000}"/>
    <cellStyle name="Normal 4 6 3 3 2" xfId="4548" xr:uid="{00000000-0005-0000-0000-000091060000}"/>
    <cellStyle name="Normal 4 6 3 3 2 2" xfId="11914" xr:uid="{00000000-0005-0000-0000-00003E090000}"/>
    <cellStyle name="Normal 4 6 3 3 3" xfId="5699" xr:uid="{00000000-0005-0000-0000-0000B1030000}"/>
    <cellStyle name="Normal 4 6 3 3 4" xfId="8756" xr:uid="{00000000-0005-0000-0000-0000C9080000}"/>
    <cellStyle name="Normal 4 6 3 3 5" xfId="11153" xr:uid="{00000000-0005-0000-0000-0000C9080000}"/>
    <cellStyle name="Normal 4 6 3 4" xfId="3377" xr:uid="{00000000-0005-0000-0000-000092060000}"/>
    <cellStyle name="Normal 4 6 3 4 2" xfId="8754" xr:uid="{00000000-0005-0000-0000-0000CA080000}"/>
    <cellStyle name="Normal 4 6 3 4 3" xfId="11151" xr:uid="{00000000-0005-0000-0000-0000CA080000}"/>
    <cellStyle name="Normal 4 6 3 5" xfId="2592" xr:uid="{00000000-0005-0000-0000-000093060000}"/>
    <cellStyle name="Normal 4 6 3 5 2" xfId="7790" xr:uid="{00000000-0005-0000-0000-0000CB080000}"/>
    <cellStyle name="Normal 4 6 3 5 3" xfId="10187" xr:uid="{00000000-0005-0000-0000-0000CB080000}"/>
    <cellStyle name="Normal 4 6 3 6" xfId="2375" xr:uid="{00000000-0005-0000-0000-00008E060000}"/>
    <cellStyle name="Normal 4 6 3 7" xfId="3926" xr:uid="{00000000-0005-0000-0000-000052020000}"/>
    <cellStyle name="Normal 4 6 3 8" xfId="5468" xr:uid="{00000000-0005-0000-0000-0000AF030000}"/>
    <cellStyle name="Normal 4 6 3 9" xfId="5205" xr:uid="{00000000-0005-0000-0000-000020030000}"/>
    <cellStyle name="Normal 4 6 4" xfId="1029" xr:uid="{00000000-0005-0000-0000-0000B7050000}"/>
    <cellStyle name="Normal 4 6 4 2" xfId="3380" xr:uid="{00000000-0005-0000-0000-000095060000}"/>
    <cellStyle name="Normal 4 6 4 2 2" xfId="8757" xr:uid="{00000000-0005-0000-0000-0000CD080000}"/>
    <cellStyle name="Normal 4 6 4 2 3" xfId="11154" xr:uid="{00000000-0005-0000-0000-0000CD080000}"/>
    <cellStyle name="Normal 4 6 4 3" xfId="2797" xr:uid="{00000000-0005-0000-0000-000096060000}"/>
    <cellStyle name="Normal 4 6 4 3 2" xfId="8069" xr:uid="{00000000-0005-0000-0000-0000CE080000}"/>
    <cellStyle name="Normal 4 6 4 3 3" xfId="10466" xr:uid="{00000000-0005-0000-0000-0000CE080000}"/>
    <cellStyle name="Normal 4 6 4 4" xfId="4201" xr:uid="{00000000-0005-0000-0000-000094060000}"/>
    <cellStyle name="Normal 4 6 4 5" xfId="5953" xr:uid="{00000000-0005-0000-0000-0000B2030000}"/>
    <cellStyle name="Normal 4 6 4 6" xfId="7418" xr:uid="{00000000-0005-0000-0000-0000CC080000}"/>
    <cellStyle name="Normal 4 6 4 7" xfId="9822" xr:uid="{00000000-0005-0000-0000-0000CC080000}"/>
    <cellStyle name="Normal 4 6 5" xfId="3381" xr:uid="{00000000-0005-0000-0000-000097060000}"/>
    <cellStyle name="Normal 4 6 5 2" xfId="4549" xr:uid="{00000000-0005-0000-0000-000097060000}"/>
    <cellStyle name="Normal 4 6 5 2 2" xfId="8758" xr:uid="{00000000-0005-0000-0000-0000D0080000}"/>
    <cellStyle name="Normal 4 6 5 2 3" xfId="11155" xr:uid="{00000000-0005-0000-0000-0000D0080000}"/>
    <cellStyle name="Normal 4 6 5 3" xfId="5613" xr:uid="{00000000-0005-0000-0000-0000B3030000}"/>
    <cellStyle name="Normal 4 6 5 4" xfId="7414" xr:uid="{00000000-0005-0000-0000-0000CF080000}"/>
    <cellStyle name="Normal 4 6 5 5" xfId="9818" xr:uid="{00000000-0005-0000-0000-0000CF080000}"/>
    <cellStyle name="Normal 4 6 6" xfId="2944" xr:uid="{00000000-0005-0000-0000-000098060000}"/>
    <cellStyle name="Normal 4 6 6 2" xfId="8275" xr:uid="{00000000-0005-0000-0000-0000D1080000}"/>
    <cellStyle name="Normal 4 6 6 3" xfId="10672" xr:uid="{00000000-0005-0000-0000-0000D1080000}"/>
    <cellStyle name="Normal 4 6 7" xfId="2489" xr:uid="{00000000-0005-0000-0000-000099060000}"/>
    <cellStyle name="Normal 4 6 7 2" xfId="7687" xr:uid="{00000000-0005-0000-0000-0000D2080000}"/>
    <cellStyle name="Normal 4 6 7 3" xfId="10084" xr:uid="{00000000-0005-0000-0000-0000D2080000}"/>
    <cellStyle name="Normal 4 6 8" xfId="2183" xr:uid="{00000000-0005-0000-0000-000082060000}"/>
    <cellStyle name="Normal 4 6 9" xfId="3996" xr:uid="{00000000-0005-0000-0000-000050020000}"/>
    <cellStyle name="Normal 4 7" xfId="1030" xr:uid="{00000000-0005-0000-0000-0000B8050000}"/>
    <cellStyle name="Normal 4 7 10" xfId="5341" xr:uid="{00000000-0005-0000-0000-0000B4030000}"/>
    <cellStyle name="Normal 4 7 11" xfId="4797" xr:uid="{00000000-0005-0000-0000-000021030000}"/>
    <cellStyle name="Normal 4 7 12" xfId="6543" xr:uid="{00000000-0005-0000-0000-0000D3080000}"/>
    <cellStyle name="Normal 4 7 13" xfId="8964" xr:uid="{00000000-0005-0000-0000-0000D3080000}"/>
    <cellStyle name="Normal 4 7 2" xfId="1031" xr:uid="{00000000-0005-0000-0000-0000B9050000}"/>
    <cellStyle name="Normal 4 7 2 10" xfId="6696" xr:uid="{00000000-0005-0000-0000-0000D4080000}"/>
    <cellStyle name="Normal 4 7 2 11" xfId="9117" xr:uid="{00000000-0005-0000-0000-0000D4080000}"/>
    <cellStyle name="Normal 4 7 2 2" xfId="1032" xr:uid="{00000000-0005-0000-0000-0000BA050000}"/>
    <cellStyle name="Normal 4 7 2 2 2" xfId="3383" xr:uid="{00000000-0005-0000-0000-00009D060000}"/>
    <cellStyle name="Normal 4 7 2 2 2 2" xfId="8760" xr:uid="{00000000-0005-0000-0000-0000D6080000}"/>
    <cellStyle name="Normal 4 7 2 2 2 3" xfId="11157" xr:uid="{00000000-0005-0000-0000-0000D6080000}"/>
    <cellStyle name="Normal 4 7 2 2 3" xfId="4352" xr:uid="{00000000-0005-0000-0000-00009C060000}"/>
    <cellStyle name="Normal 4 7 2 2 3 2" xfId="8074" xr:uid="{00000000-0005-0000-0000-0000D7080000}"/>
    <cellStyle name="Normal 4 7 2 2 3 3" xfId="10471" xr:uid="{00000000-0005-0000-0000-0000D7080000}"/>
    <cellStyle name="Normal 4 7 2 2 4" xfId="5957" xr:uid="{00000000-0005-0000-0000-0000B6030000}"/>
    <cellStyle name="Normal 4 7 2 2 5" xfId="5208" xr:uid="{00000000-0005-0000-0000-000023030000}"/>
    <cellStyle name="Normal 4 7 2 2 6" xfId="7421" xr:uid="{00000000-0005-0000-0000-0000D5080000}"/>
    <cellStyle name="Normal 4 7 2 2 7" xfId="9825" xr:uid="{00000000-0005-0000-0000-0000D5080000}"/>
    <cellStyle name="Normal 4 7 2 3" xfId="3384" xr:uid="{00000000-0005-0000-0000-00009E060000}"/>
    <cellStyle name="Normal 4 7 2 3 2" xfId="4550" xr:uid="{00000000-0005-0000-0000-00009E060000}"/>
    <cellStyle name="Normal 4 7 2 3 2 2" xfId="8761" xr:uid="{00000000-0005-0000-0000-0000D9080000}"/>
    <cellStyle name="Normal 4 7 2 3 2 3" xfId="11158" xr:uid="{00000000-0005-0000-0000-0000D9080000}"/>
    <cellStyle name="Normal 4 7 2 3 3" xfId="5647" xr:uid="{00000000-0005-0000-0000-0000B7030000}"/>
    <cellStyle name="Normal 4 7 2 3 4" xfId="7420" xr:uid="{00000000-0005-0000-0000-0000D8080000}"/>
    <cellStyle name="Normal 4 7 2 3 5" xfId="9824" xr:uid="{00000000-0005-0000-0000-0000D8080000}"/>
    <cellStyle name="Normal 4 7 2 4" xfId="3382" xr:uid="{00000000-0005-0000-0000-00009F060000}"/>
    <cellStyle name="Normal 4 7 2 4 2" xfId="8759" xr:uid="{00000000-0005-0000-0000-0000DA080000}"/>
    <cellStyle name="Normal 4 7 2 4 3" xfId="11156" xr:uid="{00000000-0005-0000-0000-0000DA080000}"/>
    <cellStyle name="Normal 4 7 2 5" xfId="2523" xr:uid="{00000000-0005-0000-0000-0000A0060000}"/>
    <cellStyle name="Normal 4 7 2 5 2" xfId="7721" xr:uid="{00000000-0005-0000-0000-0000DB080000}"/>
    <cellStyle name="Normal 4 7 2 5 3" xfId="10118" xr:uid="{00000000-0005-0000-0000-0000DB080000}"/>
    <cellStyle name="Normal 4 7 2 6" xfId="2376" xr:uid="{00000000-0005-0000-0000-00009B060000}"/>
    <cellStyle name="Normal 4 7 2 7" xfId="3941" xr:uid="{00000000-0005-0000-0000-000054020000}"/>
    <cellStyle name="Normal 4 7 2 8" xfId="5401" xr:uid="{00000000-0005-0000-0000-0000B5030000}"/>
    <cellStyle name="Normal 4 7 2 9" xfId="4950" xr:uid="{00000000-0005-0000-0000-000022030000}"/>
    <cellStyle name="Normal 4 7 3" xfId="1033" xr:uid="{00000000-0005-0000-0000-0000BB050000}"/>
    <cellStyle name="Normal 4 7 3 10" xfId="9278" xr:uid="{00000000-0005-0000-0000-0000DC080000}"/>
    <cellStyle name="Normal 4 7 3 2" xfId="2801" xr:uid="{00000000-0005-0000-0000-0000A2060000}"/>
    <cellStyle name="Normal 4 7 3 2 2" xfId="3386" xr:uid="{00000000-0005-0000-0000-0000A3060000}"/>
    <cellStyle name="Normal 4 7 3 2 2 2" xfId="8763" xr:uid="{00000000-0005-0000-0000-0000DE080000}"/>
    <cellStyle name="Normal 4 7 3 2 2 3" xfId="11160" xr:uid="{00000000-0005-0000-0000-0000DE080000}"/>
    <cellStyle name="Normal 4 7 3 2 3" xfId="4353" xr:uid="{00000000-0005-0000-0000-0000A2060000}"/>
    <cellStyle name="Normal 4 7 3 2 3 2" xfId="8075" xr:uid="{00000000-0005-0000-0000-0000DF080000}"/>
    <cellStyle name="Normal 4 7 3 2 3 3" xfId="10472" xr:uid="{00000000-0005-0000-0000-0000DF080000}"/>
    <cellStyle name="Normal 4 7 3 2 4" xfId="5958" xr:uid="{00000000-0005-0000-0000-0000B9030000}"/>
    <cellStyle name="Normal 4 7 3 2 5" xfId="7422" xr:uid="{00000000-0005-0000-0000-0000DD080000}"/>
    <cellStyle name="Normal 4 7 3 2 6" xfId="9826" xr:uid="{00000000-0005-0000-0000-0000DD080000}"/>
    <cellStyle name="Normal 4 7 3 3" xfId="3387" xr:uid="{00000000-0005-0000-0000-0000A4060000}"/>
    <cellStyle name="Normal 4 7 3 3 2" xfId="4551" xr:uid="{00000000-0005-0000-0000-0000A4060000}"/>
    <cellStyle name="Normal 4 7 3 3 2 2" xfId="11915" xr:uid="{00000000-0005-0000-0000-000056090000}"/>
    <cellStyle name="Normal 4 7 3 3 3" xfId="5732" xr:uid="{00000000-0005-0000-0000-0000BA030000}"/>
    <cellStyle name="Normal 4 7 3 3 4" xfId="8764" xr:uid="{00000000-0005-0000-0000-0000E0080000}"/>
    <cellStyle name="Normal 4 7 3 3 5" xfId="11161" xr:uid="{00000000-0005-0000-0000-0000E0080000}"/>
    <cellStyle name="Normal 4 7 3 4" xfId="3385" xr:uid="{00000000-0005-0000-0000-0000A5060000}"/>
    <cellStyle name="Normal 4 7 3 4 2" xfId="8762" xr:uid="{00000000-0005-0000-0000-0000E1080000}"/>
    <cellStyle name="Normal 4 7 3 4 3" xfId="11159" xr:uid="{00000000-0005-0000-0000-0000E1080000}"/>
    <cellStyle name="Normal 4 7 3 5" xfId="2626" xr:uid="{00000000-0005-0000-0000-0000A6060000}"/>
    <cellStyle name="Normal 4 7 3 5 2" xfId="7824" xr:uid="{00000000-0005-0000-0000-0000E2080000}"/>
    <cellStyle name="Normal 4 7 3 5 3" xfId="10221" xr:uid="{00000000-0005-0000-0000-0000E2080000}"/>
    <cellStyle name="Normal 4 7 3 6" xfId="4202" xr:uid="{00000000-0005-0000-0000-0000A1060000}"/>
    <cellStyle name="Normal 4 7 3 7" xfId="5502" xr:uid="{00000000-0005-0000-0000-0000B8030000}"/>
    <cellStyle name="Normal 4 7 3 8" xfId="5207" xr:uid="{00000000-0005-0000-0000-000024030000}"/>
    <cellStyle name="Normal 4 7 3 9" xfId="6857" xr:uid="{00000000-0005-0000-0000-0000DC080000}"/>
    <cellStyle name="Normal 4 7 4" xfId="1034" xr:uid="{00000000-0005-0000-0000-0000BC050000}"/>
    <cellStyle name="Normal 4 7 4 2" xfId="3388" xr:uid="{00000000-0005-0000-0000-0000A8060000}"/>
    <cellStyle name="Normal 4 7 4 2 2" xfId="8765" xr:uid="{00000000-0005-0000-0000-0000E4080000}"/>
    <cellStyle name="Normal 4 7 4 2 3" xfId="11162" xr:uid="{00000000-0005-0000-0000-0000E4080000}"/>
    <cellStyle name="Normal 4 7 4 3" xfId="4351" xr:uid="{00000000-0005-0000-0000-0000A7060000}"/>
    <cellStyle name="Normal 4 7 4 3 2" xfId="8073" xr:uid="{00000000-0005-0000-0000-0000E5080000}"/>
    <cellStyle name="Normal 4 7 4 3 3" xfId="10470" xr:uid="{00000000-0005-0000-0000-0000E5080000}"/>
    <cellStyle name="Normal 4 7 4 4" xfId="5956" xr:uid="{00000000-0005-0000-0000-0000BB030000}"/>
    <cellStyle name="Normal 4 7 4 5" xfId="7423" xr:uid="{00000000-0005-0000-0000-0000E3080000}"/>
    <cellStyle name="Normal 4 7 4 6" xfId="9827" xr:uid="{00000000-0005-0000-0000-0000E3080000}"/>
    <cellStyle name="Normal 4 7 5" xfId="3389" xr:uid="{00000000-0005-0000-0000-0000A9060000}"/>
    <cellStyle name="Normal 4 7 5 2" xfId="4552" xr:uid="{00000000-0005-0000-0000-0000A9060000}"/>
    <cellStyle name="Normal 4 7 5 2 2" xfId="8766" xr:uid="{00000000-0005-0000-0000-0000E7080000}"/>
    <cellStyle name="Normal 4 7 5 2 3" xfId="11163" xr:uid="{00000000-0005-0000-0000-0000E7080000}"/>
    <cellStyle name="Normal 4 7 5 3" xfId="5587" xr:uid="{00000000-0005-0000-0000-0000BC030000}"/>
    <cellStyle name="Normal 4 7 5 4" xfId="7419" xr:uid="{00000000-0005-0000-0000-0000E6080000}"/>
    <cellStyle name="Normal 4 7 5 5" xfId="9823" xr:uid="{00000000-0005-0000-0000-0000E6080000}"/>
    <cellStyle name="Normal 4 7 6" xfId="2945" xr:uid="{00000000-0005-0000-0000-0000AA060000}"/>
    <cellStyle name="Normal 4 7 6 2" xfId="8276" xr:uid="{00000000-0005-0000-0000-0000E8080000}"/>
    <cellStyle name="Normal 4 7 6 3" xfId="10673" xr:uid="{00000000-0005-0000-0000-0000E8080000}"/>
    <cellStyle name="Normal 4 7 7" xfId="2463" xr:uid="{00000000-0005-0000-0000-0000AB060000}"/>
    <cellStyle name="Normal 4 7 7 2" xfId="7661" xr:uid="{00000000-0005-0000-0000-0000E9080000}"/>
    <cellStyle name="Normal 4 7 7 3" xfId="10058" xr:uid="{00000000-0005-0000-0000-0000E9080000}"/>
    <cellStyle name="Normal 4 7 8" xfId="2217" xr:uid="{00000000-0005-0000-0000-00009A060000}"/>
    <cellStyle name="Normal 4 7 9" xfId="3997" xr:uid="{00000000-0005-0000-0000-000053020000}"/>
    <cellStyle name="Normal 4 8" xfId="1035" xr:uid="{00000000-0005-0000-0000-0000BD050000}"/>
    <cellStyle name="Normal 4 8 10" xfId="4780" xr:uid="{00000000-0005-0000-0000-000025030000}"/>
    <cellStyle name="Normal 4 8 11" xfId="6697" xr:uid="{00000000-0005-0000-0000-0000EA080000}"/>
    <cellStyle name="Normal 4 8 12" xfId="9118" xr:uid="{00000000-0005-0000-0000-0000EA080000}"/>
    <cellStyle name="Normal 4 8 2" xfId="1036" xr:uid="{00000000-0005-0000-0000-0000BE050000}"/>
    <cellStyle name="Normal 4 8 2 10" xfId="6858" xr:uid="{00000000-0005-0000-0000-0000EB080000}"/>
    <cellStyle name="Normal 4 8 2 11" xfId="9279" xr:uid="{00000000-0005-0000-0000-0000EB080000}"/>
    <cellStyle name="Normal 4 8 2 2" xfId="1037" xr:uid="{00000000-0005-0000-0000-0000BF050000}"/>
    <cellStyle name="Normal 4 8 2 2 2" xfId="3391" xr:uid="{00000000-0005-0000-0000-0000AF060000}"/>
    <cellStyle name="Normal 4 8 2 2 2 2" xfId="8768" xr:uid="{00000000-0005-0000-0000-0000ED080000}"/>
    <cellStyle name="Normal 4 8 2 2 2 3" xfId="11165" xr:uid="{00000000-0005-0000-0000-0000ED080000}"/>
    <cellStyle name="Normal 4 8 2 2 3" xfId="4354" xr:uid="{00000000-0005-0000-0000-0000AE060000}"/>
    <cellStyle name="Normal 4 8 2 2 3 2" xfId="8077" xr:uid="{00000000-0005-0000-0000-0000EE080000}"/>
    <cellStyle name="Normal 4 8 2 2 3 3" xfId="10474" xr:uid="{00000000-0005-0000-0000-0000EE080000}"/>
    <cellStyle name="Normal 4 8 2 2 4" xfId="5960" xr:uid="{00000000-0005-0000-0000-0000BF030000}"/>
    <cellStyle name="Normal 4 8 2 2 5" xfId="5210" xr:uid="{00000000-0005-0000-0000-000027030000}"/>
    <cellStyle name="Normal 4 8 2 2 6" xfId="7426" xr:uid="{00000000-0005-0000-0000-0000EC080000}"/>
    <cellStyle name="Normal 4 8 2 2 7" xfId="9830" xr:uid="{00000000-0005-0000-0000-0000EC080000}"/>
    <cellStyle name="Normal 4 8 2 3" xfId="3392" xr:uid="{00000000-0005-0000-0000-0000B0060000}"/>
    <cellStyle name="Normal 4 8 2 3 2" xfId="4553" xr:uid="{00000000-0005-0000-0000-0000B0060000}"/>
    <cellStyle name="Normal 4 8 2 3 2 2" xfId="8769" xr:uid="{00000000-0005-0000-0000-0000F0080000}"/>
    <cellStyle name="Normal 4 8 2 3 2 3" xfId="11166" xr:uid="{00000000-0005-0000-0000-0000F0080000}"/>
    <cellStyle name="Normal 4 8 2 3 3" xfId="5715" xr:uid="{00000000-0005-0000-0000-0000C0030000}"/>
    <cellStyle name="Normal 4 8 2 3 4" xfId="7425" xr:uid="{00000000-0005-0000-0000-0000EF080000}"/>
    <cellStyle name="Normal 4 8 2 3 5" xfId="9829" xr:uid="{00000000-0005-0000-0000-0000EF080000}"/>
    <cellStyle name="Normal 4 8 2 4" xfId="3390" xr:uid="{00000000-0005-0000-0000-0000B1060000}"/>
    <cellStyle name="Normal 4 8 2 4 2" xfId="8767" xr:uid="{00000000-0005-0000-0000-0000F1080000}"/>
    <cellStyle name="Normal 4 8 2 4 3" xfId="11164" xr:uid="{00000000-0005-0000-0000-0000F1080000}"/>
    <cellStyle name="Normal 4 8 2 5" xfId="2609" xr:uid="{00000000-0005-0000-0000-0000B2060000}"/>
    <cellStyle name="Normal 4 8 2 5 2" xfId="7807" xr:uid="{00000000-0005-0000-0000-0000F2080000}"/>
    <cellStyle name="Normal 4 8 2 5 3" xfId="10204" xr:uid="{00000000-0005-0000-0000-0000F2080000}"/>
    <cellStyle name="Normal 4 8 2 6" xfId="2377" xr:uid="{00000000-0005-0000-0000-0000AD060000}"/>
    <cellStyle name="Normal 4 8 2 7" xfId="3942" xr:uid="{00000000-0005-0000-0000-000056020000}"/>
    <cellStyle name="Normal 4 8 2 8" xfId="5485" xr:uid="{00000000-0005-0000-0000-0000BE030000}"/>
    <cellStyle name="Normal 4 8 2 9" xfId="4951" xr:uid="{00000000-0005-0000-0000-000026030000}"/>
    <cellStyle name="Normal 4 8 3" xfId="1038" xr:uid="{00000000-0005-0000-0000-0000C0050000}"/>
    <cellStyle name="Normal 4 8 3 2" xfId="3393" xr:uid="{00000000-0005-0000-0000-0000B4060000}"/>
    <cellStyle name="Normal 4 8 3 2 2" xfId="8770" xr:uid="{00000000-0005-0000-0000-0000F4080000}"/>
    <cellStyle name="Normal 4 8 3 2 2 2" xfId="11916" xr:uid="{00000000-0005-0000-0000-00006B090000}"/>
    <cellStyle name="Normal 4 8 3 2 3" xfId="11167" xr:uid="{00000000-0005-0000-0000-0000F4080000}"/>
    <cellStyle name="Normal 4 8 3 2 4" xfId="11709" xr:uid="{00000000-0005-0000-0000-00006A090000}"/>
    <cellStyle name="Normal 4 8 3 3" xfId="2802" xr:uid="{00000000-0005-0000-0000-0000B5060000}"/>
    <cellStyle name="Normal 4 8 3 3 2" xfId="8076" xr:uid="{00000000-0005-0000-0000-0000F5080000}"/>
    <cellStyle name="Normal 4 8 3 3 3" xfId="10473" xr:uid="{00000000-0005-0000-0000-0000F5080000}"/>
    <cellStyle name="Normal 4 8 3 4" xfId="4203" xr:uid="{00000000-0005-0000-0000-0000B3060000}"/>
    <cellStyle name="Normal 4 8 3 4 2" xfId="11823" xr:uid="{00000000-0005-0000-0000-00006D090000}"/>
    <cellStyle name="Normal 4 8 3 5" xfId="5959" xr:uid="{00000000-0005-0000-0000-0000C1030000}"/>
    <cellStyle name="Normal 4 8 3 6" xfId="5209" xr:uid="{00000000-0005-0000-0000-000028030000}"/>
    <cellStyle name="Normal 4 8 3 7" xfId="7427" xr:uid="{00000000-0005-0000-0000-0000F3080000}"/>
    <cellStyle name="Normal 4 8 3 8" xfId="9831" xr:uid="{00000000-0005-0000-0000-0000F3080000}"/>
    <cellStyle name="Normal 4 8 4" xfId="1039" xr:uid="{00000000-0005-0000-0000-0000C1050000}"/>
    <cellStyle name="Normal 4 8 4 2" xfId="4554" xr:uid="{00000000-0005-0000-0000-0000B6060000}"/>
    <cellStyle name="Normal 4 8 4 2 2" xfId="8771" xr:uid="{00000000-0005-0000-0000-0000F7080000}"/>
    <cellStyle name="Normal 4 8 4 2 3" xfId="11168" xr:uid="{00000000-0005-0000-0000-0000F7080000}"/>
    <cellStyle name="Normal 4 8 4 3" xfId="5570" xr:uid="{00000000-0005-0000-0000-0000C2030000}"/>
    <cellStyle name="Normal 4 8 4 4" xfId="7428" xr:uid="{00000000-0005-0000-0000-0000F6080000}"/>
    <cellStyle name="Normal 4 8 4 5" xfId="9832" xr:uid="{00000000-0005-0000-0000-0000F6080000}"/>
    <cellStyle name="Normal 4 8 5" xfId="2946" xr:uid="{00000000-0005-0000-0000-0000B7060000}"/>
    <cellStyle name="Normal 4 8 5 2" xfId="8277" xr:uid="{00000000-0005-0000-0000-0000F9080000}"/>
    <cellStyle name="Normal 4 8 5 2 2" xfId="10674" xr:uid="{00000000-0005-0000-0000-0000F9080000}"/>
    <cellStyle name="Normal 4 8 5 3" xfId="7424" xr:uid="{00000000-0005-0000-0000-0000F8080000}"/>
    <cellStyle name="Normal 4 8 5 4" xfId="9828" xr:uid="{00000000-0005-0000-0000-0000F8080000}"/>
    <cellStyle name="Normal 4 8 6" xfId="2446" xr:uid="{00000000-0005-0000-0000-0000B8060000}"/>
    <cellStyle name="Normal 4 8 6 2" xfId="7644" xr:uid="{00000000-0005-0000-0000-0000FA080000}"/>
    <cellStyle name="Normal 4 8 6 3" xfId="10041" xr:uid="{00000000-0005-0000-0000-0000FA080000}"/>
    <cellStyle name="Normal 4 8 7" xfId="2200" xr:uid="{00000000-0005-0000-0000-0000AC060000}"/>
    <cellStyle name="Normal 4 8 8" xfId="3998" xr:uid="{00000000-0005-0000-0000-000055020000}"/>
    <cellStyle name="Normal 4 8 9" xfId="5324" xr:uid="{00000000-0005-0000-0000-0000BD030000}"/>
    <cellStyle name="Normal 4 9" xfId="1040" xr:uid="{00000000-0005-0000-0000-0000C2050000}"/>
    <cellStyle name="Normal 4 9 10" xfId="4952" xr:uid="{00000000-0005-0000-0000-000029030000}"/>
    <cellStyle name="Normal 4 9 11" xfId="6698" xr:uid="{00000000-0005-0000-0000-0000FB080000}"/>
    <cellStyle name="Normal 4 9 12" xfId="9119" xr:uid="{00000000-0005-0000-0000-0000FB080000}"/>
    <cellStyle name="Normal 4 9 2" xfId="1041" xr:uid="{00000000-0005-0000-0000-0000C3050000}"/>
    <cellStyle name="Normal 4 9 2 10" xfId="6859" xr:uid="{00000000-0005-0000-0000-0000FC080000}"/>
    <cellStyle name="Normal 4 9 2 11" xfId="9280" xr:uid="{00000000-0005-0000-0000-0000FC080000}"/>
    <cellStyle name="Normal 4 9 2 2" xfId="1042" xr:uid="{00000000-0005-0000-0000-0000C4050000}"/>
    <cellStyle name="Normal 4 9 2 2 2" xfId="3395" xr:uid="{00000000-0005-0000-0000-0000BC060000}"/>
    <cellStyle name="Normal 4 9 2 2 2 2" xfId="8773" xr:uid="{00000000-0005-0000-0000-0000FE080000}"/>
    <cellStyle name="Normal 4 9 2 2 2 3" xfId="11170" xr:uid="{00000000-0005-0000-0000-0000FE080000}"/>
    <cellStyle name="Normal 4 9 2 2 3" xfId="4355" xr:uid="{00000000-0005-0000-0000-0000BB060000}"/>
    <cellStyle name="Normal 4 9 2 2 3 2" xfId="8079" xr:uid="{00000000-0005-0000-0000-0000FF080000}"/>
    <cellStyle name="Normal 4 9 2 2 3 3" xfId="10476" xr:uid="{00000000-0005-0000-0000-0000FF080000}"/>
    <cellStyle name="Normal 4 9 2 2 4" xfId="5962" xr:uid="{00000000-0005-0000-0000-0000C5030000}"/>
    <cellStyle name="Normal 4 9 2 2 5" xfId="7431" xr:uid="{00000000-0005-0000-0000-0000FD080000}"/>
    <cellStyle name="Normal 4 9 2 2 6" xfId="9835" xr:uid="{00000000-0005-0000-0000-0000FD080000}"/>
    <cellStyle name="Normal 4 9 2 3" xfId="3396" xr:uid="{00000000-0005-0000-0000-0000BD060000}"/>
    <cellStyle name="Normal 4 9 2 3 2" xfId="4555" xr:uid="{00000000-0005-0000-0000-0000BD060000}"/>
    <cellStyle name="Normal 4 9 2 3 2 2" xfId="8774" xr:uid="{00000000-0005-0000-0000-000001090000}"/>
    <cellStyle name="Normal 4 9 2 3 2 3" xfId="11171" xr:uid="{00000000-0005-0000-0000-000001090000}"/>
    <cellStyle name="Normal 4 9 2 3 3" xfId="5762" xr:uid="{00000000-0005-0000-0000-0000C6030000}"/>
    <cellStyle name="Normal 4 9 2 3 4" xfId="7430" xr:uid="{00000000-0005-0000-0000-000000090000}"/>
    <cellStyle name="Normal 4 9 2 3 5" xfId="9834" xr:uid="{00000000-0005-0000-0000-000000090000}"/>
    <cellStyle name="Normal 4 9 2 4" xfId="3394" xr:uid="{00000000-0005-0000-0000-0000BE060000}"/>
    <cellStyle name="Normal 4 9 2 4 2" xfId="8772" xr:uid="{00000000-0005-0000-0000-000002090000}"/>
    <cellStyle name="Normal 4 9 2 4 3" xfId="11169" xr:uid="{00000000-0005-0000-0000-000002090000}"/>
    <cellStyle name="Normal 4 9 2 5" xfId="2657" xr:uid="{00000000-0005-0000-0000-0000BF060000}"/>
    <cellStyle name="Normal 4 9 2 5 2" xfId="7869" xr:uid="{00000000-0005-0000-0000-000003090000}"/>
    <cellStyle name="Normal 4 9 2 5 3" xfId="10266" xr:uid="{00000000-0005-0000-0000-000003090000}"/>
    <cellStyle name="Normal 4 9 2 6" xfId="2378" xr:uid="{00000000-0005-0000-0000-0000BA060000}"/>
    <cellStyle name="Normal 4 9 2 7" xfId="3955" xr:uid="{00000000-0005-0000-0000-000058020000}"/>
    <cellStyle name="Normal 4 9 2 8" xfId="5547" xr:uid="{00000000-0005-0000-0000-0000C4030000}"/>
    <cellStyle name="Normal 4 9 2 9" xfId="5211" xr:uid="{00000000-0005-0000-0000-00002A030000}"/>
    <cellStyle name="Normal 4 9 3" xfId="1043" xr:uid="{00000000-0005-0000-0000-0000C5050000}"/>
    <cellStyle name="Normal 4 9 3 2" xfId="3397" xr:uid="{00000000-0005-0000-0000-0000C1060000}"/>
    <cellStyle name="Normal 4 9 3 2 2" xfId="8775" xr:uid="{00000000-0005-0000-0000-000005090000}"/>
    <cellStyle name="Normal 4 9 3 2 2 2" xfId="11917" xr:uid="{00000000-0005-0000-0000-00007E090000}"/>
    <cellStyle name="Normal 4 9 3 2 3" xfId="11172" xr:uid="{00000000-0005-0000-0000-000005090000}"/>
    <cellStyle name="Normal 4 9 3 2 4" xfId="11710" xr:uid="{00000000-0005-0000-0000-00007D090000}"/>
    <cellStyle name="Normal 4 9 3 3" xfId="2803" xr:uid="{00000000-0005-0000-0000-0000C2060000}"/>
    <cellStyle name="Normal 4 9 3 3 2" xfId="8078" xr:uid="{00000000-0005-0000-0000-000006090000}"/>
    <cellStyle name="Normal 4 9 3 3 3" xfId="10475" xr:uid="{00000000-0005-0000-0000-000006090000}"/>
    <cellStyle name="Normal 4 9 3 4" xfId="4204" xr:uid="{00000000-0005-0000-0000-0000C0060000}"/>
    <cellStyle name="Normal 4 9 3 4 2" xfId="11824" xr:uid="{00000000-0005-0000-0000-000080090000}"/>
    <cellStyle name="Normal 4 9 3 5" xfId="5961" xr:uid="{00000000-0005-0000-0000-0000C7030000}"/>
    <cellStyle name="Normal 4 9 3 6" xfId="7432" xr:uid="{00000000-0005-0000-0000-000004090000}"/>
    <cellStyle name="Normal 4 9 3 7" xfId="9836" xr:uid="{00000000-0005-0000-0000-000004090000}"/>
    <cellStyle name="Normal 4 9 4" xfId="1044" xr:uid="{00000000-0005-0000-0000-0000C6050000}"/>
    <cellStyle name="Normal 4 9 4 2" xfId="4556" xr:uid="{00000000-0005-0000-0000-0000C3060000}"/>
    <cellStyle name="Normal 4 9 4 2 2" xfId="8776" xr:uid="{00000000-0005-0000-0000-000008090000}"/>
    <cellStyle name="Normal 4 9 4 2 3" xfId="11173" xr:uid="{00000000-0005-0000-0000-000008090000}"/>
    <cellStyle name="Normal 4 9 4 3" xfId="5630" xr:uid="{00000000-0005-0000-0000-0000C8030000}"/>
    <cellStyle name="Normal 4 9 4 4" xfId="7433" xr:uid="{00000000-0005-0000-0000-000007090000}"/>
    <cellStyle name="Normal 4 9 4 5" xfId="9837" xr:uid="{00000000-0005-0000-0000-000007090000}"/>
    <cellStyle name="Normal 4 9 5" xfId="2947" xr:uid="{00000000-0005-0000-0000-0000C4060000}"/>
    <cellStyle name="Normal 4 9 5 2" xfId="8278" xr:uid="{00000000-0005-0000-0000-00000A090000}"/>
    <cellStyle name="Normal 4 9 5 2 2" xfId="10675" xr:uid="{00000000-0005-0000-0000-00000A090000}"/>
    <cellStyle name="Normal 4 9 5 3" xfId="7429" xr:uid="{00000000-0005-0000-0000-000009090000}"/>
    <cellStyle name="Normal 4 9 5 4" xfId="9833" xr:uid="{00000000-0005-0000-0000-000009090000}"/>
    <cellStyle name="Normal 4 9 6" xfId="2506" xr:uid="{00000000-0005-0000-0000-0000C5060000}"/>
    <cellStyle name="Normal 4 9 6 2" xfId="7704" xr:uid="{00000000-0005-0000-0000-00000B090000}"/>
    <cellStyle name="Normal 4 9 6 3" xfId="10101" xr:uid="{00000000-0005-0000-0000-00000B090000}"/>
    <cellStyle name="Normal 4 9 7" xfId="2262" xr:uid="{00000000-0005-0000-0000-0000B9060000}"/>
    <cellStyle name="Normal 4 9 8" xfId="3999" xr:uid="{00000000-0005-0000-0000-000057020000}"/>
    <cellStyle name="Normal 4 9 9" xfId="5384" xr:uid="{00000000-0005-0000-0000-0000C3030000}"/>
    <cellStyle name="Normal 5" xfId="1045" xr:uid="{00000000-0005-0000-0000-0000C7050000}"/>
    <cellStyle name="Normal 5 2" xfId="1046" xr:uid="{00000000-0005-0000-0000-0000C8050000}"/>
    <cellStyle name="Normal 5 2 2" xfId="1047" xr:uid="{00000000-0005-0000-0000-0000C9050000}"/>
    <cellStyle name="Normal 5 2 2 2" xfId="1048" xr:uid="{00000000-0005-0000-0000-0000CA050000}"/>
    <cellStyle name="Normal 5 2 2 3" xfId="1049" xr:uid="{00000000-0005-0000-0000-0000CB050000}"/>
    <cellStyle name="Normal 5 2 2 3 2" xfId="1050" xr:uid="{00000000-0005-0000-0000-0000CC050000}"/>
    <cellStyle name="Normal 5 2 2 3 3" xfId="1051" xr:uid="{00000000-0005-0000-0000-0000CD050000}"/>
    <cellStyle name="Normal 5 2 2 3 3 2" xfId="1052" xr:uid="{00000000-0005-0000-0000-0000CE050000}"/>
    <cellStyle name="Normal 5 2 2 3 3 2 2" xfId="1053" xr:uid="{00000000-0005-0000-0000-0000CF050000}"/>
    <cellStyle name="Normal 5 2 2 3 3 2 3" xfId="1054" xr:uid="{00000000-0005-0000-0000-0000D0050000}"/>
    <cellStyle name="Normal 5 2 2 3 3 2 3 2" xfId="1055" xr:uid="{00000000-0005-0000-0000-0000D1050000}"/>
    <cellStyle name="Normal 5 2 2 3 3 2 3 2 2" xfId="1056" xr:uid="{00000000-0005-0000-0000-0000D2050000}"/>
    <cellStyle name="Normal 5 2 2 3 3 2 3 2 2 2" xfId="11380" xr:uid="{00000000-0005-0000-0000-0000EB2C0000}"/>
    <cellStyle name="Normal 5 2 2 3 3 2 3 2 2 2 2" xfId="11493" xr:uid="{00000000-0005-0000-0000-000036030000}"/>
    <cellStyle name="Normal 5 2 2 3 3 2 3 2 3" xfId="1057" xr:uid="{00000000-0005-0000-0000-0000D3050000}"/>
    <cellStyle name="Normal 5 2 2 3 3 2 3 2 3 2" xfId="1994" xr:uid="{00000000-0005-0000-0000-0000D4050000}"/>
    <cellStyle name="Normal 5 2 2 3 3 2 3 2 3 3" xfId="3718" xr:uid="{00000000-0005-0000-0000-000040050000}"/>
    <cellStyle name="Normal 5 2 2 3 3 2 3 2 4" xfId="5002" xr:uid="{00000000-0005-0000-0000-000035030000}"/>
    <cellStyle name="Normal 5 2 2 3 3 2 3 2 4 2" xfId="11533" xr:uid="{00000000-0005-0000-0000-0000BF040000}"/>
    <cellStyle name="Normal 5 2 2 3 3 2 3 3" xfId="1058" xr:uid="{00000000-0005-0000-0000-0000D5050000}"/>
    <cellStyle name="Normal 5 2 2 3 3 2 3 4" xfId="2949" xr:uid="{00000000-0005-0000-0000-0000D2060000}"/>
    <cellStyle name="Normal 5 2 2 3 3 2 3 5" xfId="2102" xr:uid="{00000000-0005-0000-0000-000062020000}"/>
    <cellStyle name="Normal 5 2 2 3 3 2 3 5 2" xfId="4646" xr:uid="{00000000-0005-0000-0000-0000CF060000}"/>
    <cellStyle name="Normal 5 2 2 3 3 2 3 6" xfId="4001" xr:uid="{00000000-0005-0000-0000-000062020000}"/>
    <cellStyle name="Normal 5 2 2 3 3 2 4" xfId="1059" xr:uid="{00000000-0005-0000-0000-0000D6050000}"/>
    <cellStyle name="Normal 5 2 2 3 3 2 4 2" xfId="2948" xr:uid="{00000000-0005-0000-0000-0000D3060000}"/>
    <cellStyle name="Normal 5 2 2 3 3 2 4 3" xfId="4701" xr:uid="{00000000-0005-0000-0000-000080120000}"/>
    <cellStyle name="Normal 5 2 2 3 3 2 5" xfId="2101" xr:uid="{00000000-0005-0000-0000-000060020000}"/>
    <cellStyle name="Normal 5 2 2 3 3 2 5 2" xfId="4665" xr:uid="{00000000-0005-0000-0000-0000CD060000}"/>
    <cellStyle name="Normal 5 2 2 3 3 2 6" xfId="4000" xr:uid="{00000000-0005-0000-0000-000060020000}"/>
    <cellStyle name="Normal 5 2 2 3 3 3" xfId="1060" xr:uid="{00000000-0005-0000-0000-0000D7050000}"/>
    <cellStyle name="Normal 5 2 2 3 3 4" xfId="1061" xr:uid="{00000000-0005-0000-0000-0000D8050000}"/>
    <cellStyle name="Normal 5 2 2 3 3 4 2" xfId="1062" xr:uid="{00000000-0005-0000-0000-0000D9050000}"/>
    <cellStyle name="Normal 5 2 2 3 3 4 2 2" xfId="1063" xr:uid="{00000000-0005-0000-0000-0000DA050000}"/>
    <cellStyle name="Normal 5 2 2 3 3 4 2 2 2" xfId="1064" xr:uid="{00000000-0005-0000-0000-0000DB050000}"/>
    <cellStyle name="Normal 5 2 2 3 3 4 2 2 2 2" xfId="1995" xr:uid="{00000000-0005-0000-0000-0000DC050000}"/>
    <cellStyle name="Normal 5 2 2 3 3 4 2 2 2 2 2" xfId="11384" xr:uid="{00000000-0005-0000-0000-0000EC2C0000}"/>
    <cellStyle name="Normal 5 2 2 3 3 4 2 2 2 3" xfId="3719" xr:uid="{00000000-0005-0000-0000-000047050000}"/>
    <cellStyle name="Normal 5 2 2 3 3 4 2 2 2 3 2" xfId="11494" xr:uid="{00000000-0005-0000-0000-00003C030000}"/>
    <cellStyle name="Normal 5 2 2 3 3 4 2 2 3" xfId="1996" xr:uid="{00000000-0005-0000-0000-0000DD050000}"/>
    <cellStyle name="Normal 5 2 2 3 3 4 2 2 4" xfId="5003" xr:uid="{00000000-0005-0000-0000-00003B030000}"/>
    <cellStyle name="Normal 5 2 2 3 3 4 2 2 4 2" xfId="11534" xr:uid="{00000000-0005-0000-0000-0000C7040000}"/>
    <cellStyle name="Normal 5 2 2 3 3 4 2 3" xfId="1065" xr:uid="{00000000-0005-0000-0000-0000DE050000}"/>
    <cellStyle name="Normal 5 2 2 3 3 4 2 3 2" xfId="1066" xr:uid="{00000000-0005-0000-0000-0000DF050000}"/>
    <cellStyle name="Normal 5 2 2 3 3 4 2 3 2 2" xfId="6039" xr:uid="{00000000-0005-0000-0000-000069020000}"/>
    <cellStyle name="Normal 5 2 2 3 3 4 2 3 2 3" xfId="5281" xr:uid="{00000000-0005-0000-0000-00003E030000}"/>
    <cellStyle name="Normal 5 2 2 3 3 4 2 3 3" xfId="1067" xr:uid="{00000000-0005-0000-0000-0000E0050000}"/>
    <cellStyle name="Normal 5 2 2 3 3 4 2 3 3 2" xfId="11370" xr:uid="{00000000-0005-0000-0000-0000ED2C0000}"/>
    <cellStyle name="Normal 5 2 2 3 3 4 2 3 3 2 2" xfId="11524" xr:uid="{00000000-0005-0000-0000-0000E0050000}"/>
    <cellStyle name="Normal 5 2 2 3 3 4 2 3 4" xfId="2104" xr:uid="{00000000-0005-0000-0000-000068020000}"/>
    <cellStyle name="Normal 5 2 2 3 3 4 2 3 4 2" xfId="11526" xr:uid="{00000000-0005-0000-0000-0000CB040000}"/>
    <cellStyle name="Normal 5 2 2 3 3 4 2 3 5" xfId="5212" xr:uid="{00000000-0005-0000-0000-00003D030000}"/>
    <cellStyle name="Normal 5 2 2 3 3 4 2 4" xfId="4702" xr:uid="{00000000-0005-0000-0000-000081120000}"/>
    <cellStyle name="Normal 5 2 2 3 3 4 3" xfId="1068" xr:uid="{00000000-0005-0000-0000-0000E1050000}"/>
    <cellStyle name="Normal 5 2 2 3 3 4 4" xfId="2950" xr:uid="{00000000-0005-0000-0000-0000DB060000}"/>
    <cellStyle name="Normal 5 2 2 3 3 4 5" xfId="2103" xr:uid="{00000000-0005-0000-0000-000065020000}"/>
    <cellStyle name="Normal 5 2 2 3 3 4 5 2" xfId="3791" xr:uid="{00000000-0005-0000-0000-0000D5060000}"/>
    <cellStyle name="Normal 5 2 2 3 3 4 6" xfId="4002" xr:uid="{00000000-0005-0000-0000-000065020000}"/>
    <cellStyle name="Normal 5 2 2 3 3 5" xfId="1069" xr:uid="{00000000-0005-0000-0000-0000E2050000}"/>
    <cellStyle name="Normal 5 2 2 3 3 5 2" xfId="1070" xr:uid="{00000000-0005-0000-0000-0000E3050000}"/>
    <cellStyle name="Normal 5 2 2 3 3 5 3" xfId="3720" xr:uid="{00000000-0005-0000-0000-00004E050000}"/>
    <cellStyle name="Normal 5 2 2 3 3 5 3 2" xfId="6500" xr:uid="{00000000-0005-0000-0000-00008E080000}"/>
    <cellStyle name="Normal 5 2 2 3 4" xfId="1071" xr:uid="{00000000-0005-0000-0000-0000E4050000}"/>
    <cellStyle name="Normal 5 2 2 3 4 2" xfId="1072" xr:uid="{00000000-0005-0000-0000-0000E5050000}"/>
    <cellStyle name="Normal 5 2 2 3 4 3" xfId="1073" xr:uid="{00000000-0005-0000-0000-0000E6050000}"/>
    <cellStyle name="Normal 5 2 2 3 4 3 2" xfId="1074" xr:uid="{00000000-0005-0000-0000-0000E7050000}"/>
    <cellStyle name="Normal 5 2 2 3 4 3 2 2" xfId="1075" xr:uid="{00000000-0005-0000-0000-0000E8050000}"/>
    <cellStyle name="Normal 5 2 2 3 4 3 2 2 2" xfId="11360" xr:uid="{00000000-0005-0000-0000-0000EE2C0000}"/>
    <cellStyle name="Normal 5 2 2 3 4 3 2 2 2 2" xfId="11495" xr:uid="{00000000-0005-0000-0000-000045030000}"/>
    <cellStyle name="Normal 5 2 2 3 4 3 2 3" xfId="1076" xr:uid="{00000000-0005-0000-0000-0000E9050000}"/>
    <cellStyle name="Normal 5 2 2 3 4 3 2 3 2" xfId="1997" xr:uid="{00000000-0005-0000-0000-0000EA050000}"/>
    <cellStyle name="Normal 5 2 2 3 4 3 2 3 3" xfId="3721" xr:uid="{00000000-0005-0000-0000-000055050000}"/>
    <cellStyle name="Normal 5 2 2 3 4 3 2 4" xfId="5004" xr:uid="{00000000-0005-0000-0000-000044030000}"/>
    <cellStyle name="Normal 5 2 2 3 4 3 2 4 2" xfId="11535" xr:uid="{00000000-0005-0000-0000-0000D5040000}"/>
    <cellStyle name="Normal 5 2 2 3 4 3 3" xfId="1077" xr:uid="{00000000-0005-0000-0000-0000EB050000}"/>
    <cellStyle name="Normal 5 2 2 3 4 3 4" xfId="2951" xr:uid="{00000000-0005-0000-0000-0000E1060000}"/>
    <cellStyle name="Normal 5 2 2 3 4 3 5" xfId="2106" xr:uid="{00000000-0005-0000-0000-00006C020000}"/>
    <cellStyle name="Normal 5 2 2 3 4 3 5 2" xfId="4053" xr:uid="{00000000-0005-0000-0000-0000DE060000}"/>
    <cellStyle name="Normal 5 2 2 3 4 3 6" xfId="4004" xr:uid="{00000000-0005-0000-0000-00006C020000}"/>
    <cellStyle name="Normal 5 2 2 3 4 4" xfId="1078" xr:uid="{00000000-0005-0000-0000-0000EC050000}"/>
    <cellStyle name="Normal 5 2 2 3 4 4 2" xfId="1998" xr:uid="{00000000-0005-0000-0000-0000ED050000}"/>
    <cellStyle name="Normal 5 2 2 3 4 4 3" xfId="3722" xr:uid="{00000000-0005-0000-0000-000058050000}"/>
    <cellStyle name="Normal 5 2 2 3 4 5" xfId="2105" xr:uid="{00000000-0005-0000-0000-00006A020000}"/>
    <cellStyle name="Normal 5 2 2 3 4 5 2" xfId="4659" xr:uid="{00000000-0005-0000-0000-0000DC060000}"/>
    <cellStyle name="Normal 5 2 2 3 4 6" xfId="4003" xr:uid="{00000000-0005-0000-0000-00006A020000}"/>
    <cellStyle name="Normal 5 2 2 3 5" xfId="2067" xr:uid="{00000000-0005-0000-0000-00005D020000}"/>
    <cellStyle name="Normal 5 2 2 4" xfId="1079" xr:uid="{00000000-0005-0000-0000-0000EE050000}"/>
    <cellStyle name="Normal 5 2 2 4 2" xfId="1080" xr:uid="{00000000-0005-0000-0000-0000EF050000}"/>
    <cellStyle name="Normal 5 2 2 4 3" xfId="1081" xr:uid="{00000000-0005-0000-0000-0000F0050000}"/>
    <cellStyle name="Normal 5 2 2 4 3 2" xfId="1082" xr:uid="{00000000-0005-0000-0000-0000F1050000}"/>
    <cellStyle name="Normal 5 2 2 4 3 2 2" xfId="1083" xr:uid="{00000000-0005-0000-0000-0000F2050000}"/>
    <cellStyle name="Normal 5 2 2 4 3 2 2 2" xfId="11361" xr:uid="{00000000-0005-0000-0000-0000EF2C0000}"/>
    <cellStyle name="Normal 5 2 2 4 3 2 2 2 2" xfId="11496" xr:uid="{00000000-0005-0000-0000-00004B030000}"/>
    <cellStyle name="Normal 5 2 2 4 3 2 3" xfId="1084" xr:uid="{00000000-0005-0000-0000-0000F3050000}"/>
    <cellStyle name="Normal 5 2 2 4 3 2 3 2" xfId="1999" xr:uid="{00000000-0005-0000-0000-0000F4050000}"/>
    <cellStyle name="Normal 5 2 2 4 3 2 3 3" xfId="3723" xr:uid="{00000000-0005-0000-0000-00005F050000}"/>
    <cellStyle name="Normal 5 2 2 4 3 2 4" xfId="5005" xr:uid="{00000000-0005-0000-0000-00004A030000}"/>
    <cellStyle name="Normal 5 2 2 4 3 2 4 2" xfId="11536" xr:uid="{00000000-0005-0000-0000-0000DD040000}"/>
    <cellStyle name="Normal 5 2 2 4 3 3" xfId="1085" xr:uid="{00000000-0005-0000-0000-0000F5050000}"/>
    <cellStyle name="Normal 5 2 2 4 3 4" xfId="2952" xr:uid="{00000000-0005-0000-0000-0000E8060000}"/>
    <cellStyle name="Normal 5 2 2 4 3 5" xfId="2108" xr:uid="{00000000-0005-0000-0000-000070020000}"/>
    <cellStyle name="Normal 5 2 2 4 3 5 2" xfId="4630" xr:uid="{00000000-0005-0000-0000-0000E5060000}"/>
    <cellStyle name="Normal 5 2 2 4 3 6" xfId="4006" xr:uid="{00000000-0005-0000-0000-000070020000}"/>
    <cellStyle name="Normal 5 2 2 4 4" xfId="1086" xr:uid="{00000000-0005-0000-0000-0000F6050000}"/>
    <cellStyle name="Normal 5 2 2 4 4 2" xfId="1087" xr:uid="{00000000-0005-0000-0000-0000F7050000}"/>
    <cellStyle name="Normal 5 2 2 4 4 3" xfId="3724" xr:uid="{00000000-0005-0000-0000-000062050000}"/>
    <cellStyle name="Normal 5 2 2 4 5" xfId="2107" xr:uid="{00000000-0005-0000-0000-00006E020000}"/>
    <cellStyle name="Normal 5 2 2 4 5 2" xfId="4679" xr:uid="{00000000-0005-0000-0000-0000E3060000}"/>
    <cellStyle name="Normal 5 2 2 4 6" xfId="4005" xr:uid="{00000000-0005-0000-0000-00006E020000}"/>
    <cellStyle name="Normal 5 2 3" xfId="1088" xr:uid="{00000000-0005-0000-0000-0000F8050000}"/>
    <cellStyle name="Normal 5 2 3 2" xfId="1089" xr:uid="{00000000-0005-0000-0000-0000F9050000}"/>
    <cellStyle name="Normal 5 2 3 3" xfId="1090" xr:uid="{00000000-0005-0000-0000-0000FA050000}"/>
    <cellStyle name="Normal 5 2 3 4" xfId="1091" xr:uid="{00000000-0005-0000-0000-0000FB050000}"/>
    <cellStyle name="Normal 5 2 4" xfId="1092" xr:uid="{00000000-0005-0000-0000-0000FC050000}"/>
    <cellStyle name="Normal 5 2 4 2" xfId="1093" xr:uid="{00000000-0005-0000-0000-0000FD050000}"/>
    <cellStyle name="Normal 5 2 4 3" xfId="1094" xr:uid="{00000000-0005-0000-0000-0000FE050000}"/>
    <cellStyle name="Normal 5 2 4 3 2" xfId="1095" xr:uid="{00000000-0005-0000-0000-0000FF050000}"/>
    <cellStyle name="Normal 5 2 4 3 2 2" xfId="1096" xr:uid="{00000000-0005-0000-0000-000000060000}"/>
    <cellStyle name="Normal 5 2 4 3 2 3" xfId="1097" xr:uid="{00000000-0005-0000-0000-000001060000}"/>
    <cellStyle name="Normal 5 2 4 3 2 3 2" xfId="1098" xr:uid="{00000000-0005-0000-0000-000002060000}"/>
    <cellStyle name="Normal 5 2 4 3 2 3 2 2" xfId="1099" xr:uid="{00000000-0005-0000-0000-000003060000}"/>
    <cellStyle name="Normal 5 2 4 3 2 3 2 2 2" xfId="11348" xr:uid="{00000000-0005-0000-0000-0000F02C0000}"/>
    <cellStyle name="Normal 5 2 4 3 2 3 2 2 2 2" xfId="11497" xr:uid="{00000000-0005-0000-0000-000056030000}"/>
    <cellStyle name="Normal 5 2 4 3 2 3 2 3" xfId="1100" xr:uid="{00000000-0005-0000-0000-000004060000}"/>
    <cellStyle name="Normal 5 2 4 3 2 3 2 3 2" xfId="2000" xr:uid="{00000000-0005-0000-0000-000005060000}"/>
    <cellStyle name="Normal 5 2 4 3 2 3 2 3 3" xfId="3725" xr:uid="{00000000-0005-0000-0000-000070050000}"/>
    <cellStyle name="Normal 5 2 4 3 2 3 2 4" xfId="5006" xr:uid="{00000000-0005-0000-0000-000055030000}"/>
    <cellStyle name="Normal 5 2 4 3 2 3 2 4 2" xfId="11537" xr:uid="{00000000-0005-0000-0000-0000EA040000}"/>
    <cellStyle name="Normal 5 2 4 3 2 3 3" xfId="1101" xr:uid="{00000000-0005-0000-0000-000006060000}"/>
    <cellStyle name="Normal 5 2 4 3 2 3 4" xfId="2954" xr:uid="{00000000-0005-0000-0000-0000F4060000}"/>
    <cellStyle name="Normal 5 2 4 3 2 3 5" xfId="2110" xr:uid="{00000000-0005-0000-0000-000079020000}"/>
    <cellStyle name="Normal 5 2 4 3 2 3 5 2" xfId="4629" xr:uid="{00000000-0005-0000-0000-0000F1060000}"/>
    <cellStyle name="Normal 5 2 4 3 2 3 6" xfId="4008" xr:uid="{00000000-0005-0000-0000-000079020000}"/>
    <cellStyle name="Normal 5 2 4 3 2 4" xfId="1102" xr:uid="{00000000-0005-0000-0000-000007060000}"/>
    <cellStyle name="Normal 5 2 4 3 2 4 2" xfId="2953" xr:uid="{00000000-0005-0000-0000-0000F5060000}"/>
    <cellStyle name="Normal 5 2 4 3 2 4 3" xfId="4703" xr:uid="{00000000-0005-0000-0000-000082120000}"/>
    <cellStyle name="Normal 5 2 4 3 2 5" xfId="2109" xr:uid="{00000000-0005-0000-0000-000077020000}"/>
    <cellStyle name="Normal 5 2 4 3 2 5 2" xfId="4634" xr:uid="{00000000-0005-0000-0000-0000EF060000}"/>
    <cellStyle name="Normal 5 2 4 3 2 6" xfId="4007" xr:uid="{00000000-0005-0000-0000-000077020000}"/>
    <cellStyle name="Normal 5 2 4 3 3" xfId="1103" xr:uid="{00000000-0005-0000-0000-000008060000}"/>
    <cellStyle name="Normal 5 2 4 3 4" xfId="1104" xr:uid="{00000000-0005-0000-0000-000009060000}"/>
    <cellStyle name="Normal 5 2 4 3 4 2" xfId="1105" xr:uid="{00000000-0005-0000-0000-00000A060000}"/>
    <cellStyle name="Normal 5 2 4 3 4 2 2" xfId="1106" xr:uid="{00000000-0005-0000-0000-00000B060000}"/>
    <cellStyle name="Normal 5 2 4 3 4 2 2 2" xfId="1107" xr:uid="{00000000-0005-0000-0000-00000C060000}"/>
    <cellStyle name="Normal 5 2 4 3 4 2 2 2 2" xfId="2001" xr:uid="{00000000-0005-0000-0000-00000D060000}"/>
    <cellStyle name="Normal 5 2 4 3 4 2 2 2 2 2" xfId="11390" xr:uid="{00000000-0005-0000-0000-0000F12C0000}"/>
    <cellStyle name="Normal 5 2 4 3 4 2 2 2 3" xfId="3726" xr:uid="{00000000-0005-0000-0000-000077050000}"/>
    <cellStyle name="Normal 5 2 4 3 4 2 2 2 3 2" xfId="11498" xr:uid="{00000000-0005-0000-0000-00005C030000}"/>
    <cellStyle name="Normal 5 2 4 3 4 2 2 3" xfId="2002" xr:uid="{00000000-0005-0000-0000-00000E060000}"/>
    <cellStyle name="Normal 5 2 4 3 4 2 2 4" xfId="5007" xr:uid="{00000000-0005-0000-0000-00005B030000}"/>
    <cellStyle name="Normal 5 2 4 3 4 2 2 4 2" xfId="11538" xr:uid="{00000000-0005-0000-0000-0000F2040000}"/>
    <cellStyle name="Normal 5 2 4 3 4 2 3" xfId="1108" xr:uid="{00000000-0005-0000-0000-00000F060000}"/>
    <cellStyle name="Normal 5 2 4 3 4 2 3 2" xfId="1109" xr:uid="{00000000-0005-0000-0000-000010060000}"/>
    <cellStyle name="Normal 5 2 4 3 4 2 3 2 2" xfId="6041" xr:uid="{00000000-0005-0000-0000-000080020000}"/>
    <cellStyle name="Normal 5 2 4 3 4 2 3 2 3" xfId="5282" xr:uid="{00000000-0005-0000-0000-00005E030000}"/>
    <cellStyle name="Normal 5 2 4 3 4 2 3 3" xfId="1110" xr:uid="{00000000-0005-0000-0000-000011060000}"/>
    <cellStyle name="Normal 5 2 4 3 4 2 3 3 2" xfId="11376" xr:uid="{00000000-0005-0000-0000-0000F22C0000}"/>
    <cellStyle name="Normal 5 2 4 3 4 2 3 3 2 2" xfId="11521" xr:uid="{00000000-0005-0000-0000-000011060000}"/>
    <cellStyle name="Normal 5 2 4 3 4 2 3 4" xfId="2112" xr:uid="{00000000-0005-0000-0000-00007F020000}"/>
    <cellStyle name="Normal 5 2 4 3 4 2 3 4 2" xfId="11517" xr:uid="{00000000-0005-0000-0000-0000F6040000}"/>
    <cellStyle name="Normal 5 2 4 3 4 2 3 5" xfId="5213" xr:uid="{00000000-0005-0000-0000-00005D030000}"/>
    <cellStyle name="Normal 5 2 4 3 4 2 4" xfId="4704" xr:uid="{00000000-0005-0000-0000-000083120000}"/>
    <cellStyle name="Normal 5 2 4 3 4 3" xfId="1111" xr:uid="{00000000-0005-0000-0000-000012060000}"/>
    <cellStyle name="Normal 5 2 4 3 4 4" xfId="2955" xr:uid="{00000000-0005-0000-0000-0000FD060000}"/>
    <cellStyle name="Normal 5 2 4 3 4 5" xfId="2111" xr:uid="{00000000-0005-0000-0000-00007C020000}"/>
    <cellStyle name="Normal 5 2 4 3 4 5 2" xfId="4640" xr:uid="{00000000-0005-0000-0000-0000F7060000}"/>
    <cellStyle name="Normal 5 2 4 3 4 6" xfId="4009" xr:uid="{00000000-0005-0000-0000-00007C020000}"/>
    <cellStyle name="Normal 5 2 4 3 5" xfId="1112" xr:uid="{00000000-0005-0000-0000-000013060000}"/>
    <cellStyle name="Normal 5 2 4 3 5 2" xfId="1113" xr:uid="{00000000-0005-0000-0000-000014060000}"/>
    <cellStyle name="Normal 5 2 4 3 5 3" xfId="3727" xr:uid="{00000000-0005-0000-0000-00007E050000}"/>
    <cellStyle name="Normal 5 2 4 3 5 3 2" xfId="6456" xr:uid="{00000000-0005-0000-0000-0000BC080000}"/>
    <cellStyle name="Normal 5 2 4 4" xfId="1114" xr:uid="{00000000-0005-0000-0000-000015060000}"/>
    <cellStyle name="Normal 5 2 4 4 2" xfId="1115" xr:uid="{00000000-0005-0000-0000-000016060000}"/>
    <cellStyle name="Normal 5 2 4 4 3" xfId="1116" xr:uid="{00000000-0005-0000-0000-000017060000}"/>
    <cellStyle name="Normal 5 2 4 4 3 2" xfId="1117" xr:uid="{00000000-0005-0000-0000-000018060000}"/>
    <cellStyle name="Normal 5 2 4 4 3 2 2" xfId="1118" xr:uid="{00000000-0005-0000-0000-000019060000}"/>
    <cellStyle name="Normal 5 2 4 4 3 2 2 2" xfId="11382" xr:uid="{00000000-0005-0000-0000-0000F32C0000}"/>
    <cellStyle name="Normal 5 2 4 4 3 2 2 2 2" xfId="11499" xr:uid="{00000000-0005-0000-0000-000065030000}"/>
    <cellStyle name="Normal 5 2 4 4 3 2 3" xfId="1119" xr:uid="{00000000-0005-0000-0000-00001A060000}"/>
    <cellStyle name="Normal 5 2 4 4 3 2 3 2" xfId="2003" xr:uid="{00000000-0005-0000-0000-00001B060000}"/>
    <cellStyle name="Normal 5 2 4 4 3 2 3 3" xfId="3728" xr:uid="{00000000-0005-0000-0000-000085050000}"/>
    <cellStyle name="Normal 5 2 4 4 3 2 4" xfId="5008" xr:uid="{00000000-0005-0000-0000-000064030000}"/>
    <cellStyle name="Normal 5 2 4 4 3 2 4 2" xfId="11539" xr:uid="{00000000-0005-0000-0000-000000050000}"/>
    <cellStyle name="Normal 5 2 4 4 3 3" xfId="1120" xr:uid="{00000000-0005-0000-0000-00001C060000}"/>
    <cellStyle name="Normal 5 2 4 4 3 4" xfId="2956" xr:uid="{00000000-0005-0000-0000-000003070000}"/>
    <cellStyle name="Normal 5 2 4 4 3 5" xfId="2114" xr:uid="{00000000-0005-0000-0000-000083020000}"/>
    <cellStyle name="Normal 5 2 4 4 3 5 2" xfId="3783" xr:uid="{00000000-0005-0000-0000-000000070000}"/>
    <cellStyle name="Normal 5 2 4 4 3 6" xfId="4011" xr:uid="{00000000-0005-0000-0000-000083020000}"/>
    <cellStyle name="Normal 5 2 4 4 4" xfId="1121" xr:uid="{00000000-0005-0000-0000-00001D060000}"/>
    <cellStyle name="Normal 5 2 4 4 4 2" xfId="1122" xr:uid="{00000000-0005-0000-0000-00001E060000}"/>
    <cellStyle name="Normal 5 2 4 4 4 3" xfId="3729" xr:uid="{00000000-0005-0000-0000-000088050000}"/>
    <cellStyle name="Normal 5 2 4 4 5" xfId="1123" xr:uid="{00000000-0005-0000-0000-00001F060000}"/>
    <cellStyle name="Normal 5 2 4 4 5 2" xfId="4685" xr:uid="{00000000-0005-0000-0000-0000FE060000}"/>
    <cellStyle name="Normal 5 2 4 4 5 3" xfId="4660" xr:uid="{00000000-0005-0000-0000-0000FE060000}"/>
    <cellStyle name="Normal 5 2 4 4 6" xfId="2113" xr:uid="{00000000-0005-0000-0000-000081020000}"/>
    <cellStyle name="Normal 5 2 4 4 7" xfId="4010" xr:uid="{00000000-0005-0000-0000-000081020000}"/>
    <cellStyle name="Normal 5 2 4 5" xfId="1124" xr:uid="{00000000-0005-0000-0000-000020060000}"/>
    <cellStyle name="Normal 5 2 4 5 2" xfId="1125" xr:uid="{00000000-0005-0000-0000-000021060000}"/>
    <cellStyle name="Normal 5 2 4 5 3" xfId="3730" xr:uid="{00000000-0005-0000-0000-00008A050000}"/>
    <cellStyle name="Normal 5 2 4 6" xfId="2068" xr:uid="{00000000-0005-0000-0000-000074020000}"/>
    <cellStyle name="Normal 5 2 5" xfId="1126" xr:uid="{00000000-0005-0000-0000-000022060000}"/>
    <cellStyle name="Normal 5 2 6" xfId="1127" xr:uid="{00000000-0005-0000-0000-000023060000}"/>
    <cellStyle name="Normal 5 2 6 2" xfId="1128" xr:uid="{00000000-0005-0000-0000-000024060000}"/>
    <cellStyle name="Normal 5 2 6 3" xfId="1129" xr:uid="{00000000-0005-0000-0000-000025060000}"/>
    <cellStyle name="Normal 5 2 6 3 2" xfId="1130" xr:uid="{00000000-0005-0000-0000-000026060000}"/>
    <cellStyle name="Normal 5 2 6 3 2 2" xfId="1131" xr:uid="{00000000-0005-0000-0000-000027060000}"/>
    <cellStyle name="Normal 5 2 6 3 2 2 2" xfId="11385" xr:uid="{00000000-0005-0000-0000-0000F42C0000}"/>
    <cellStyle name="Normal 5 2 6 3 2 2 2 2" xfId="11500" xr:uid="{00000000-0005-0000-0000-00006C030000}"/>
    <cellStyle name="Normal 5 2 6 3 2 3" xfId="1132" xr:uid="{00000000-0005-0000-0000-000028060000}"/>
    <cellStyle name="Normal 5 2 6 3 2 3 2" xfId="2004" xr:uid="{00000000-0005-0000-0000-000029060000}"/>
    <cellStyle name="Normal 5 2 6 3 2 3 3" xfId="3731" xr:uid="{00000000-0005-0000-0000-000092050000}"/>
    <cellStyle name="Normal 5 2 6 3 2 4" xfId="5009" xr:uid="{00000000-0005-0000-0000-00006B030000}"/>
    <cellStyle name="Normal 5 2 6 3 2 4 2" xfId="11540" xr:uid="{00000000-0005-0000-0000-000009050000}"/>
    <cellStyle name="Normal 5 2 6 3 3" xfId="1133" xr:uid="{00000000-0005-0000-0000-00002A060000}"/>
    <cellStyle name="Normal 5 2 6 3 4" xfId="2958" xr:uid="{00000000-0005-0000-0000-00000B070000}"/>
    <cellStyle name="Normal 5 2 6 3 5" xfId="2116" xr:uid="{00000000-0005-0000-0000-000088020000}"/>
    <cellStyle name="Normal 5 2 6 3 5 2" xfId="4643" xr:uid="{00000000-0005-0000-0000-000008070000}"/>
    <cellStyle name="Normal 5 2 6 3 6" xfId="4013" xr:uid="{00000000-0005-0000-0000-000088020000}"/>
    <cellStyle name="Normal 5 2 6 4" xfId="2957" xr:uid="{00000000-0005-0000-0000-00000C070000}"/>
    <cellStyle name="Normal 5 2 6 4 2" xfId="11575" xr:uid="{00000000-0005-0000-0000-0000642D0000}"/>
    <cellStyle name="Normal 5 2 6 4 3" xfId="11574" xr:uid="{00000000-0005-0000-0000-0000632D0000}"/>
    <cellStyle name="Normal 5 2 6 5" xfId="2115" xr:uid="{00000000-0005-0000-0000-000086020000}"/>
    <cellStyle name="Normal 5 2 6 5 2" xfId="3961" xr:uid="{00000000-0005-0000-0000-000006070000}"/>
    <cellStyle name="Normal 5 2 6 6" xfId="4012" xr:uid="{00000000-0005-0000-0000-000086020000}"/>
    <cellStyle name="Normal 5 2 7" xfId="1134" xr:uid="{00000000-0005-0000-0000-00002B060000}"/>
    <cellStyle name="Normal 5 2 7 2" xfId="1135" xr:uid="{00000000-0005-0000-0000-00002C060000}"/>
    <cellStyle name="Normal 5 2 7 3" xfId="1136" xr:uid="{00000000-0005-0000-0000-00002D060000}"/>
    <cellStyle name="Normal 5 2 7 4" xfId="3732" xr:uid="{00000000-0005-0000-0000-000095050000}"/>
    <cellStyle name="Normal 5 3" xfId="1137" xr:uid="{00000000-0005-0000-0000-00002E060000}"/>
    <cellStyle name="Normal 5 3 2" xfId="1138" xr:uid="{00000000-0005-0000-0000-00002F060000}"/>
    <cellStyle name="Normal 5 3 3" xfId="1139" xr:uid="{00000000-0005-0000-0000-000030060000}"/>
    <cellStyle name="Normal 5 3 3 2" xfId="1140" xr:uid="{00000000-0005-0000-0000-000031060000}"/>
    <cellStyle name="Normal 5 3 3 2 2" xfId="1141" xr:uid="{00000000-0005-0000-0000-000032060000}"/>
    <cellStyle name="Normal 5 3 3 2 3" xfId="1142" xr:uid="{00000000-0005-0000-0000-000033060000}"/>
    <cellStyle name="Normal 5 3 3 2 3 2" xfId="1143" xr:uid="{00000000-0005-0000-0000-000034060000}"/>
    <cellStyle name="Normal 5 3 3 2 3 2 2" xfId="1144" xr:uid="{00000000-0005-0000-0000-000035060000}"/>
    <cellStyle name="Normal 5 3 3 2 3 2 2 2" xfId="11486" xr:uid="{00000000-0005-0000-0000-0000F52C0000}"/>
    <cellStyle name="Normal 5 3 3 2 3 2 2 2 2" xfId="11501" xr:uid="{00000000-0005-0000-0000-000075030000}"/>
    <cellStyle name="Normal 5 3 3 2 3 2 3" xfId="1145" xr:uid="{00000000-0005-0000-0000-000036060000}"/>
    <cellStyle name="Normal 5 3 3 2 3 2 3 2" xfId="2005" xr:uid="{00000000-0005-0000-0000-000037060000}"/>
    <cellStyle name="Normal 5 3 3 2 3 2 3 3" xfId="3733" xr:uid="{00000000-0005-0000-0000-00009F050000}"/>
    <cellStyle name="Normal 5 3 3 2 3 2 4" xfId="5010" xr:uid="{00000000-0005-0000-0000-000074030000}"/>
    <cellStyle name="Normal 5 3 3 2 3 2 4 2" xfId="11541" xr:uid="{00000000-0005-0000-0000-000014050000}"/>
    <cellStyle name="Normal 5 3 3 2 3 3" xfId="1146" xr:uid="{00000000-0005-0000-0000-000038060000}"/>
    <cellStyle name="Normal 5 3 3 2 3 4" xfId="2959" xr:uid="{00000000-0005-0000-0000-000015070000}"/>
    <cellStyle name="Normal 5 3 3 2 3 5" xfId="2118" xr:uid="{00000000-0005-0000-0000-00008F020000}"/>
    <cellStyle name="Normal 5 3 3 2 3 5 2" xfId="4667" xr:uid="{00000000-0005-0000-0000-000012070000}"/>
    <cellStyle name="Normal 5 3 3 2 3 6" xfId="4015" xr:uid="{00000000-0005-0000-0000-00008F020000}"/>
    <cellStyle name="Normal 5 3 3 2 4" xfId="1147" xr:uid="{00000000-0005-0000-0000-000039060000}"/>
    <cellStyle name="Normal 5 3 3 2 4 2" xfId="1148" xr:uid="{00000000-0005-0000-0000-00003A060000}"/>
    <cellStyle name="Normal 5 3 3 2 4 3" xfId="1149" xr:uid="{00000000-0005-0000-0000-00003B060000}"/>
    <cellStyle name="Normal 5 3 3 2 4 4" xfId="3734" xr:uid="{00000000-0005-0000-0000-0000A2050000}"/>
    <cellStyle name="Normal 5 3 3 2 5" xfId="2117" xr:uid="{00000000-0005-0000-0000-00008D020000}"/>
    <cellStyle name="Normal 5 3 3 2 5 2" xfId="4642" xr:uid="{00000000-0005-0000-0000-000010070000}"/>
    <cellStyle name="Normal 5 3 3 2 6" xfId="4014" xr:uid="{00000000-0005-0000-0000-00008D020000}"/>
    <cellStyle name="Normal 5 3 3 3" xfId="1150" xr:uid="{00000000-0005-0000-0000-00003C060000}"/>
    <cellStyle name="Normal 5 3 3 3 2" xfId="1151" xr:uid="{00000000-0005-0000-0000-00003D060000}"/>
    <cellStyle name="Normal 5 3 3 3 3" xfId="3735" xr:uid="{00000000-0005-0000-0000-0000A4050000}"/>
    <cellStyle name="Normal 5 3 3 4" xfId="1152" xr:uid="{00000000-0005-0000-0000-00003E060000}"/>
    <cellStyle name="Normal 5 3 3 4 2" xfId="1153" xr:uid="{00000000-0005-0000-0000-00003F060000}"/>
    <cellStyle name="Normal 5 3 3 4 2 2" xfId="1154" xr:uid="{00000000-0005-0000-0000-000040060000}"/>
    <cellStyle name="Normal 5 3 3 4 2 2 2" xfId="1155" xr:uid="{00000000-0005-0000-0000-000041060000}"/>
    <cellStyle name="Normal 5 3 3 4 2 2 2 2" xfId="2006" xr:uid="{00000000-0005-0000-0000-000042060000}"/>
    <cellStyle name="Normal 5 3 3 4 2 2 2 2 2" xfId="11369" xr:uid="{00000000-0005-0000-0000-0000F62C0000}"/>
    <cellStyle name="Normal 5 3 3 4 2 2 2 3" xfId="3736" xr:uid="{00000000-0005-0000-0000-0000A9050000}"/>
    <cellStyle name="Normal 5 3 3 4 2 2 2 3 2" xfId="11502" xr:uid="{00000000-0005-0000-0000-00007B030000}"/>
    <cellStyle name="Normal 5 3 3 4 2 2 3" xfId="2007" xr:uid="{00000000-0005-0000-0000-000043060000}"/>
    <cellStyle name="Normal 5 3 3 4 2 2 4" xfId="5011" xr:uid="{00000000-0005-0000-0000-00007A030000}"/>
    <cellStyle name="Normal 5 3 3 4 2 2 4 2" xfId="11542" xr:uid="{00000000-0005-0000-0000-00001C050000}"/>
    <cellStyle name="Normal 5 3 3 4 2 3" xfId="1156" xr:uid="{00000000-0005-0000-0000-000044060000}"/>
    <cellStyle name="Normal 5 3 3 4 2 3 2" xfId="1157" xr:uid="{00000000-0005-0000-0000-000045060000}"/>
    <cellStyle name="Normal 5 3 3 4 2 3 2 2" xfId="6038" xr:uid="{00000000-0005-0000-0000-000096020000}"/>
    <cellStyle name="Normal 5 3 3 4 2 3 2 3" xfId="5283" xr:uid="{00000000-0005-0000-0000-00007D030000}"/>
    <cellStyle name="Normal 5 3 3 4 2 3 3" xfId="1158" xr:uid="{00000000-0005-0000-0000-000046060000}"/>
    <cellStyle name="Normal 5 3 3 4 2 3 3 2" xfId="11349" xr:uid="{00000000-0005-0000-0000-0000F72C0000}"/>
    <cellStyle name="Normal 5 3 3 4 2 3 3 2 2" xfId="11523" xr:uid="{00000000-0005-0000-0000-000046060000}"/>
    <cellStyle name="Normal 5 3 3 4 2 3 4" xfId="2120" xr:uid="{00000000-0005-0000-0000-000095020000}"/>
    <cellStyle name="Normal 5 3 3 4 2 3 4 2" xfId="11527" xr:uid="{00000000-0005-0000-0000-000020050000}"/>
    <cellStyle name="Normal 5 3 3 4 2 3 5" xfId="5214" xr:uid="{00000000-0005-0000-0000-00007C030000}"/>
    <cellStyle name="Normal 5 3 3 4 2 4" xfId="4705" xr:uid="{00000000-0005-0000-0000-000084120000}"/>
    <cellStyle name="Normal 5 3 3 4 3" xfId="1159" xr:uid="{00000000-0005-0000-0000-000047060000}"/>
    <cellStyle name="Normal 5 3 3 4 4" xfId="2960" xr:uid="{00000000-0005-0000-0000-00001E070000}"/>
    <cellStyle name="Normal 5 3 3 4 5" xfId="2119" xr:uid="{00000000-0005-0000-0000-000092020000}"/>
    <cellStyle name="Normal 5 3 3 4 5 2" xfId="4670" xr:uid="{00000000-0005-0000-0000-000018070000}"/>
    <cellStyle name="Normal 5 3 3 4 6" xfId="4016" xr:uid="{00000000-0005-0000-0000-000092020000}"/>
    <cellStyle name="Normal 5 3 3 5" xfId="1160" xr:uid="{00000000-0005-0000-0000-000048060000}"/>
    <cellStyle name="Normal 5 3 3 5 2" xfId="1161" xr:uid="{00000000-0005-0000-0000-000049060000}"/>
    <cellStyle name="Normal 5 3 3 5 3" xfId="3737" xr:uid="{00000000-0005-0000-0000-0000B0050000}"/>
    <cellStyle name="Normal 5 3 3 5 3 2" xfId="6476" xr:uid="{00000000-0005-0000-0000-0000E9080000}"/>
    <cellStyle name="Normal 5 3 3 6" xfId="1162" xr:uid="{00000000-0005-0000-0000-00004A060000}"/>
    <cellStyle name="Normal 5 3 3 6 2" xfId="2008" xr:uid="{00000000-0005-0000-0000-00004B060000}"/>
    <cellStyle name="Normal 5 3 3 6 3" xfId="3738" xr:uid="{00000000-0005-0000-0000-0000B2050000}"/>
    <cellStyle name="Normal 5 3 4" xfId="1163" xr:uid="{00000000-0005-0000-0000-00004C060000}"/>
    <cellStyle name="Normal 5 3 4 2" xfId="1164" xr:uid="{00000000-0005-0000-0000-00004D060000}"/>
    <cellStyle name="Normal 5 3 4 3" xfId="1165" xr:uid="{00000000-0005-0000-0000-00004E060000}"/>
    <cellStyle name="Normal 5 3 4 3 2" xfId="1166" xr:uid="{00000000-0005-0000-0000-00004F060000}"/>
    <cellStyle name="Normal 5 3 4 3 2 2" xfId="1167" xr:uid="{00000000-0005-0000-0000-000050060000}"/>
    <cellStyle name="Normal 5 3 4 3 2 2 2" xfId="11355" xr:uid="{00000000-0005-0000-0000-0000F82C0000}"/>
    <cellStyle name="Normal 5 3 4 3 2 2 2 2" xfId="11503" xr:uid="{00000000-0005-0000-0000-000084030000}"/>
    <cellStyle name="Normal 5 3 4 3 2 3" xfId="1168" xr:uid="{00000000-0005-0000-0000-000051060000}"/>
    <cellStyle name="Normal 5 3 4 3 2 3 2" xfId="2009" xr:uid="{00000000-0005-0000-0000-000052060000}"/>
    <cellStyle name="Normal 5 3 4 3 2 3 3" xfId="3739" xr:uid="{00000000-0005-0000-0000-0000B9050000}"/>
    <cellStyle name="Normal 5 3 4 3 2 4" xfId="5012" xr:uid="{00000000-0005-0000-0000-000083030000}"/>
    <cellStyle name="Normal 5 3 4 3 2 4 2" xfId="11543" xr:uid="{00000000-0005-0000-0000-00002A050000}"/>
    <cellStyle name="Normal 5 3 4 3 3" xfId="1169" xr:uid="{00000000-0005-0000-0000-000053060000}"/>
    <cellStyle name="Normal 5 3 4 3 4" xfId="2961" xr:uid="{00000000-0005-0000-0000-000024070000}"/>
    <cellStyle name="Normal 5 3 4 3 5" xfId="2122" xr:uid="{00000000-0005-0000-0000-000099020000}"/>
    <cellStyle name="Normal 5 3 4 3 5 2" xfId="3818" xr:uid="{00000000-0005-0000-0000-000021070000}"/>
    <cellStyle name="Normal 5 3 4 3 6" xfId="4018" xr:uid="{00000000-0005-0000-0000-000099020000}"/>
    <cellStyle name="Normal 5 3 4 4" xfId="1170" xr:uid="{00000000-0005-0000-0000-000054060000}"/>
    <cellStyle name="Normal 5 3 4 4 2" xfId="2010" xr:uid="{00000000-0005-0000-0000-000055060000}"/>
    <cellStyle name="Normal 5 3 4 4 3" xfId="3740" xr:uid="{00000000-0005-0000-0000-0000BC050000}"/>
    <cellStyle name="Normal 5 3 4 5" xfId="2121" xr:uid="{00000000-0005-0000-0000-000097020000}"/>
    <cellStyle name="Normal 5 3 4 5 2" xfId="4652" xr:uid="{00000000-0005-0000-0000-00001F070000}"/>
    <cellStyle name="Normal 5 3 4 6" xfId="4017" xr:uid="{00000000-0005-0000-0000-000097020000}"/>
    <cellStyle name="Normal 5 3 5" xfId="2069" xr:uid="{00000000-0005-0000-0000-00008A020000}"/>
    <cellStyle name="Normal 5 4" xfId="1171" xr:uid="{00000000-0005-0000-0000-000056060000}"/>
    <cellStyle name="Normal 5 4 2" xfId="1172" xr:uid="{00000000-0005-0000-0000-000057060000}"/>
    <cellStyle name="Normal 5 4 3" xfId="1173" xr:uid="{00000000-0005-0000-0000-000058060000}"/>
    <cellStyle name="Normal 5 4 3 2" xfId="1174" xr:uid="{00000000-0005-0000-0000-000059060000}"/>
    <cellStyle name="Normal 5 4 3 3" xfId="3741" xr:uid="{00000000-0005-0000-0000-0000C0050000}"/>
    <cellStyle name="Normal 5 5" xfId="1175" xr:uid="{00000000-0005-0000-0000-00005A060000}"/>
    <cellStyle name="Normal 5 5 10" xfId="1176" xr:uid="{00000000-0005-0000-0000-00005B060000}"/>
    <cellStyle name="Normal 5 5 10 2" xfId="1177" xr:uid="{00000000-0005-0000-0000-00005C060000}"/>
    <cellStyle name="Normal 5 5 10 2 2" xfId="1178" xr:uid="{00000000-0005-0000-0000-00005D060000}"/>
    <cellStyle name="Normal 5 5 10 2 2 2" xfId="11372" xr:uid="{00000000-0005-0000-0000-0000F92C0000}"/>
    <cellStyle name="Normal 5 5 10 2 2 2 2" xfId="11504" xr:uid="{00000000-0005-0000-0000-00008B030000}"/>
    <cellStyle name="Normal 5 5 10 2 3" xfId="1179" xr:uid="{00000000-0005-0000-0000-00005E060000}"/>
    <cellStyle name="Normal 5 5 10 2 3 2" xfId="2011" xr:uid="{00000000-0005-0000-0000-00005F060000}"/>
    <cellStyle name="Normal 5 5 10 2 3 3" xfId="3742" xr:uid="{00000000-0005-0000-0000-0000C6050000}"/>
    <cellStyle name="Normal 5 5 10 2 4" xfId="5013" xr:uid="{00000000-0005-0000-0000-00008A030000}"/>
    <cellStyle name="Normal 5 5 10 2 4 2" xfId="11544" xr:uid="{00000000-0005-0000-0000-000033050000}"/>
    <cellStyle name="Normal 5 5 10 3" xfId="1180" xr:uid="{00000000-0005-0000-0000-000060060000}"/>
    <cellStyle name="Normal 5 5 10 4" xfId="2962" xr:uid="{00000000-0005-0000-0000-00002C070000}"/>
    <cellStyle name="Normal 5 5 10 5" xfId="2124" xr:uid="{00000000-0005-0000-0000-00009E020000}"/>
    <cellStyle name="Normal 5 5 10 5 2" xfId="3790" xr:uid="{00000000-0005-0000-0000-000029070000}"/>
    <cellStyle name="Normal 5 5 10 6" xfId="4020" xr:uid="{00000000-0005-0000-0000-00009E020000}"/>
    <cellStyle name="Normal 5 5 11" xfId="1181" xr:uid="{00000000-0005-0000-0000-000061060000}"/>
    <cellStyle name="Normal 5 5 11 2" xfId="2422" xr:uid="{00000000-0005-0000-0000-00002E070000}"/>
    <cellStyle name="Normal 5 5 11 2 2" xfId="2963" xr:uid="{00000000-0005-0000-0000-00002F070000}"/>
    <cellStyle name="Normal 5 5 11 2 2 2" xfId="6326" xr:uid="{00000000-0005-0000-0000-00002F070000}"/>
    <cellStyle name="Normal 5 5 11 2 2 3" xfId="8279" xr:uid="{00000000-0005-0000-0000-0000AB090000}"/>
    <cellStyle name="Normal 5 5 11 2 2 4" xfId="10676" xr:uid="{00000000-0005-0000-0000-0000AB090000}"/>
    <cellStyle name="Normal 5 5 11 2 3" xfId="4740" xr:uid="{00000000-0005-0000-0000-00001D050000}"/>
    <cellStyle name="Normal 5 5 11 2 3 2" xfId="6124" xr:uid="{00000000-0005-0000-0000-00002E070000}"/>
    <cellStyle name="Normal 5 5 11 2 4" xfId="5215" xr:uid="{00000000-0005-0000-0000-00008E030000}"/>
    <cellStyle name="Normal 5 5 11 2 5" xfId="6860" xr:uid="{00000000-0005-0000-0000-0000AA090000}"/>
    <cellStyle name="Normal 5 5 11 2 6" xfId="9281" xr:uid="{00000000-0005-0000-0000-0000AA090000}"/>
    <cellStyle name="Normal 5 5 11 3" xfId="2804" xr:uid="{00000000-0005-0000-0000-000030070000}"/>
    <cellStyle name="Normal 5 5 11 3 2" xfId="6225" xr:uid="{00000000-0005-0000-0000-000030070000}"/>
    <cellStyle name="Normal 5 5 11 3 3" xfId="7436" xr:uid="{00000000-0005-0000-0000-0000AC090000}"/>
    <cellStyle name="Normal 5 5 11 3 4" xfId="9838" xr:uid="{00000000-0005-0000-0000-0000AC090000}"/>
    <cellStyle name="Normal 5 5 11 4" xfId="2379" xr:uid="{00000000-0005-0000-0000-00002D070000}"/>
    <cellStyle name="Normal 5 5 11 4 2" xfId="6077" xr:uid="{00000000-0005-0000-0000-00002D070000}"/>
    <cellStyle name="Normal 5 5 11 4 3" xfId="8080" xr:uid="{00000000-0005-0000-0000-0000AD090000}"/>
    <cellStyle name="Normal 5 5 11 4 4" xfId="10477" xr:uid="{00000000-0005-0000-0000-0000AD090000}"/>
    <cellStyle name="Normal 5 5 11 5" xfId="4021" xr:uid="{00000000-0005-0000-0000-0000A0020000}"/>
    <cellStyle name="Normal 5 5 11 6" xfId="5966" xr:uid="{00000000-0005-0000-0000-000013040000}"/>
    <cellStyle name="Normal 5 5 11 7" xfId="4953" xr:uid="{00000000-0005-0000-0000-00008D030000}"/>
    <cellStyle name="Normal 5 5 11 8" xfId="6699" xr:uid="{00000000-0005-0000-0000-0000A9090000}"/>
    <cellStyle name="Normal 5 5 11 9" xfId="9120" xr:uid="{00000000-0005-0000-0000-0000A9090000}"/>
    <cellStyle name="Normal 5 5 12" xfId="1182" xr:uid="{00000000-0005-0000-0000-000062060000}"/>
    <cellStyle name="Normal 5 5 12 2" xfId="1183" xr:uid="{00000000-0005-0000-0000-000063060000}"/>
    <cellStyle name="Normal 5 5 12 3" xfId="1184" xr:uid="{00000000-0005-0000-0000-000064060000}"/>
    <cellStyle name="Normal 5 5 12 3 2" xfId="1185" xr:uid="{00000000-0005-0000-0000-000065060000}"/>
    <cellStyle name="Normal 5 5 12 3 2 2" xfId="7438" xr:uid="{00000000-0005-0000-0000-0000B1090000}"/>
    <cellStyle name="Normal 5 5 12 3 2 3" xfId="9839" xr:uid="{00000000-0005-0000-0000-0000B1090000}"/>
    <cellStyle name="Normal 5 5 12 3 2 4" xfId="11623" xr:uid="{00000000-0005-0000-0000-00001D0A0000}"/>
    <cellStyle name="Normal 5 5 12 3 3" xfId="3773" xr:uid="{00000000-0005-0000-0000-000031070000}"/>
    <cellStyle name="Normal 5 5 12 4" xfId="1186" xr:uid="{00000000-0005-0000-0000-000066060000}"/>
    <cellStyle name="Normal 5 5 12 4 2" xfId="2012" xr:uid="{00000000-0005-0000-0000-000067060000}"/>
    <cellStyle name="Normal 5 5 12 4 3" xfId="3743" xr:uid="{00000000-0005-0000-0000-0000CD050000}"/>
    <cellStyle name="Normal 5 5 12 4 4" xfId="11622" xr:uid="{00000000-0005-0000-0000-00001E0A0000}"/>
    <cellStyle name="Normal 5 5 12 5" xfId="1187" xr:uid="{00000000-0005-0000-0000-000068060000}"/>
    <cellStyle name="Normal 5 5 12 6" xfId="2013" xr:uid="{00000000-0005-0000-0000-000069060000}"/>
    <cellStyle name="Normal 5 5 12 6 2" xfId="7437" xr:uid="{00000000-0005-0000-0000-0000B4090000}"/>
    <cellStyle name="Normal 5 5 12 7" xfId="2134" xr:uid="{00000000-0005-0000-0000-0000A1020000}"/>
    <cellStyle name="Normal 5 5 12 8" xfId="4040" xr:uid="{00000000-0005-0000-0000-0000A1020000}"/>
    <cellStyle name="Normal 5 5 13" xfId="1188" xr:uid="{00000000-0005-0000-0000-00006A060000}"/>
    <cellStyle name="Normal 5 5 13 2" xfId="4557" xr:uid="{00000000-0005-0000-0000-000033070000}"/>
    <cellStyle name="Normal 5 5 13 2 2" xfId="8777" xr:uid="{00000000-0005-0000-0000-0000B6090000}"/>
    <cellStyle name="Normal 5 5 13 2 3" xfId="11174" xr:uid="{00000000-0005-0000-0000-0000B6090000}"/>
    <cellStyle name="Normal 5 5 13 3" xfId="5563" xr:uid="{00000000-0005-0000-0000-000015040000}"/>
    <cellStyle name="Normal 5 5 13 3 2" xfId="11711" xr:uid="{00000000-0005-0000-0000-0000210A0000}"/>
    <cellStyle name="Normal 5 5 13 4" xfId="7439" xr:uid="{00000000-0005-0000-0000-0000B5090000}"/>
    <cellStyle name="Normal 5 5 13 4 2" xfId="11918" xr:uid="{00000000-0005-0000-0000-0000220A0000}"/>
    <cellStyle name="Normal 5 5 13 5" xfId="9840" xr:uid="{00000000-0005-0000-0000-0000B5090000}"/>
    <cellStyle name="Normal 5 5 13 6" xfId="11647" xr:uid="{00000000-0005-0000-0000-00001F0A0000}"/>
    <cellStyle name="Normal 5 5 14" xfId="1189" xr:uid="{00000000-0005-0000-0000-00006B060000}"/>
    <cellStyle name="Normal 5 5 14 2" xfId="1190" xr:uid="{00000000-0005-0000-0000-00006C060000}"/>
    <cellStyle name="Normal 5 5 14 3" xfId="3744" xr:uid="{00000000-0005-0000-0000-0000D2050000}"/>
    <cellStyle name="Normal 5 5 14 3 2" xfId="6325" xr:uid="{00000000-0005-0000-0000-000034070000}"/>
    <cellStyle name="Normal 5 5 14 4" xfId="4689" xr:uid="{00000000-0005-0000-0000-000022050000}"/>
    <cellStyle name="Normal 5 5 15" xfId="2440" xr:uid="{00000000-0005-0000-0000-000035070000}"/>
    <cellStyle name="Normal 5 5 15 2" xfId="7637" xr:uid="{00000000-0005-0000-0000-0000B9090000}"/>
    <cellStyle name="Normal 5 5 15 3" xfId="10034" xr:uid="{00000000-0005-0000-0000-0000B9090000}"/>
    <cellStyle name="Normal 5 5 16" xfId="2170" xr:uid="{00000000-0005-0000-0000-000028070000}"/>
    <cellStyle name="Normal 5 5 17" xfId="2123" xr:uid="{00000000-0005-0000-0000-00009D020000}"/>
    <cellStyle name="Normal 5 5 17 2" xfId="11645" xr:uid="{00000000-0005-0000-0000-00000F0A0000}"/>
    <cellStyle name="Normal 5 5 18" xfId="4019" xr:uid="{00000000-0005-0000-0000-00009D020000}"/>
    <cellStyle name="Normal 5 5 19" xfId="5317" xr:uid="{00000000-0005-0000-0000-00000F040000}"/>
    <cellStyle name="Normal 5 5 2" xfId="1191" xr:uid="{00000000-0005-0000-0000-00006D060000}"/>
    <cellStyle name="Normal 5 5 2 10" xfId="4833" xr:uid="{00000000-0005-0000-0000-000090030000}"/>
    <cellStyle name="Normal 5 5 2 11" xfId="6579" xr:uid="{00000000-0005-0000-0000-0000BA090000}"/>
    <cellStyle name="Normal 5 5 2 12" xfId="9000" xr:uid="{00000000-0005-0000-0000-0000BA090000}"/>
    <cellStyle name="Normal 5 5 2 2" xfId="1192" xr:uid="{00000000-0005-0000-0000-00006E060000}"/>
    <cellStyle name="Normal 5 5 2 2 10" xfId="4954" xr:uid="{00000000-0005-0000-0000-000091030000}"/>
    <cellStyle name="Normal 5 5 2 2 11" xfId="6700" xr:uid="{00000000-0005-0000-0000-0000BB090000}"/>
    <cellStyle name="Normal 5 5 2 2 12" xfId="9121" xr:uid="{00000000-0005-0000-0000-0000BB090000}"/>
    <cellStyle name="Normal 5 5 2 2 2" xfId="1193" xr:uid="{00000000-0005-0000-0000-00006F060000}"/>
    <cellStyle name="Normal 5 5 2 2 2 10" xfId="6861" xr:uid="{00000000-0005-0000-0000-0000BC090000}"/>
    <cellStyle name="Normal 5 5 2 2 2 11" xfId="9282" xr:uid="{00000000-0005-0000-0000-0000BC090000}"/>
    <cellStyle name="Normal 5 5 2 2 2 2" xfId="2806" xr:uid="{00000000-0005-0000-0000-000039070000}"/>
    <cellStyle name="Normal 5 5 2 2 2 2 2" xfId="3399" xr:uid="{00000000-0005-0000-0000-00003A070000}"/>
    <cellStyle name="Normal 5 5 2 2 2 2 2 2" xfId="8779" xr:uid="{00000000-0005-0000-0000-0000BE090000}"/>
    <cellStyle name="Normal 5 5 2 2 2 2 2 3" xfId="11176" xr:uid="{00000000-0005-0000-0000-0000BE090000}"/>
    <cellStyle name="Normal 5 5 2 2 2 2 3" xfId="4356" xr:uid="{00000000-0005-0000-0000-000039070000}"/>
    <cellStyle name="Normal 5 5 2 2 2 2 3 2" xfId="8082" xr:uid="{00000000-0005-0000-0000-0000BF090000}"/>
    <cellStyle name="Normal 5 5 2 2 2 2 3 3" xfId="10479" xr:uid="{00000000-0005-0000-0000-0000BF090000}"/>
    <cellStyle name="Normal 5 5 2 2 2 2 4" xfId="5968" xr:uid="{00000000-0005-0000-0000-000019040000}"/>
    <cellStyle name="Normal 5 5 2 2 2 2 5" xfId="7441" xr:uid="{00000000-0005-0000-0000-0000BD090000}"/>
    <cellStyle name="Normal 5 5 2 2 2 2 6" xfId="9842" xr:uid="{00000000-0005-0000-0000-0000BD090000}"/>
    <cellStyle name="Normal 5 5 2 2 2 3" xfId="3400" xr:uid="{00000000-0005-0000-0000-00003B070000}"/>
    <cellStyle name="Normal 5 5 2 2 2 3 2" xfId="4558" xr:uid="{00000000-0005-0000-0000-00003B070000}"/>
    <cellStyle name="Normal 5 5 2 2 2 3 3" xfId="5756" xr:uid="{00000000-0005-0000-0000-00001A040000}"/>
    <cellStyle name="Normal 5 5 2 2 2 3 4" xfId="8780" xr:uid="{00000000-0005-0000-0000-0000C0090000}"/>
    <cellStyle name="Normal 5 5 2 2 2 3 5" xfId="11177" xr:uid="{00000000-0005-0000-0000-0000C0090000}"/>
    <cellStyle name="Normal 5 5 2 2 2 4" xfId="3398" xr:uid="{00000000-0005-0000-0000-00003C070000}"/>
    <cellStyle name="Normal 5 5 2 2 2 4 2" xfId="8778" xr:uid="{00000000-0005-0000-0000-0000C1090000}"/>
    <cellStyle name="Normal 5 5 2 2 2 4 3" xfId="11175" xr:uid="{00000000-0005-0000-0000-0000C1090000}"/>
    <cellStyle name="Normal 5 5 2 2 2 5" xfId="2650" xr:uid="{00000000-0005-0000-0000-00003D070000}"/>
    <cellStyle name="Normal 5 5 2 2 2 5 2" xfId="7860" xr:uid="{00000000-0005-0000-0000-0000C2090000}"/>
    <cellStyle name="Normal 5 5 2 2 2 5 3" xfId="10257" xr:uid="{00000000-0005-0000-0000-0000C2090000}"/>
    <cellStyle name="Normal 5 5 2 2 2 6" xfId="2380" xr:uid="{00000000-0005-0000-0000-000038070000}"/>
    <cellStyle name="Normal 5 5 2 2 2 7" xfId="4052" xr:uid="{00000000-0005-0000-0000-0000A5020000}"/>
    <cellStyle name="Normal 5 5 2 2 2 8" xfId="5538" xr:uid="{00000000-0005-0000-0000-000018040000}"/>
    <cellStyle name="Normal 5 5 2 2 2 9" xfId="5216" xr:uid="{00000000-0005-0000-0000-000092030000}"/>
    <cellStyle name="Normal 5 5 2 2 3" xfId="1194" xr:uid="{00000000-0005-0000-0000-000070060000}"/>
    <cellStyle name="Normal 5 5 2 2 3 2" xfId="3401" xr:uid="{00000000-0005-0000-0000-00003F070000}"/>
    <cellStyle name="Normal 5 5 2 2 3 2 2" xfId="8781" xr:uid="{00000000-0005-0000-0000-0000C4090000}"/>
    <cellStyle name="Normal 5 5 2 2 3 2 3" xfId="11178" xr:uid="{00000000-0005-0000-0000-0000C4090000}"/>
    <cellStyle name="Normal 5 5 2 2 3 3" xfId="2805" xr:uid="{00000000-0005-0000-0000-000040070000}"/>
    <cellStyle name="Normal 5 5 2 2 3 3 2" xfId="8081" xr:uid="{00000000-0005-0000-0000-0000C5090000}"/>
    <cellStyle name="Normal 5 5 2 2 3 3 3" xfId="10478" xr:uid="{00000000-0005-0000-0000-0000C5090000}"/>
    <cellStyle name="Normal 5 5 2 2 3 4" xfId="4205" xr:uid="{00000000-0005-0000-0000-00003E070000}"/>
    <cellStyle name="Normal 5 5 2 2 3 5" xfId="5967" xr:uid="{00000000-0005-0000-0000-00001B040000}"/>
    <cellStyle name="Normal 5 5 2 2 3 6" xfId="7442" xr:uid="{00000000-0005-0000-0000-0000C3090000}"/>
    <cellStyle name="Normal 5 5 2 2 3 7" xfId="9843" xr:uid="{00000000-0005-0000-0000-0000C3090000}"/>
    <cellStyle name="Normal 5 5 2 2 4" xfId="3402" xr:uid="{00000000-0005-0000-0000-000041070000}"/>
    <cellStyle name="Normal 5 5 2 2 4 2" xfId="4559" xr:uid="{00000000-0005-0000-0000-000041070000}"/>
    <cellStyle name="Normal 5 5 2 2 4 2 2" xfId="8782" xr:uid="{00000000-0005-0000-0000-0000C7090000}"/>
    <cellStyle name="Normal 5 5 2 2 4 2 3" xfId="11179" xr:uid="{00000000-0005-0000-0000-0000C7090000}"/>
    <cellStyle name="Normal 5 5 2 2 4 3" xfId="5671" xr:uid="{00000000-0005-0000-0000-00001C040000}"/>
    <cellStyle name="Normal 5 5 2 2 4 4" xfId="7440" xr:uid="{00000000-0005-0000-0000-0000C6090000}"/>
    <cellStyle name="Normal 5 5 2 2 4 5" xfId="9841" xr:uid="{00000000-0005-0000-0000-0000C6090000}"/>
    <cellStyle name="Normal 5 5 2 2 5" xfId="2964" xr:uid="{00000000-0005-0000-0000-000042070000}"/>
    <cellStyle name="Normal 5 5 2 2 5 2" xfId="8280" xr:uid="{00000000-0005-0000-0000-0000C8090000}"/>
    <cellStyle name="Normal 5 5 2 2 5 3" xfId="10677" xr:uid="{00000000-0005-0000-0000-0000C8090000}"/>
    <cellStyle name="Normal 5 5 2 2 6" xfId="2559" xr:uid="{00000000-0005-0000-0000-000043070000}"/>
    <cellStyle name="Normal 5 5 2 2 6 2" xfId="7757" xr:uid="{00000000-0005-0000-0000-0000C9090000}"/>
    <cellStyle name="Normal 5 5 2 2 6 3" xfId="10154" xr:uid="{00000000-0005-0000-0000-0000C9090000}"/>
    <cellStyle name="Normal 5 5 2 2 7" xfId="2253" xr:uid="{00000000-0005-0000-0000-000037070000}"/>
    <cellStyle name="Normal 5 5 2 2 8" xfId="4022" xr:uid="{00000000-0005-0000-0000-0000A4020000}"/>
    <cellStyle name="Normal 5 5 2 2 9" xfId="5437" xr:uid="{00000000-0005-0000-0000-000017040000}"/>
    <cellStyle name="Normal 5 5 2 3" xfId="1195" xr:uid="{00000000-0005-0000-0000-000071060000}"/>
    <cellStyle name="Normal 5 5 2 3 2" xfId="2808" xr:uid="{00000000-0005-0000-0000-000045070000}"/>
    <cellStyle name="Normal 5 5 2 3 2 2" xfId="3403" xr:uid="{00000000-0005-0000-0000-000046070000}"/>
    <cellStyle name="Normal 5 5 2 3 2 2 2" xfId="8783" xr:uid="{00000000-0005-0000-0000-0000CC090000}"/>
    <cellStyle name="Normal 5 5 2 3 2 2 3" xfId="11180" xr:uid="{00000000-0005-0000-0000-0000CC090000}"/>
    <cellStyle name="Normal 5 5 2 3 2 3" xfId="4357" xr:uid="{00000000-0005-0000-0000-000045070000}"/>
    <cellStyle name="Normal 5 5 2 3 2 3 2" xfId="11414" xr:uid="{00000000-0005-0000-0000-000017090000}"/>
    <cellStyle name="Normal 5 5 2 3 2 4" xfId="8083" xr:uid="{00000000-0005-0000-0000-0000CB090000}"/>
    <cellStyle name="Normal 5 5 2 3 2 5" xfId="10480" xr:uid="{00000000-0005-0000-0000-0000CB090000}"/>
    <cellStyle name="Normal 5 5 2 3 3" xfId="2807" xr:uid="{00000000-0005-0000-0000-000047070000}"/>
    <cellStyle name="Normal 5 5 2 3 4" xfId="3404" xr:uid="{00000000-0005-0000-0000-000048070000}"/>
    <cellStyle name="Normal 5 5 2 3 4 2" xfId="4560" xr:uid="{00000000-0005-0000-0000-000048070000}"/>
    <cellStyle name="Normal 5 5 2 3 4 2 2" xfId="11479" xr:uid="{00000000-0005-0000-0000-00001A090000}"/>
    <cellStyle name="Normal 5 5 2 3 4 3" xfId="8784" xr:uid="{00000000-0005-0000-0000-0000CE090000}"/>
    <cellStyle name="Normal 5 5 2 3 4 4" xfId="11181" xr:uid="{00000000-0005-0000-0000-0000CE090000}"/>
    <cellStyle name="Normal 5 5 2 3 5" xfId="2602" xr:uid="{00000000-0005-0000-0000-000049070000}"/>
    <cellStyle name="Normal 5 5 2 3 5 2" xfId="7800" xr:uid="{00000000-0005-0000-0000-0000CF090000}"/>
    <cellStyle name="Normal 5 5 2 3 5 3" xfId="10197" xr:uid="{00000000-0005-0000-0000-0000CF090000}"/>
    <cellStyle name="Normal 5 5 2 3 6" xfId="5478" xr:uid="{00000000-0005-0000-0000-00001D040000}"/>
    <cellStyle name="Normal 5 5 2 4" xfId="1196" xr:uid="{00000000-0005-0000-0000-000072060000}"/>
    <cellStyle name="Normal 5 5 2 4 2" xfId="2423" xr:uid="{00000000-0005-0000-0000-00004B070000}"/>
    <cellStyle name="Normal 5 5 2 4 2 2" xfId="2965" xr:uid="{00000000-0005-0000-0000-00004C070000}"/>
    <cellStyle name="Normal 5 5 2 4 2 2 2" xfId="6327" xr:uid="{00000000-0005-0000-0000-00004C070000}"/>
    <cellStyle name="Normal 5 5 2 4 2 2 3" xfId="8281" xr:uid="{00000000-0005-0000-0000-0000D2090000}"/>
    <cellStyle name="Normal 5 5 2 4 2 2 4" xfId="10678" xr:uid="{00000000-0005-0000-0000-0000D2090000}"/>
    <cellStyle name="Normal 5 5 2 4 2 3" xfId="4741" xr:uid="{00000000-0005-0000-0000-00002E050000}"/>
    <cellStyle name="Normal 5 5 2 4 2 3 2" xfId="6125" xr:uid="{00000000-0005-0000-0000-00004B070000}"/>
    <cellStyle name="Normal 5 5 2 4 2 4" xfId="5217" xr:uid="{00000000-0005-0000-0000-000095030000}"/>
    <cellStyle name="Normal 5 5 2 4 2 5" xfId="6862" xr:uid="{00000000-0005-0000-0000-0000D1090000}"/>
    <cellStyle name="Normal 5 5 2 4 2 6" xfId="9283" xr:uid="{00000000-0005-0000-0000-0000D1090000}"/>
    <cellStyle name="Normal 5 5 2 4 3" xfId="2809" xr:uid="{00000000-0005-0000-0000-00004D070000}"/>
    <cellStyle name="Normal 5 5 2 4 3 2" xfId="6226" xr:uid="{00000000-0005-0000-0000-00004D070000}"/>
    <cellStyle name="Normal 5 5 2 4 3 3" xfId="7443" xr:uid="{00000000-0005-0000-0000-0000D3090000}"/>
    <cellStyle name="Normal 5 5 2 4 3 4" xfId="9844" xr:uid="{00000000-0005-0000-0000-0000D3090000}"/>
    <cellStyle name="Normal 5 5 2 4 4" xfId="2381" xr:uid="{00000000-0005-0000-0000-00004A070000}"/>
    <cellStyle name="Normal 5 5 2 4 4 2" xfId="6078" xr:uid="{00000000-0005-0000-0000-00004A070000}"/>
    <cellStyle name="Normal 5 5 2 4 4 3" xfId="8084" xr:uid="{00000000-0005-0000-0000-0000D4090000}"/>
    <cellStyle name="Normal 5 5 2 4 4 4" xfId="10481" xr:uid="{00000000-0005-0000-0000-0000D4090000}"/>
    <cellStyle name="Normal 5 5 2 4 5" xfId="4024" xr:uid="{00000000-0005-0000-0000-0000A7020000}"/>
    <cellStyle name="Normal 5 5 2 4 6" xfId="5969" xr:uid="{00000000-0005-0000-0000-000021040000}"/>
    <cellStyle name="Normal 5 5 2 4 7" xfId="4955" xr:uid="{00000000-0005-0000-0000-000094030000}"/>
    <cellStyle name="Normal 5 5 2 4 8" xfId="6701" xr:uid="{00000000-0005-0000-0000-0000D0090000}"/>
    <cellStyle name="Normal 5 5 2 4 9" xfId="9122" xr:uid="{00000000-0005-0000-0000-0000D0090000}"/>
    <cellStyle name="Normal 5 5 2 5" xfId="1197" xr:uid="{00000000-0005-0000-0000-000073060000}"/>
    <cellStyle name="Normal 5 5 2 5 2" xfId="1198" xr:uid="{00000000-0005-0000-0000-000074060000}"/>
    <cellStyle name="Normal 5 5 2 5 2 2" xfId="7444" xr:uid="{00000000-0005-0000-0000-0000D6090000}"/>
    <cellStyle name="Normal 5 5 2 5 2 3" xfId="9845" xr:uid="{00000000-0005-0000-0000-0000D6090000}"/>
    <cellStyle name="Normal 5 5 2 6" xfId="1199" xr:uid="{00000000-0005-0000-0000-000075060000}"/>
    <cellStyle name="Normal 5 5 2 6 2" xfId="4561" xr:uid="{00000000-0005-0000-0000-00004F070000}"/>
    <cellStyle name="Normal 5 5 2 6 2 2" xfId="8785" xr:uid="{00000000-0005-0000-0000-0000D8090000}"/>
    <cellStyle name="Normal 5 5 2 6 2 3" xfId="11182" xr:uid="{00000000-0005-0000-0000-0000D8090000}"/>
    <cellStyle name="Normal 5 5 2 6 3" xfId="5623" xr:uid="{00000000-0005-0000-0000-000023040000}"/>
    <cellStyle name="Normal 5 5 2 6 3 2" xfId="11712" xr:uid="{00000000-0005-0000-0000-0000440A0000}"/>
    <cellStyle name="Normal 5 5 2 6 4" xfId="7445" xr:uid="{00000000-0005-0000-0000-0000D7090000}"/>
    <cellStyle name="Normal 5 5 2 6 4 2" xfId="11919" xr:uid="{00000000-0005-0000-0000-0000450A0000}"/>
    <cellStyle name="Normal 5 5 2 6 5" xfId="9846" xr:uid="{00000000-0005-0000-0000-0000D7090000}"/>
    <cellStyle name="Normal 5 5 2 6 6" xfId="11660" xr:uid="{00000000-0005-0000-0000-0000420A0000}"/>
    <cellStyle name="Normal 5 5 2 7" xfId="1200" xr:uid="{00000000-0005-0000-0000-000076060000}"/>
    <cellStyle name="Normal 5 5 2 7 2" xfId="2499" xr:uid="{00000000-0005-0000-0000-000050070000}"/>
    <cellStyle name="Normal 5 5 2 7 3" xfId="2045" xr:uid="{00000000-0005-0000-0000-000076060000}"/>
    <cellStyle name="Normal 5 5 2 7 4" xfId="6154" xr:uid="{00000000-0005-0000-0000-000050070000}"/>
    <cellStyle name="Normal 5 5 2 8" xfId="2193" xr:uid="{00000000-0005-0000-0000-000036070000}"/>
    <cellStyle name="Normal 5 5 2 8 2" xfId="7697" xr:uid="{00000000-0005-0000-0000-0000DA090000}"/>
    <cellStyle name="Normal 5 5 2 8 3" xfId="10094" xr:uid="{00000000-0005-0000-0000-0000DA090000}"/>
    <cellStyle name="Normal 5 5 2 9" xfId="5377" xr:uid="{00000000-0005-0000-0000-000016040000}"/>
    <cellStyle name="Normal 5 5 20" xfId="4772" xr:uid="{00000000-0005-0000-0000-000088030000}"/>
    <cellStyle name="Normal 5 5 21" xfId="6536" xr:uid="{00000000-0005-0000-0000-0000A2090000}"/>
    <cellStyle name="Normal 5 5 22" xfId="8957" xr:uid="{00000000-0005-0000-0000-0000A2090000}"/>
    <cellStyle name="Normal 5 5 3" xfId="1201" xr:uid="{00000000-0005-0000-0000-000077060000}"/>
    <cellStyle name="Normal 5 5 3 10" xfId="5354" xr:uid="{00000000-0005-0000-0000-000024040000}"/>
    <cellStyle name="Normal 5 5 3 11" xfId="4810" xr:uid="{00000000-0005-0000-0000-000097030000}"/>
    <cellStyle name="Normal 5 5 3 12" xfId="6556" xr:uid="{00000000-0005-0000-0000-0000DB090000}"/>
    <cellStyle name="Normal 5 5 3 13" xfId="8977" xr:uid="{00000000-0005-0000-0000-0000DB090000}"/>
    <cellStyle name="Normal 5 5 3 2" xfId="1202" xr:uid="{00000000-0005-0000-0000-000078060000}"/>
    <cellStyle name="Normal 5 5 3 2 10" xfId="6702" xr:uid="{00000000-0005-0000-0000-0000DC090000}"/>
    <cellStyle name="Normal 5 5 3 2 11" xfId="9123" xr:uid="{00000000-0005-0000-0000-0000DC090000}"/>
    <cellStyle name="Normal 5 5 3 2 2" xfId="1203" xr:uid="{00000000-0005-0000-0000-000079060000}"/>
    <cellStyle name="Normal 5 5 3 2 2 2" xfId="3406" xr:uid="{00000000-0005-0000-0000-000054070000}"/>
    <cellStyle name="Normal 5 5 3 2 2 2 2" xfId="6414" xr:uid="{00000000-0005-0000-0000-000054070000}"/>
    <cellStyle name="Normal 5 5 3 2 2 2 2 2" xfId="8787" xr:uid="{00000000-0005-0000-0000-0000DF090000}"/>
    <cellStyle name="Normal 5 5 3 2 2 2 2 3" xfId="11184" xr:uid="{00000000-0005-0000-0000-0000DF090000}"/>
    <cellStyle name="Normal 5 5 3 2 2 2 3" xfId="7447" xr:uid="{00000000-0005-0000-0000-0000DE090000}"/>
    <cellStyle name="Normal 5 5 3 2 2 2 4" xfId="9848" xr:uid="{00000000-0005-0000-0000-0000DE090000}"/>
    <cellStyle name="Normal 5 5 3 2 2 3" xfId="4358" xr:uid="{00000000-0005-0000-0000-000053070000}"/>
    <cellStyle name="Normal 5 5 3 2 2 3 2" xfId="6227" xr:uid="{00000000-0005-0000-0000-000053070000}"/>
    <cellStyle name="Normal 5 5 3 2 2 3 3" xfId="8086" xr:uid="{00000000-0005-0000-0000-0000E0090000}"/>
    <cellStyle name="Normal 5 5 3 2 2 3 4" xfId="10483" xr:uid="{00000000-0005-0000-0000-0000E0090000}"/>
    <cellStyle name="Normal 5 5 3 2 2 4" xfId="5971" xr:uid="{00000000-0005-0000-0000-000026040000}"/>
    <cellStyle name="Normal 5 5 3 2 2 5" xfId="5218" xr:uid="{00000000-0005-0000-0000-000099030000}"/>
    <cellStyle name="Normal 5 5 3 2 2 6" xfId="6863" xr:uid="{00000000-0005-0000-0000-0000DD090000}"/>
    <cellStyle name="Normal 5 5 3 2 2 7" xfId="9284" xr:uid="{00000000-0005-0000-0000-0000DD090000}"/>
    <cellStyle name="Normal 5 5 3 2 3" xfId="3407" xr:uid="{00000000-0005-0000-0000-000055070000}"/>
    <cellStyle name="Normal 5 5 3 2 3 2" xfId="4562" xr:uid="{00000000-0005-0000-0000-000055070000}"/>
    <cellStyle name="Normal 5 5 3 2 3 2 2" xfId="8788" xr:uid="{00000000-0005-0000-0000-0000E2090000}"/>
    <cellStyle name="Normal 5 5 3 2 3 2 3" xfId="11185" xr:uid="{00000000-0005-0000-0000-0000E2090000}"/>
    <cellStyle name="Normal 5 5 3 2 3 3" xfId="5659" xr:uid="{00000000-0005-0000-0000-000027040000}"/>
    <cellStyle name="Normal 5 5 3 2 3 4" xfId="7446" xr:uid="{00000000-0005-0000-0000-0000E1090000}"/>
    <cellStyle name="Normal 5 5 3 2 3 5" xfId="9847" xr:uid="{00000000-0005-0000-0000-0000E1090000}"/>
    <cellStyle name="Normal 5 5 3 2 4" xfId="3405" xr:uid="{00000000-0005-0000-0000-000056070000}"/>
    <cellStyle name="Normal 5 5 3 2 4 2" xfId="6413" xr:uid="{00000000-0005-0000-0000-000056070000}"/>
    <cellStyle name="Normal 5 5 3 2 4 3" xfId="8786" xr:uid="{00000000-0005-0000-0000-0000E3090000}"/>
    <cellStyle name="Normal 5 5 3 2 4 4" xfId="11183" xr:uid="{00000000-0005-0000-0000-0000E3090000}"/>
    <cellStyle name="Normal 5 5 3 2 5" xfId="2536" xr:uid="{00000000-0005-0000-0000-000057070000}"/>
    <cellStyle name="Normal 5 5 3 2 5 2" xfId="7734" xr:uid="{00000000-0005-0000-0000-0000E4090000}"/>
    <cellStyle name="Normal 5 5 3 2 5 3" xfId="10131" xr:uid="{00000000-0005-0000-0000-0000E4090000}"/>
    <cellStyle name="Normal 5 5 3 2 6" xfId="2382" xr:uid="{00000000-0005-0000-0000-000052070000}"/>
    <cellStyle name="Normal 5 5 3 2 7" xfId="4026" xr:uid="{00000000-0005-0000-0000-0000AA020000}"/>
    <cellStyle name="Normal 5 5 3 2 8" xfId="5414" xr:uid="{00000000-0005-0000-0000-000025040000}"/>
    <cellStyle name="Normal 5 5 3 2 9" xfId="4957" xr:uid="{00000000-0005-0000-0000-000098030000}"/>
    <cellStyle name="Normal 5 5 3 3" xfId="1204" xr:uid="{00000000-0005-0000-0000-00007A060000}"/>
    <cellStyle name="Normal 5 5 3 3 2" xfId="1205" xr:uid="{00000000-0005-0000-0000-00007B060000}"/>
    <cellStyle name="Normal 5 5 3 3 2 2" xfId="1206" xr:uid="{00000000-0005-0000-0000-00007C060000}"/>
    <cellStyle name="Normal 5 5 3 3 2 2 2" xfId="3410" xr:uid="{00000000-0005-0000-0000-00005A070000}"/>
    <cellStyle name="Normal 5 5 3 3 2 2 2 2" xfId="8790" xr:uid="{00000000-0005-0000-0000-0000E8090000}"/>
    <cellStyle name="Normal 5 5 3 3 2 2 2 3" xfId="11187" xr:uid="{00000000-0005-0000-0000-0000E8090000}"/>
    <cellStyle name="Normal 5 5 3 3 2 2 3" xfId="3654" xr:uid="{00000000-0005-0000-0000-00007C060000}"/>
    <cellStyle name="Normal 5 5 3 3 2 2 4" xfId="6415" xr:uid="{00000000-0005-0000-0000-00005A070000}"/>
    <cellStyle name="Normal 5 5 3 3 2 2 5" xfId="11567" xr:uid="{00000000-0005-0000-0000-00004C050000}"/>
    <cellStyle name="Normal 5 5 3 3 2 3" xfId="3409" xr:uid="{00000000-0005-0000-0000-00005B070000}"/>
    <cellStyle name="Normal 5 5 3 3 2 3 2" xfId="11377" xr:uid="{00000000-0005-0000-0000-0000FA2C0000}"/>
    <cellStyle name="Normal 5 5 3 3 2 4" xfId="2811" xr:uid="{00000000-0005-0000-0000-000059070000}"/>
    <cellStyle name="Normal 5 5 3 3 2 4 2" xfId="8087" xr:uid="{00000000-0005-0000-0000-0000EA090000}"/>
    <cellStyle name="Normal 5 5 3 3 2 4 3" xfId="10484" xr:uid="{00000000-0005-0000-0000-0000EA090000}"/>
    <cellStyle name="Normal 5 5 3 3 2 5" xfId="3745" xr:uid="{00000000-0005-0000-0000-0000E2050000}"/>
    <cellStyle name="Normal 5 5 3 3 2 5 2" xfId="3789" xr:uid="{00000000-0005-0000-0000-0000AC020000}"/>
    <cellStyle name="Normal 5 5 3 3 2 5 2 2" xfId="6519" xr:uid="{00000000-0005-0000-0000-000033090000}"/>
    <cellStyle name="Normal 5 5 3 3 2 5 3" xfId="11415" xr:uid="{00000000-0005-0000-0000-000033090000}"/>
    <cellStyle name="Normal 5 5 3 3 2 6" xfId="5972" xr:uid="{00000000-0005-0000-0000-000029040000}"/>
    <cellStyle name="Normal 5 5 3 3 3" xfId="1207" xr:uid="{00000000-0005-0000-0000-00007D060000}"/>
    <cellStyle name="Normal 5 5 3 3 3 2" xfId="3411" xr:uid="{00000000-0005-0000-0000-00005C070000}"/>
    <cellStyle name="Normal 5 5 3 3 3 2 2" xfId="6505" xr:uid="{00000000-0005-0000-0000-000035090000}"/>
    <cellStyle name="Normal 5 5 3 3 3 2 2 2" xfId="11920" xr:uid="{00000000-0005-0000-0000-0000580A0000}"/>
    <cellStyle name="Normal 5 5 3 3 3 2 3" xfId="8791" xr:uid="{00000000-0005-0000-0000-0000EC090000}"/>
    <cellStyle name="Normal 5 5 3 3 3 2 4" xfId="11188" xr:uid="{00000000-0005-0000-0000-0000EC090000}"/>
    <cellStyle name="Normal 5 5 3 3 3 3" xfId="3559" xr:uid="{00000000-0005-0000-0000-00007D060000}"/>
    <cellStyle name="Normal 5 5 3 3 3 3 2" xfId="6491" xr:uid="{00000000-0005-0000-0000-000036090000}"/>
    <cellStyle name="Normal 5 5 3 3 3 3 3" xfId="11481" xr:uid="{00000000-0005-0000-0000-000036090000}"/>
    <cellStyle name="Normal 5 5 3 3 3 4" xfId="4563" xr:uid="{00000000-0005-0000-0000-00005C070000}"/>
    <cellStyle name="Normal 5 5 3 3 3 5" xfId="5744" xr:uid="{00000000-0005-0000-0000-00002A040000}"/>
    <cellStyle name="Normal 5 5 3 3 3 6" xfId="5284" xr:uid="{00000000-0005-0000-0000-00009D030000}"/>
    <cellStyle name="Normal 5 5 3 3 4" xfId="3408" xr:uid="{00000000-0005-0000-0000-00005D070000}"/>
    <cellStyle name="Normal 5 5 3 3 4 2" xfId="6493" xr:uid="{00000000-0005-0000-0000-000038090000}"/>
    <cellStyle name="Normal 5 5 3 3 4 2 2" xfId="11480" xr:uid="{00000000-0005-0000-0000-000038090000}"/>
    <cellStyle name="Normal 5 5 3 3 4 3" xfId="8789" xr:uid="{00000000-0005-0000-0000-0000ED090000}"/>
    <cellStyle name="Normal 5 5 3 3 4 4" xfId="11186" xr:uid="{00000000-0005-0000-0000-0000ED090000}"/>
    <cellStyle name="Normal 5 5 3 3 4 5" xfId="11946" xr:uid="{00000000-0005-0000-0000-0000D72E0000}"/>
    <cellStyle name="Normal 5 5 3 3 5" xfId="2638" xr:uid="{00000000-0005-0000-0000-00005E070000}"/>
    <cellStyle name="Normal 5 5 3 3 5 2" xfId="7837" xr:uid="{00000000-0005-0000-0000-0000EE090000}"/>
    <cellStyle name="Normal 5 5 3 3 5 3" xfId="10234" xr:uid="{00000000-0005-0000-0000-0000EE090000}"/>
    <cellStyle name="Normal 5 5 3 3 6" xfId="2125" xr:uid="{00000000-0005-0000-0000-0000AB020000}"/>
    <cellStyle name="Normal 5 5 3 3 6 2" xfId="4650" xr:uid="{00000000-0005-0000-0000-000058070000}"/>
    <cellStyle name="Normal 5 5 3 3 7" xfId="4027" xr:uid="{00000000-0005-0000-0000-0000AB020000}"/>
    <cellStyle name="Normal 5 5 3 3 8" xfId="5515" xr:uid="{00000000-0005-0000-0000-000028040000}"/>
    <cellStyle name="Normal 5 5 3 3 9" xfId="4956" xr:uid="{00000000-0005-0000-0000-00009A030000}"/>
    <cellStyle name="Normal 5 5 3 4" xfId="1208" xr:uid="{00000000-0005-0000-0000-00007E060000}"/>
    <cellStyle name="Normal 5 5 3 4 2" xfId="3412" xr:uid="{00000000-0005-0000-0000-000060070000}"/>
    <cellStyle name="Normal 5 5 3 4 2 2" xfId="8792" xr:uid="{00000000-0005-0000-0000-0000F0090000}"/>
    <cellStyle name="Normal 5 5 3 4 2 2 2" xfId="11921" xr:uid="{00000000-0005-0000-0000-00005E0A0000}"/>
    <cellStyle name="Normal 5 5 3 4 2 3" xfId="11189" xr:uid="{00000000-0005-0000-0000-0000F0090000}"/>
    <cellStyle name="Normal 5 5 3 4 2 4" xfId="11713" xr:uid="{00000000-0005-0000-0000-00005D0A0000}"/>
    <cellStyle name="Normal 5 5 3 4 3" xfId="2810" xr:uid="{00000000-0005-0000-0000-000061070000}"/>
    <cellStyle name="Normal 5 5 3 4 3 2" xfId="8085" xr:uid="{00000000-0005-0000-0000-0000F1090000}"/>
    <cellStyle name="Normal 5 5 3 4 3 3" xfId="10482" xr:uid="{00000000-0005-0000-0000-0000F1090000}"/>
    <cellStyle name="Normal 5 5 3 4 4" xfId="4206" xr:uid="{00000000-0005-0000-0000-00005F070000}"/>
    <cellStyle name="Normal 5 5 3 4 4 2" xfId="11825" xr:uid="{00000000-0005-0000-0000-0000600A0000}"/>
    <cellStyle name="Normal 5 5 3 4 5" xfId="5970" xr:uid="{00000000-0005-0000-0000-00002B040000}"/>
    <cellStyle name="Normal 5 5 3 4 6" xfId="7448" xr:uid="{00000000-0005-0000-0000-0000EF090000}"/>
    <cellStyle name="Normal 5 5 3 4 7" xfId="9849" xr:uid="{00000000-0005-0000-0000-0000EF090000}"/>
    <cellStyle name="Normal 5 5 3 5" xfId="1209" xr:uid="{00000000-0005-0000-0000-00007F060000}"/>
    <cellStyle name="Normal 5 5 3 5 2" xfId="4564" xr:uid="{00000000-0005-0000-0000-000062070000}"/>
    <cellStyle name="Normal 5 5 3 5 2 2" xfId="8793" xr:uid="{00000000-0005-0000-0000-0000F3090000}"/>
    <cellStyle name="Normal 5 5 3 5 2 3" xfId="11190" xr:uid="{00000000-0005-0000-0000-0000F3090000}"/>
    <cellStyle name="Normal 5 5 3 5 3" xfId="5600" xr:uid="{00000000-0005-0000-0000-00002C040000}"/>
    <cellStyle name="Normal 5 5 3 5 4" xfId="7449" xr:uid="{00000000-0005-0000-0000-0000F2090000}"/>
    <cellStyle name="Normal 5 5 3 5 5" xfId="9850" xr:uid="{00000000-0005-0000-0000-0000F2090000}"/>
    <cellStyle name="Normal 5 5 3 6" xfId="2966" xr:uid="{00000000-0005-0000-0000-000063070000}"/>
    <cellStyle name="Normal 5 5 3 6 2" xfId="8282" xr:uid="{00000000-0005-0000-0000-0000F4090000}"/>
    <cellStyle name="Normal 5 5 3 6 2 2" xfId="11846" xr:uid="{00000000-0005-0000-0000-0000640A0000}"/>
    <cellStyle name="Normal 5 5 3 6 3" xfId="10679" xr:uid="{00000000-0005-0000-0000-0000F4090000}"/>
    <cellStyle name="Normal 5 5 3 7" xfId="2476" xr:uid="{00000000-0005-0000-0000-000064070000}"/>
    <cellStyle name="Normal 5 5 3 7 2" xfId="7674" xr:uid="{00000000-0005-0000-0000-0000F5090000}"/>
    <cellStyle name="Normal 5 5 3 7 3" xfId="10071" xr:uid="{00000000-0005-0000-0000-0000F5090000}"/>
    <cellStyle name="Normal 5 5 3 8" xfId="2230" xr:uid="{00000000-0005-0000-0000-000051070000}"/>
    <cellStyle name="Normal 5 5 3 9" xfId="4025" xr:uid="{00000000-0005-0000-0000-0000A9020000}"/>
    <cellStyle name="Normal 5 5 4" xfId="1210" xr:uid="{00000000-0005-0000-0000-000080060000}"/>
    <cellStyle name="Normal 5 5 4 10" xfId="4790" xr:uid="{00000000-0005-0000-0000-00009E030000}"/>
    <cellStyle name="Normal 5 5 4 11" xfId="6703" xr:uid="{00000000-0005-0000-0000-0000F6090000}"/>
    <cellStyle name="Normal 5 5 4 12" xfId="9124" xr:uid="{00000000-0005-0000-0000-0000F6090000}"/>
    <cellStyle name="Normal 5 5 4 2" xfId="1211" xr:uid="{00000000-0005-0000-0000-000081060000}"/>
    <cellStyle name="Normal 5 5 4 2 10" xfId="6864" xr:uid="{00000000-0005-0000-0000-0000F7090000}"/>
    <cellStyle name="Normal 5 5 4 2 11" xfId="9285" xr:uid="{00000000-0005-0000-0000-0000F7090000}"/>
    <cellStyle name="Normal 5 5 4 2 2" xfId="1212" xr:uid="{00000000-0005-0000-0000-000082060000}"/>
    <cellStyle name="Normal 5 5 4 2 2 2" xfId="3414" xr:uid="{00000000-0005-0000-0000-000068070000}"/>
    <cellStyle name="Normal 5 5 4 2 2 2 2" xfId="8795" xr:uid="{00000000-0005-0000-0000-0000F9090000}"/>
    <cellStyle name="Normal 5 5 4 2 2 2 3" xfId="11192" xr:uid="{00000000-0005-0000-0000-0000F9090000}"/>
    <cellStyle name="Normal 5 5 4 2 2 3" xfId="4359" xr:uid="{00000000-0005-0000-0000-000067070000}"/>
    <cellStyle name="Normal 5 5 4 2 2 3 2" xfId="8089" xr:uid="{00000000-0005-0000-0000-0000FA090000}"/>
    <cellStyle name="Normal 5 5 4 2 2 3 3" xfId="10486" xr:uid="{00000000-0005-0000-0000-0000FA090000}"/>
    <cellStyle name="Normal 5 5 4 2 2 4" xfId="5974" xr:uid="{00000000-0005-0000-0000-00002F040000}"/>
    <cellStyle name="Normal 5 5 4 2 2 5" xfId="5220" xr:uid="{00000000-0005-0000-0000-0000A0030000}"/>
    <cellStyle name="Normal 5 5 4 2 2 6" xfId="7452" xr:uid="{00000000-0005-0000-0000-0000F8090000}"/>
    <cellStyle name="Normal 5 5 4 2 2 7" xfId="9853" xr:uid="{00000000-0005-0000-0000-0000F8090000}"/>
    <cellStyle name="Normal 5 5 4 2 3" xfId="3415" xr:uid="{00000000-0005-0000-0000-000069070000}"/>
    <cellStyle name="Normal 5 5 4 2 3 2" xfId="4565" xr:uid="{00000000-0005-0000-0000-000069070000}"/>
    <cellStyle name="Normal 5 5 4 2 3 2 2" xfId="8796" xr:uid="{00000000-0005-0000-0000-0000FC090000}"/>
    <cellStyle name="Normal 5 5 4 2 3 2 3" xfId="11193" xr:uid="{00000000-0005-0000-0000-0000FC090000}"/>
    <cellStyle name="Normal 5 5 4 2 3 3" xfId="5725" xr:uid="{00000000-0005-0000-0000-000030040000}"/>
    <cellStyle name="Normal 5 5 4 2 3 4" xfId="7451" xr:uid="{00000000-0005-0000-0000-0000FB090000}"/>
    <cellStyle name="Normal 5 5 4 2 3 5" xfId="9852" xr:uid="{00000000-0005-0000-0000-0000FB090000}"/>
    <cellStyle name="Normal 5 5 4 2 4" xfId="3413" xr:uid="{00000000-0005-0000-0000-00006A070000}"/>
    <cellStyle name="Normal 5 5 4 2 4 2" xfId="8794" xr:uid="{00000000-0005-0000-0000-0000FD090000}"/>
    <cellStyle name="Normal 5 5 4 2 4 3" xfId="11191" xr:uid="{00000000-0005-0000-0000-0000FD090000}"/>
    <cellStyle name="Normal 5 5 4 2 5" xfId="2619" xr:uid="{00000000-0005-0000-0000-00006B070000}"/>
    <cellStyle name="Normal 5 5 4 2 5 2" xfId="7817" xr:uid="{00000000-0005-0000-0000-0000FE090000}"/>
    <cellStyle name="Normal 5 5 4 2 5 3" xfId="10214" xr:uid="{00000000-0005-0000-0000-0000FE090000}"/>
    <cellStyle name="Normal 5 5 4 2 6" xfId="2383" xr:uid="{00000000-0005-0000-0000-000066070000}"/>
    <cellStyle name="Normal 5 5 4 2 7" xfId="4077" xr:uid="{00000000-0005-0000-0000-0000AE020000}"/>
    <cellStyle name="Normal 5 5 4 2 8" xfId="5495" xr:uid="{00000000-0005-0000-0000-00002E040000}"/>
    <cellStyle name="Normal 5 5 4 2 9" xfId="4958" xr:uid="{00000000-0005-0000-0000-00009F030000}"/>
    <cellStyle name="Normal 5 5 4 3" xfId="1213" xr:uid="{00000000-0005-0000-0000-000083060000}"/>
    <cellStyle name="Normal 5 5 4 3 2" xfId="3416" xr:uid="{00000000-0005-0000-0000-00006D070000}"/>
    <cellStyle name="Normal 5 5 4 3 2 2" xfId="8797" xr:uid="{00000000-0005-0000-0000-0000000A0000}"/>
    <cellStyle name="Normal 5 5 4 3 2 2 2" xfId="11922" xr:uid="{00000000-0005-0000-0000-0000710A0000}"/>
    <cellStyle name="Normal 5 5 4 3 2 3" xfId="11194" xr:uid="{00000000-0005-0000-0000-0000000A0000}"/>
    <cellStyle name="Normal 5 5 4 3 2 4" xfId="11714" xr:uid="{00000000-0005-0000-0000-0000700A0000}"/>
    <cellStyle name="Normal 5 5 4 3 3" xfId="2812" xr:uid="{00000000-0005-0000-0000-00006E070000}"/>
    <cellStyle name="Normal 5 5 4 3 3 2" xfId="8088" xr:uid="{00000000-0005-0000-0000-0000010A0000}"/>
    <cellStyle name="Normal 5 5 4 3 3 3" xfId="10485" xr:uid="{00000000-0005-0000-0000-0000010A0000}"/>
    <cellStyle name="Normal 5 5 4 3 4" xfId="4207" xr:uid="{00000000-0005-0000-0000-00006C070000}"/>
    <cellStyle name="Normal 5 5 4 3 4 2" xfId="11826" xr:uid="{00000000-0005-0000-0000-0000730A0000}"/>
    <cellStyle name="Normal 5 5 4 3 5" xfId="5973" xr:uid="{00000000-0005-0000-0000-000031040000}"/>
    <cellStyle name="Normal 5 5 4 3 6" xfId="5219" xr:uid="{00000000-0005-0000-0000-0000A1030000}"/>
    <cellStyle name="Normal 5 5 4 3 7" xfId="7453" xr:uid="{00000000-0005-0000-0000-0000FF090000}"/>
    <cellStyle name="Normal 5 5 4 3 8" xfId="9854" xr:uid="{00000000-0005-0000-0000-0000FF090000}"/>
    <cellStyle name="Normal 5 5 4 4" xfId="1214" xr:uid="{00000000-0005-0000-0000-000084060000}"/>
    <cellStyle name="Normal 5 5 4 4 2" xfId="4566" xr:uid="{00000000-0005-0000-0000-00006F070000}"/>
    <cellStyle name="Normal 5 5 4 4 2 2" xfId="8798" xr:uid="{00000000-0005-0000-0000-0000030A0000}"/>
    <cellStyle name="Normal 5 5 4 4 2 3" xfId="11195" xr:uid="{00000000-0005-0000-0000-0000030A0000}"/>
    <cellStyle name="Normal 5 5 4 4 3" xfId="5580" xr:uid="{00000000-0005-0000-0000-000032040000}"/>
    <cellStyle name="Normal 5 5 4 4 4" xfId="7454" xr:uid="{00000000-0005-0000-0000-0000020A0000}"/>
    <cellStyle name="Normal 5 5 4 4 5" xfId="9855" xr:uid="{00000000-0005-0000-0000-0000020A0000}"/>
    <cellStyle name="Normal 5 5 4 5" xfId="2967" xr:uid="{00000000-0005-0000-0000-000070070000}"/>
    <cellStyle name="Normal 5 5 4 5 2" xfId="8283" xr:uid="{00000000-0005-0000-0000-0000050A0000}"/>
    <cellStyle name="Normal 5 5 4 5 2 2" xfId="10680" xr:uid="{00000000-0005-0000-0000-0000050A0000}"/>
    <cellStyle name="Normal 5 5 4 5 3" xfId="7450" xr:uid="{00000000-0005-0000-0000-0000040A0000}"/>
    <cellStyle name="Normal 5 5 4 5 4" xfId="9851" xr:uid="{00000000-0005-0000-0000-0000040A0000}"/>
    <cellStyle name="Normal 5 5 4 6" xfId="2456" xr:uid="{00000000-0005-0000-0000-000071070000}"/>
    <cellStyle name="Normal 5 5 4 6 2" xfId="7654" xr:uid="{00000000-0005-0000-0000-0000060A0000}"/>
    <cellStyle name="Normal 5 5 4 6 3" xfId="10051" xr:uid="{00000000-0005-0000-0000-0000060A0000}"/>
    <cellStyle name="Normal 5 5 4 7" xfId="2210" xr:uid="{00000000-0005-0000-0000-000065070000}"/>
    <cellStyle name="Normal 5 5 4 8" xfId="4028" xr:uid="{00000000-0005-0000-0000-0000AD020000}"/>
    <cellStyle name="Normal 5 5 4 9" xfId="5334" xr:uid="{00000000-0005-0000-0000-00002D040000}"/>
    <cellStyle name="Normal 5 5 5" xfId="1215" xr:uid="{00000000-0005-0000-0000-000085060000}"/>
    <cellStyle name="Normal 5 5 5 10" xfId="6704" xr:uid="{00000000-0005-0000-0000-0000070A0000}"/>
    <cellStyle name="Normal 5 5 5 11" xfId="9125" xr:uid="{00000000-0005-0000-0000-0000070A0000}"/>
    <cellStyle name="Normal 5 5 5 2" xfId="1216" xr:uid="{00000000-0005-0000-0000-000086060000}"/>
    <cellStyle name="Normal 5 5 5 2 2" xfId="1217" xr:uid="{00000000-0005-0000-0000-000087060000}"/>
    <cellStyle name="Normal 5 5 5 2 2 2" xfId="6416" xr:uid="{00000000-0005-0000-0000-000074070000}"/>
    <cellStyle name="Normal 5 5 5 2 2 2 2" xfId="8799" xr:uid="{00000000-0005-0000-0000-00000A0A0000}"/>
    <cellStyle name="Normal 5 5 5 2 2 2 3" xfId="11196" xr:uid="{00000000-0005-0000-0000-00000A0A0000}"/>
    <cellStyle name="Normal 5 5 5 2 2 3" xfId="7457" xr:uid="{00000000-0005-0000-0000-0000090A0000}"/>
    <cellStyle name="Normal 5 5 5 2 2 3 2" xfId="12092" xr:uid="{00000000-0005-0000-0000-00008E070000}"/>
    <cellStyle name="Normal 5 5 5 2 2 4" xfId="9858" xr:uid="{00000000-0005-0000-0000-0000090A0000}"/>
    <cellStyle name="Normal 5 5 5 2 2 5" xfId="12051" xr:uid="{00000000-0005-0000-0000-00008C070000}"/>
    <cellStyle name="Normal 5 5 5 2 3" xfId="2813" xr:uid="{00000000-0005-0000-0000-000075070000}"/>
    <cellStyle name="Normal 5 5 5 2 3 2" xfId="6228" xr:uid="{00000000-0005-0000-0000-000075070000}"/>
    <cellStyle name="Normal 5 5 5 2 3 3" xfId="7456" xr:uid="{00000000-0005-0000-0000-00000B0A0000}"/>
    <cellStyle name="Normal 5 5 5 2 3 4" xfId="9857" xr:uid="{00000000-0005-0000-0000-00000B0A0000}"/>
    <cellStyle name="Normal 5 5 5 2 4" xfId="4208" xr:uid="{00000000-0005-0000-0000-000073070000}"/>
    <cellStyle name="Normal 5 5 5 2 4 2" xfId="8090" xr:uid="{00000000-0005-0000-0000-00000C0A0000}"/>
    <cellStyle name="Normal 5 5 5 2 4 3" xfId="10487" xr:uid="{00000000-0005-0000-0000-00000C0A0000}"/>
    <cellStyle name="Normal 5 5 5 2 5" xfId="5975" xr:uid="{00000000-0005-0000-0000-000034040000}"/>
    <cellStyle name="Normal 5 5 5 2 6" xfId="5221" xr:uid="{00000000-0005-0000-0000-0000A3030000}"/>
    <cellStyle name="Normal 5 5 5 2 7" xfId="6865" xr:uid="{00000000-0005-0000-0000-0000080A0000}"/>
    <cellStyle name="Normal 5 5 5 2 8" xfId="9286" xr:uid="{00000000-0005-0000-0000-0000080A0000}"/>
    <cellStyle name="Normal 5 5 5 3" xfId="1218" xr:uid="{00000000-0005-0000-0000-000088060000}"/>
    <cellStyle name="Normal 5 5 5 3 2" xfId="4567" xr:uid="{00000000-0005-0000-0000-000076070000}"/>
    <cellStyle name="Normal 5 5 5 3 2 2" xfId="8800" xr:uid="{00000000-0005-0000-0000-00000E0A0000}"/>
    <cellStyle name="Normal 5 5 5 3 2 3" xfId="11197" xr:uid="{00000000-0005-0000-0000-00000E0A0000}"/>
    <cellStyle name="Normal 5 5 5 3 3" xfId="5640" xr:uid="{00000000-0005-0000-0000-000035040000}"/>
    <cellStyle name="Normal 5 5 5 3 3 2" xfId="11715" xr:uid="{00000000-0005-0000-0000-0000810A0000}"/>
    <cellStyle name="Normal 5 5 5 3 4" xfId="7458" xr:uid="{00000000-0005-0000-0000-00000D0A0000}"/>
    <cellStyle name="Normal 5 5 5 3 4 2" xfId="11923" xr:uid="{00000000-0005-0000-0000-0000820A0000}"/>
    <cellStyle name="Normal 5 5 5 3 5" xfId="9859" xr:uid="{00000000-0005-0000-0000-00000D0A0000}"/>
    <cellStyle name="Normal 5 5 5 3 6" xfId="11655" xr:uid="{00000000-0005-0000-0000-00007F0A0000}"/>
    <cellStyle name="Normal 5 5 5 4" xfId="1219" xr:uid="{00000000-0005-0000-0000-000089060000}"/>
    <cellStyle name="Normal 5 5 5 4 2" xfId="6328" xr:uid="{00000000-0005-0000-0000-000077070000}"/>
    <cellStyle name="Normal 5 5 5 4 2 2" xfId="8284" xr:uid="{00000000-0005-0000-0000-0000100A0000}"/>
    <cellStyle name="Normal 5 5 5 4 2 3" xfId="10681" xr:uid="{00000000-0005-0000-0000-0000100A0000}"/>
    <cellStyle name="Normal 5 5 5 4 3" xfId="7459" xr:uid="{00000000-0005-0000-0000-00000F0A0000}"/>
    <cellStyle name="Normal 5 5 5 4 4" xfId="9860" xr:uid="{00000000-0005-0000-0000-00000F0A0000}"/>
    <cellStyle name="Normal 5 5 5 5" xfId="2516" xr:uid="{00000000-0005-0000-0000-000078070000}"/>
    <cellStyle name="Normal 5 5 5 5 2" xfId="7455" xr:uid="{00000000-0005-0000-0000-0000110A0000}"/>
    <cellStyle name="Normal 5 5 5 5 3" xfId="9856" xr:uid="{00000000-0005-0000-0000-0000110A0000}"/>
    <cellStyle name="Normal 5 5 5 6" xfId="2384" xr:uid="{00000000-0005-0000-0000-000072070000}"/>
    <cellStyle name="Normal 5 5 5 6 2" xfId="7714" xr:uid="{00000000-0005-0000-0000-0000120A0000}"/>
    <cellStyle name="Normal 5 5 5 6 3" xfId="10111" xr:uid="{00000000-0005-0000-0000-0000120A0000}"/>
    <cellStyle name="Normal 5 5 5 7" xfId="4029" xr:uid="{00000000-0005-0000-0000-0000AF020000}"/>
    <cellStyle name="Normal 5 5 5 8" xfId="5394" xr:uid="{00000000-0005-0000-0000-000033040000}"/>
    <cellStyle name="Normal 5 5 5 9" xfId="4959" xr:uid="{00000000-0005-0000-0000-0000A2030000}"/>
    <cellStyle name="Normal 5 5 6" xfId="1220" xr:uid="{00000000-0005-0000-0000-00008A060000}"/>
    <cellStyle name="Normal 5 5 6 10" xfId="6705" xr:uid="{00000000-0005-0000-0000-0000130A0000}"/>
    <cellStyle name="Normal 5 5 6 11" xfId="9126" xr:uid="{00000000-0005-0000-0000-0000130A0000}"/>
    <cellStyle name="Normal 5 5 6 2" xfId="1221" xr:uid="{00000000-0005-0000-0000-00008B060000}"/>
    <cellStyle name="Normal 5 5 6 2 2" xfId="1222" xr:uid="{00000000-0005-0000-0000-00008C060000}"/>
    <cellStyle name="Normal 5 5 6 2 2 2" xfId="6417" xr:uid="{00000000-0005-0000-0000-00007B070000}"/>
    <cellStyle name="Normal 5 5 6 2 2 2 2" xfId="8801" xr:uid="{00000000-0005-0000-0000-0000160A0000}"/>
    <cellStyle name="Normal 5 5 6 2 2 2 3" xfId="11198" xr:uid="{00000000-0005-0000-0000-0000160A0000}"/>
    <cellStyle name="Normal 5 5 6 2 2 3" xfId="7462" xr:uid="{00000000-0005-0000-0000-0000150A0000}"/>
    <cellStyle name="Normal 5 5 6 2 2 3 2" xfId="12093" xr:uid="{00000000-0005-0000-0000-00009A070000}"/>
    <cellStyle name="Normal 5 5 6 2 2 4" xfId="9863" xr:uid="{00000000-0005-0000-0000-0000150A0000}"/>
    <cellStyle name="Normal 5 5 6 2 2 5" xfId="12052" xr:uid="{00000000-0005-0000-0000-000098070000}"/>
    <cellStyle name="Normal 5 5 6 2 3" xfId="2814" xr:uid="{00000000-0005-0000-0000-00007C070000}"/>
    <cellStyle name="Normal 5 5 6 2 3 2" xfId="6229" xr:uid="{00000000-0005-0000-0000-00007C070000}"/>
    <cellStyle name="Normal 5 5 6 2 3 3" xfId="7461" xr:uid="{00000000-0005-0000-0000-0000170A0000}"/>
    <cellStyle name="Normal 5 5 6 2 3 4" xfId="9862" xr:uid="{00000000-0005-0000-0000-0000170A0000}"/>
    <cellStyle name="Normal 5 5 6 2 4" xfId="4209" xr:uid="{00000000-0005-0000-0000-00007A070000}"/>
    <cellStyle name="Normal 5 5 6 2 4 2" xfId="8091" xr:uid="{00000000-0005-0000-0000-0000180A0000}"/>
    <cellStyle name="Normal 5 5 6 2 4 3" xfId="10488" xr:uid="{00000000-0005-0000-0000-0000180A0000}"/>
    <cellStyle name="Normal 5 5 6 2 5" xfId="5976" xr:uid="{00000000-0005-0000-0000-000037040000}"/>
    <cellStyle name="Normal 5 5 6 2 6" xfId="5222" xr:uid="{00000000-0005-0000-0000-0000A5030000}"/>
    <cellStyle name="Normal 5 5 6 2 7" xfId="6866" xr:uid="{00000000-0005-0000-0000-0000140A0000}"/>
    <cellStyle name="Normal 5 5 6 2 8" xfId="9287" xr:uid="{00000000-0005-0000-0000-0000140A0000}"/>
    <cellStyle name="Normal 5 5 6 3" xfId="1223" xr:uid="{00000000-0005-0000-0000-00008D060000}"/>
    <cellStyle name="Normal 5 5 6 3 2" xfId="4568" xr:uid="{00000000-0005-0000-0000-00007D070000}"/>
    <cellStyle name="Normal 5 5 6 3 2 2" xfId="8802" xr:uid="{00000000-0005-0000-0000-00001A0A0000}"/>
    <cellStyle name="Normal 5 5 6 3 2 3" xfId="11199" xr:uid="{00000000-0005-0000-0000-00001A0A0000}"/>
    <cellStyle name="Normal 5 5 6 3 3" xfId="5686" xr:uid="{00000000-0005-0000-0000-000038040000}"/>
    <cellStyle name="Normal 5 5 6 3 3 2" xfId="12094" xr:uid="{00000000-0005-0000-0000-00009F070000}"/>
    <cellStyle name="Normal 5 5 6 3 4" xfId="7463" xr:uid="{00000000-0005-0000-0000-0000190A0000}"/>
    <cellStyle name="Normal 5 5 6 3 5" xfId="9864" xr:uid="{00000000-0005-0000-0000-0000190A0000}"/>
    <cellStyle name="Normal 5 5 6 4" xfId="1224" xr:uid="{00000000-0005-0000-0000-00008E060000}"/>
    <cellStyle name="Normal 5 5 6 4 2" xfId="6329" xr:uid="{00000000-0005-0000-0000-00007E070000}"/>
    <cellStyle name="Normal 5 5 6 4 2 2" xfId="8285" xr:uid="{00000000-0005-0000-0000-00001C0A0000}"/>
    <cellStyle name="Normal 5 5 6 4 2 3" xfId="10682" xr:uid="{00000000-0005-0000-0000-00001C0A0000}"/>
    <cellStyle name="Normal 5 5 6 4 3" xfId="7464" xr:uid="{00000000-0005-0000-0000-00001B0A0000}"/>
    <cellStyle name="Normal 5 5 6 4 4" xfId="9865" xr:uid="{00000000-0005-0000-0000-00001B0A0000}"/>
    <cellStyle name="Normal 5 5 6 5" xfId="2579" xr:uid="{00000000-0005-0000-0000-00007F070000}"/>
    <cellStyle name="Normal 5 5 6 5 2" xfId="7460" xr:uid="{00000000-0005-0000-0000-00001D0A0000}"/>
    <cellStyle name="Normal 5 5 6 5 3" xfId="9861" xr:uid="{00000000-0005-0000-0000-00001D0A0000}"/>
    <cellStyle name="Normal 5 5 6 6" xfId="2385" xr:uid="{00000000-0005-0000-0000-000079070000}"/>
    <cellStyle name="Normal 5 5 6 6 2" xfId="7777" xr:uid="{00000000-0005-0000-0000-00001E0A0000}"/>
    <cellStyle name="Normal 5 5 6 6 3" xfId="10174" xr:uid="{00000000-0005-0000-0000-00001E0A0000}"/>
    <cellStyle name="Normal 5 5 6 7" xfId="4030" xr:uid="{00000000-0005-0000-0000-0000B0020000}"/>
    <cellStyle name="Normal 5 5 6 8" xfId="5455" xr:uid="{00000000-0005-0000-0000-000036040000}"/>
    <cellStyle name="Normal 5 5 6 9" xfId="4960" xr:uid="{00000000-0005-0000-0000-0000A4030000}"/>
    <cellStyle name="Normal 5 5 7" xfId="1225" xr:uid="{00000000-0005-0000-0000-00008F060000}"/>
    <cellStyle name="Normal 5 5 7 2" xfId="1226" xr:uid="{00000000-0005-0000-0000-000090060000}"/>
    <cellStyle name="Normal 5 5 7 2 2" xfId="2968" xr:uid="{00000000-0005-0000-0000-000082070000}"/>
    <cellStyle name="Normal 5 5 7 2 2 2" xfId="6330" xr:uid="{00000000-0005-0000-0000-000082070000}"/>
    <cellStyle name="Normal 5 5 7 2 2 3" xfId="7466" xr:uid="{00000000-0005-0000-0000-0000210A0000}"/>
    <cellStyle name="Normal 5 5 7 2 2 4" xfId="9867" xr:uid="{00000000-0005-0000-0000-0000210A0000}"/>
    <cellStyle name="Normal 5 5 7 2 3" xfId="4742" xr:uid="{00000000-0005-0000-0000-000053050000}"/>
    <cellStyle name="Normal 5 5 7 2 3 2" xfId="6126" xr:uid="{00000000-0005-0000-0000-000081070000}"/>
    <cellStyle name="Normal 5 5 7 2 3 3" xfId="8286" xr:uid="{00000000-0005-0000-0000-0000220A0000}"/>
    <cellStyle name="Normal 5 5 7 2 3 4" xfId="10683" xr:uid="{00000000-0005-0000-0000-0000220A0000}"/>
    <cellStyle name="Normal 5 5 7 2 4" xfId="5223" xr:uid="{00000000-0005-0000-0000-0000A7030000}"/>
    <cellStyle name="Normal 5 5 7 2 5" xfId="6867" xr:uid="{00000000-0005-0000-0000-0000200A0000}"/>
    <cellStyle name="Normal 5 5 7 2 6" xfId="9288" xr:uid="{00000000-0005-0000-0000-0000200A0000}"/>
    <cellStyle name="Normal 5 5 7 3" xfId="1227" xr:uid="{00000000-0005-0000-0000-000091060000}"/>
    <cellStyle name="Normal 5 5 7 3 2" xfId="6230" xr:uid="{00000000-0005-0000-0000-000083070000}"/>
    <cellStyle name="Normal 5 5 7 3 3" xfId="7467" xr:uid="{00000000-0005-0000-0000-0000230A0000}"/>
    <cellStyle name="Normal 5 5 7 3 4" xfId="9868" xr:uid="{00000000-0005-0000-0000-0000230A0000}"/>
    <cellStyle name="Normal 5 5 7 4" xfId="2386" xr:uid="{00000000-0005-0000-0000-000080070000}"/>
    <cellStyle name="Normal 5 5 7 4 2" xfId="6079" xr:uid="{00000000-0005-0000-0000-000080070000}"/>
    <cellStyle name="Normal 5 5 7 4 3" xfId="7465" xr:uid="{00000000-0005-0000-0000-0000240A0000}"/>
    <cellStyle name="Normal 5 5 7 4 4" xfId="9866" xr:uid="{00000000-0005-0000-0000-0000240A0000}"/>
    <cellStyle name="Normal 5 5 7 5" xfId="4031" xr:uid="{00000000-0005-0000-0000-0000B1020000}"/>
    <cellStyle name="Normal 5 5 7 5 2" xfId="8092" xr:uid="{00000000-0005-0000-0000-0000250A0000}"/>
    <cellStyle name="Normal 5 5 7 5 3" xfId="10489" xr:uid="{00000000-0005-0000-0000-0000250A0000}"/>
    <cellStyle name="Normal 5 5 7 6" xfId="5977" xr:uid="{00000000-0005-0000-0000-000039040000}"/>
    <cellStyle name="Normal 5 5 7 7" xfId="4961" xr:uid="{00000000-0005-0000-0000-0000A6030000}"/>
    <cellStyle name="Normal 5 5 7 8" xfId="6706" xr:uid="{00000000-0005-0000-0000-00001F0A0000}"/>
    <cellStyle name="Normal 5 5 7 9" xfId="9127" xr:uid="{00000000-0005-0000-0000-00001F0A0000}"/>
    <cellStyle name="Normal 5 5 8" xfId="1228" xr:uid="{00000000-0005-0000-0000-000092060000}"/>
    <cellStyle name="Normal 5 5 8 2" xfId="1229" xr:uid="{00000000-0005-0000-0000-000093060000}"/>
    <cellStyle name="Normal 5 5 8 2 2" xfId="2969" xr:uid="{00000000-0005-0000-0000-000086070000}"/>
    <cellStyle name="Normal 5 5 8 2 2 2" xfId="6331" xr:uid="{00000000-0005-0000-0000-000086070000}"/>
    <cellStyle name="Normal 5 5 8 2 2 3" xfId="7469" xr:uid="{00000000-0005-0000-0000-0000280A0000}"/>
    <cellStyle name="Normal 5 5 8 2 2 4" xfId="9870" xr:uid="{00000000-0005-0000-0000-0000280A0000}"/>
    <cellStyle name="Normal 5 5 8 2 3" xfId="4743" xr:uid="{00000000-0005-0000-0000-000059050000}"/>
    <cellStyle name="Normal 5 5 8 2 3 2" xfId="6127" xr:uid="{00000000-0005-0000-0000-000085070000}"/>
    <cellStyle name="Normal 5 5 8 2 3 3" xfId="8287" xr:uid="{00000000-0005-0000-0000-0000290A0000}"/>
    <cellStyle name="Normal 5 5 8 2 3 4" xfId="10684" xr:uid="{00000000-0005-0000-0000-0000290A0000}"/>
    <cellStyle name="Normal 5 5 8 2 4" xfId="5224" xr:uid="{00000000-0005-0000-0000-0000A9030000}"/>
    <cellStyle name="Normal 5 5 8 2 5" xfId="6868" xr:uid="{00000000-0005-0000-0000-0000270A0000}"/>
    <cellStyle name="Normal 5 5 8 2 6" xfId="9289" xr:uid="{00000000-0005-0000-0000-0000270A0000}"/>
    <cellStyle name="Normal 5 5 8 3" xfId="1230" xr:uid="{00000000-0005-0000-0000-000094060000}"/>
    <cellStyle name="Normal 5 5 8 3 2" xfId="6231" xr:uid="{00000000-0005-0000-0000-000087070000}"/>
    <cellStyle name="Normal 5 5 8 3 3" xfId="7470" xr:uid="{00000000-0005-0000-0000-00002A0A0000}"/>
    <cellStyle name="Normal 5 5 8 3 4" xfId="9871" xr:uid="{00000000-0005-0000-0000-00002A0A0000}"/>
    <cellStyle name="Normal 5 5 8 4" xfId="2387" xr:uid="{00000000-0005-0000-0000-000084070000}"/>
    <cellStyle name="Normal 5 5 8 4 2" xfId="6080" xr:uid="{00000000-0005-0000-0000-000084070000}"/>
    <cellStyle name="Normal 5 5 8 4 3" xfId="7468" xr:uid="{00000000-0005-0000-0000-00002B0A0000}"/>
    <cellStyle name="Normal 5 5 8 4 4" xfId="9869" xr:uid="{00000000-0005-0000-0000-00002B0A0000}"/>
    <cellStyle name="Normal 5 5 8 5" xfId="4032" xr:uid="{00000000-0005-0000-0000-0000B2020000}"/>
    <cellStyle name="Normal 5 5 8 5 2" xfId="8093" xr:uid="{00000000-0005-0000-0000-00002C0A0000}"/>
    <cellStyle name="Normal 5 5 8 5 3" xfId="10490" xr:uid="{00000000-0005-0000-0000-00002C0A0000}"/>
    <cellStyle name="Normal 5 5 8 6" xfId="5978" xr:uid="{00000000-0005-0000-0000-00003A040000}"/>
    <cellStyle name="Normal 5 5 8 7" xfId="4962" xr:uid="{00000000-0005-0000-0000-0000A8030000}"/>
    <cellStyle name="Normal 5 5 8 8" xfId="6707" xr:uid="{00000000-0005-0000-0000-0000260A0000}"/>
    <cellStyle name="Normal 5 5 8 9" xfId="9128" xr:uid="{00000000-0005-0000-0000-0000260A0000}"/>
    <cellStyle name="Normal 5 5 9" xfId="1231" xr:uid="{00000000-0005-0000-0000-000095060000}"/>
    <cellStyle name="Normal 5 5 9 2" xfId="1232" xr:uid="{00000000-0005-0000-0000-000096060000}"/>
    <cellStyle name="Normal 5 5 9 3" xfId="1233" xr:uid="{00000000-0005-0000-0000-000097060000}"/>
    <cellStyle name="Normal 6" xfId="1234" xr:uid="{00000000-0005-0000-0000-000098060000}"/>
    <cellStyle name="Normal 6 2" xfId="1235" xr:uid="{00000000-0005-0000-0000-000099060000}"/>
    <cellStyle name="Normal 6 2 2" xfId="1236" xr:uid="{00000000-0005-0000-0000-00009A060000}"/>
    <cellStyle name="Normal 6 2 3" xfId="1237" xr:uid="{00000000-0005-0000-0000-00009B060000}"/>
    <cellStyle name="Normal 6 2 4" xfId="1238" xr:uid="{00000000-0005-0000-0000-00009C060000}"/>
    <cellStyle name="Normal 6 2 4 2" xfId="1239" xr:uid="{00000000-0005-0000-0000-00009D060000}"/>
    <cellStyle name="Normal 6 2 4 2 2" xfId="1240" xr:uid="{00000000-0005-0000-0000-00009E060000}"/>
    <cellStyle name="Normal 6 2 4 2 3" xfId="3746" xr:uid="{00000000-0005-0000-0000-000003060000}"/>
    <cellStyle name="Normal 6 2 4 3" xfId="1241" xr:uid="{00000000-0005-0000-0000-00009F060000}"/>
    <cellStyle name="Normal 6 2 4 4" xfId="7471" xr:uid="{00000000-0005-0000-0000-0000340A0000}"/>
    <cellStyle name="Normal 6 2 5" xfId="1242" xr:uid="{00000000-0005-0000-0000-0000A0060000}"/>
    <cellStyle name="Normal 6 3" xfId="1243" xr:uid="{00000000-0005-0000-0000-0000A1060000}"/>
    <cellStyle name="Normal 6 3 2" xfId="1244" xr:uid="{00000000-0005-0000-0000-0000A2060000}"/>
    <cellStyle name="Normal 6 3 3" xfId="1245" xr:uid="{00000000-0005-0000-0000-0000A3060000}"/>
    <cellStyle name="Normal 6 3 3 2" xfId="1246" xr:uid="{00000000-0005-0000-0000-0000A4060000}"/>
    <cellStyle name="Normal 6 3 3 3" xfId="1247" xr:uid="{00000000-0005-0000-0000-0000A5060000}"/>
    <cellStyle name="Normal 6 3 3 3 2" xfId="1248" xr:uid="{00000000-0005-0000-0000-0000A6060000}"/>
    <cellStyle name="Normal 6 3 3 3 2 2" xfId="1249" xr:uid="{00000000-0005-0000-0000-0000A7060000}"/>
    <cellStyle name="Normal 6 3 3 3 2 3" xfId="1250" xr:uid="{00000000-0005-0000-0000-0000A8060000}"/>
    <cellStyle name="Normal 6 3 3 3 2 3 2" xfId="1251" xr:uid="{00000000-0005-0000-0000-0000A9060000}"/>
    <cellStyle name="Normal 6 3 3 3 2 3 2 2" xfId="1252" xr:uid="{00000000-0005-0000-0000-0000AA060000}"/>
    <cellStyle name="Normal 6 3 3 3 2 3 2 2 2" xfId="11388" xr:uid="{00000000-0005-0000-0000-0000FB2C0000}"/>
    <cellStyle name="Normal 6 3 3 3 2 3 2 2 2 2" xfId="11505" xr:uid="{00000000-0005-0000-0000-0000B7030000}"/>
    <cellStyle name="Normal 6 3 3 3 2 3 2 3" xfId="1253" xr:uid="{00000000-0005-0000-0000-0000AB060000}"/>
    <cellStyle name="Normal 6 3 3 3 2 3 2 3 2" xfId="2014" xr:uid="{00000000-0005-0000-0000-0000AC060000}"/>
    <cellStyle name="Normal 6 3 3 3 2 3 2 3 3" xfId="3747" xr:uid="{00000000-0005-0000-0000-00000F060000}"/>
    <cellStyle name="Normal 6 3 3 3 2 3 2 4" xfId="5014" xr:uid="{00000000-0005-0000-0000-0000B6030000}"/>
    <cellStyle name="Normal 6 3 3 3 2 3 2 4 2" xfId="11545" xr:uid="{00000000-0005-0000-0000-000074050000}"/>
    <cellStyle name="Normal 6 3 3 3 2 3 3" xfId="1254" xr:uid="{00000000-0005-0000-0000-0000AD060000}"/>
    <cellStyle name="Normal 6 3 3 3 2 3 4" xfId="2971" xr:uid="{00000000-0005-0000-0000-000096070000}"/>
    <cellStyle name="Normal 6 3 3 3 2 3 5" xfId="2127" xr:uid="{00000000-0005-0000-0000-0000BE020000}"/>
    <cellStyle name="Normal 6 3 3 3 2 3 5 2" xfId="4680" xr:uid="{00000000-0005-0000-0000-000093070000}"/>
    <cellStyle name="Normal 6 3 3 3 2 3 6" xfId="4034" xr:uid="{00000000-0005-0000-0000-0000BE020000}"/>
    <cellStyle name="Normal 6 3 3 3 2 4" xfId="1255" xr:uid="{00000000-0005-0000-0000-0000AE060000}"/>
    <cellStyle name="Normal 6 3 3 3 2 4 2" xfId="2970" xr:uid="{00000000-0005-0000-0000-000097070000}"/>
    <cellStyle name="Normal 6 3 3 3 2 4 3" xfId="4706" xr:uid="{00000000-0005-0000-0000-000085120000}"/>
    <cellStyle name="Normal 6 3 3 3 2 5" xfId="2126" xr:uid="{00000000-0005-0000-0000-0000BC020000}"/>
    <cellStyle name="Normal 6 3 3 3 2 5 2" xfId="4637" xr:uid="{00000000-0005-0000-0000-000091070000}"/>
    <cellStyle name="Normal 6 3 3 3 2 6" xfId="4033" xr:uid="{00000000-0005-0000-0000-0000BC020000}"/>
    <cellStyle name="Normal 6 3 3 3 3" xfId="1256" xr:uid="{00000000-0005-0000-0000-0000AF060000}"/>
    <cellStyle name="Normal 6 3 3 3 4" xfId="1257" xr:uid="{00000000-0005-0000-0000-0000B0060000}"/>
    <cellStyle name="Normal 6 3 3 3 4 2" xfId="1258" xr:uid="{00000000-0005-0000-0000-0000B1060000}"/>
    <cellStyle name="Normal 6 3 3 3 4 2 2" xfId="1259" xr:uid="{00000000-0005-0000-0000-0000B2060000}"/>
    <cellStyle name="Normal 6 3 3 3 4 2 2 2" xfId="1260" xr:uid="{00000000-0005-0000-0000-0000B3060000}"/>
    <cellStyle name="Normal 6 3 3 3 4 2 2 2 2" xfId="2015" xr:uid="{00000000-0005-0000-0000-0000B4060000}"/>
    <cellStyle name="Normal 6 3 3 3 4 2 2 2 2 2" xfId="11374" xr:uid="{00000000-0005-0000-0000-0000FC2C0000}"/>
    <cellStyle name="Normal 6 3 3 3 4 2 2 2 3" xfId="3748" xr:uid="{00000000-0005-0000-0000-000016060000}"/>
    <cellStyle name="Normal 6 3 3 3 4 2 2 2 3 2" xfId="11506" xr:uid="{00000000-0005-0000-0000-0000BD030000}"/>
    <cellStyle name="Normal 6 3 3 3 4 2 2 3" xfId="2016" xr:uid="{00000000-0005-0000-0000-0000B5060000}"/>
    <cellStyle name="Normal 6 3 3 3 4 2 2 4" xfId="5015" xr:uid="{00000000-0005-0000-0000-0000BC030000}"/>
    <cellStyle name="Normal 6 3 3 3 4 2 2 4 2" xfId="11546" xr:uid="{00000000-0005-0000-0000-00007C050000}"/>
    <cellStyle name="Normal 6 3 3 3 4 2 3" xfId="1261" xr:uid="{00000000-0005-0000-0000-0000B6060000}"/>
    <cellStyle name="Normal 6 3 3 3 4 2 3 2" xfId="1262" xr:uid="{00000000-0005-0000-0000-0000B7060000}"/>
    <cellStyle name="Normal 6 3 3 3 4 2 3 2 2" xfId="6043" xr:uid="{00000000-0005-0000-0000-0000C5020000}"/>
    <cellStyle name="Normal 6 3 3 3 4 2 3 2 3" xfId="5285" xr:uid="{00000000-0005-0000-0000-0000BF030000}"/>
    <cellStyle name="Normal 6 3 3 3 4 2 3 3" xfId="1263" xr:uid="{00000000-0005-0000-0000-0000B8060000}"/>
    <cellStyle name="Normal 6 3 3 3 4 2 3 3 2" xfId="11350" xr:uid="{00000000-0005-0000-0000-0000FD2C0000}"/>
    <cellStyle name="Normal 6 3 3 3 4 2 3 3 2 2" xfId="11519" xr:uid="{00000000-0005-0000-0000-0000B8060000}"/>
    <cellStyle name="Normal 6 3 3 3 4 2 3 4" xfId="2129" xr:uid="{00000000-0005-0000-0000-0000C4020000}"/>
    <cellStyle name="Normal 6 3 3 3 4 2 3 4 2" xfId="11488" xr:uid="{00000000-0005-0000-0000-000080050000}"/>
    <cellStyle name="Normal 6 3 3 3 4 2 3 5" xfId="5225" xr:uid="{00000000-0005-0000-0000-0000BE030000}"/>
    <cellStyle name="Normal 6 3 3 3 4 2 4" xfId="4707" xr:uid="{00000000-0005-0000-0000-000086120000}"/>
    <cellStyle name="Normal 6 3 3 3 4 3" xfId="1264" xr:uid="{00000000-0005-0000-0000-0000B9060000}"/>
    <cellStyle name="Normal 6 3 3 3 4 4" xfId="2972" xr:uid="{00000000-0005-0000-0000-00009F070000}"/>
    <cellStyle name="Normal 6 3 3 3 4 5" xfId="2128" xr:uid="{00000000-0005-0000-0000-0000C1020000}"/>
    <cellStyle name="Normal 6 3 3 3 4 5 2" xfId="4672" xr:uid="{00000000-0005-0000-0000-000099070000}"/>
    <cellStyle name="Normal 6 3 3 3 4 6" xfId="4035" xr:uid="{00000000-0005-0000-0000-0000C1020000}"/>
    <cellStyle name="Normal 6 3 3 3 5" xfId="1265" xr:uid="{00000000-0005-0000-0000-0000BA060000}"/>
    <cellStyle name="Normal 6 3 3 3 5 2" xfId="1266" xr:uid="{00000000-0005-0000-0000-0000BB060000}"/>
    <cellStyle name="Normal 6 3 3 3 5 3" xfId="3749" xr:uid="{00000000-0005-0000-0000-00001D060000}"/>
    <cellStyle name="Normal 6 3 3 3 5 3 2" xfId="6496" xr:uid="{00000000-0005-0000-0000-000089090000}"/>
    <cellStyle name="Normal 6 3 3 4" xfId="1267" xr:uid="{00000000-0005-0000-0000-0000BC060000}"/>
    <cellStyle name="Normal 6 3 3 4 2" xfId="1268" xr:uid="{00000000-0005-0000-0000-0000BD060000}"/>
    <cellStyle name="Normal 6 3 3 4 3" xfId="1269" xr:uid="{00000000-0005-0000-0000-0000BE060000}"/>
    <cellStyle name="Normal 6 3 3 4 3 2" xfId="1270" xr:uid="{00000000-0005-0000-0000-0000BF060000}"/>
    <cellStyle name="Normal 6 3 3 4 3 2 2" xfId="1271" xr:uid="{00000000-0005-0000-0000-0000C0060000}"/>
    <cellStyle name="Normal 6 3 3 4 3 2 2 2" xfId="11358" xr:uid="{00000000-0005-0000-0000-0000FE2C0000}"/>
    <cellStyle name="Normal 6 3 3 4 3 2 2 2 2" xfId="11507" xr:uid="{00000000-0005-0000-0000-0000C6030000}"/>
    <cellStyle name="Normal 6 3 3 4 3 2 3" xfId="1272" xr:uid="{00000000-0005-0000-0000-0000C1060000}"/>
    <cellStyle name="Normal 6 3 3 4 3 2 3 2" xfId="2017" xr:uid="{00000000-0005-0000-0000-0000C2060000}"/>
    <cellStyle name="Normal 6 3 3 4 3 2 3 3" xfId="3750" xr:uid="{00000000-0005-0000-0000-000024060000}"/>
    <cellStyle name="Normal 6 3 3 4 3 2 4" xfId="5016" xr:uid="{00000000-0005-0000-0000-0000C5030000}"/>
    <cellStyle name="Normal 6 3 3 4 3 2 4 2" xfId="11547" xr:uid="{00000000-0005-0000-0000-00008A050000}"/>
    <cellStyle name="Normal 6 3 3 4 3 3" xfId="1273" xr:uid="{00000000-0005-0000-0000-0000C3060000}"/>
    <cellStyle name="Normal 6 3 3 4 3 4" xfId="2973" xr:uid="{00000000-0005-0000-0000-0000A5070000}"/>
    <cellStyle name="Normal 6 3 3 4 3 5" xfId="2131" xr:uid="{00000000-0005-0000-0000-0000C8020000}"/>
    <cellStyle name="Normal 6 3 3 4 3 5 2" xfId="3855" xr:uid="{00000000-0005-0000-0000-0000A2070000}"/>
    <cellStyle name="Normal 6 3 3 4 3 6" xfId="4037" xr:uid="{00000000-0005-0000-0000-0000C8020000}"/>
    <cellStyle name="Normal 6 3 3 4 4" xfId="1274" xr:uid="{00000000-0005-0000-0000-0000C4060000}"/>
    <cellStyle name="Normal 6 3 3 4 4 2" xfId="2018" xr:uid="{00000000-0005-0000-0000-0000C5060000}"/>
    <cellStyle name="Normal 6 3 3 4 4 3" xfId="3751" xr:uid="{00000000-0005-0000-0000-000027060000}"/>
    <cellStyle name="Normal 6 3 3 4 5" xfId="2130" xr:uid="{00000000-0005-0000-0000-0000C6020000}"/>
    <cellStyle name="Normal 6 3 3 4 5 2" xfId="3776" xr:uid="{00000000-0005-0000-0000-0000A0070000}"/>
    <cellStyle name="Normal 6 3 3 4 6" xfId="4036" xr:uid="{00000000-0005-0000-0000-0000C6020000}"/>
    <cellStyle name="Normal 6 3 3 5" xfId="2070" xr:uid="{00000000-0005-0000-0000-0000B9020000}"/>
    <cellStyle name="Normal 6 3 4" xfId="1275" xr:uid="{00000000-0005-0000-0000-0000C6060000}"/>
    <cellStyle name="Normal 6 3 4 2" xfId="1276" xr:uid="{00000000-0005-0000-0000-0000C7060000}"/>
    <cellStyle name="Normal 6 3 4 3" xfId="1277" xr:uid="{00000000-0005-0000-0000-0000C8060000}"/>
    <cellStyle name="Normal 6 3 4 3 2" xfId="1278" xr:uid="{00000000-0005-0000-0000-0000C9060000}"/>
    <cellStyle name="Normal 6 3 4 3 2 2" xfId="1279" xr:uid="{00000000-0005-0000-0000-0000CA060000}"/>
    <cellStyle name="Normal 6 3 4 3 2 2 2" xfId="11346" xr:uid="{00000000-0005-0000-0000-0000FF2C0000}"/>
    <cellStyle name="Normal 6 3 4 3 2 2 2 2" xfId="11508" xr:uid="{00000000-0005-0000-0000-0000CC030000}"/>
    <cellStyle name="Normal 6 3 4 3 2 3" xfId="1280" xr:uid="{00000000-0005-0000-0000-0000CB060000}"/>
    <cellStyle name="Normal 6 3 4 3 2 3 2" xfId="2019" xr:uid="{00000000-0005-0000-0000-0000CC060000}"/>
    <cellStyle name="Normal 6 3 4 3 2 3 3" xfId="3752" xr:uid="{00000000-0005-0000-0000-00002E060000}"/>
    <cellStyle name="Normal 6 3 4 3 2 4" xfId="5017" xr:uid="{00000000-0005-0000-0000-0000CB030000}"/>
    <cellStyle name="Normal 6 3 4 3 2 4 2" xfId="11548" xr:uid="{00000000-0005-0000-0000-000092050000}"/>
    <cellStyle name="Normal 6 3 4 3 3" xfId="1281" xr:uid="{00000000-0005-0000-0000-0000CD060000}"/>
    <cellStyle name="Normal 6 3 4 3 4" xfId="2975" xr:uid="{00000000-0005-0000-0000-0000AC070000}"/>
    <cellStyle name="Normal 6 3 4 3 5" xfId="2133" xr:uid="{00000000-0005-0000-0000-0000CC020000}"/>
    <cellStyle name="Normal 6 3 4 3 5 2" xfId="4641" xr:uid="{00000000-0005-0000-0000-0000A9070000}"/>
    <cellStyle name="Normal 6 3 4 3 6" xfId="4039" xr:uid="{00000000-0005-0000-0000-0000CC020000}"/>
    <cellStyle name="Normal 6 3 4 4" xfId="2974" xr:uid="{00000000-0005-0000-0000-0000AD070000}"/>
    <cellStyle name="Normal 6 3 4 4 2" xfId="11577" xr:uid="{00000000-0005-0000-0000-0000662D0000}"/>
    <cellStyle name="Normal 6 3 4 4 3" xfId="11576" xr:uid="{00000000-0005-0000-0000-0000652D0000}"/>
    <cellStyle name="Normal 6 3 4 5" xfId="2132" xr:uid="{00000000-0005-0000-0000-0000CA020000}"/>
    <cellStyle name="Normal 6 3 4 5 2" xfId="4626" xr:uid="{00000000-0005-0000-0000-0000A7070000}"/>
    <cellStyle name="Normal 6 3 4 6" xfId="4038" xr:uid="{00000000-0005-0000-0000-0000CA020000}"/>
    <cellStyle name="Normal 6 4" xfId="1282" xr:uid="{00000000-0005-0000-0000-0000CE060000}"/>
    <cellStyle name="Normal 6 5" xfId="1283" xr:uid="{00000000-0005-0000-0000-0000CF060000}"/>
    <cellStyle name="Normal 6 5 2" xfId="1284" xr:uid="{00000000-0005-0000-0000-0000D0060000}"/>
    <cellStyle name="Normal 6 5 3" xfId="1285" xr:uid="{00000000-0005-0000-0000-0000D1060000}"/>
    <cellStyle name="Normal 6 5 3 2" xfId="1286" xr:uid="{00000000-0005-0000-0000-0000D2060000}"/>
    <cellStyle name="Normal 6 5 3 2 2" xfId="1287" xr:uid="{00000000-0005-0000-0000-0000D3060000}"/>
    <cellStyle name="Normal 6 5 3 2 3" xfId="1288" xr:uid="{00000000-0005-0000-0000-0000D4060000}"/>
    <cellStyle name="Normal 6 5 3 2 3 2" xfId="1289" xr:uid="{00000000-0005-0000-0000-0000D5060000}"/>
    <cellStyle name="Normal 6 5 3 2 3 2 2" xfId="1290" xr:uid="{00000000-0005-0000-0000-0000D6060000}"/>
    <cellStyle name="Normal 6 5 3 2 3 2 2 2" xfId="11363" xr:uid="{00000000-0005-0000-0000-0000002D0000}"/>
    <cellStyle name="Normal 6 5 3 2 3 2 2 2 2" xfId="11509" xr:uid="{00000000-0005-0000-0000-0000D6030000}"/>
    <cellStyle name="Normal 6 5 3 2 3 2 3" xfId="1291" xr:uid="{00000000-0005-0000-0000-0000D7060000}"/>
    <cellStyle name="Normal 6 5 3 2 3 2 3 2" xfId="2020" xr:uid="{00000000-0005-0000-0000-0000D8060000}"/>
    <cellStyle name="Normal 6 5 3 2 3 2 3 3" xfId="3753" xr:uid="{00000000-0005-0000-0000-00003A060000}"/>
    <cellStyle name="Normal 6 5 3 2 3 2 4" xfId="5018" xr:uid="{00000000-0005-0000-0000-0000D5030000}"/>
    <cellStyle name="Normal 6 5 3 2 3 2 4 2" xfId="11549" xr:uid="{00000000-0005-0000-0000-00009E050000}"/>
    <cellStyle name="Normal 6 5 3 2 3 3" xfId="1292" xr:uid="{00000000-0005-0000-0000-0000D9060000}"/>
    <cellStyle name="Normal 6 5 3 2 3 4" xfId="2977" xr:uid="{00000000-0005-0000-0000-0000B7070000}"/>
    <cellStyle name="Normal 6 5 3 2 3 5" xfId="2136" xr:uid="{00000000-0005-0000-0000-0000D4020000}"/>
    <cellStyle name="Normal 6 5 3 2 3 5 2" xfId="4648" xr:uid="{00000000-0005-0000-0000-0000B4070000}"/>
    <cellStyle name="Normal 6 5 3 2 3 6" xfId="4042" xr:uid="{00000000-0005-0000-0000-0000D4020000}"/>
    <cellStyle name="Normal 6 5 3 2 4" xfId="1293" xr:uid="{00000000-0005-0000-0000-0000DA060000}"/>
    <cellStyle name="Normal 6 5 3 2 4 2" xfId="2976" xr:uid="{00000000-0005-0000-0000-0000B8070000}"/>
    <cellStyle name="Normal 6 5 3 2 4 3" xfId="4708" xr:uid="{00000000-0005-0000-0000-000087120000}"/>
    <cellStyle name="Normal 6 5 3 2 5" xfId="2135" xr:uid="{00000000-0005-0000-0000-0000D2020000}"/>
    <cellStyle name="Normal 6 5 3 2 5 2" xfId="4684" xr:uid="{00000000-0005-0000-0000-0000B2070000}"/>
    <cellStyle name="Normal 6 5 3 2 6" xfId="4041" xr:uid="{00000000-0005-0000-0000-0000D2020000}"/>
    <cellStyle name="Normal 6 5 3 3" xfId="1294" xr:uid="{00000000-0005-0000-0000-0000DB060000}"/>
    <cellStyle name="Normal 6 5 3 4" xfId="1295" xr:uid="{00000000-0005-0000-0000-0000DC060000}"/>
    <cellStyle name="Normal 6 5 3 4 2" xfId="1296" xr:uid="{00000000-0005-0000-0000-0000DD060000}"/>
    <cellStyle name="Normal 6 5 3 4 2 2" xfId="1297" xr:uid="{00000000-0005-0000-0000-0000DE060000}"/>
    <cellStyle name="Normal 6 5 3 4 2 2 2" xfId="1298" xr:uid="{00000000-0005-0000-0000-0000DF060000}"/>
    <cellStyle name="Normal 6 5 3 4 2 2 2 2" xfId="2021" xr:uid="{00000000-0005-0000-0000-0000E0060000}"/>
    <cellStyle name="Normal 6 5 3 4 2 2 2 2 2" xfId="11341" xr:uid="{00000000-0005-0000-0000-0000012D0000}"/>
    <cellStyle name="Normal 6 5 3 4 2 2 2 3" xfId="3754" xr:uid="{00000000-0005-0000-0000-000041060000}"/>
    <cellStyle name="Normal 6 5 3 4 2 2 2 3 2" xfId="11510" xr:uid="{00000000-0005-0000-0000-0000DC030000}"/>
    <cellStyle name="Normal 6 5 3 4 2 2 3" xfId="2022" xr:uid="{00000000-0005-0000-0000-0000E1060000}"/>
    <cellStyle name="Normal 6 5 3 4 2 2 4" xfId="5019" xr:uid="{00000000-0005-0000-0000-0000DB030000}"/>
    <cellStyle name="Normal 6 5 3 4 2 2 4 2" xfId="11550" xr:uid="{00000000-0005-0000-0000-0000A6050000}"/>
    <cellStyle name="Normal 6 5 3 4 2 3" xfId="1299" xr:uid="{00000000-0005-0000-0000-0000E2060000}"/>
    <cellStyle name="Normal 6 5 3 4 2 3 2" xfId="1300" xr:uid="{00000000-0005-0000-0000-0000E3060000}"/>
    <cellStyle name="Normal 6 5 3 4 2 3 2 2" xfId="6042" xr:uid="{00000000-0005-0000-0000-0000DB020000}"/>
    <cellStyle name="Normal 6 5 3 4 2 3 2 3" xfId="5286" xr:uid="{00000000-0005-0000-0000-0000DE030000}"/>
    <cellStyle name="Normal 6 5 3 4 2 3 3" xfId="1301" xr:uid="{00000000-0005-0000-0000-0000E4060000}"/>
    <cellStyle name="Normal 6 5 3 4 2 3 3 2" xfId="11343" xr:uid="{00000000-0005-0000-0000-0000022D0000}"/>
    <cellStyle name="Normal 6 5 3 4 2 3 3 2 2" xfId="11525" xr:uid="{00000000-0005-0000-0000-0000E4060000}"/>
    <cellStyle name="Normal 6 5 3 4 2 3 4" xfId="2138" xr:uid="{00000000-0005-0000-0000-0000DA020000}"/>
    <cellStyle name="Normal 6 5 3 4 2 3 4 2" xfId="11557" xr:uid="{00000000-0005-0000-0000-0000AA050000}"/>
    <cellStyle name="Normal 6 5 3 4 2 3 5" xfId="5226" xr:uid="{00000000-0005-0000-0000-0000DD030000}"/>
    <cellStyle name="Normal 6 5 3 4 2 4" xfId="4709" xr:uid="{00000000-0005-0000-0000-000088120000}"/>
    <cellStyle name="Normal 6 5 3 4 3" xfId="1302" xr:uid="{00000000-0005-0000-0000-0000E5060000}"/>
    <cellStyle name="Normal 6 5 3 4 4" xfId="2978" xr:uid="{00000000-0005-0000-0000-0000C0070000}"/>
    <cellStyle name="Normal 6 5 3 4 5" xfId="2137" xr:uid="{00000000-0005-0000-0000-0000D7020000}"/>
    <cellStyle name="Normal 6 5 3 4 5 2" xfId="4668" xr:uid="{00000000-0005-0000-0000-0000BA070000}"/>
    <cellStyle name="Normal 6 5 3 4 6" xfId="4043" xr:uid="{00000000-0005-0000-0000-0000D7020000}"/>
    <cellStyle name="Normal 6 5 3 5" xfId="1303" xr:uid="{00000000-0005-0000-0000-0000E6060000}"/>
    <cellStyle name="Normal 6 5 3 5 2" xfId="1304" xr:uid="{00000000-0005-0000-0000-0000E7060000}"/>
    <cellStyle name="Normal 6 5 3 5 3" xfId="3755" xr:uid="{00000000-0005-0000-0000-000048060000}"/>
    <cellStyle name="Normal 6 5 3 5 3 2" xfId="6454" xr:uid="{00000000-0005-0000-0000-0000B6090000}"/>
    <cellStyle name="Normal 6 5 4" xfId="1305" xr:uid="{00000000-0005-0000-0000-0000E8060000}"/>
    <cellStyle name="Normal 6 5 4 2" xfId="1306" xr:uid="{00000000-0005-0000-0000-0000E9060000}"/>
    <cellStyle name="Normal 6 5 4 3" xfId="1307" xr:uid="{00000000-0005-0000-0000-0000EA060000}"/>
    <cellStyle name="Normal 6 5 4 3 2" xfId="1308" xr:uid="{00000000-0005-0000-0000-0000EB060000}"/>
    <cellStyle name="Normal 6 5 4 3 2 2" xfId="1309" xr:uid="{00000000-0005-0000-0000-0000EC060000}"/>
    <cellStyle name="Normal 6 5 4 3 2 2 2" xfId="11362" xr:uid="{00000000-0005-0000-0000-0000032D0000}"/>
    <cellStyle name="Normal 6 5 4 3 2 2 2 2" xfId="11511" xr:uid="{00000000-0005-0000-0000-0000E5030000}"/>
    <cellStyle name="Normal 6 5 4 3 2 3" xfId="1310" xr:uid="{00000000-0005-0000-0000-0000ED060000}"/>
    <cellStyle name="Normal 6 5 4 3 2 3 2" xfId="2023" xr:uid="{00000000-0005-0000-0000-0000EE060000}"/>
    <cellStyle name="Normal 6 5 4 3 2 3 3" xfId="3756" xr:uid="{00000000-0005-0000-0000-00004F060000}"/>
    <cellStyle name="Normal 6 5 4 3 2 4" xfId="5020" xr:uid="{00000000-0005-0000-0000-0000E4030000}"/>
    <cellStyle name="Normal 6 5 4 3 2 4 2" xfId="11551" xr:uid="{00000000-0005-0000-0000-0000B4050000}"/>
    <cellStyle name="Normal 6 5 4 3 3" xfId="1311" xr:uid="{00000000-0005-0000-0000-0000EF060000}"/>
    <cellStyle name="Normal 6 5 4 3 4" xfId="2979" xr:uid="{00000000-0005-0000-0000-0000C6070000}"/>
    <cellStyle name="Normal 6 5 4 3 5" xfId="2140" xr:uid="{00000000-0005-0000-0000-0000DE020000}"/>
    <cellStyle name="Normal 6 5 4 3 5 2" xfId="3772" xr:uid="{00000000-0005-0000-0000-0000C3070000}"/>
    <cellStyle name="Normal 6 5 4 3 6" xfId="4045" xr:uid="{00000000-0005-0000-0000-0000DE020000}"/>
    <cellStyle name="Normal 6 5 4 4" xfId="1312" xr:uid="{00000000-0005-0000-0000-0000F0060000}"/>
    <cellStyle name="Normal 6 5 4 4 2" xfId="2024" xr:uid="{00000000-0005-0000-0000-0000F1060000}"/>
    <cellStyle name="Normal 6 5 4 4 3" xfId="3757" xr:uid="{00000000-0005-0000-0000-000052060000}"/>
    <cellStyle name="Normal 6 5 4 5" xfId="2139" xr:uid="{00000000-0005-0000-0000-0000DC020000}"/>
    <cellStyle name="Normal 6 5 4 5 2" xfId="4628" xr:uid="{00000000-0005-0000-0000-0000C1070000}"/>
    <cellStyle name="Normal 6 5 4 6" xfId="4044" xr:uid="{00000000-0005-0000-0000-0000DC020000}"/>
    <cellStyle name="Normal 6 5 5" xfId="2071" xr:uid="{00000000-0005-0000-0000-0000CF020000}"/>
    <cellStyle name="Normal 6 6" xfId="1313" xr:uid="{00000000-0005-0000-0000-0000F2060000}"/>
    <cellStyle name="Normal 6 6 2" xfId="1314" xr:uid="{00000000-0005-0000-0000-0000F3060000}"/>
    <cellStyle name="Normal 6 6 3" xfId="1315" xr:uid="{00000000-0005-0000-0000-0000F4060000}"/>
    <cellStyle name="Normal 6 6 3 2" xfId="1316" xr:uid="{00000000-0005-0000-0000-0000F5060000}"/>
    <cellStyle name="Normal 6 6 3 3" xfId="1317" xr:uid="{00000000-0005-0000-0000-0000F6060000}"/>
    <cellStyle name="Normal 6 6 3 3 2" xfId="1318" xr:uid="{00000000-0005-0000-0000-0000F7060000}"/>
    <cellStyle name="Normal 6 6 3 3 2 2" xfId="6037" xr:uid="{00000000-0005-0000-0000-0000E5020000}"/>
    <cellStyle name="Normal 6 6 3 3 2 3" xfId="5287" xr:uid="{00000000-0005-0000-0000-0000EC030000}"/>
    <cellStyle name="Normal 6 6 3 3 3" xfId="1319" xr:uid="{00000000-0005-0000-0000-0000F8060000}"/>
    <cellStyle name="Normal 6 6 3 3 4" xfId="2142" xr:uid="{00000000-0005-0000-0000-0000E4020000}"/>
    <cellStyle name="Normal 6 6 3 3 4 2" xfId="6477" xr:uid="{00000000-0005-0000-0000-0000C8090000}"/>
    <cellStyle name="Normal 6 6 3 4" xfId="1320" xr:uid="{00000000-0005-0000-0000-0000F9060000}"/>
    <cellStyle name="Normal 6 6 3 4 2" xfId="1321" xr:uid="{00000000-0005-0000-0000-0000FA060000}"/>
    <cellStyle name="Normal 6 6 3 4 3" xfId="3758" xr:uid="{00000000-0005-0000-0000-00005A060000}"/>
    <cellStyle name="Normal 6 6 4" xfId="1322" xr:uid="{00000000-0005-0000-0000-0000FB060000}"/>
    <cellStyle name="Normal 6 6 4 2" xfId="1323" xr:uid="{00000000-0005-0000-0000-0000FC060000}"/>
    <cellStyle name="Normal 6 6 4 2 2" xfId="1324" xr:uid="{00000000-0005-0000-0000-0000FD060000}"/>
    <cellStyle name="Normal 6 6 4 2 2 2" xfId="11387" xr:uid="{00000000-0005-0000-0000-0000042D0000}"/>
    <cellStyle name="Normal 6 6 4 2 2 2 2" xfId="11512" xr:uid="{00000000-0005-0000-0000-0000F0030000}"/>
    <cellStyle name="Normal 6 6 4 2 3" xfId="1325" xr:uid="{00000000-0005-0000-0000-0000FE060000}"/>
    <cellStyle name="Normal 6 6 4 2 3 2" xfId="2025" xr:uid="{00000000-0005-0000-0000-0000FF060000}"/>
    <cellStyle name="Normal 6 6 4 2 3 3" xfId="3759" xr:uid="{00000000-0005-0000-0000-00005F060000}"/>
    <cellStyle name="Normal 6 6 4 2 4" xfId="5021" xr:uid="{00000000-0005-0000-0000-0000EF030000}"/>
    <cellStyle name="Normal 6 6 4 2 4 2" xfId="11552" xr:uid="{00000000-0005-0000-0000-0000BF050000}"/>
    <cellStyle name="Normal 6 6 4 3" xfId="1326" xr:uid="{00000000-0005-0000-0000-000000070000}"/>
    <cellStyle name="Normal 6 6 4 4" xfId="2980" xr:uid="{00000000-0005-0000-0000-0000D1070000}"/>
    <cellStyle name="Normal 6 6 4 5" xfId="2143" xr:uid="{00000000-0005-0000-0000-0000E6020000}"/>
    <cellStyle name="Normal 6 6 4 5 2" xfId="4636" xr:uid="{00000000-0005-0000-0000-0000CE070000}"/>
    <cellStyle name="Normal 6 6 4 6" xfId="4047" xr:uid="{00000000-0005-0000-0000-0000E6020000}"/>
    <cellStyle name="Normal 6 6 5" xfId="1327" xr:uid="{00000000-0005-0000-0000-000001070000}"/>
    <cellStyle name="Normal 6 6 6" xfId="1328" xr:uid="{00000000-0005-0000-0000-000002070000}"/>
    <cellStyle name="Normal 6 6 6 2" xfId="1329" xr:uid="{00000000-0005-0000-0000-000003070000}"/>
    <cellStyle name="Normal 6 6 6 3" xfId="1330" xr:uid="{00000000-0005-0000-0000-000004070000}"/>
    <cellStyle name="Normal 6 6 6 3 2" xfId="4627" xr:uid="{00000000-0005-0000-0000-0000D3070000}"/>
    <cellStyle name="Normal 6 6 6 3 2 2" xfId="11625" xr:uid="{00000000-0005-0000-0000-0000050B0000}"/>
    <cellStyle name="Normal 6 6 6 4" xfId="2153" xr:uid="{00000000-0005-0000-0000-0000E9020000}"/>
    <cellStyle name="Normal 6 6 6 4 2" xfId="11624" xr:uid="{00000000-0005-0000-0000-0000060B0000}"/>
    <cellStyle name="Normal 6 6 6 5" xfId="4096" xr:uid="{00000000-0005-0000-0000-0000E9020000}"/>
    <cellStyle name="Normal 6 6 7" xfId="1331" xr:uid="{00000000-0005-0000-0000-000005070000}"/>
    <cellStyle name="Normal 6 6 7 2" xfId="1332" xr:uid="{00000000-0005-0000-0000-000006070000}"/>
    <cellStyle name="Normal 6 6 7 3" xfId="3760" xr:uid="{00000000-0005-0000-0000-000066060000}"/>
    <cellStyle name="Normal 6 6 8" xfId="2141" xr:uid="{00000000-0005-0000-0000-0000E0020000}"/>
    <cellStyle name="Normal 6 6 9" xfId="4046" xr:uid="{00000000-0005-0000-0000-0000E0020000}"/>
    <cellStyle name="Normal 7" xfId="1333" xr:uid="{00000000-0005-0000-0000-000007070000}"/>
    <cellStyle name="Normal 7 10" xfId="1334" xr:uid="{00000000-0005-0000-0000-000008070000}"/>
    <cellStyle name="Normal 7 10 10" xfId="6708" xr:uid="{00000000-0005-0000-0000-0000A40A0000}"/>
    <cellStyle name="Normal 7 10 11" xfId="9129" xr:uid="{00000000-0005-0000-0000-0000A40A0000}"/>
    <cellStyle name="Normal 7 10 2" xfId="1335" xr:uid="{00000000-0005-0000-0000-000009070000}"/>
    <cellStyle name="Normal 7 10 2 2" xfId="1336" xr:uid="{00000000-0005-0000-0000-00000A070000}"/>
    <cellStyle name="Normal 7 10 2 2 2" xfId="6418" xr:uid="{00000000-0005-0000-0000-0000D9070000}"/>
    <cellStyle name="Normal 7 10 2 2 2 2" xfId="8803" xr:uid="{00000000-0005-0000-0000-0000A70A0000}"/>
    <cellStyle name="Normal 7 10 2 2 2 3" xfId="11200" xr:uid="{00000000-0005-0000-0000-0000A70A0000}"/>
    <cellStyle name="Normal 7 10 2 2 3" xfId="7474" xr:uid="{00000000-0005-0000-0000-0000A60A0000}"/>
    <cellStyle name="Normal 7 10 2 2 3 2" xfId="12095" xr:uid="{00000000-0005-0000-0000-00000C080000}"/>
    <cellStyle name="Normal 7 10 2 2 4" xfId="9874" xr:uid="{00000000-0005-0000-0000-0000A60A0000}"/>
    <cellStyle name="Normal 7 10 2 2 5" xfId="12053" xr:uid="{00000000-0005-0000-0000-00000A080000}"/>
    <cellStyle name="Normal 7 10 2 3" xfId="2815" xr:uid="{00000000-0005-0000-0000-0000DA070000}"/>
    <cellStyle name="Normal 7 10 2 3 2" xfId="6232" xr:uid="{00000000-0005-0000-0000-0000DA070000}"/>
    <cellStyle name="Normal 7 10 2 3 3" xfId="7473" xr:uid="{00000000-0005-0000-0000-0000A80A0000}"/>
    <cellStyle name="Normal 7 10 2 3 4" xfId="9873" xr:uid="{00000000-0005-0000-0000-0000A80A0000}"/>
    <cellStyle name="Normal 7 10 2 4" xfId="4210" xr:uid="{00000000-0005-0000-0000-0000D8070000}"/>
    <cellStyle name="Normal 7 10 2 4 2" xfId="8094" xr:uid="{00000000-0005-0000-0000-0000A90A0000}"/>
    <cellStyle name="Normal 7 10 2 4 3" xfId="10491" xr:uid="{00000000-0005-0000-0000-0000A90A0000}"/>
    <cellStyle name="Normal 7 10 2 5" xfId="5979" xr:uid="{00000000-0005-0000-0000-000073040000}"/>
    <cellStyle name="Normal 7 10 2 6" xfId="5227" xr:uid="{00000000-0005-0000-0000-0000F6030000}"/>
    <cellStyle name="Normal 7 10 2 7" xfId="6869" xr:uid="{00000000-0005-0000-0000-0000A50A0000}"/>
    <cellStyle name="Normal 7 10 2 8" xfId="9290" xr:uid="{00000000-0005-0000-0000-0000A50A0000}"/>
    <cellStyle name="Normal 7 10 3" xfId="1337" xr:uid="{00000000-0005-0000-0000-00000B070000}"/>
    <cellStyle name="Normal 7 10 3 2" xfId="4569" xr:uid="{00000000-0005-0000-0000-0000DB070000}"/>
    <cellStyle name="Normal 7 10 3 2 2" xfId="8804" xr:uid="{00000000-0005-0000-0000-0000AB0A0000}"/>
    <cellStyle name="Normal 7 10 3 2 3" xfId="11201" xr:uid="{00000000-0005-0000-0000-0000AB0A0000}"/>
    <cellStyle name="Normal 7 10 3 3" xfId="5632" xr:uid="{00000000-0005-0000-0000-000074040000}"/>
    <cellStyle name="Normal 7 10 3 3 2" xfId="11716" xr:uid="{00000000-0005-0000-0000-0000110B0000}"/>
    <cellStyle name="Normal 7 10 3 4" xfId="7475" xr:uid="{00000000-0005-0000-0000-0000AA0A0000}"/>
    <cellStyle name="Normal 7 10 3 4 2" xfId="11924" xr:uid="{00000000-0005-0000-0000-0000120B0000}"/>
    <cellStyle name="Normal 7 10 3 5" xfId="9875" xr:uid="{00000000-0005-0000-0000-0000AA0A0000}"/>
    <cellStyle name="Normal 7 10 3 6" xfId="11650" xr:uid="{00000000-0005-0000-0000-00000F0B0000}"/>
    <cellStyle name="Normal 7 10 4" xfId="1338" xr:uid="{00000000-0005-0000-0000-00000C070000}"/>
    <cellStyle name="Normal 7 10 4 2" xfId="6332" xr:uid="{00000000-0005-0000-0000-0000DC070000}"/>
    <cellStyle name="Normal 7 10 4 2 2" xfId="8288" xr:uid="{00000000-0005-0000-0000-0000AD0A0000}"/>
    <cellStyle name="Normal 7 10 4 2 3" xfId="10685" xr:uid="{00000000-0005-0000-0000-0000AD0A0000}"/>
    <cellStyle name="Normal 7 10 4 3" xfId="7476" xr:uid="{00000000-0005-0000-0000-0000AC0A0000}"/>
    <cellStyle name="Normal 7 10 4 4" xfId="9876" xr:uid="{00000000-0005-0000-0000-0000AC0A0000}"/>
    <cellStyle name="Normal 7 10 5" xfId="2508" xr:uid="{00000000-0005-0000-0000-0000DD070000}"/>
    <cellStyle name="Normal 7 10 5 2" xfId="7472" xr:uid="{00000000-0005-0000-0000-0000AE0A0000}"/>
    <cellStyle name="Normal 7 10 5 3" xfId="9872" xr:uid="{00000000-0005-0000-0000-0000AE0A0000}"/>
    <cellStyle name="Normal 7 10 6" xfId="2388" xr:uid="{00000000-0005-0000-0000-0000D7070000}"/>
    <cellStyle name="Normal 7 10 6 2" xfId="7706" xr:uid="{00000000-0005-0000-0000-0000AF0A0000}"/>
    <cellStyle name="Normal 7 10 6 3" xfId="10103" xr:uid="{00000000-0005-0000-0000-0000AF0A0000}"/>
    <cellStyle name="Normal 7 10 7" xfId="4048" xr:uid="{00000000-0005-0000-0000-0000EC020000}"/>
    <cellStyle name="Normal 7 10 8" xfId="5386" xr:uid="{00000000-0005-0000-0000-000072040000}"/>
    <cellStyle name="Normal 7 10 9" xfId="4963" xr:uid="{00000000-0005-0000-0000-0000F5030000}"/>
    <cellStyle name="Normal 7 11" xfId="1339" xr:uid="{00000000-0005-0000-0000-00000D070000}"/>
    <cellStyle name="Normal 7 11 10" xfId="6709" xr:uid="{00000000-0005-0000-0000-0000B00A0000}"/>
    <cellStyle name="Normal 7 11 11" xfId="9130" xr:uid="{00000000-0005-0000-0000-0000B00A0000}"/>
    <cellStyle name="Normal 7 11 2" xfId="1340" xr:uid="{00000000-0005-0000-0000-00000E070000}"/>
    <cellStyle name="Normal 7 11 2 2" xfId="1341" xr:uid="{00000000-0005-0000-0000-00000F070000}"/>
    <cellStyle name="Normal 7 11 2 2 2" xfId="6419" xr:uid="{00000000-0005-0000-0000-0000E0070000}"/>
    <cellStyle name="Normal 7 11 2 2 2 2" xfId="8805" xr:uid="{00000000-0005-0000-0000-0000B30A0000}"/>
    <cellStyle name="Normal 7 11 2 2 2 3" xfId="11202" xr:uid="{00000000-0005-0000-0000-0000B30A0000}"/>
    <cellStyle name="Normal 7 11 2 2 3" xfId="7479" xr:uid="{00000000-0005-0000-0000-0000B20A0000}"/>
    <cellStyle name="Normal 7 11 2 2 3 2" xfId="12096" xr:uid="{00000000-0005-0000-0000-000018080000}"/>
    <cellStyle name="Normal 7 11 2 2 4" xfId="9879" xr:uid="{00000000-0005-0000-0000-0000B20A0000}"/>
    <cellStyle name="Normal 7 11 2 2 5" xfId="12054" xr:uid="{00000000-0005-0000-0000-000016080000}"/>
    <cellStyle name="Normal 7 11 2 3" xfId="2816" xr:uid="{00000000-0005-0000-0000-0000E1070000}"/>
    <cellStyle name="Normal 7 11 2 3 2" xfId="6233" xr:uid="{00000000-0005-0000-0000-0000E1070000}"/>
    <cellStyle name="Normal 7 11 2 3 3" xfId="7478" xr:uid="{00000000-0005-0000-0000-0000B40A0000}"/>
    <cellStyle name="Normal 7 11 2 3 4" xfId="9878" xr:uid="{00000000-0005-0000-0000-0000B40A0000}"/>
    <cellStyle name="Normal 7 11 2 4" xfId="4211" xr:uid="{00000000-0005-0000-0000-0000DF070000}"/>
    <cellStyle name="Normal 7 11 2 4 2" xfId="8095" xr:uid="{00000000-0005-0000-0000-0000B50A0000}"/>
    <cellStyle name="Normal 7 11 2 4 3" xfId="10492" xr:uid="{00000000-0005-0000-0000-0000B50A0000}"/>
    <cellStyle name="Normal 7 11 2 5" xfId="5980" xr:uid="{00000000-0005-0000-0000-000076040000}"/>
    <cellStyle name="Normal 7 11 2 6" xfId="5228" xr:uid="{00000000-0005-0000-0000-0000F8030000}"/>
    <cellStyle name="Normal 7 11 2 7" xfId="6870" xr:uid="{00000000-0005-0000-0000-0000B10A0000}"/>
    <cellStyle name="Normal 7 11 2 8" xfId="9291" xr:uid="{00000000-0005-0000-0000-0000B10A0000}"/>
    <cellStyle name="Normal 7 11 3" xfId="1342" xr:uid="{00000000-0005-0000-0000-000010070000}"/>
    <cellStyle name="Normal 7 11 3 2" xfId="4570" xr:uid="{00000000-0005-0000-0000-0000E2070000}"/>
    <cellStyle name="Normal 7 11 3 2 2" xfId="8806" xr:uid="{00000000-0005-0000-0000-0000B70A0000}"/>
    <cellStyle name="Normal 7 11 3 2 3" xfId="11203" xr:uid="{00000000-0005-0000-0000-0000B70A0000}"/>
    <cellStyle name="Normal 7 11 3 3" xfId="5677" xr:uid="{00000000-0005-0000-0000-000077040000}"/>
    <cellStyle name="Normal 7 11 3 3 2" xfId="12097" xr:uid="{00000000-0005-0000-0000-00001D080000}"/>
    <cellStyle name="Normal 7 11 3 4" xfId="7480" xr:uid="{00000000-0005-0000-0000-0000B60A0000}"/>
    <cellStyle name="Normal 7 11 3 5" xfId="9880" xr:uid="{00000000-0005-0000-0000-0000B60A0000}"/>
    <cellStyle name="Normal 7 11 4" xfId="1343" xr:uid="{00000000-0005-0000-0000-000011070000}"/>
    <cellStyle name="Normal 7 11 4 2" xfId="6333" xr:uid="{00000000-0005-0000-0000-0000E3070000}"/>
    <cellStyle name="Normal 7 11 4 2 2" xfId="8289" xr:uid="{00000000-0005-0000-0000-0000B90A0000}"/>
    <cellStyle name="Normal 7 11 4 2 3" xfId="10686" xr:uid="{00000000-0005-0000-0000-0000B90A0000}"/>
    <cellStyle name="Normal 7 11 4 3" xfId="7481" xr:uid="{00000000-0005-0000-0000-0000B80A0000}"/>
    <cellStyle name="Normal 7 11 4 4" xfId="9881" xr:uid="{00000000-0005-0000-0000-0000B80A0000}"/>
    <cellStyle name="Normal 7 11 5" xfId="2568" xr:uid="{00000000-0005-0000-0000-0000E4070000}"/>
    <cellStyle name="Normal 7 11 5 2" xfId="7477" xr:uid="{00000000-0005-0000-0000-0000BA0A0000}"/>
    <cellStyle name="Normal 7 11 5 3" xfId="9877" xr:uid="{00000000-0005-0000-0000-0000BA0A0000}"/>
    <cellStyle name="Normal 7 11 6" xfId="2389" xr:uid="{00000000-0005-0000-0000-0000DE070000}"/>
    <cellStyle name="Normal 7 11 6 2" xfId="7766" xr:uid="{00000000-0005-0000-0000-0000BB0A0000}"/>
    <cellStyle name="Normal 7 11 6 3" xfId="10163" xr:uid="{00000000-0005-0000-0000-0000BB0A0000}"/>
    <cellStyle name="Normal 7 11 7" xfId="4049" xr:uid="{00000000-0005-0000-0000-0000ED020000}"/>
    <cellStyle name="Normal 7 11 8" xfId="5446" xr:uid="{00000000-0005-0000-0000-000075040000}"/>
    <cellStyle name="Normal 7 11 9" xfId="4964" xr:uid="{00000000-0005-0000-0000-0000F7030000}"/>
    <cellStyle name="Normal 7 12" xfId="1344" xr:uid="{00000000-0005-0000-0000-000012070000}"/>
    <cellStyle name="Normal 7 12 10" xfId="9131" xr:uid="{00000000-0005-0000-0000-0000BC0A0000}"/>
    <cellStyle name="Normal 7 12 2" xfId="1345" xr:uid="{00000000-0005-0000-0000-000013070000}"/>
    <cellStyle name="Normal 7 12 2 2" xfId="3417" xr:uid="{00000000-0005-0000-0000-0000E7070000}"/>
    <cellStyle name="Normal 7 12 2 2 2" xfId="6420" xr:uid="{00000000-0005-0000-0000-0000E7070000}"/>
    <cellStyle name="Normal 7 12 2 2 3" xfId="7483" xr:uid="{00000000-0005-0000-0000-0000BE0A0000}"/>
    <cellStyle name="Normal 7 12 2 2 4" xfId="9883" xr:uid="{00000000-0005-0000-0000-0000BE0A0000}"/>
    <cellStyle name="Normal 7 12 2 3" xfId="4212" xr:uid="{00000000-0005-0000-0000-0000E6070000}"/>
    <cellStyle name="Normal 7 12 2 3 2" xfId="6128" xr:uid="{00000000-0005-0000-0000-0000E6070000}"/>
    <cellStyle name="Normal 7 12 2 3 3" xfId="8807" xr:uid="{00000000-0005-0000-0000-0000BF0A0000}"/>
    <cellStyle name="Normal 7 12 2 3 4" xfId="11204" xr:uid="{00000000-0005-0000-0000-0000BF0A0000}"/>
    <cellStyle name="Normal 7 12 2 4" xfId="5981" xr:uid="{00000000-0005-0000-0000-000079040000}"/>
    <cellStyle name="Normal 7 12 2 5" xfId="5229" xr:uid="{00000000-0005-0000-0000-0000FA030000}"/>
    <cellStyle name="Normal 7 12 2 6" xfId="6871" xr:uid="{00000000-0005-0000-0000-0000BD0A0000}"/>
    <cellStyle name="Normal 7 12 2 7" xfId="9292" xr:uid="{00000000-0005-0000-0000-0000BD0A0000}"/>
    <cellStyle name="Normal 7 12 3" xfId="1346" xr:uid="{00000000-0005-0000-0000-000014070000}"/>
    <cellStyle name="Normal 7 12 3 2" xfId="6461" xr:uid="{00000000-0005-0000-0000-0000E7090000}"/>
    <cellStyle name="Normal 7 12 3 2 2" xfId="8290" xr:uid="{00000000-0005-0000-0000-0000C10A0000}"/>
    <cellStyle name="Normal 7 12 3 2 3" xfId="10687" xr:uid="{00000000-0005-0000-0000-0000C10A0000}"/>
    <cellStyle name="Normal 7 12 3 3" xfId="6334" xr:uid="{00000000-0005-0000-0000-0000E8070000}"/>
    <cellStyle name="Normal 7 12 3 4" xfId="7484" xr:uid="{00000000-0005-0000-0000-0000C00A0000}"/>
    <cellStyle name="Normal 7 12 3 5" xfId="9884" xr:uid="{00000000-0005-0000-0000-0000C00A0000}"/>
    <cellStyle name="Normal 7 12 4" xfId="2817" xr:uid="{00000000-0005-0000-0000-0000E9070000}"/>
    <cellStyle name="Normal 7 12 4 2" xfId="6234" xr:uid="{00000000-0005-0000-0000-0000E9070000}"/>
    <cellStyle name="Normal 7 12 4 3" xfId="7482" xr:uid="{00000000-0005-0000-0000-0000C20A0000}"/>
    <cellStyle name="Normal 7 12 4 4" xfId="9882" xr:uid="{00000000-0005-0000-0000-0000C20A0000}"/>
    <cellStyle name="Normal 7 12 5" xfId="2390" xr:uid="{00000000-0005-0000-0000-0000E5070000}"/>
    <cellStyle name="Normal 7 12 5 2" xfId="8096" xr:uid="{00000000-0005-0000-0000-0000C30A0000}"/>
    <cellStyle name="Normal 7 12 5 3" xfId="10493" xr:uid="{00000000-0005-0000-0000-0000C30A0000}"/>
    <cellStyle name="Normal 7 12 6" xfId="4050" xr:uid="{00000000-0005-0000-0000-0000EE020000}"/>
    <cellStyle name="Normal 7 12 7" xfId="5309" xr:uid="{00000000-0005-0000-0000-000078040000}"/>
    <cellStyle name="Normal 7 12 8" xfId="4965" xr:uid="{00000000-0005-0000-0000-0000F9030000}"/>
    <cellStyle name="Normal 7 12 9" xfId="6710" xr:uid="{00000000-0005-0000-0000-0000BC0A0000}"/>
    <cellStyle name="Normal 7 13" xfId="1347" xr:uid="{00000000-0005-0000-0000-000015070000}"/>
    <cellStyle name="Normal 7 13 2" xfId="1348" xr:uid="{00000000-0005-0000-0000-000016070000}"/>
    <cellStyle name="Normal 7 13 2 2" xfId="2981" xr:uid="{00000000-0005-0000-0000-0000EC070000}"/>
    <cellStyle name="Normal 7 13 2 2 2" xfId="6335" xr:uid="{00000000-0005-0000-0000-0000EC070000}"/>
    <cellStyle name="Normal 7 13 2 2 3" xfId="7486" xr:uid="{00000000-0005-0000-0000-0000C60A0000}"/>
    <cellStyle name="Normal 7 13 2 2 4" xfId="9886" xr:uid="{00000000-0005-0000-0000-0000C60A0000}"/>
    <cellStyle name="Normal 7 13 2 3" xfId="4744" xr:uid="{00000000-0005-0000-0000-0000AA050000}"/>
    <cellStyle name="Normal 7 13 2 3 2" xfId="6129" xr:uid="{00000000-0005-0000-0000-0000EB070000}"/>
    <cellStyle name="Normal 7 13 2 3 3" xfId="8291" xr:uid="{00000000-0005-0000-0000-0000C70A0000}"/>
    <cellStyle name="Normal 7 13 2 3 4" xfId="10688" xr:uid="{00000000-0005-0000-0000-0000C70A0000}"/>
    <cellStyle name="Normal 7 13 2 4" xfId="5230" xr:uid="{00000000-0005-0000-0000-0000FC030000}"/>
    <cellStyle name="Normal 7 13 2 5" xfId="6872" xr:uid="{00000000-0005-0000-0000-0000C50A0000}"/>
    <cellStyle name="Normal 7 13 2 6" xfId="9293" xr:uid="{00000000-0005-0000-0000-0000C50A0000}"/>
    <cellStyle name="Normal 7 13 3" xfId="1349" xr:uid="{00000000-0005-0000-0000-000017070000}"/>
    <cellStyle name="Normal 7 13 3 2" xfId="6235" xr:uid="{00000000-0005-0000-0000-0000ED070000}"/>
    <cellStyle name="Normal 7 13 3 3" xfId="7487" xr:uid="{00000000-0005-0000-0000-0000C80A0000}"/>
    <cellStyle name="Normal 7 13 3 4" xfId="9887" xr:uid="{00000000-0005-0000-0000-0000C80A0000}"/>
    <cellStyle name="Normal 7 13 4" xfId="2391" xr:uid="{00000000-0005-0000-0000-0000EA070000}"/>
    <cellStyle name="Normal 7 13 4 2" xfId="6081" xr:uid="{00000000-0005-0000-0000-0000EA070000}"/>
    <cellStyle name="Normal 7 13 4 3" xfId="7485" xr:uid="{00000000-0005-0000-0000-0000C90A0000}"/>
    <cellStyle name="Normal 7 13 4 4" xfId="9885" xr:uid="{00000000-0005-0000-0000-0000C90A0000}"/>
    <cellStyle name="Normal 7 13 5" xfId="4051" xr:uid="{00000000-0005-0000-0000-0000EF020000}"/>
    <cellStyle name="Normal 7 13 5 2" xfId="8097" xr:uid="{00000000-0005-0000-0000-0000CA0A0000}"/>
    <cellStyle name="Normal 7 13 5 3" xfId="10494" xr:uid="{00000000-0005-0000-0000-0000CA0A0000}"/>
    <cellStyle name="Normal 7 13 6" xfId="5982" xr:uid="{00000000-0005-0000-0000-00007A040000}"/>
    <cellStyle name="Normal 7 13 7" xfId="4966" xr:uid="{00000000-0005-0000-0000-0000FB030000}"/>
    <cellStyle name="Normal 7 13 8" xfId="6711" xr:uid="{00000000-0005-0000-0000-0000C40A0000}"/>
    <cellStyle name="Normal 7 13 9" xfId="9132" xr:uid="{00000000-0005-0000-0000-0000C40A0000}"/>
    <cellStyle name="Normal 7 14" xfId="1350" xr:uid="{00000000-0005-0000-0000-000018070000}"/>
    <cellStyle name="Normal 7 14 2" xfId="4571" xr:uid="{00000000-0005-0000-0000-0000EE070000}"/>
    <cellStyle name="Normal 7 14 2 2" xfId="6421" xr:uid="{00000000-0005-0000-0000-0000EE070000}"/>
    <cellStyle name="Normal 7 14 2 3" xfId="5231" xr:uid="{00000000-0005-0000-0000-0000FE030000}"/>
    <cellStyle name="Normal 7 14 2 4" xfId="8808" xr:uid="{00000000-0005-0000-0000-0000CC0A0000}"/>
    <cellStyle name="Normal 7 14 2 5" xfId="11205" xr:uid="{00000000-0005-0000-0000-0000CC0A0000}"/>
    <cellStyle name="Normal 7 14 3" xfId="5555" xr:uid="{00000000-0005-0000-0000-00007B040000}"/>
    <cellStyle name="Normal 7 14 3 2" xfId="11482" xr:uid="{00000000-0005-0000-0000-0000F0090000}"/>
    <cellStyle name="Normal 7 14 4" xfId="4764" xr:uid="{00000000-0005-0000-0000-0000FD030000}"/>
    <cellStyle name="Normal 7 14 4 2" xfId="11925" xr:uid="{00000000-0005-0000-0000-0000300B0000}"/>
    <cellStyle name="Normal 7 14 5" xfId="7488" xr:uid="{00000000-0005-0000-0000-0000CB0A0000}"/>
    <cellStyle name="Normal 7 14 6" xfId="9888" xr:uid="{00000000-0005-0000-0000-0000CB0A0000}"/>
    <cellStyle name="Normal 7 15" xfId="2432" xr:uid="{00000000-0005-0000-0000-0000EF070000}"/>
    <cellStyle name="Normal 7 15 2" xfId="6144" xr:uid="{00000000-0005-0000-0000-0000EF070000}"/>
    <cellStyle name="Normal 7 15 2 2" xfId="11626" xr:uid="{00000000-0005-0000-0000-0000320B0000}"/>
    <cellStyle name="Normal 7 15 2 3" xfId="11717" xr:uid="{00000000-0005-0000-0000-0000320B0000}"/>
    <cellStyle name="Normal 7 15 3" xfId="7629" xr:uid="{00000000-0005-0000-0000-0000CD0A0000}"/>
    <cellStyle name="Normal 7 15 4" xfId="10026" xr:uid="{00000000-0005-0000-0000-0000CD0A0000}"/>
    <cellStyle name="Normal 7 16" xfId="2159" xr:uid="{00000000-0005-0000-0000-0000D6070000}"/>
    <cellStyle name="Normal 7 16 2" xfId="6051" xr:uid="{00000000-0005-0000-0000-0000D6070000}"/>
    <cellStyle name="Normal 7 17" xfId="3784" xr:uid="{00000000-0005-0000-0000-0000EB020000}"/>
    <cellStyle name="Normal 7 18" xfId="5302" xr:uid="{00000000-0005-0000-0000-000071040000}"/>
    <cellStyle name="Normal 7 19" xfId="4757" xr:uid="{00000000-0005-0000-0000-0000F4030000}"/>
    <cellStyle name="Normal 7 2" xfId="1351" xr:uid="{00000000-0005-0000-0000-000019070000}"/>
    <cellStyle name="Normal 7 2 2" xfId="1352" xr:uid="{00000000-0005-0000-0000-00001A070000}"/>
    <cellStyle name="Normal 7 20" xfId="6528" xr:uid="{00000000-0005-0000-0000-0000A30A0000}"/>
    <cellStyle name="Normal 7 21" xfId="8949" xr:uid="{00000000-0005-0000-0000-0000A30A0000}"/>
    <cellStyle name="Normal 7 3" xfId="1353" xr:uid="{00000000-0005-0000-0000-00001B070000}"/>
    <cellStyle name="Normal 7 3 2" xfId="1354" xr:uid="{00000000-0005-0000-0000-00001C070000}"/>
    <cellStyle name="Normal 7 3 3" xfId="1355" xr:uid="{00000000-0005-0000-0000-00001D070000}"/>
    <cellStyle name="Normal 7 3 3 2" xfId="1356" xr:uid="{00000000-0005-0000-0000-00001E070000}"/>
    <cellStyle name="Normal 7 3 3 2 2" xfId="1357" xr:uid="{00000000-0005-0000-0000-00001F070000}"/>
    <cellStyle name="Normal 7 3 3 2 3" xfId="1358" xr:uid="{00000000-0005-0000-0000-000020070000}"/>
    <cellStyle name="Normal 7 3 3 2 3 2" xfId="1359" xr:uid="{00000000-0005-0000-0000-000021070000}"/>
    <cellStyle name="Normal 7 3 3 2 3 2 2" xfId="1360" xr:uid="{00000000-0005-0000-0000-000022070000}"/>
    <cellStyle name="Normal 7 3 3 2 3 2 2 2" xfId="11386" xr:uid="{00000000-0005-0000-0000-0000052D0000}"/>
    <cellStyle name="Normal 7 3 3 2 3 2 2 2 2" xfId="11513" xr:uid="{00000000-0005-0000-0000-000008040000}"/>
    <cellStyle name="Normal 7 3 3 2 3 2 3" xfId="1361" xr:uid="{00000000-0005-0000-0000-000023070000}"/>
    <cellStyle name="Normal 7 3 3 2 3 2 3 2" xfId="2026" xr:uid="{00000000-0005-0000-0000-000024070000}"/>
    <cellStyle name="Normal 7 3 3 2 3 2 3 3" xfId="3761" xr:uid="{00000000-0005-0000-0000-000084060000}"/>
    <cellStyle name="Normal 7 3 3 2 3 2 4" xfId="5022" xr:uid="{00000000-0005-0000-0000-000007040000}"/>
    <cellStyle name="Normal 7 3 3 2 3 2 4 2" xfId="11553" xr:uid="{00000000-0005-0000-0000-0000E0050000}"/>
    <cellStyle name="Normal 7 3 3 2 3 3" xfId="1362" xr:uid="{00000000-0005-0000-0000-000025070000}"/>
    <cellStyle name="Normal 7 3 3 2 3 4" xfId="2983" xr:uid="{00000000-0005-0000-0000-0000FA070000}"/>
    <cellStyle name="Normal 7 3 3 2 3 5" xfId="2145" xr:uid="{00000000-0005-0000-0000-0000F7020000}"/>
    <cellStyle name="Normal 7 3 3 2 3 5 2" xfId="4635" xr:uid="{00000000-0005-0000-0000-0000F7070000}"/>
    <cellStyle name="Normal 7 3 3 2 3 6" xfId="4055" xr:uid="{00000000-0005-0000-0000-0000F7020000}"/>
    <cellStyle name="Normal 7 3 3 2 4" xfId="1363" xr:uid="{00000000-0005-0000-0000-000026070000}"/>
    <cellStyle name="Normal 7 3 3 2 4 2" xfId="2982" xr:uid="{00000000-0005-0000-0000-0000FB070000}"/>
    <cellStyle name="Normal 7 3 3 2 4 3" xfId="4710" xr:uid="{00000000-0005-0000-0000-000089120000}"/>
    <cellStyle name="Normal 7 3 3 2 5" xfId="2144" xr:uid="{00000000-0005-0000-0000-0000F5020000}"/>
    <cellStyle name="Normal 7 3 3 2 5 2" xfId="4663" xr:uid="{00000000-0005-0000-0000-0000F5070000}"/>
    <cellStyle name="Normal 7 3 3 2 6" xfId="4054" xr:uid="{00000000-0005-0000-0000-0000F5020000}"/>
    <cellStyle name="Normal 7 3 3 3" xfId="1364" xr:uid="{00000000-0005-0000-0000-000027070000}"/>
    <cellStyle name="Normal 7 3 3 4" xfId="1365" xr:uid="{00000000-0005-0000-0000-000028070000}"/>
    <cellStyle name="Normal 7 3 3 4 2" xfId="1366" xr:uid="{00000000-0005-0000-0000-000029070000}"/>
    <cellStyle name="Normal 7 3 3 4 2 2" xfId="1367" xr:uid="{00000000-0005-0000-0000-00002A070000}"/>
    <cellStyle name="Normal 7 3 3 4 2 2 2" xfId="1368" xr:uid="{00000000-0005-0000-0000-00002B070000}"/>
    <cellStyle name="Normal 7 3 3 4 2 2 2 2" xfId="2027" xr:uid="{00000000-0005-0000-0000-00002C070000}"/>
    <cellStyle name="Normal 7 3 3 4 2 2 2 2 2" xfId="11364" xr:uid="{00000000-0005-0000-0000-0000062D0000}"/>
    <cellStyle name="Normal 7 3 3 4 2 2 2 3" xfId="3762" xr:uid="{00000000-0005-0000-0000-00008B060000}"/>
    <cellStyle name="Normal 7 3 3 4 2 2 2 3 2" xfId="11514" xr:uid="{00000000-0005-0000-0000-00000E040000}"/>
    <cellStyle name="Normal 7 3 3 4 2 2 3" xfId="2028" xr:uid="{00000000-0005-0000-0000-00002D070000}"/>
    <cellStyle name="Normal 7 3 3 4 2 2 4" xfId="5023" xr:uid="{00000000-0005-0000-0000-00000D040000}"/>
    <cellStyle name="Normal 7 3 3 4 2 2 4 2" xfId="11554" xr:uid="{00000000-0005-0000-0000-0000E8050000}"/>
    <cellStyle name="Normal 7 3 3 4 2 3" xfId="1369" xr:uid="{00000000-0005-0000-0000-00002E070000}"/>
    <cellStyle name="Normal 7 3 3 4 2 3 2" xfId="1370" xr:uid="{00000000-0005-0000-0000-00002F070000}"/>
    <cellStyle name="Normal 7 3 3 4 2 3 2 2" xfId="6040" xr:uid="{00000000-0005-0000-0000-0000FE020000}"/>
    <cellStyle name="Normal 7 3 3 4 2 3 2 3" xfId="5288" xr:uid="{00000000-0005-0000-0000-000010040000}"/>
    <cellStyle name="Normal 7 3 3 4 2 3 3" xfId="1371" xr:uid="{00000000-0005-0000-0000-000030070000}"/>
    <cellStyle name="Normal 7 3 3 4 2 3 3 2" xfId="11354" xr:uid="{00000000-0005-0000-0000-0000072D0000}"/>
    <cellStyle name="Normal 7 3 3 4 2 3 3 2 2" xfId="11518" xr:uid="{00000000-0005-0000-0000-000030070000}"/>
    <cellStyle name="Normal 7 3 3 4 2 3 4" xfId="2147" xr:uid="{00000000-0005-0000-0000-0000FD020000}"/>
    <cellStyle name="Normal 7 3 3 4 2 3 4 2" xfId="11522" xr:uid="{00000000-0005-0000-0000-0000EC050000}"/>
    <cellStyle name="Normal 7 3 3 4 2 3 5" xfId="5233" xr:uid="{00000000-0005-0000-0000-00000F040000}"/>
    <cellStyle name="Normal 7 3 3 4 2 4" xfId="4711" xr:uid="{00000000-0005-0000-0000-00008A120000}"/>
    <cellStyle name="Normal 7 3 3 4 3" xfId="1372" xr:uid="{00000000-0005-0000-0000-000031070000}"/>
    <cellStyle name="Normal 7 3 3 4 4" xfId="2984" xr:uid="{00000000-0005-0000-0000-000003080000}"/>
    <cellStyle name="Normal 7 3 3 4 5" xfId="2146" xr:uid="{00000000-0005-0000-0000-0000FA020000}"/>
    <cellStyle name="Normal 7 3 3 4 5 2" xfId="4023" xr:uid="{00000000-0005-0000-0000-0000FD070000}"/>
    <cellStyle name="Normal 7 3 3 4 6" xfId="4056" xr:uid="{00000000-0005-0000-0000-0000FA020000}"/>
    <cellStyle name="Normal 7 3 3 5" xfId="1373" xr:uid="{00000000-0005-0000-0000-000032070000}"/>
    <cellStyle name="Normal 7 3 3 5 2" xfId="1374" xr:uid="{00000000-0005-0000-0000-000033070000}"/>
    <cellStyle name="Normal 7 3 3 5 3" xfId="3763" xr:uid="{00000000-0005-0000-0000-000092060000}"/>
    <cellStyle name="Normal 7 3 3 5 3 2" xfId="6486" xr:uid="{00000000-0005-0000-0000-00000D0A0000}"/>
    <cellStyle name="Normal 7 3 4" xfId="1375" xr:uid="{00000000-0005-0000-0000-000034070000}"/>
    <cellStyle name="Normal 7 3 4 2" xfId="1376" xr:uid="{00000000-0005-0000-0000-000035070000}"/>
    <cellStyle name="Normal 7 3 4 3" xfId="1377" xr:uid="{00000000-0005-0000-0000-000036070000}"/>
    <cellStyle name="Normal 7 3 4 3 2" xfId="1378" xr:uid="{00000000-0005-0000-0000-000037070000}"/>
    <cellStyle name="Normal 7 3 4 3 2 2" xfId="1379" xr:uid="{00000000-0005-0000-0000-000038070000}"/>
    <cellStyle name="Normal 7 3 4 3 2 2 2" xfId="11368" xr:uid="{00000000-0005-0000-0000-0000082D0000}"/>
    <cellStyle name="Normal 7 3 4 3 2 2 2 2" xfId="11515" xr:uid="{00000000-0005-0000-0000-000017040000}"/>
    <cellStyle name="Normal 7 3 4 3 2 3" xfId="1380" xr:uid="{00000000-0005-0000-0000-000039070000}"/>
    <cellStyle name="Normal 7 3 4 3 2 3 2" xfId="2029" xr:uid="{00000000-0005-0000-0000-00003A070000}"/>
    <cellStyle name="Normal 7 3 4 3 2 3 3" xfId="3764" xr:uid="{00000000-0005-0000-0000-000099060000}"/>
    <cellStyle name="Normal 7 3 4 3 2 4" xfId="5024" xr:uid="{00000000-0005-0000-0000-000016040000}"/>
    <cellStyle name="Normal 7 3 4 3 2 4 2" xfId="11555" xr:uid="{00000000-0005-0000-0000-0000F6050000}"/>
    <cellStyle name="Normal 7 3 4 3 3" xfId="1381" xr:uid="{00000000-0005-0000-0000-00003B070000}"/>
    <cellStyle name="Normal 7 3 4 3 4" xfId="2985" xr:uid="{00000000-0005-0000-0000-000009080000}"/>
    <cellStyle name="Normal 7 3 4 3 5" xfId="2149" xr:uid="{00000000-0005-0000-0000-000001030000}"/>
    <cellStyle name="Normal 7 3 4 3 5 2" xfId="4669" xr:uid="{00000000-0005-0000-0000-000006080000}"/>
    <cellStyle name="Normal 7 3 4 3 6" xfId="4058" xr:uid="{00000000-0005-0000-0000-000001030000}"/>
    <cellStyle name="Normal 7 3 4 4" xfId="1382" xr:uid="{00000000-0005-0000-0000-00003C070000}"/>
    <cellStyle name="Normal 7 3 4 4 2" xfId="2030" xr:uid="{00000000-0005-0000-0000-00003D070000}"/>
    <cellStyle name="Normal 7 3 4 4 3" xfId="3765" xr:uid="{00000000-0005-0000-0000-00009C060000}"/>
    <cellStyle name="Normal 7 3 4 5" xfId="2148" xr:uid="{00000000-0005-0000-0000-0000FF020000}"/>
    <cellStyle name="Normal 7 3 4 5 2" xfId="4676" xr:uid="{00000000-0005-0000-0000-000004080000}"/>
    <cellStyle name="Normal 7 3 4 6" xfId="4057" xr:uid="{00000000-0005-0000-0000-0000FF020000}"/>
    <cellStyle name="Normal 7 3 5" xfId="2072" xr:uid="{00000000-0005-0000-0000-0000F2020000}"/>
    <cellStyle name="Normal 7 4" xfId="1383" xr:uid="{00000000-0005-0000-0000-00003E070000}"/>
    <cellStyle name="Normal 7 4 10" xfId="1384" xr:uid="{00000000-0005-0000-0000-00003F070000}"/>
    <cellStyle name="Normal 7 4 10 2" xfId="1385" xr:uid="{00000000-0005-0000-0000-000040070000}"/>
    <cellStyle name="Normal 7 4 10 2 2" xfId="2986" xr:uid="{00000000-0005-0000-0000-00000E080000}"/>
    <cellStyle name="Normal 7 4 10 2 2 2" xfId="6336" xr:uid="{00000000-0005-0000-0000-00000E080000}"/>
    <cellStyle name="Normal 7 4 10 2 2 3" xfId="7491" xr:uid="{00000000-0005-0000-0000-0000F70A0000}"/>
    <cellStyle name="Normal 7 4 10 2 2 4" xfId="9891" xr:uid="{00000000-0005-0000-0000-0000F70A0000}"/>
    <cellStyle name="Normal 7 4 10 2 3" xfId="4745" xr:uid="{00000000-0005-0000-0000-0000C9050000}"/>
    <cellStyle name="Normal 7 4 10 2 3 2" xfId="6130" xr:uid="{00000000-0005-0000-0000-00000D080000}"/>
    <cellStyle name="Normal 7 4 10 2 3 3" xfId="8292" xr:uid="{00000000-0005-0000-0000-0000F80A0000}"/>
    <cellStyle name="Normal 7 4 10 2 3 4" xfId="10689" xr:uid="{00000000-0005-0000-0000-0000F80A0000}"/>
    <cellStyle name="Normal 7 4 10 2 4" xfId="5235" xr:uid="{00000000-0005-0000-0000-00001B040000}"/>
    <cellStyle name="Normal 7 4 10 2 5" xfId="6874" xr:uid="{00000000-0005-0000-0000-0000F60A0000}"/>
    <cellStyle name="Normal 7 4 10 2 6" xfId="9295" xr:uid="{00000000-0005-0000-0000-0000F60A0000}"/>
    <cellStyle name="Normal 7 4 10 3" xfId="1386" xr:uid="{00000000-0005-0000-0000-000041070000}"/>
    <cellStyle name="Normal 7 4 10 3 2" xfId="6237" xr:uid="{00000000-0005-0000-0000-00000F080000}"/>
    <cellStyle name="Normal 7 4 10 3 3" xfId="7492" xr:uid="{00000000-0005-0000-0000-0000F90A0000}"/>
    <cellStyle name="Normal 7 4 10 3 4" xfId="9892" xr:uid="{00000000-0005-0000-0000-0000F90A0000}"/>
    <cellStyle name="Normal 7 4 10 4" xfId="2392" xr:uid="{00000000-0005-0000-0000-00000C080000}"/>
    <cellStyle name="Normal 7 4 10 4 2" xfId="6082" xr:uid="{00000000-0005-0000-0000-00000C080000}"/>
    <cellStyle name="Normal 7 4 10 4 3" xfId="7490" xr:uid="{00000000-0005-0000-0000-0000FA0A0000}"/>
    <cellStyle name="Normal 7 4 10 4 4" xfId="9890" xr:uid="{00000000-0005-0000-0000-0000FA0A0000}"/>
    <cellStyle name="Normal 7 4 10 5" xfId="4060" xr:uid="{00000000-0005-0000-0000-000004030000}"/>
    <cellStyle name="Normal 7 4 10 5 2" xfId="8099" xr:uid="{00000000-0005-0000-0000-0000FB0A0000}"/>
    <cellStyle name="Normal 7 4 10 5 3" xfId="10496" xr:uid="{00000000-0005-0000-0000-0000FB0A0000}"/>
    <cellStyle name="Normal 7 4 10 6" xfId="5984" xr:uid="{00000000-0005-0000-0000-000090040000}"/>
    <cellStyle name="Normal 7 4 10 7" xfId="4968" xr:uid="{00000000-0005-0000-0000-00001A040000}"/>
    <cellStyle name="Normal 7 4 10 8" xfId="6713" xr:uid="{00000000-0005-0000-0000-0000F50A0000}"/>
    <cellStyle name="Normal 7 4 10 9" xfId="9134" xr:uid="{00000000-0005-0000-0000-0000F50A0000}"/>
    <cellStyle name="Normal 7 4 11" xfId="1387" xr:uid="{00000000-0005-0000-0000-000042070000}"/>
    <cellStyle name="Normal 7 4 11 2" xfId="3418" xr:uid="{00000000-0005-0000-0000-000011080000}"/>
    <cellStyle name="Normal 7 4 11 2 2" xfId="6422" xr:uid="{00000000-0005-0000-0000-000011080000}"/>
    <cellStyle name="Normal 7 4 11 2 2 2" xfId="8809" xr:uid="{00000000-0005-0000-0000-0000FE0A0000}"/>
    <cellStyle name="Normal 7 4 11 2 2 3" xfId="11206" xr:uid="{00000000-0005-0000-0000-0000FE0A0000}"/>
    <cellStyle name="Normal 7 4 11 2 3" xfId="5236" xr:uid="{00000000-0005-0000-0000-00001D040000}"/>
    <cellStyle name="Normal 7 4 11 2 4" xfId="7493" xr:uid="{00000000-0005-0000-0000-0000FD0A0000}"/>
    <cellStyle name="Normal 7 4 11 2 5" xfId="9893" xr:uid="{00000000-0005-0000-0000-0000FD0A0000}"/>
    <cellStyle name="Normal 7 4 11 3" xfId="2818" xr:uid="{00000000-0005-0000-0000-000012080000}"/>
    <cellStyle name="Normal 7 4 11 3 2" xfId="6236" xr:uid="{00000000-0005-0000-0000-000012080000}"/>
    <cellStyle name="Normal 7 4 11 3 3" xfId="8098" xr:uid="{00000000-0005-0000-0000-0000FF0A0000}"/>
    <cellStyle name="Normal 7 4 11 3 4" xfId="10495" xr:uid="{00000000-0005-0000-0000-0000FF0A0000}"/>
    <cellStyle name="Normal 7 4 11 4" xfId="2270" xr:uid="{00000000-0005-0000-0000-000010080000}"/>
    <cellStyle name="Normal 7 4 11 4 2" xfId="11416" xr:uid="{00000000-0005-0000-0000-0000210A0000}"/>
    <cellStyle name="Normal 7 4 11 5" xfId="4059" xr:uid="{00000000-0005-0000-0000-000005030000}"/>
    <cellStyle name="Normal 7 4 11 6" xfId="5983" xr:uid="{00000000-0005-0000-0000-000091040000}"/>
    <cellStyle name="Normal 7 4 11 7" xfId="4967" xr:uid="{00000000-0005-0000-0000-00001C040000}"/>
    <cellStyle name="Normal 7 4 11 8" xfId="6712" xr:uid="{00000000-0005-0000-0000-0000FC0A0000}"/>
    <cellStyle name="Normal 7 4 11 9" xfId="9133" xr:uid="{00000000-0005-0000-0000-0000FC0A0000}"/>
    <cellStyle name="Normal 7 4 12" xfId="1388" xr:uid="{00000000-0005-0000-0000-000043070000}"/>
    <cellStyle name="Normal 7 4 12 2" xfId="3419" xr:uid="{00000000-0005-0000-0000-000014080000}"/>
    <cellStyle name="Normal 7 4 12 2 2" xfId="6423" xr:uid="{00000000-0005-0000-0000-000014080000}"/>
    <cellStyle name="Normal 7 4 12 2 3" xfId="5237" xr:uid="{00000000-0005-0000-0000-00001F040000}"/>
    <cellStyle name="Normal 7 4 12 2 4" xfId="7494" xr:uid="{00000000-0005-0000-0000-0000010B0000}"/>
    <cellStyle name="Normal 7 4 12 2 5" xfId="9894" xr:uid="{00000000-0005-0000-0000-0000010B0000}"/>
    <cellStyle name="Normal 7 4 12 3" xfId="4117" xr:uid="{00000000-0005-0000-0000-000013080000}"/>
    <cellStyle name="Normal 7 4 12 3 2" xfId="6093" xr:uid="{00000000-0005-0000-0000-000013080000}"/>
    <cellStyle name="Normal 7 4 12 3 3" xfId="8810" xr:uid="{00000000-0005-0000-0000-0000020B0000}"/>
    <cellStyle name="Normal 7 4 12 3 4" xfId="11207" xr:uid="{00000000-0005-0000-0000-0000020B0000}"/>
    <cellStyle name="Normal 7 4 12 4" xfId="5556" xr:uid="{00000000-0005-0000-0000-000092040000}"/>
    <cellStyle name="Normal 7 4 12 4 2" xfId="11926" xr:uid="{00000000-0005-0000-0000-0000680B0000}"/>
    <cellStyle name="Normal 7 4 12 5" xfId="4765" xr:uid="{00000000-0005-0000-0000-00001E040000}"/>
    <cellStyle name="Normal 7 4 12 6" xfId="6873" xr:uid="{00000000-0005-0000-0000-0000000B0000}"/>
    <cellStyle name="Normal 7 4 12 7" xfId="9294" xr:uid="{00000000-0005-0000-0000-0000000B0000}"/>
    <cellStyle name="Normal 7 4 13" xfId="1389" xr:uid="{00000000-0005-0000-0000-000044070000}"/>
    <cellStyle name="Normal 7 4 13 2" xfId="4690" xr:uid="{00000000-0005-0000-0000-0000D3050000}"/>
    <cellStyle name="Normal 7 4 13 2 2" xfId="6261" xr:uid="{00000000-0005-0000-0000-000015080000}"/>
    <cellStyle name="Normal 7 4 13 2 3" xfId="8168" xr:uid="{00000000-0005-0000-0000-0000040B0000}"/>
    <cellStyle name="Normal 7 4 13 2 4" xfId="10565" xr:uid="{00000000-0005-0000-0000-0000040B0000}"/>
    <cellStyle name="Normal 7 4 13 3" xfId="5234" xr:uid="{00000000-0005-0000-0000-000020040000}"/>
    <cellStyle name="Normal 7 4 13 3 2" xfId="11839" xr:uid="{00000000-0005-0000-0000-00006B0B0000}"/>
    <cellStyle name="Normal 7 4 13 4" xfId="7495" xr:uid="{00000000-0005-0000-0000-0000030B0000}"/>
    <cellStyle name="Normal 7 4 13 5" xfId="9895" xr:uid="{00000000-0005-0000-0000-0000030B0000}"/>
    <cellStyle name="Normal 7 4 14" xfId="2433" xr:uid="{00000000-0005-0000-0000-000016080000}"/>
    <cellStyle name="Normal 7 4 14 2" xfId="6145" xr:uid="{00000000-0005-0000-0000-000016080000}"/>
    <cellStyle name="Normal 7 4 14 3" xfId="7489" xr:uid="{00000000-0005-0000-0000-0000050B0000}"/>
    <cellStyle name="Normal 7 4 14 4" xfId="9889" xr:uid="{00000000-0005-0000-0000-0000050B0000}"/>
    <cellStyle name="Normal 7 4 15" xfId="2160" xr:uid="{00000000-0005-0000-0000-00000B080000}"/>
    <cellStyle name="Normal 7 4 15 2" xfId="6052" xr:uid="{00000000-0005-0000-0000-00000B080000}"/>
    <cellStyle name="Normal 7 4 15 3" xfId="7630" xr:uid="{00000000-0005-0000-0000-0000060B0000}"/>
    <cellStyle name="Normal 7 4 15 4" xfId="10027" xr:uid="{00000000-0005-0000-0000-0000060B0000}"/>
    <cellStyle name="Normal 7 4 16" xfId="3785" xr:uid="{00000000-0005-0000-0000-000003030000}"/>
    <cellStyle name="Normal 7 4 16 2" xfId="11792" xr:uid="{00000000-0005-0000-0000-00006E0B0000}"/>
    <cellStyle name="Normal 7 4 17" xfId="5303" xr:uid="{00000000-0005-0000-0000-00008F040000}"/>
    <cellStyle name="Normal 7 4 18" xfId="4758" xr:uid="{00000000-0005-0000-0000-000019040000}"/>
    <cellStyle name="Normal 7 4 19" xfId="6529" xr:uid="{00000000-0005-0000-0000-0000F40A0000}"/>
    <cellStyle name="Normal 7 4 2" xfId="1390" xr:uid="{00000000-0005-0000-0000-000045070000}"/>
    <cellStyle name="Normal 7 4 2 10" xfId="1391" xr:uid="{00000000-0005-0000-0000-000046070000}"/>
    <cellStyle name="Normal 7 4 2 10 2" xfId="3420" xr:uid="{00000000-0005-0000-0000-000019080000}"/>
    <cellStyle name="Normal 7 4 2 10 2 2" xfId="6424" xr:uid="{00000000-0005-0000-0000-000019080000}"/>
    <cellStyle name="Normal 7 4 2 10 2 3" xfId="7497" xr:uid="{00000000-0005-0000-0000-0000090B0000}"/>
    <cellStyle name="Normal 7 4 2 10 2 4" xfId="9897" xr:uid="{00000000-0005-0000-0000-0000090B0000}"/>
    <cellStyle name="Normal 7 4 2 10 3" xfId="4213" xr:uid="{00000000-0005-0000-0000-000018080000}"/>
    <cellStyle name="Normal 7 4 2 10 3 2" xfId="6131" xr:uid="{00000000-0005-0000-0000-000018080000}"/>
    <cellStyle name="Normal 7 4 2 10 3 3" xfId="8811" xr:uid="{00000000-0005-0000-0000-00000A0B0000}"/>
    <cellStyle name="Normal 7 4 2 10 3 4" xfId="11208" xr:uid="{00000000-0005-0000-0000-00000A0B0000}"/>
    <cellStyle name="Normal 7 4 2 10 4" xfId="5565" xr:uid="{00000000-0005-0000-0000-000094040000}"/>
    <cellStyle name="Normal 7 4 2 10 4 2" xfId="11927" xr:uid="{00000000-0005-0000-0000-0000730B0000}"/>
    <cellStyle name="Normal 7 4 2 10 5" xfId="5238" xr:uid="{00000000-0005-0000-0000-000022040000}"/>
    <cellStyle name="Normal 7 4 2 10 6" xfId="6875" xr:uid="{00000000-0005-0000-0000-0000080B0000}"/>
    <cellStyle name="Normal 7 4 2 10 7" xfId="9296" xr:uid="{00000000-0005-0000-0000-0000080B0000}"/>
    <cellStyle name="Normal 7 4 2 11" xfId="1392" xr:uid="{00000000-0005-0000-0000-000047070000}"/>
    <cellStyle name="Normal 7 4 2 11 2" xfId="6513" xr:uid="{00000000-0005-0000-0000-00002D0A0000}"/>
    <cellStyle name="Normal 7 4 2 11 2 2" xfId="8293" xr:uid="{00000000-0005-0000-0000-00000C0B0000}"/>
    <cellStyle name="Normal 7 4 2 11 2 3" xfId="10690" xr:uid="{00000000-0005-0000-0000-00000C0B0000}"/>
    <cellStyle name="Normal 7 4 2 11 3" xfId="6337" xr:uid="{00000000-0005-0000-0000-00001A080000}"/>
    <cellStyle name="Normal 7 4 2 11 4" xfId="7498" xr:uid="{00000000-0005-0000-0000-00000B0B0000}"/>
    <cellStyle name="Normal 7 4 2 11 5" xfId="9898" xr:uid="{00000000-0005-0000-0000-00000B0B0000}"/>
    <cellStyle name="Normal 7 4 2 12" xfId="2442" xr:uid="{00000000-0005-0000-0000-00001B080000}"/>
    <cellStyle name="Normal 7 4 2 12 2" xfId="6152" xr:uid="{00000000-0005-0000-0000-00001B080000}"/>
    <cellStyle name="Normal 7 4 2 12 3" xfId="7496" xr:uid="{00000000-0005-0000-0000-00000D0B0000}"/>
    <cellStyle name="Normal 7 4 2 12 4" xfId="9896" xr:uid="{00000000-0005-0000-0000-00000D0B0000}"/>
    <cellStyle name="Normal 7 4 2 13" xfId="2172" xr:uid="{00000000-0005-0000-0000-000017080000}"/>
    <cellStyle name="Normal 7 4 2 13 2" xfId="7639" xr:uid="{00000000-0005-0000-0000-00000E0B0000}"/>
    <cellStyle name="Normal 7 4 2 13 3" xfId="10036" xr:uid="{00000000-0005-0000-0000-00000E0B0000}"/>
    <cellStyle name="Normal 7 4 2 14" xfId="4061" xr:uid="{00000000-0005-0000-0000-000006030000}"/>
    <cellStyle name="Normal 7 4 2 15" xfId="5319" xr:uid="{00000000-0005-0000-0000-000093040000}"/>
    <cellStyle name="Normal 7 4 2 16" xfId="4774" xr:uid="{00000000-0005-0000-0000-000021040000}"/>
    <cellStyle name="Normal 7 4 2 17" xfId="6538" xr:uid="{00000000-0005-0000-0000-0000070B0000}"/>
    <cellStyle name="Normal 7 4 2 18" xfId="8959" xr:uid="{00000000-0005-0000-0000-0000070B0000}"/>
    <cellStyle name="Normal 7 4 2 2" xfId="1393" xr:uid="{00000000-0005-0000-0000-000048070000}"/>
    <cellStyle name="Normal 7 4 2 2 10" xfId="5379" xr:uid="{00000000-0005-0000-0000-000095040000}"/>
    <cellStyle name="Normal 7 4 2 2 11" xfId="4835" xr:uid="{00000000-0005-0000-0000-000023040000}"/>
    <cellStyle name="Normal 7 4 2 2 12" xfId="6581" xr:uid="{00000000-0005-0000-0000-00000F0B0000}"/>
    <cellStyle name="Normal 7 4 2 2 13" xfId="9002" xr:uid="{00000000-0005-0000-0000-00000F0B0000}"/>
    <cellStyle name="Normal 7 4 2 2 2" xfId="1394" xr:uid="{00000000-0005-0000-0000-000049070000}"/>
    <cellStyle name="Normal 7 4 2 2 2 10" xfId="4970" xr:uid="{00000000-0005-0000-0000-000024040000}"/>
    <cellStyle name="Normal 7 4 2 2 2 11" xfId="6715" xr:uid="{00000000-0005-0000-0000-0000100B0000}"/>
    <cellStyle name="Normal 7 4 2 2 2 12" xfId="9136" xr:uid="{00000000-0005-0000-0000-0000100B0000}"/>
    <cellStyle name="Normal 7 4 2 2 2 2" xfId="1395" xr:uid="{00000000-0005-0000-0000-00004A070000}"/>
    <cellStyle name="Normal 7 4 2 2 2 2 2" xfId="2822" xr:uid="{00000000-0005-0000-0000-00001F080000}"/>
    <cellStyle name="Normal 7 4 2 2 2 2 2 2" xfId="3423" xr:uid="{00000000-0005-0000-0000-000020080000}"/>
    <cellStyle name="Normal 7 4 2 2 2 2 2 2 2" xfId="8814" xr:uid="{00000000-0005-0000-0000-0000130B0000}"/>
    <cellStyle name="Normal 7 4 2 2 2 2 2 2 3" xfId="11211" xr:uid="{00000000-0005-0000-0000-0000130B0000}"/>
    <cellStyle name="Normal 7 4 2 2 2 2 2 3" xfId="4361" xr:uid="{00000000-0005-0000-0000-00001F080000}"/>
    <cellStyle name="Normal 7 4 2 2 2 2 2 3 2" xfId="11418" xr:uid="{00000000-0005-0000-0000-0000340A0000}"/>
    <cellStyle name="Normal 7 4 2 2 2 2 2 4" xfId="8103" xr:uid="{00000000-0005-0000-0000-0000120B0000}"/>
    <cellStyle name="Normal 7 4 2 2 2 2 2 5" xfId="10500" xr:uid="{00000000-0005-0000-0000-0000120B0000}"/>
    <cellStyle name="Normal 7 4 2 2 2 2 3" xfId="3424" xr:uid="{00000000-0005-0000-0000-000021080000}"/>
    <cellStyle name="Normal 7 4 2 2 2 2 3 2" xfId="4572" xr:uid="{00000000-0005-0000-0000-000021080000}"/>
    <cellStyle name="Normal 7 4 2 2 2 2 3 3" xfId="8815" xr:uid="{00000000-0005-0000-0000-0000140B0000}"/>
    <cellStyle name="Normal 7 4 2 2 2 2 3 4" xfId="11212" xr:uid="{00000000-0005-0000-0000-0000140B0000}"/>
    <cellStyle name="Normal 7 4 2 2 2 2 4" xfId="3422" xr:uid="{00000000-0005-0000-0000-000022080000}"/>
    <cellStyle name="Normal 7 4 2 2 2 2 4 2" xfId="8813" xr:uid="{00000000-0005-0000-0000-0000150B0000}"/>
    <cellStyle name="Normal 7 4 2 2 2 2 4 3" xfId="11210" xr:uid="{00000000-0005-0000-0000-0000150B0000}"/>
    <cellStyle name="Normal 7 4 2 2 2 2 5" xfId="4249" xr:uid="{00000000-0005-0000-0000-00001E080000}"/>
    <cellStyle name="Normal 7 4 2 2 2 2 5 2" xfId="7862" xr:uid="{00000000-0005-0000-0000-0000160B0000}"/>
    <cellStyle name="Normal 7 4 2 2 2 2 5 3" xfId="10259" xr:uid="{00000000-0005-0000-0000-0000160B0000}"/>
    <cellStyle name="Normal 7 4 2 2 2 2 6" xfId="5540" xr:uid="{00000000-0005-0000-0000-000097040000}"/>
    <cellStyle name="Normal 7 4 2 2 2 2 7" xfId="5240" xr:uid="{00000000-0005-0000-0000-000025040000}"/>
    <cellStyle name="Normal 7 4 2 2 2 2 8" xfId="7501" xr:uid="{00000000-0005-0000-0000-0000110B0000}"/>
    <cellStyle name="Normal 7 4 2 2 2 2 9" xfId="9901" xr:uid="{00000000-0005-0000-0000-0000110B0000}"/>
    <cellStyle name="Normal 7 4 2 2 2 3" xfId="2821" xr:uid="{00000000-0005-0000-0000-000023080000}"/>
    <cellStyle name="Normal 7 4 2 2 2 3 2" xfId="3425" xr:uid="{00000000-0005-0000-0000-000024080000}"/>
    <cellStyle name="Normal 7 4 2 2 2 3 2 2" xfId="8816" xr:uid="{00000000-0005-0000-0000-0000180B0000}"/>
    <cellStyle name="Normal 7 4 2 2 2 3 2 3" xfId="11213" xr:uid="{00000000-0005-0000-0000-0000180B0000}"/>
    <cellStyle name="Normal 7 4 2 2 2 3 3" xfId="4360" xr:uid="{00000000-0005-0000-0000-000023080000}"/>
    <cellStyle name="Normal 7 4 2 2 2 3 3 2" xfId="8102" xr:uid="{00000000-0005-0000-0000-0000190B0000}"/>
    <cellStyle name="Normal 7 4 2 2 2 3 3 3" xfId="10499" xr:uid="{00000000-0005-0000-0000-0000190B0000}"/>
    <cellStyle name="Normal 7 4 2 2 2 3 4" xfId="5987" xr:uid="{00000000-0005-0000-0000-00009A040000}"/>
    <cellStyle name="Normal 7 4 2 2 2 3 5" xfId="7500" xr:uid="{00000000-0005-0000-0000-0000170B0000}"/>
    <cellStyle name="Normal 7 4 2 2 2 3 6" xfId="9900" xr:uid="{00000000-0005-0000-0000-0000170B0000}"/>
    <cellStyle name="Normal 7 4 2 2 2 4" xfId="3426" xr:uid="{00000000-0005-0000-0000-000025080000}"/>
    <cellStyle name="Normal 7 4 2 2 2 4 2" xfId="4573" xr:uid="{00000000-0005-0000-0000-000025080000}"/>
    <cellStyle name="Normal 7 4 2 2 2 4 3" xfId="8817" xr:uid="{00000000-0005-0000-0000-00001A0B0000}"/>
    <cellStyle name="Normal 7 4 2 2 2 4 4" xfId="11214" xr:uid="{00000000-0005-0000-0000-00001A0B0000}"/>
    <cellStyle name="Normal 7 4 2 2 2 5" xfId="3421" xr:uid="{00000000-0005-0000-0000-000026080000}"/>
    <cellStyle name="Normal 7 4 2 2 2 5 2" xfId="8812" xr:uid="{00000000-0005-0000-0000-00001B0B0000}"/>
    <cellStyle name="Normal 7 4 2 2 2 5 3" xfId="11209" xr:uid="{00000000-0005-0000-0000-00001B0B0000}"/>
    <cellStyle name="Normal 7 4 2 2 2 6" xfId="2561" xr:uid="{00000000-0005-0000-0000-000027080000}"/>
    <cellStyle name="Normal 7 4 2 2 2 6 2" xfId="7759" xr:uid="{00000000-0005-0000-0000-00001C0B0000}"/>
    <cellStyle name="Normal 7 4 2 2 2 6 3" xfId="10156" xr:uid="{00000000-0005-0000-0000-00001C0B0000}"/>
    <cellStyle name="Normal 7 4 2 2 2 7" xfId="2255" xr:uid="{00000000-0005-0000-0000-00001D080000}"/>
    <cellStyle name="Normal 7 4 2 2 2 8" xfId="3805" xr:uid="{00000000-0005-0000-0000-000008030000}"/>
    <cellStyle name="Normal 7 4 2 2 2 9" xfId="5439" xr:uid="{00000000-0005-0000-0000-000096040000}"/>
    <cellStyle name="Normal 7 4 2 2 3" xfId="1396" xr:uid="{00000000-0005-0000-0000-00004B070000}"/>
    <cellStyle name="Normal 7 4 2 2 3 10" xfId="6876" xr:uid="{00000000-0005-0000-0000-00001D0B0000}"/>
    <cellStyle name="Normal 7 4 2 2 3 11" xfId="9297" xr:uid="{00000000-0005-0000-0000-00001D0B0000}"/>
    <cellStyle name="Normal 7 4 2 2 3 2" xfId="2823" xr:uid="{00000000-0005-0000-0000-000029080000}"/>
    <cellStyle name="Normal 7 4 2 2 3 2 2" xfId="3428" xr:uid="{00000000-0005-0000-0000-00002A080000}"/>
    <cellStyle name="Normal 7 4 2 2 3 2 2 2" xfId="8819" xr:uid="{00000000-0005-0000-0000-00001F0B0000}"/>
    <cellStyle name="Normal 7 4 2 2 3 2 2 3" xfId="11216" xr:uid="{00000000-0005-0000-0000-00001F0B0000}"/>
    <cellStyle name="Normal 7 4 2 2 3 2 3" xfId="4362" xr:uid="{00000000-0005-0000-0000-000029080000}"/>
    <cellStyle name="Normal 7 4 2 2 3 2 3 2" xfId="8104" xr:uid="{00000000-0005-0000-0000-0000200B0000}"/>
    <cellStyle name="Normal 7 4 2 2 3 2 3 3" xfId="10501" xr:uid="{00000000-0005-0000-0000-0000200B0000}"/>
    <cellStyle name="Normal 7 4 2 2 3 2 4" xfId="5988" xr:uid="{00000000-0005-0000-0000-00009D040000}"/>
    <cellStyle name="Normal 7 4 2 2 3 2 5" xfId="7502" xr:uid="{00000000-0005-0000-0000-00001E0B0000}"/>
    <cellStyle name="Normal 7 4 2 2 3 2 6" xfId="9902" xr:uid="{00000000-0005-0000-0000-00001E0B0000}"/>
    <cellStyle name="Normal 7 4 2 2 3 3" xfId="3429" xr:uid="{00000000-0005-0000-0000-00002B080000}"/>
    <cellStyle name="Normal 7 4 2 2 3 3 2" xfId="4574" xr:uid="{00000000-0005-0000-0000-00002B080000}"/>
    <cellStyle name="Normal 7 4 2 2 3 3 2 2" xfId="11928" xr:uid="{00000000-0005-0000-0000-00008C0B0000}"/>
    <cellStyle name="Normal 7 4 2 2 3 3 3" xfId="5710" xr:uid="{00000000-0005-0000-0000-00009E040000}"/>
    <cellStyle name="Normal 7 4 2 2 3 3 4" xfId="8820" xr:uid="{00000000-0005-0000-0000-0000210B0000}"/>
    <cellStyle name="Normal 7 4 2 2 3 3 5" xfId="11217" xr:uid="{00000000-0005-0000-0000-0000210B0000}"/>
    <cellStyle name="Normal 7 4 2 2 3 4" xfId="3427" xr:uid="{00000000-0005-0000-0000-00002C080000}"/>
    <cellStyle name="Normal 7 4 2 2 3 4 2" xfId="8818" xr:uid="{00000000-0005-0000-0000-0000220B0000}"/>
    <cellStyle name="Normal 7 4 2 2 3 4 3" xfId="11215" xr:uid="{00000000-0005-0000-0000-0000220B0000}"/>
    <cellStyle name="Normal 7 4 2 2 3 5" xfId="2604" xr:uid="{00000000-0005-0000-0000-00002D080000}"/>
    <cellStyle name="Normal 7 4 2 2 3 5 2" xfId="7802" xr:uid="{00000000-0005-0000-0000-0000230B0000}"/>
    <cellStyle name="Normal 7 4 2 2 3 5 3" xfId="10199" xr:uid="{00000000-0005-0000-0000-0000230B0000}"/>
    <cellStyle name="Normal 7 4 2 2 3 6" xfId="2394" xr:uid="{00000000-0005-0000-0000-000028080000}"/>
    <cellStyle name="Normal 7 4 2 2 3 7" xfId="4098" xr:uid="{00000000-0005-0000-0000-000009030000}"/>
    <cellStyle name="Normal 7 4 2 2 3 8" xfId="5480" xr:uid="{00000000-0005-0000-0000-00009C040000}"/>
    <cellStyle name="Normal 7 4 2 2 3 9" xfId="5239" xr:uid="{00000000-0005-0000-0000-000026040000}"/>
    <cellStyle name="Normal 7 4 2 2 4" xfId="1397" xr:uid="{00000000-0005-0000-0000-00004C070000}"/>
    <cellStyle name="Normal 7 4 2 2 4 2" xfId="3430" xr:uid="{00000000-0005-0000-0000-00002F080000}"/>
    <cellStyle name="Normal 7 4 2 2 4 2 2" xfId="8821" xr:uid="{00000000-0005-0000-0000-0000250B0000}"/>
    <cellStyle name="Normal 7 4 2 2 4 2 3" xfId="11218" xr:uid="{00000000-0005-0000-0000-0000250B0000}"/>
    <cellStyle name="Normal 7 4 2 2 4 3" xfId="2820" xr:uid="{00000000-0005-0000-0000-000030080000}"/>
    <cellStyle name="Normal 7 4 2 2 4 3 2" xfId="8101" xr:uid="{00000000-0005-0000-0000-0000260B0000}"/>
    <cellStyle name="Normal 7 4 2 2 4 3 3" xfId="10498" xr:uid="{00000000-0005-0000-0000-0000260B0000}"/>
    <cellStyle name="Normal 7 4 2 2 4 4" xfId="4214" xr:uid="{00000000-0005-0000-0000-00002E080000}"/>
    <cellStyle name="Normal 7 4 2 2 4 5" xfId="5986" xr:uid="{00000000-0005-0000-0000-00009F040000}"/>
    <cellStyle name="Normal 7 4 2 2 4 6" xfId="7503" xr:uid="{00000000-0005-0000-0000-0000240B0000}"/>
    <cellStyle name="Normal 7 4 2 2 4 7" xfId="9903" xr:uid="{00000000-0005-0000-0000-0000240B0000}"/>
    <cellStyle name="Normal 7 4 2 2 5" xfId="3431" xr:uid="{00000000-0005-0000-0000-000031080000}"/>
    <cellStyle name="Normal 7 4 2 2 5 2" xfId="4575" xr:uid="{00000000-0005-0000-0000-000031080000}"/>
    <cellStyle name="Normal 7 4 2 2 5 2 2" xfId="8822" xr:uid="{00000000-0005-0000-0000-0000280B0000}"/>
    <cellStyle name="Normal 7 4 2 2 5 2 3" xfId="11219" xr:uid="{00000000-0005-0000-0000-0000280B0000}"/>
    <cellStyle name="Normal 7 4 2 2 5 3" xfId="5625" xr:uid="{00000000-0005-0000-0000-0000A0040000}"/>
    <cellStyle name="Normal 7 4 2 2 5 4" xfId="7499" xr:uid="{00000000-0005-0000-0000-0000270B0000}"/>
    <cellStyle name="Normal 7 4 2 2 5 5" xfId="9899" xr:uid="{00000000-0005-0000-0000-0000270B0000}"/>
    <cellStyle name="Normal 7 4 2 2 6" xfId="2987" xr:uid="{00000000-0005-0000-0000-000032080000}"/>
    <cellStyle name="Normal 7 4 2 2 6 2" xfId="8294" xr:uid="{00000000-0005-0000-0000-0000290B0000}"/>
    <cellStyle name="Normal 7 4 2 2 6 3" xfId="10691" xr:uid="{00000000-0005-0000-0000-0000290B0000}"/>
    <cellStyle name="Normal 7 4 2 2 7" xfId="2501" xr:uid="{00000000-0005-0000-0000-000033080000}"/>
    <cellStyle name="Normal 7 4 2 2 7 2" xfId="7699" xr:uid="{00000000-0005-0000-0000-00002A0B0000}"/>
    <cellStyle name="Normal 7 4 2 2 7 3" xfId="10096" xr:uid="{00000000-0005-0000-0000-00002A0B0000}"/>
    <cellStyle name="Normal 7 4 2 2 8" xfId="2195" xr:uid="{00000000-0005-0000-0000-00001C080000}"/>
    <cellStyle name="Normal 7 4 2 2 9" xfId="4062" xr:uid="{00000000-0005-0000-0000-000007030000}"/>
    <cellStyle name="Normal 7 4 2 3" xfId="1398" xr:uid="{00000000-0005-0000-0000-00004D070000}"/>
    <cellStyle name="Normal 7 4 2 3 10" xfId="5356" xr:uid="{00000000-0005-0000-0000-0000A1040000}"/>
    <cellStyle name="Normal 7 4 2 3 11" xfId="4812" xr:uid="{00000000-0005-0000-0000-000027040000}"/>
    <cellStyle name="Normal 7 4 2 3 12" xfId="6558" xr:uid="{00000000-0005-0000-0000-00002B0B0000}"/>
    <cellStyle name="Normal 7 4 2 3 13" xfId="8979" xr:uid="{00000000-0005-0000-0000-00002B0B0000}"/>
    <cellStyle name="Normal 7 4 2 3 2" xfId="1399" xr:uid="{00000000-0005-0000-0000-00004E070000}"/>
    <cellStyle name="Normal 7 4 2 3 2 10" xfId="6716" xr:uid="{00000000-0005-0000-0000-00002C0B0000}"/>
    <cellStyle name="Normal 7 4 2 3 2 11" xfId="9137" xr:uid="{00000000-0005-0000-0000-00002C0B0000}"/>
    <cellStyle name="Normal 7 4 2 3 2 2" xfId="1400" xr:uid="{00000000-0005-0000-0000-00004F070000}"/>
    <cellStyle name="Normal 7 4 2 3 2 2 2" xfId="3433" xr:uid="{00000000-0005-0000-0000-000037080000}"/>
    <cellStyle name="Normal 7 4 2 3 2 2 2 2" xfId="8824" xr:uid="{00000000-0005-0000-0000-00002E0B0000}"/>
    <cellStyle name="Normal 7 4 2 3 2 2 2 3" xfId="11221" xr:uid="{00000000-0005-0000-0000-00002E0B0000}"/>
    <cellStyle name="Normal 7 4 2 3 2 2 3" xfId="4364" xr:uid="{00000000-0005-0000-0000-000036080000}"/>
    <cellStyle name="Normal 7 4 2 3 2 2 3 2" xfId="8106" xr:uid="{00000000-0005-0000-0000-00002F0B0000}"/>
    <cellStyle name="Normal 7 4 2 3 2 2 3 3" xfId="10503" xr:uid="{00000000-0005-0000-0000-00002F0B0000}"/>
    <cellStyle name="Normal 7 4 2 3 2 2 4" xfId="5990" xr:uid="{00000000-0005-0000-0000-0000A3040000}"/>
    <cellStyle name="Normal 7 4 2 3 2 2 5" xfId="5242" xr:uid="{00000000-0005-0000-0000-000029040000}"/>
    <cellStyle name="Normal 7 4 2 3 2 2 6" xfId="7506" xr:uid="{00000000-0005-0000-0000-00002D0B0000}"/>
    <cellStyle name="Normal 7 4 2 3 2 2 7" xfId="9906" xr:uid="{00000000-0005-0000-0000-00002D0B0000}"/>
    <cellStyle name="Normal 7 4 2 3 2 3" xfId="3434" xr:uid="{00000000-0005-0000-0000-000038080000}"/>
    <cellStyle name="Normal 7 4 2 3 2 3 2" xfId="4576" xr:uid="{00000000-0005-0000-0000-000038080000}"/>
    <cellStyle name="Normal 7 4 2 3 2 3 2 2" xfId="8825" xr:uid="{00000000-0005-0000-0000-0000310B0000}"/>
    <cellStyle name="Normal 7 4 2 3 2 3 2 3" xfId="11222" xr:uid="{00000000-0005-0000-0000-0000310B0000}"/>
    <cellStyle name="Normal 7 4 2 3 2 3 3" xfId="5661" xr:uid="{00000000-0005-0000-0000-0000A4040000}"/>
    <cellStyle name="Normal 7 4 2 3 2 3 4" xfId="7505" xr:uid="{00000000-0005-0000-0000-0000300B0000}"/>
    <cellStyle name="Normal 7 4 2 3 2 3 5" xfId="9905" xr:uid="{00000000-0005-0000-0000-0000300B0000}"/>
    <cellStyle name="Normal 7 4 2 3 2 4" xfId="3432" xr:uid="{00000000-0005-0000-0000-000039080000}"/>
    <cellStyle name="Normal 7 4 2 3 2 4 2" xfId="8823" xr:uid="{00000000-0005-0000-0000-0000320B0000}"/>
    <cellStyle name="Normal 7 4 2 3 2 4 3" xfId="11220" xr:uid="{00000000-0005-0000-0000-0000320B0000}"/>
    <cellStyle name="Normal 7 4 2 3 2 5" xfId="2538" xr:uid="{00000000-0005-0000-0000-00003A080000}"/>
    <cellStyle name="Normal 7 4 2 3 2 5 2" xfId="7736" xr:uid="{00000000-0005-0000-0000-0000330B0000}"/>
    <cellStyle name="Normal 7 4 2 3 2 5 3" xfId="10133" xr:uid="{00000000-0005-0000-0000-0000330B0000}"/>
    <cellStyle name="Normal 7 4 2 3 2 6" xfId="2395" xr:uid="{00000000-0005-0000-0000-000035080000}"/>
    <cellStyle name="Normal 7 4 2 3 2 7" xfId="4099" xr:uid="{00000000-0005-0000-0000-00000B030000}"/>
    <cellStyle name="Normal 7 4 2 3 2 8" xfId="5416" xr:uid="{00000000-0005-0000-0000-0000A2040000}"/>
    <cellStyle name="Normal 7 4 2 3 2 9" xfId="4971" xr:uid="{00000000-0005-0000-0000-000028040000}"/>
    <cellStyle name="Normal 7 4 2 3 3" xfId="1401" xr:uid="{00000000-0005-0000-0000-000050070000}"/>
    <cellStyle name="Normal 7 4 2 3 3 10" xfId="9298" xr:uid="{00000000-0005-0000-0000-0000340B0000}"/>
    <cellStyle name="Normal 7 4 2 3 3 2" xfId="2824" xr:uid="{00000000-0005-0000-0000-00003C080000}"/>
    <cellStyle name="Normal 7 4 2 3 3 2 2" xfId="3436" xr:uid="{00000000-0005-0000-0000-00003D080000}"/>
    <cellStyle name="Normal 7 4 2 3 3 2 2 2" xfId="8827" xr:uid="{00000000-0005-0000-0000-0000360B0000}"/>
    <cellStyle name="Normal 7 4 2 3 3 2 2 3" xfId="11224" xr:uid="{00000000-0005-0000-0000-0000360B0000}"/>
    <cellStyle name="Normal 7 4 2 3 3 2 3" xfId="4365" xr:uid="{00000000-0005-0000-0000-00003C080000}"/>
    <cellStyle name="Normal 7 4 2 3 3 2 3 2" xfId="8107" xr:uid="{00000000-0005-0000-0000-0000370B0000}"/>
    <cellStyle name="Normal 7 4 2 3 3 2 3 3" xfId="10504" xr:uid="{00000000-0005-0000-0000-0000370B0000}"/>
    <cellStyle name="Normal 7 4 2 3 3 2 4" xfId="5991" xr:uid="{00000000-0005-0000-0000-0000A6040000}"/>
    <cellStyle name="Normal 7 4 2 3 3 2 5" xfId="7507" xr:uid="{00000000-0005-0000-0000-0000350B0000}"/>
    <cellStyle name="Normal 7 4 2 3 3 2 6" xfId="9907" xr:uid="{00000000-0005-0000-0000-0000350B0000}"/>
    <cellStyle name="Normal 7 4 2 3 3 3" xfId="3437" xr:uid="{00000000-0005-0000-0000-00003E080000}"/>
    <cellStyle name="Normal 7 4 2 3 3 3 2" xfId="4577" xr:uid="{00000000-0005-0000-0000-00003E080000}"/>
    <cellStyle name="Normal 7 4 2 3 3 3 2 2" xfId="11929" xr:uid="{00000000-0005-0000-0000-0000A40B0000}"/>
    <cellStyle name="Normal 7 4 2 3 3 3 3" xfId="5746" xr:uid="{00000000-0005-0000-0000-0000A7040000}"/>
    <cellStyle name="Normal 7 4 2 3 3 3 4" xfId="8828" xr:uid="{00000000-0005-0000-0000-0000380B0000}"/>
    <cellStyle name="Normal 7 4 2 3 3 3 5" xfId="11225" xr:uid="{00000000-0005-0000-0000-0000380B0000}"/>
    <cellStyle name="Normal 7 4 2 3 3 4" xfId="3435" xr:uid="{00000000-0005-0000-0000-00003F080000}"/>
    <cellStyle name="Normal 7 4 2 3 3 4 2" xfId="8826" xr:uid="{00000000-0005-0000-0000-0000390B0000}"/>
    <cellStyle name="Normal 7 4 2 3 3 4 3" xfId="11223" xr:uid="{00000000-0005-0000-0000-0000390B0000}"/>
    <cellStyle name="Normal 7 4 2 3 3 5" xfId="2640" xr:uid="{00000000-0005-0000-0000-000040080000}"/>
    <cellStyle name="Normal 7 4 2 3 3 5 2" xfId="7839" xr:uid="{00000000-0005-0000-0000-00003A0B0000}"/>
    <cellStyle name="Normal 7 4 2 3 3 5 3" xfId="10236" xr:uid="{00000000-0005-0000-0000-00003A0B0000}"/>
    <cellStyle name="Normal 7 4 2 3 3 6" xfId="4215" xr:uid="{00000000-0005-0000-0000-00003B080000}"/>
    <cellStyle name="Normal 7 4 2 3 3 7" xfId="5517" xr:uid="{00000000-0005-0000-0000-0000A5040000}"/>
    <cellStyle name="Normal 7 4 2 3 3 8" xfId="5241" xr:uid="{00000000-0005-0000-0000-00002A040000}"/>
    <cellStyle name="Normal 7 4 2 3 3 9" xfId="6877" xr:uid="{00000000-0005-0000-0000-0000340B0000}"/>
    <cellStyle name="Normal 7 4 2 3 4" xfId="1402" xr:uid="{00000000-0005-0000-0000-000051070000}"/>
    <cellStyle name="Normal 7 4 2 3 4 2" xfId="3438" xr:uid="{00000000-0005-0000-0000-000042080000}"/>
    <cellStyle name="Normal 7 4 2 3 4 2 2" xfId="8829" xr:uid="{00000000-0005-0000-0000-00003C0B0000}"/>
    <cellStyle name="Normal 7 4 2 3 4 2 3" xfId="11226" xr:uid="{00000000-0005-0000-0000-00003C0B0000}"/>
    <cellStyle name="Normal 7 4 2 3 4 3" xfId="4363" xr:uid="{00000000-0005-0000-0000-000041080000}"/>
    <cellStyle name="Normal 7 4 2 3 4 3 2" xfId="8105" xr:uid="{00000000-0005-0000-0000-00003D0B0000}"/>
    <cellStyle name="Normal 7 4 2 3 4 3 3" xfId="10502" xr:uid="{00000000-0005-0000-0000-00003D0B0000}"/>
    <cellStyle name="Normal 7 4 2 3 4 4" xfId="5989" xr:uid="{00000000-0005-0000-0000-0000A8040000}"/>
    <cellStyle name="Normal 7 4 2 3 4 5" xfId="7508" xr:uid="{00000000-0005-0000-0000-00003B0B0000}"/>
    <cellStyle name="Normal 7 4 2 3 4 6" xfId="9908" xr:uid="{00000000-0005-0000-0000-00003B0B0000}"/>
    <cellStyle name="Normal 7 4 2 3 5" xfId="3439" xr:uid="{00000000-0005-0000-0000-000043080000}"/>
    <cellStyle name="Normal 7 4 2 3 5 2" xfId="4578" xr:uid="{00000000-0005-0000-0000-000043080000}"/>
    <cellStyle name="Normal 7 4 2 3 5 2 2" xfId="8830" xr:uid="{00000000-0005-0000-0000-00003F0B0000}"/>
    <cellStyle name="Normal 7 4 2 3 5 2 3" xfId="11227" xr:uid="{00000000-0005-0000-0000-00003F0B0000}"/>
    <cellStyle name="Normal 7 4 2 3 5 3" xfId="5602" xr:uid="{00000000-0005-0000-0000-0000A9040000}"/>
    <cellStyle name="Normal 7 4 2 3 5 4" xfId="7504" xr:uid="{00000000-0005-0000-0000-00003E0B0000}"/>
    <cellStyle name="Normal 7 4 2 3 5 5" xfId="9904" xr:uid="{00000000-0005-0000-0000-00003E0B0000}"/>
    <cellStyle name="Normal 7 4 2 3 6" xfId="2988" xr:uid="{00000000-0005-0000-0000-000044080000}"/>
    <cellStyle name="Normal 7 4 2 3 6 2" xfId="8295" xr:uid="{00000000-0005-0000-0000-0000400B0000}"/>
    <cellStyle name="Normal 7 4 2 3 6 3" xfId="10692" xr:uid="{00000000-0005-0000-0000-0000400B0000}"/>
    <cellStyle name="Normal 7 4 2 3 7" xfId="2478" xr:uid="{00000000-0005-0000-0000-000045080000}"/>
    <cellStyle name="Normal 7 4 2 3 7 2" xfId="7676" xr:uid="{00000000-0005-0000-0000-0000410B0000}"/>
    <cellStyle name="Normal 7 4 2 3 7 3" xfId="10073" xr:uid="{00000000-0005-0000-0000-0000410B0000}"/>
    <cellStyle name="Normal 7 4 2 3 8" xfId="2232" xr:uid="{00000000-0005-0000-0000-000034080000}"/>
    <cellStyle name="Normal 7 4 2 3 9" xfId="4063" xr:uid="{00000000-0005-0000-0000-00000A030000}"/>
    <cellStyle name="Normal 7 4 2 4" xfId="1403" xr:uid="{00000000-0005-0000-0000-000052070000}"/>
    <cellStyle name="Normal 7 4 2 4 10" xfId="4792" xr:uid="{00000000-0005-0000-0000-00002B040000}"/>
    <cellStyle name="Normal 7 4 2 4 11" xfId="6717" xr:uid="{00000000-0005-0000-0000-0000420B0000}"/>
    <cellStyle name="Normal 7 4 2 4 12" xfId="9138" xr:uid="{00000000-0005-0000-0000-0000420B0000}"/>
    <cellStyle name="Normal 7 4 2 4 2" xfId="1404" xr:uid="{00000000-0005-0000-0000-000053070000}"/>
    <cellStyle name="Normal 7 4 2 4 2 10" xfId="6878" xr:uid="{00000000-0005-0000-0000-0000430B0000}"/>
    <cellStyle name="Normal 7 4 2 4 2 11" xfId="9299" xr:uid="{00000000-0005-0000-0000-0000430B0000}"/>
    <cellStyle name="Normal 7 4 2 4 2 2" xfId="1405" xr:uid="{00000000-0005-0000-0000-000054070000}"/>
    <cellStyle name="Normal 7 4 2 4 2 2 2" xfId="3441" xr:uid="{00000000-0005-0000-0000-000049080000}"/>
    <cellStyle name="Normal 7 4 2 4 2 2 2 2" xfId="8832" xr:uid="{00000000-0005-0000-0000-0000450B0000}"/>
    <cellStyle name="Normal 7 4 2 4 2 2 2 3" xfId="11229" xr:uid="{00000000-0005-0000-0000-0000450B0000}"/>
    <cellStyle name="Normal 7 4 2 4 2 2 3" xfId="4366" xr:uid="{00000000-0005-0000-0000-000048080000}"/>
    <cellStyle name="Normal 7 4 2 4 2 2 3 2" xfId="8109" xr:uid="{00000000-0005-0000-0000-0000460B0000}"/>
    <cellStyle name="Normal 7 4 2 4 2 2 3 3" xfId="10506" xr:uid="{00000000-0005-0000-0000-0000460B0000}"/>
    <cellStyle name="Normal 7 4 2 4 2 2 4" xfId="5993" xr:uid="{00000000-0005-0000-0000-0000AC040000}"/>
    <cellStyle name="Normal 7 4 2 4 2 2 5" xfId="5244" xr:uid="{00000000-0005-0000-0000-00002D040000}"/>
    <cellStyle name="Normal 7 4 2 4 2 2 6" xfId="7511" xr:uid="{00000000-0005-0000-0000-0000440B0000}"/>
    <cellStyle name="Normal 7 4 2 4 2 2 7" xfId="9911" xr:uid="{00000000-0005-0000-0000-0000440B0000}"/>
    <cellStyle name="Normal 7 4 2 4 2 3" xfId="3442" xr:uid="{00000000-0005-0000-0000-00004A080000}"/>
    <cellStyle name="Normal 7 4 2 4 2 3 2" xfId="4579" xr:uid="{00000000-0005-0000-0000-00004A080000}"/>
    <cellStyle name="Normal 7 4 2 4 2 3 2 2" xfId="8833" xr:uid="{00000000-0005-0000-0000-0000480B0000}"/>
    <cellStyle name="Normal 7 4 2 4 2 3 2 3" xfId="11230" xr:uid="{00000000-0005-0000-0000-0000480B0000}"/>
    <cellStyle name="Normal 7 4 2 4 2 3 3" xfId="5727" xr:uid="{00000000-0005-0000-0000-0000AD040000}"/>
    <cellStyle name="Normal 7 4 2 4 2 3 4" xfId="7510" xr:uid="{00000000-0005-0000-0000-0000470B0000}"/>
    <cellStyle name="Normal 7 4 2 4 2 3 5" xfId="9910" xr:uid="{00000000-0005-0000-0000-0000470B0000}"/>
    <cellStyle name="Normal 7 4 2 4 2 4" xfId="3440" xr:uid="{00000000-0005-0000-0000-00004B080000}"/>
    <cellStyle name="Normal 7 4 2 4 2 4 2" xfId="8831" xr:uid="{00000000-0005-0000-0000-0000490B0000}"/>
    <cellStyle name="Normal 7 4 2 4 2 4 3" xfId="11228" xr:uid="{00000000-0005-0000-0000-0000490B0000}"/>
    <cellStyle name="Normal 7 4 2 4 2 5" xfId="2621" xr:uid="{00000000-0005-0000-0000-00004C080000}"/>
    <cellStyle name="Normal 7 4 2 4 2 5 2" xfId="7819" xr:uid="{00000000-0005-0000-0000-00004A0B0000}"/>
    <cellStyle name="Normal 7 4 2 4 2 5 3" xfId="10216" xr:uid="{00000000-0005-0000-0000-00004A0B0000}"/>
    <cellStyle name="Normal 7 4 2 4 2 6" xfId="2396" xr:uid="{00000000-0005-0000-0000-000047080000}"/>
    <cellStyle name="Normal 7 4 2 4 2 7" xfId="4100" xr:uid="{00000000-0005-0000-0000-00000D030000}"/>
    <cellStyle name="Normal 7 4 2 4 2 8" xfId="5497" xr:uid="{00000000-0005-0000-0000-0000AB040000}"/>
    <cellStyle name="Normal 7 4 2 4 2 9" xfId="4972" xr:uid="{00000000-0005-0000-0000-00002C040000}"/>
    <cellStyle name="Normal 7 4 2 4 3" xfId="1406" xr:uid="{00000000-0005-0000-0000-000055070000}"/>
    <cellStyle name="Normal 7 4 2 4 3 2" xfId="3443" xr:uid="{00000000-0005-0000-0000-00004E080000}"/>
    <cellStyle name="Normal 7 4 2 4 3 2 2" xfId="8834" xr:uid="{00000000-0005-0000-0000-00004C0B0000}"/>
    <cellStyle name="Normal 7 4 2 4 3 2 2 2" xfId="11930" xr:uid="{00000000-0005-0000-0000-0000B90B0000}"/>
    <cellStyle name="Normal 7 4 2 4 3 2 3" xfId="11231" xr:uid="{00000000-0005-0000-0000-00004C0B0000}"/>
    <cellStyle name="Normal 7 4 2 4 3 2 4" xfId="11718" xr:uid="{00000000-0005-0000-0000-0000B80B0000}"/>
    <cellStyle name="Normal 7 4 2 4 3 3" xfId="2825" xr:uid="{00000000-0005-0000-0000-00004F080000}"/>
    <cellStyle name="Normal 7 4 2 4 3 3 2" xfId="8108" xr:uid="{00000000-0005-0000-0000-00004D0B0000}"/>
    <cellStyle name="Normal 7 4 2 4 3 3 3" xfId="10505" xr:uid="{00000000-0005-0000-0000-00004D0B0000}"/>
    <cellStyle name="Normal 7 4 2 4 3 4" xfId="4216" xr:uid="{00000000-0005-0000-0000-00004D080000}"/>
    <cellStyle name="Normal 7 4 2 4 3 4 2" xfId="11827" xr:uid="{00000000-0005-0000-0000-0000BB0B0000}"/>
    <cellStyle name="Normal 7 4 2 4 3 5" xfId="5992" xr:uid="{00000000-0005-0000-0000-0000AE040000}"/>
    <cellStyle name="Normal 7 4 2 4 3 6" xfId="5243" xr:uid="{00000000-0005-0000-0000-00002E040000}"/>
    <cellStyle name="Normal 7 4 2 4 3 7" xfId="7512" xr:uid="{00000000-0005-0000-0000-00004B0B0000}"/>
    <cellStyle name="Normal 7 4 2 4 3 8" xfId="9912" xr:uid="{00000000-0005-0000-0000-00004B0B0000}"/>
    <cellStyle name="Normal 7 4 2 4 4" xfId="1407" xr:uid="{00000000-0005-0000-0000-000056070000}"/>
    <cellStyle name="Normal 7 4 2 4 4 2" xfId="4580" xr:uid="{00000000-0005-0000-0000-000050080000}"/>
    <cellStyle name="Normal 7 4 2 4 4 2 2" xfId="8835" xr:uid="{00000000-0005-0000-0000-00004F0B0000}"/>
    <cellStyle name="Normal 7 4 2 4 4 2 3" xfId="11232" xr:uid="{00000000-0005-0000-0000-00004F0B0000}"/>
    <cellStyle name="Normal 7 4 2 4 4 3" xfId="5582" xr:uid="{00000000-0005-0000-0000-0000AF040000}"/>
    <cellStyle name="Normal 7 4 2 4 4 4" xfId="7513" xr:uid="{00000000-0005-0000-0000-00004E0B0000}"/>
    <cellStyle name="Normal 7 4 2 4 4 5" xfId="9913" xr:uid="{00000000-0005-0000-0000-00004E0B0000}"/>
    <cellStyle name="Normal 7 4 2 4 5" xfId="2989" xr:uid="{00000000-0005-0000-0000-000051080000}"/>
    <cellStyle name="Normal 7 4 2 4 5 2" xfId="8296" xr:uid="{00000000-0005-0000-0000-0000510B0000}"/>
    <cellStyle name="Normal 7 4 2 4 5 2 2" xfId="10693" xr:uid="{00000000-0005-0000-0000-0000510B0000}"/>
    <cellStyle name="Normal 7 4 2 4 5 3" xfId="7509" xr:uid="{00000000-0005-0000-0000-0000500B0000}"/>
    <cellStyle name="Normal 7 4 2 4 5 4" xfId="9909" xr:uid="{00000000-0005-0000-0000-0000500B0000}"/>
    <cellStyle name="Normal 7 4 2 4 6" xfId="2458" xr:uid="{00000000-0005-0000-0000-000052080000}"/>
    <cellStyle name="Normal 7 4 2 4 6 2" xfId="7656" xr:uid="{00000000-0005-0000-0000-0000520B0000}"/>
    <cellStyle name="Normal 7 4 2 4 6 3" xfId="10053" xr:uid="{00000000-0005-0000-0000-0000520B0000}"/>
    <cellStyle name="Normal 7 4 2 4 7" xfId="2212" xr:uid="{00000000-0005-0000-0000-000046080000}"/>
    <cellStyle name="Normal 7 4 2 4 8" xfId="4064" xr:uid="{00000000-0005-0000-0000-00000C030000}"/>
    <cellStyle name="Normal 7 4 2 4 9" xfId="5336" xr:uid="{00000000-0005-0000-0000-0000AA040000}"/>
    <cellStyle name="Normal 7 4 2 5" xfId="1408" xr:uid="{00000000-0005-0000-0000-000057070000}"/>
    <cellStyle name="Normal 7 4 2 5 10" xfId="6718" xr:uid="{00000000-0005-0000-0000-0000530B0000}"/>
    <cellStyle name="Normal 7 4 2 5 11" xfId="9139" xr:uid="{00000000-0005-0000-0000-0000530B0000}"/>
    <cellStyle name="Normal 7 4 2 5 2" xfId="1409" xr:uid="{00000000-0005-0000-0000-000058070000}"/>
    <cellStyle name="Normal 7 4 2 5 2 2" xfId="1410" xr:uid="{00000000-0005-0000-0000-000059070000}"/>
    <cellStyle name="Normal 7 4 2 5 2 2 2" xfId="6425" xr:uid="{00000000-0005-0000-0000-000055080000}"/>
    <cellStyle name="Normal 7 4 2 5 2 2 2 2" xfId="8836" xr:uid="{00000000-0005-0000-0000-0000560B0000}"/>
    <cellStyle name="Normal 7 4 2 5 2 2 2 3" xfId="11233" xr:uid="{00000000-0005-0000-0000-0000560B0000}"/>
    <cellStyle name="Normal 7 4 2 5 2 2 3" xfId="7516" xr:uid="{00000000-0005-0000-0000-0000550B0000}"/>
    <cellStyle name="Normal 7 4 2 5 2 2 3 2" xfId="12098" xr:uid="{00000000-0005-0000-0000-000091080000}"/>
    <cellStyle name="Normal 7 4 2 5 2 2 4" xfId="9916" xr:uid="{00000000-0005-0000-0000-0000550B0000}"/>
    <cellStyle name="Normal 7 4 2 5 2 2 5" xfId="12055" xr:uid="{00000000-0005-0000-0000-00008F080000}"/>
    <cellStyle name="Normal 7 4 2 5 2 3" xfId="2826" xr:uid="{00000000-0005-0000-0000-000056080000}"/>
    <cellStyle name="Normal 7 4 2 5 2 3 2" xfId="6239" xr:uid="{00000000-0005-0000-0000-000056080000}"/>
    <cellStyle name="Normal 7 4 2 5 2 3 3" xfId="7515" xr:uid="{00000000-0005-0000-0000-0000570B0000}"/>
    <cellStyle name="Normal 7 4 2 5 2 3 4" xfId="9915" xr:uid="{00000000-0005-0000-0000-0000570B0000}"/>
    <cellStyle name="Normal 7 4 2 5 2 4" xfId="4217" xr:uid="{00000000-0005-0000-0000-000054080000}"/>
    <cellStyle name="Normal 7 4 2 5 2 4 2" xfId="8110" xr:uid="{00000000-0005-0000-0000-0000580B0000}"/>
    <cellStyle name="Normal 7 4 2 5 2 4 3" xfId="10507" xr:uid="{00000000-0005-0000-0000-0000580B0000}"/>
    <cellStyle name="Normal 7 4 2 5 2 5" xfId="5994" xr:uid="{00000000-0005-0000-0000-0000B1040000}"/>
    <cellStyle name="Normal 7 4 2 5 2 6" xfId="5245" xr:uid="{00000000-0005-0000-0000-000030040000}"/>
    <cellStyle name="Normal 7 4 2 5 2 7" xfId="6879" xr:uid="{00000000-0005-0000-0000-0000540B0000}"/>
    <cellStyle name="Normal 7 4 2 5 2 8" xfId="9300" xr:uid="{00000000-0005-0000-0000-0000540B0000}"/>
    <cellStyle name="Normal 7 4 2 5 3" xfId="1411" xr:uid="{00000000-0005-0000-0000-00005A070000}"/>
    <cellStyle name="Normal 7 4 2 5 3 2" xfId="4581" xr:uid="{00000000-0005-0000-0000-000057080000}"/>
    <cellStyle name="Normal 7 4 2 5 3 2 2" xfId="8837" xr:uid="{00000000-0005-0000-0000-00005A0B0000}"/>
    <cellStyle name="Normal 7 4 2 5 3 2 3" xfId="11234" xr:uid="{00000000-0005-0000-0000-00005A0B0000}"/>
    <cellStyle name="Normal 7 4 2 5 3 3" xfId="5642" xr:uid="{00000000-0005-0000-0000-0000B2040000}"/>
    <cellStyle name="Normal 7 4 2 5 3 3 2" xfId="11719" xr:uid="{00000000-0005-0000-0000-0000C90B0000}"/>
    <cellStyle name="Normal 7 4 2 5 3 4" xfId="7517" xr:uid="{00000000-0005-0000-0000-0000590B0000}"/>
    <cellStyle name="Normal 7 4 2 5 3 4 2" xfId="11931" xr:uid="{00000000-0005-0000-0000-0000CA0B0000}"/>
    <cellStyle name="Normal 7 4 2 5 3 5" xfId="9917" xr:uid="{00000000-0005-0000-0000-0000590B0000}"/>
    <cellStyle name="Normal 7 4 2 5 3 6" xfId="11657" xr:uid="{00000000-0005-0000-0000-0000C70B0000}"/>
    <cellStyle name="Normal 7 4 2 5 4" xfId="1412" xr:uid="{00000000-0005-0000-0000-00005B070000}"/>
    <cellStyle name="Normal 7 4 2 5 4 2" xfId="6338" xr:uid="{00000000-0005-0000-0000-000058080000}"/>
    <cellStyle name="Normal 7 4 2 5 4 2 2" xfId="8297" xr:uid="{00000000-0005-0000-0000-00005C0B0000}"/>
    <cellStyle name="Normal 7 4 2 5 4 2 3" xfId="10694" xr:uid="{00000000-0005-0000-0000-00005C0B0000}"/>
    <cellStyle name="Normal 7 4 2 5 4 3" xfId="7518" xr:uid="{00000000-0005-0000-0000-00005B0B0000}"/>
    <cellStyle name="Normal 7 4 2 5 4 4" xfId="9918" xr:uid="{00000000-0005-0000-0000-00005B0B0000}"/>
    <cellStyle name="Normal 7 4 2 5 5" xfId="2518" xr:uid="{00000000-0005-0000-0000-000059080000}"/>
    <cellStyle name="Normal 7 4 2 5 5 2" xfId="7514" xr:uid="{00000000-0005-0000-0000-00005D0B0000}"/>
    <cellStyle name="Normal 7 4 2 5 5 3" xfId="9914" xr:uid="{00000000-0005-0000-0000-00005D0B0000}"/>
    <cellStyle name="Normal 7 4 2 5 6" xfId="2397" xr:uid="{00000000-0005-0000-0000-000053080000}"/>
    <cellStyle name="Normal 7 4 2 5 6 2" xfId="7716" xr:uid="{00000000-0005-0000-0000-00005E0B0000}"/>
    <cellStyle name="Normal 7 4 2 5 6 3" xfId="10113" xr:uid="{00000000-0005-0000-0000-00005E0B0000}"/>
    <cellStyle name="Normal 7 4 2 5 7" xfId="4065" xr:uid="{00000000-0005-0000-0000-00000E030000}"/>
    <cellStyle name="Normal 7 4 2 5 8" xfId="5396" xr:uid="{00000000-0005-0000-0000-0000B0040000}"/>
    <cellStyle name="Normal 7 4 2 5 9" xfId="4973" xr:uid="{00000000-0005-0000-0000-00002F040000}"/>
    <cellStyle name="Normal 7 4 2 6" xfId="1413" xr:uid="{00000000-0005-0000-0000-00005C070000}"/>
    <cellStyle name="Normal 7 4 2 6 10" xfId="6719" xr:uid="{00000000-0005-0000-0000-00005F0B0000}"/>
    <cellStyle name="Normal 7 4 2 6 11" xfId="9140" xr:uid="{00000000-0005-0000-0000-00005F0B0000}"/>
    <cellStyle name="Normal 7 4 2 6 2" xfId="1414" xr:uid="{00000000-0005-0000-0000-00005D070000}"/>
    <cellStyle name="Normal 7 4 2 6 2 2" xfId="1415" xr:uid="{00000000-0005-0000-0000-00005E070000}"/>
    <cellStyle name="Normal 7 4 2 6 2 2 2" xfId="6426" xr:uid="{00000000-0005-0000-0000-00005C080000}"/>
    <cellStyle name="Normal 7 4 2 6 2 2 2 2" xfId="8838" xr:uid="{00000000-0005-0000-0000-0000620B0000}"/>
    <cellStyle name="Normal 7 4 2 6 2 2 2 3" xfId="11235" xr:uid="{00000000-0005-0000-0000-0000620B0000}"/>
    <cellStyle name="Normal 7 4 2 6 2 2 3" xfId="7521" xr:uid="{00000000-0005-0000-0000-0000610B0000}"/>
    <cellStyle name="Normal 7 4 2 6 2 2 3 2" xfId="12099" xr:uid="{00000000-0005-0000-0000-00009D080000}"/>
    <cellStyle name="Normal 7 4 2 6 2 2 4" xfId="9921" xr:uid="{00000000-0005-0000-0000-0000610B0000}"/>
    <cellStyle name="Normal 7 4 2 6 2 2 5" xfId="12056" xr:uid="{00000000-0005-0000-0000-00009B080000}"/>
    <cellStyle name="Normal 7 4 2 6 2 3" xfId="2827" xr:uid="{00000000-0005-0000-0000-00005D080000}"/>
    <cellStyle name="Normal 7 4 2 6 2 3 2" xfId="6240" xr:uid="{00000000-0005-0000-0000-00005D080000}"/>
    <cellStyle name="Normal 7 4 2 6 2 3 3" xfId="7520" xr:uid="{00000000-0005-0000-0000-0000630B0000}"/>
    <cellStyle name="Normal 7 4 2 6 2 3 4" xfId="9920" xr:uid="{00000000-0005-0000-0000-0000630B0000}"/>
    <cellStyle name="Normal 7 4 2 6 2 4" xfId="4218" xr:uid="{00000000-0005-0000-0000-00005B080000}"/>
    <cellStyle name="Normal 7 4 2 6 2 4 2" xfId="8111" xr:uid="{00000000-0005-0000-0000-0000640B0000}"/>
    <cellStyle name="Normal 7 4 2 6 2 4 3" xfId="10508" xr:uid="{00000000-0005-0000-0000-0000640B0000}"/>
    <cellStyle name="Normal 7 4 2 6 2 5" xfId="5995" xr:uid="{00000000-0005-0000-0000-0000B4040000}"/>
    <cellStyle name="Normal 7 4 2 6 2 6" xfId="5246" xr:uid="{00000000-0005-0000-0000-000032040000}"/>
    <cellStyle name="Normal 7 4 2 6 2 7" xfId="6880" xr:uid="{00000000-0005-0000-0000-0000600B0000}"/>
    <cellStyle name="Normal 7 4 2 6 2 8" xfId="9301" xr:uid="{00000000-0005-0000-0000-0000600B0000}"/>
    <cellStyle name="Normal 7 4 2 6 3" xfId="1416" xr:uid="{00000000-0005-0000-0000-00005F070000}"/>
    <cellStyle name="Normal 7 4 2 6 3 2" xfId="4582" xr:uid="{00000000-0005-0000-0000-00005E080000}"/>
    <cellStyle name="Normal 7 4 2 6 3 2 2" xfId="8839" xr:uid="{00000000-0005-0000-0000-0000660B0000}"/>
    <cellStyle name="Normal 7 4 2 6 3 2 3" xfId="11236" xr:uid="{00000000-0005-0000-0000-0000660B0000}"/>
    <cellStyle name="Normal 7 4 2 6 3 3" xfId="5688" xr:uid="{00000000-0005-0000-0000-0000B5040000}"/>
    <cellStyle name="Normal 7 4 2 6 3 3 2" xfId="12100" xr:uid="{00000000-0005-0000-0000-0000A2080000}"/>
    <cellStyle name="Normal 7 4 2 6 3 4" xfId="7522" xr:uid="{00000000-0005-0000-0000-0000650B0000}"/>
    <cellStyle name="Normal 7 4 2 6 3 5" xfId="9922" xr:uid="{00000000-0005-0000-0000-0000650B0000}"/>
    <cellStyle name="Normal 7 4 2 6 4" xfId="1417" xr:uid="{00000000-0005-0000-0000-000060070000}"/>
    <cellStyle name="Normal 7 4 2 6 4 2" xfId="6339" xr:uid="{00000000-0005-0000-0000-00005F080000}"/>
    <cellStyle name="Normal 7 4 2 6 4 2 2" xfId="8298" xr:uid="{00000000-0005-0000-0000-0000680B0000}"/>
    <cellStyle name="Normal 7 4 2 6 4 2 3" xfId="10695" xr:uid="{00000000-0005-0000-0000-0000680B0000}"/>
    <cellStyle name="Normal 7 4 2 6 4 3" xfId="7523" xr:uid="{00000000-0005-0000-0000-0000670B0000}"/>
    <cellStyle name="Normal 7 4 2 6 4 4" xfId="9923" xr:uid="{00000000-0005-0000-0000-0000670B0000}"/>
    <cellStyle name="Normal 7 4 2 6 5" xfId="2581" xr:uid="{00000000-0005-0000-0000-000060080000}"/>
    <cellStyle name="Normal 7 4 2 6 5 2" xfId="7519" xr:uid="{00000000-0005-0000-0000-0000690B0000}"/>
    <cellStyle name="Normal 7 4 2 6 5 3" xfId="9919" xr:uid="{00000000-0005-0000-0000-0000690B0000}"/>
    <cellStyle name="Normal 7 4 2 6 6" xfId="2398" xr:uid="{00000000-0005-0000-0000-00005A080000}"/>
    <cellStyle name="Normal 7 4 2 6 6 2" xfId="7779" xr:uid="{00000000-0005-0000-0000-00006A0B0000}"/>
    <cellStyle name="Normal 7 4 2 6 6 3" xfId="10176" xr:uid="{00000000-0005-0000-0000-00006A0B0000}"/>
    <cellStyle name="Normal 7 4 2 6 7" xfId="4066" xr:uid="{00000000-0005-0000-0000-00000F030000}"/>
    <cellStyle name="Normal 7 4 2 6 8" xfId="5457" xr:uid="{00000000-0005-0000-0000-0000B3040000}"/>
    <cellStyle name="Normal 7 4 2 6 9" xfId="4974" xr:uid="{00000000-0005-0000-0000-000031040000}"/>
    <cellStyle name="Normal 7 4 2 7" xfId="1418" xr:uid="{00000000-0005-0000-0000-000061070000}"/>
    <cellStyle name="Normal 7 4 2 7 2" xfId="1419" xr:uid="{00000000-0005-0000-0000-000062070000}"/>
    <cellStyle name="Normal 7 4 2 7 2 2" xfId="2990" xr:uid="{00000000-0005-0000-0000-000063080000}"/>
    <cellStyle name="Normal 7 4 2 7 2 2 2" xfId="6340" xr:uid="{00000000-0005-0000-0000-000063080000}"/>
    <cellStyle name="Normal 7 4 2 7 2 2 3" xfId="7525" xr:uid="{00000000-0005-0000-0000-00006D0B0000}"/>
    <cellStyle name="Normal 7 4 2 7 2 2 4" xfId="9925" xr:uid="{00000000-0005-0000-0000-00006D0B0000}"/>
    <cellStyle name="Normal 7 4 2 7 2 3" xfId="4746" xr:uid="{00000000-0005-0000-0000-000003060000}"/>
    <cellStyle name="Normal 7 4 2 7 2 3 2" xfId="6132" xr:uid="{00000000-0005-0000-0000-000062080000}"/>
    <cellStyle name="Normal 7 4 2 7 2 3 3" xfId="8299" xr:uid="{00000000-0005-0000-0000-00006E0B0000}"/>
    <cellStyle name="Normal 7 4 2 7 2 3 4" xfId="10696" xr:uid="{00000000-0005-0000-0000-00006E0B0000}"/>
    <cellStyle name="Normal 7 4 2 7 2 4" xfId="5247" xr:uid="{00000000-0005-0000-0000-000034040000}"/>
    <cellStyle name="Normal 7 4 2 7 2 5" xfId="6881" xr:uid="{00000000-0005-0000-0000-00006C0B0000}"/>
    <cellStyle name="Normal 7 4 2 7 2 6" xfId="9302" xr:uid="{00000000-0005-0000-0000-00006C0B0000}"/>
    <cellStyle name="Normal 7 4 2 7 3" xfId="1420" xr:uid="{00000000-0005-0000-0000-000063070000}"/>
    <cellStyle name="Normal 7 4 2 7 3 2" xfId="6241" xr:uid="{00000000-0005-0000-0000-000064080000}"/>
    <cellStyle name="Normal 7 4 2 7 3 3" xfId="7526" xr:uid="{00000000-0005-0000-0000-00006F0B0000}"/>
    <cellStyle name="Normal 7 4 2 7 3 4" xfId="9926" xr:uid="{00000000-0005-0000-0000-00006F0B0000}"/>
    <cellStyle name="Normal 7 4 2 7 4" xfId="2399" xr:uid="{00000000-0005-0000-0000-000061080000}"/>
    <cellStyle name="Normal 7 4 2 7 4 2" xfId="6083" xr:uid="{00000000-0005-0000-0000-000061080000}"/>
    <cellStyle name="Normal 7 4 2 7 4 3" xfId="7524" xr:uid="{00000000-0005-0000-0000-0000700B0000}"/>
    <cellStyle name="Normal 7 4 2 7 4 4" xfId="9924" xr:uid="{00000000-0005-0000-0000-0000700B0000}"/>
    <cellStyle name="Normal 7 4 2 7 5" xfId="4067" xr:uid="{00000000-0005-0000-0000-000010030000}"/>
    <cellStyle name="Normal 7 4 2 7 5 2" xfId="8112" xr:uid="{00000000-0005-0000-0000-0000710B0000}"/>
    <cellStyle name="Normal 7 4 2 7 5 3" xfId="10509" xr:uid="{00000000-0005-0000-0000-0000710B0000}"/>
    <cellStyle name="Normal 7 4 2 7 6" xfId="5996" xr:uid="{00000000-0005-0000-0000-0000B6040000}"/>
    <cellStyle name="Normal 7 4 2 7 7" xfId="4975" xr:uid="{00000000-0005-0000-0000-000033040000}"/>
    <cellStyle name="Normal 7 4 2 7 8" xfId="6720" xr:uid="{00000000-0005-0000-0000-00006B0B0000}"/>
    <cellStyle name="Normal 7 4 2 7 9" xfId="9141" xr:uid="{00000000-0005-0000-0000-00006B0B0000}"/>
    <cellStyle name="Normal 7 4 2 8" xfId="1421" xr:uid="{00000000-0005-0000-0000-000064070000}"/>
    <cellStyle name="Normal 7 4 2 8 2" xfId="1422" xr:uid="{00000000-0005-0000-0000-000065070000}"/>
    <cellStyle name="Normal 7 4 2 8 2 2" xfId="2991" xr:uid="{00000000-0005-0000-0000-000067080000}"/>
    <cellStyle name="Normal 7 4 2 8 2 2 2" xfId="6341" xr:uid="{00000000-0005-0000-0000-000067080000}"/>
    <cellStyle name="Normal 7 4 2 8 2 2 3" xfId="7528" xr:uid="{00000000-0005-0000-0000-0000740B0000}"/>
    <cellStyle name="Normal 7 4 2 8 2 2 4" xfId="9928" xr:uid="{00000000-0005-0000-0000-0000740B0000}"/>
    <cellStyle name="Normal 7 4 2 8 2 3" xfId="4747" xr:uid="{00000000-0005-0000-0000-000009060000}"/>
    <cellStyle name="Normal 7 4 2 8 2 3 2" xfId="6133" xr:uid="{00000000-0005-0000-0000-000066080000}"/>
    <cellStyle name="Normal 7 4 2 8 2 3 3" xfId="8300" xr:uid="{00000000-0005-0000-0000-0000750B0000}"/>
    <cellStyle name="Normal 7 4 2 8 2 3 4" xfId="10697" xr:uid="{00000000-0005-0000-0000-0000750B0000}"/>
    <cellStyle name="Normal 7 4 2 8 2 4" xfId="5248" xr:uid="{00000000-0005-0000-0000-000036040000}"/>
    <cellStyle name="Normal 7 4 2 8 2 5" xfId="6882" xr:uid="{00000000-0005-0000-0000-0000730B0000}"/>
    <cellStyle name="Normal 7 4 2 8 2 6" xfId="9303" xr:uid="{00000000-0005-0000-0000-0000730B0000}"/>
    <cellStyle name="Normal 7 4 2 8 3" xfId="1423" xr:uid="{00000000-0005-0000-0000-000066070000}"/>
    <cellStyle name="Normal 7 4 2 8 3 2" xfId="6242" xr:uid="{00000000-0005-0000-0000-000068080000}"/>
    <cellStyle name="Normal 7 4 2 8 3 3" xfId="7529" xr:uid="{00000000-0005-0000-0000-0000760B0000}"/>
    <cellStyle name="Normal 7 4 2 8 3 4" xfId="9929" xr:uid="{00000000-0005-0000-0000-0000760B0000}"/>
    <cellStyle name="Normal 7 4 2 8 4" xfId="2400" xr:uid="{00000000-0005-0000-0000-000065080000}"/>
    <cellStyle name="Normal 7 4 2 8 4 2" xfId="6084" xr:uid="{00000000-0005-0000-0000-000065080000}"/>
    <cellStyle name="Normal 7 4 2 8 4 3" xfId="7527" xr:uid="{00000000-0005-0000-0000-0000770B0000}"/>
    <cellStyle name="Normal 7 4 2 8 4 4" xfId="9927" xr:uid="{00000000-0005-0000-0000-0000770B0000}"/>
    <cellStyle name="Normal 7 4 2 8 5" xfId="4068" xr:uid="{00000000-0005-0000-0000-000011030000}"/>
    <cellStyle name="Normal 7 4 2 8 5 2" xfId="8113" xr:uid="{00000000-0005-0000-0000-0000780B0000}"/>
    <cellStyle name="Normal 7 4 2 8 5 3" xfId="10510" xr:uid="{00000000-0005-0000-0000-0000780B0000}"/>
    <cellStyle name="Normal 7 4 2 8 6" xfId="5997" xr:uid="{00000000-0005-0000-0000-0000B7040000}"/>
    <cellStyle name="Normal 7 4 2 8 7" xfId="4976" xr:uid="{00000000-0005-0000-0000-000035040000}"/>
    <cellStyle name="Normal 7 4 2 8 8" xfId="6721" xr:uid="{00000000-0005-0000-0000-0000720B0000}"/>
    <cellStyle name="Normal 7 4 2 8 9" xfId="9142" xr:uid="{00000000-0005-0000-0000-0000720B0000}"/>
    <cellStyle name="Normal 7 4 2 9" xfId="1424" xr:uid="{00000000-0005-0000-0000-000067070000}"/>
    <cellStyle name="Normal 7 4 2 9 2" xfId="3444" xr:uid="{00000000-0005-0000-0000-00006A080000}"/>
    <cellStyle name="Normal 7 4 2 9 2 2" xfId="6427" xr:uid="{00000000-0005-0000-0000-00006A080000}"/>
    <cellStyle name="Normal 7 4 2 9 2 2 2" xfId="8840" xr:uid="{00000000-0005-0000-0000-00007B0B0000}"/>
    <cellStyle name="Normal 7 4 2 9 2 2 3" xfId="11237" xr:uid="{00000000-0005-0000-0000-00007B0B0000}"/>
    <cellStyle name="Normal 7 4 2 9 2 3" xfId="5249" xr:uid="{00000000-0005-0000-0000-000038040000}"/>
    <cellStyle name="Normal 7 4 2 9 2 4" xfId="7530" xr:uid="{00000000-0005-0000-0000-00007A0B0000}"/>
    <cellStyle name="Normal 7 4 2 9 2 5" xfId="9930" xr:uid="{00000000-0005-0000-0000-00007A0B0000}"/>
    <cellStyle name="Normal 7 4 2 9 3" xfId="2819" xr:uid="{00000000-0005-0000-0000-00006B080000}"/>
    <cellStyle name="Normal 7 4 2 9 3 2" xfId="6238" xr:uid="{00000000-0005-0000-0000-00006B080000}"/>
    <cellStyle name="Normal 7 4 2 9 3 3" xfId="8100" xr:uid="{00000000-0005-0000-0000-00007C0B0000}"/>
    <cellStyle name="Normal 7 4 2 9 3 4" xfId="10497" xr:uid="{00000000-0005-0000-0000-00007C0B0000}"/>
    <cellStyle name="Normal 7 4 2 9 4" xfId="2393" xr:uid="{00000000-0005-0000-0000-000069080000}"/>
    <cellStyle name="Normal 7 4 2 9 4 2" xfId="11417" xr:uid="{00000000-0005-0000-0000-00008F0A0000}"/>
    <cellStyle name="Normal 7 4 2 9 5" xfId="4097" xr:uid="{00000000-0005-0000-0000-000012030000}"/>
    <cellStyle name="Normal 7 4 2 9 6" xfId="5985" xr:uid="{00000000-0005-0000-0000-0000B8040000}"/>
    <cellStyle name="Normal 7 4 2 9 7" xfId="4969" xr:uid="{00000000-0005-0000-0000-000037040000}"/>
    <cellStyle name="Normal 7 4 2 9 8" xfId="6714" xr:uid="{00000000-0005-0000-0000-0000790B0000}"/>
    <cellStyle name="Normal 7 4 2 9 9" xfId="9135" xr:uid="{00000000-0005-0000-0000-0000790B0000}"/>
    <cellStyle name="Normal 7 4 20" xfId="8950" xr:uid="{00000000-0005-0000-0000-0000F40A0000}"/>
    <cellStyle name="Normal 7 4 3" xfId="1425" xr:uid="{00000000-0005-0000-0000-000068070000}"/>
    <cellStyle name="Normal 7 4 3 10" xfId="5363" xr:uid="{00000000-0005-0000-0000-0000B9040000}"/>
    <cellStyle name="Normal 7 4 3 11" xfId="4819" xr:uid="{00000000-0005-0000-0000-000039040000}"/>
    <cellStyle name="Normal 7 4 3 12" xfId="6565" xr:uid="{00000000-0005-0000-0000-00007D0B0000}"/>
    <cellStyle name="Normal 7 4 3 13" xfId="8986" xr:uid="{00000000-0005-0000-0000-00007D0B0000}"/>
    <cellStyle name="Normal 7 4 3 2" xfId="1426" xr:uid="{00000000-0005-0000-0000-000069070000}"/>
    <cellStyle name="Normal 7 4 3 2 10" xfId="4978" xr:uid="{00000000-0005-0000-0000-00003A040000}"/>
    <cellStyle name="Normal 7 4 3 2 11" xfId="6723" xr:uid="{00000000-0005-0000-0000-00007E0B0000}"/>
    <cellStyle name="Normal 7 4 3 2 12" xfId="9144" xr:uid="{00000000-0005-0000-0000-00007E0B0000}"/>
    <cellStyle name="Normal 7 4 3 2 2" xfId="1427" xr:uid="{00000000-0005-0000-0000-00006A070000}"/>
    <cellStyle name="Normal 7 4 3 2 2 10" xfId="6884" xr:uid="{00000000-0005-0000-0000-00007F0B0000}"/>
    <cellStyle name="Normal 7 4 3 2 2 11" xfId="9305" xr:uid="{00000000-0005-0000-0000-00007F0B0000}"/>
    <cellStyle name="Normal 7 4 3 2 2 2" xfId="2830" xr:uid="{00000000-0005-0000-0000-00006F080000}"/>
    <cellStyle name="Normal 7 4 3 2 2 2 2" xfId="3446" xr:uid="{00000000-0005-0000-0000-000070080000}"/>
    <cellStyle name="Normal 7 4 3 2 2 2 2 2" xfId="8842" xr:uid="{00000000-0005-0000-0000-0000810B0000}"/>
    <cellStyle name="Normal 7 4 3 2 2 2 2 3" xfId="11239" xr:uid="{00000000-0005-0000-0000-0000810B0000}"/>
    <cellStyle name="Normal 7 4 3 2 2 2 3" xfId="4367" xr:uid="{00000000-0005-0000-0000-00006F080000}"/>
    <cellStyle name="Normal 7 4 3 2 2 2 3 2" xfId="8116" xr:uid="{00000000-0005-0000-0000-0000820B0000}"/>
    <cellStyle name="Normal 7 4 3 2 2 2 3 3" xfId="10513" xr:uid="{00000000-0005-0000-0000-0000820B0000}"/>
    <cellStyle name="Normal 7 4 3 2 2 2 4" xfId="6000" xr:uid="{00000000-0005-0000-0000-0000BC040000}"/>
    <cellStyle name="Normal 7 4 3 2 2 2 5" xfId="7533" xr:uid="{00000000-0005-0000-0000-0000800B0000}"/>
    <cellStyle name="Normal 7 4 3 2 2 2 6" xfId="9933" xr:uid="{00000000-0005-0000-0000-0000800B0000}"/>
    <cellStyle name="Normal 7 4 3 2 2 3" xfId="3447" xr:uid="{00000000-0005-0000-0000-000071080000}"/>
    <cellStyle name="Normal 7 4 3 2 2 3 2" xfId="4583" xr:uid="{00000000-0005-0000-0000-000071080000}"/>
    <cellStyle name="Normal 7 4 3 2 2 3 3" xfId="5753" xr:uid="{00000000-0005-0000-0000-0000BD040000}"/>
    <cellStyle name="Normal 7 4 3 2 2 3 4" xfId="8843" xr:uid="{00000000-0005-0000-0000-0000830B0000}"/>
    <cellStyle name="Normal 7 4 3 2 2 3 5" xfId="11240" xr:uid="{00000000-0005-0000-0000-0000830B0000}"/>
    <cellStyle name="Normal 7 4 3 2 2 4" xfId="3445" xr:uid="{00000000-0005-0000-0000-000072080000}"/>
    <cellStyle name="Normal 7 4 3 2 2 4 2" xfId="8841" xr:uid="{00000000-0005-0000-0000-0000840B0000}"/>
    <cellStyle name="Normal 7 4 3 2 2 4 3" xfId="11238" xr:uid="{00000000-0005-0000-0000-0000840B0000}"/>
    <cellStyle name="Normal 7 4 3 2 2 5" xfId="2647" xr:uid="{00000000-0005-0000-0000-000073080000}"/>
    <cellStyle name="Normal 7 4 3 2 2 5 2" xfId="7846" xr:uid="{00000000-0005-0000-0000-0000850B0000}"/>
    <cellStyle name="Normal 7 4 3 2 2 5 3" xfId="10243" xr:uid="{00000000-0005-0000-0000-0000850B0000}"/>
    <cellStyle name="Normal 7 4 3 2 2 6" xfId="2402" xr:uid="{00000000-0005-0000-0000-00006E080000}"/>
    <cellStyle name="Normal 7 4 3 2 2 7" xfId="4102" xr:uid="{00000000-0005-0000-0000-000015030000}"/>
    <cellStyle name="Normal 7 4 3 2 2 8" xfId="5524" xr:uid="{00000000-0005-0000-0000-0000BB040000}"/>
    <cellStyle name="Normal 7 4 3 2 2 9" xfId="5251" xr:uid="{00000000-0005-0000-0000-00003B040000}"/>
    <cellStyle name="Normal 7 4 3 2 3" xfId="1428" xr:uid="{00000000-0005-0000-0000-00006B070000}"/>
    <cellStyle name="Normal 7 4 3 2 3 2" xfId="3448" xr:uid="{00000000-0005-0000-0000-000075080000}"/>
    <cellStyle name="Normal 7 4 3 2 3 2 2" xfId="8844" xr:uid="{00000000-0005-0000-0000-0000870B0000}"/>
    <cellStyle name="Normal 7 4 3 2 3 2 3" xfId="11241" xr:uid="{00000000-0005-0000-0000-0000870B0000}"/>
    <cellStyle name="Normal 7 4 3 2 3 3" xfId="2829" xr:uid="{00000000-0005-0000-0000-000076080000}"/>
    <cellStyle name="Normal 7 4 3 2 3 3 2" xfId="8115" xr:uid="{00000000-0005-0000-0000-0000880B0000}"/>
    <cellStyle name="Normal 7 4 3 2 3 3 3" xfId="10512" xr:uid="{00000000-0005-0000-0000-0000880B0000}"/>
    <cellStyle name="Normal 7 4 3 2 3 4" xfId="4220" xr:uid="{00000000-0005-0000-0000-000074080000}"/>
    <cellStyle name="Normal 7 4 3 2 3 5" xfId="5999" xr:uid="{00000000-0005-0000-0000-0000BE040000}"/>
    <cellStyle name="Normal 7 4 3 2 3 6" xfId="7534" xr:uid="{00000000-0005-0000-0000-0000860B0000}"/>
    <cellStyle name="Normal 7 4 3 2 3 7" xfId="9934" xr:uid="{00000000-0005-0000-0000-0000860B0000}"/>
    <cellStyle name="Normal 7 4 3 2 4" xfId="3449" xr:uid="{00000000-0005-0000-0000-000077080000}"/>
    <cellStyle name="Normal 7 4 3 2 4 2" xfId="4584" xr:uid="{00000000-0005-0000-0000-000077080000}"/>
    <cellStyle name="Normal 7 4 3 2 4 2 2" xfId="8845" xr:uid="{00000000-0005-0000-0000-00008A0B0000}"/>
    <cellStyle name="Normal 7 4 3 2 4 2 3" xfId="11242" xr:uid="{00000000-0005-0000-0000-00008A0B0000}"/>
    <cellStyle name="Normal 7 4 3 2 4 3" xfId="5668" xr:uid="{00000000-0005-0000-0000-0000BF040000}"/>
    <cellStyle name="Normal 7 4 3 2 4 4" xfId="7532" xr:uid="{00000000-0005-0000-0000-0000890B0000}"/>
    <cellStyle name="Normal 7 4 3 2 4 5" xfId="9932" xr:uid="{00000000-0005-0000-0000-0000890B0000}"/>
    <cellStyle name="Normal 7 4 3 2 5" xfId="2993" xr:uid="{00000000-0005-0000-0000-000078080000}"/>
    <cellStyle name="Normal 7 4 3 2 5 2" xfId="8302" xr:uid="{00000000-0005-0000-0000-00008B0B0000}"/>
    <cellStyle name="Normal 7 4 3 2 5 3" xfId="10699" xr:uid="{00000000-0005-0000-0000-00008B0B0000}"/>
    <cellStyle name="Normal 7 4 3 2 6" xfId="2545" xr:uid="{00000000-0005-0000-0000-000079080000}"/>
    <cellStyle name="Normal 7 4 3 2 6 2" xfId="7743" xr:uid="{00000000-0005-0000-0000-00008C0B0000}"/>
    <cellStyle name="Normal 7 4 3 2 6 3" xfId="10140" xr:uid="{00000000-0005-0000-0000-00008C0B0000}"/>
    <cellStyle name="Normal 7 4 3 2 7" xfId="2239" xr:uid="{00000000-0005-0000-0000-00006D080000}"/>
    <cellStyle name="Normal 7 4 3 2 8" xfId="4070" xr:uid="{00000000-0005-0000-0000-000014030000}"/>
    <cellStyle name="Normal 7 4 3 2 9" xfId="5423" xr:uid="{00000000-0005-0000-0000-0000BA040000}"/>
    <cellStyle name="Normal 7 4 3 3" xfId="1429" xr:uid="{00000000-0005-0000-0000-00006C070000}"/>
    <cellStyle name="Normal 7 4 3 3 10" xfId="6722" xr:uid="{00000000-0005-0000-0000-00008D0B0000}"/>
    <cellStyle name="Normal 7 4 3 3 11" xfId="9143" xr:uid="{00000000-0005-0000-0000-00008D0B0000}"/>
    <cellStyle name="Normal 7 4 3 3 2" xfId="2831" xr:uid="{00000000-0005-0000-0000-00007B080000}"/>
    <cellStyle name="Normal 7 4 3 3 2 2" xfId="3451" xr:uid="{00000000-0005-0000-0000-00007C080000}"/>
    <cellStyle name="Normal 7 4 3 3 2 2 2" xfId="8847" xr:uid="{00000000-0005-0000-0000-00008F0B0000}"/>
    <cellStyle name="Normal 7 4 3 3 2 2 3" xfId="11244" xr:uid="{00000000-0005-0000-0000-00008F0B0000}"/>
    <cellStyle name="Normal 7 4 3 3 2 3" xfId="4368" xr:uid="{00000000-0005-0000-0000-00007B080000}"/>
    <cellStyle name="Normal 7 4 3 3 2 3 2" xfId="8117" xr:uid="{00000000-0005-0000-0000-0000900B0000}"/>
    <cellStyle name="Normal 7 4 3 3 2 3 3" xfId="10514" xr:uid="{00000000-0005-0000-0000-0000900B0000}"/>
    <cellStyle name="Normal 7 4 3 3 2 4" xfId="6001" xr:uid="{00000000-0005-0000-0000-0000C1040000}"/>
    <cellStyle name="Normal 7 4 3 3 2 5" xfId="5252" xr:uid="{00000000-0005-0000-0000-00003D040000}"/>
    <cellStyle name="Normal 7 4 3 3 2 6" xfId="7535" xr:uid="{00000000-0005-0000-0000-00008E0B0000}"/>
    <cellStyle name="Normal 7 4 3 3 2 7" xfId="9935" xr:uid="{00000000-0005-0000-0000-00008E0B0000}"/>
    <cellStyle name="Normal 7 4 3 3 3" xfId="3452" xr:uid="{00000000-0005-0000-0000-00007D080000}"/>
    <cellStyle name="Normal 7 4 3 3 3 2" xfId="4585" xr:uid="{00000000-0005-0000-0000-00007D080000}"/>
    <cellStyle name="Normal 7 4 3 3 3 2 2" xfId="11483" xr:uid="{00000000-0005-0000-0000-0000A40A0000}"/>
    <cellStyle name="Normal 7 4 3 3 3 3" xfId="5695" xr:uid="{00000000-0005-0000-0000-0000C2040000}"/>
    <cellStyle name="Normal 7 4 3 3 3 4" xfId="8848" xr:uid="{00000000-0005-0000-0000-0000910B0000}"/>
    <cellStyle name="Normal 7 4 3 3 3 5" xfId="11245" xr:uid="{00000000-0005-0000-0000-0000910B0000}"/>
    <cellStyle name="Normal 7 4 3 3 4" xfId="3450" xr:uid="{00000000-0005-0000-0000-00007E080000}"/>
    <cellStyle name="Normal 7 4 3 3 4 2" xfId="8846" xr:uid="{00000000-0005-0000-0000-0000920B0000}"/>
    <cellStyle name="Normal 7 4 3 3 4 3" xfId="11243" xr:uid="{00000000-0005-0000-0000-0000920B0000}"/>
    <cellStyle name="Normal 7 4 3 3 5" xfId="2588" xr:uid="{00000000-0005-0000-0000-00007F080000}"/>
    <cellStyle name="Normal 7 4 3 3 5 2" xfId="7786" xr:uid="{00000000-0005-0000-0000-0000930B0000}"/>
    <cellStyle name="Normal 7 4 3 3 5 3" xfId="10183" xr:uid="{00000000-0005-0000-0000-0000930B0000}"/>
    <cellStyle name="Normal 7 4 3 3 6" xfId="2401" xr:uid="{00000000-0005-0000-0000-00007A080000}"/>
    <cellStyle name="Normal 7 4 3 3 7" xfId="4101" xr:uid="{00000000-0005-0000-0000-000016030000}"/>
    <cellStyle name="Normal 7 4 3 3 8" xfId="5464" xr:uid="{00000000-0005-0000-0000-0000C0040000}"/>
    <cellStyle name="Normal 7 4 3 3 9" xfId="4977" xr:uid="{00000000-0005-0000-0000-00003C040000}"/>
    <cellStyle name="Normal 7 4 3 4" xfId="1430" xr:uid="{00000000-0005-0000-0000-00006D070000}"/>
    <cellStyle name="Normal 7 4 3 4 2" xfId="3453" xr:uid="{00000000-0005-0000-0000-000081080000}"/>
    <cellStyle name="Normal 7 4 3 4 2 2" xfId="6428" xr:uid="{00000000-0005-0000-0000-000081080000}"/>
    <cellStyle name="Normal 7 4 3 4 2 2 2" xfId="8849" xr:uid="{00000000-0005-0000-0000-0000960B0000}"/>
    <cellStyle name="Normal 7 4 3 4 2 2 3" xfId="11246" xr:uid="{00000000-0005-0000-0000-0000960B0000}"/>
    <cellStyle name="Normal 7 4 3 4 2 3" xfId="7536" xr:uid="{00000000-0005-0000-0000-0000950B0000}"/>
    <cellStyle name="Normal 7 4 3 4 2 4" xfId="9936" xr:uid="{00000000-0005-0000-0000-0000950B0000}"/>
    <cellStyle name="Normal 7 4 3 4 3" xfId="2828" xr:uid="{00000000-0005-0000-0000-000082080000}"/>
    <cellStyle name="Normal 7 4 3 4 3 2" xfId="6243" xr:uid="{00000000-0005-0000-0000-000082080000}"/>
    <cellStyle name="Normal 7 4 3 4 3 3" xfId="8114" xr:uid="{00000000-0005-0000-0000-0000970B0000}"/>
    <cellStyle name="Normal 7 4 3 4 3 4" xfId="10511" xr:uid="{00000000-0005-0000-0000-0000970B0000}"/>
    <cellStyle name="Normal 7 4 3 4 4" xfId="4219" xr:uid="{00000000-0005-0000-0000-000080080000}"/>
    <cellStyle name="Normal 7 4 3 4 4 2" xfId="11828" xr:uid="{00000000-0005-0000-0000-0000040C0000}"/>
    <cellStyle name="Normal 7 4 3 4 5" xfId="5998" xr:uid="{00000000-0005-0000-0000-0000C3040000}"/>
    <cellStyle name="Normal 7 4 3 4 6" xfId="5250" xr:uid="{00000000-0005-0000-0000-00003E040000}"/>
    <cellStyle name="Normal 7 4 3 4 7" xfId="6883" xr:uid="{00000000-0005-0000-0000-0000940B0000}"/>
    <cellStyle name="Normal 7 4 3 4 8" xfId="9304" xr:uid="{00000000-0005-0000-0000-0000940B0000}"/>
    <cellStyle name="Normal 7 4 3 5" xfId="1431" xr:uid="{00000000-0005-0000-0000-00006E070000}"/>
    <cellStyle name="Normal 7 4 3 5 2" xfId="4586" xr:uid="{00000000-0005-0000-0000-000083080000}"/>
    <cellStyle name="Normal 7 4 3 5 2 2" xfId="8850" xr:uid="{00000000-0005-0000-0000-0000990B0000}"/>
    <cellStyle name="Normal 7 4 3 5 2 3" xfId="11247" xr:uid="{00000000-0005-0000-0000-0000990B0000}"/>
    <cellStyle name="Normal 7 4 3 5 3" xfId="5609" xr:uid="{00000000-0005-0000-0000-0000C4040000}"/>
    <cellStyle name="Normal 7 4 3 5 4" xfId="7537" xr:uid="{00000000-0005-0000-0000-0000980B0000}"/>
    <cellStyle name="Normal 7 4 3 5 5" xfId="9937" xr:uid="{00000000-0005-0000-0000-0000980B0000}"/>
    <cellStyle name="Normal 7 4 3 6" xfId="2992" xr:uid="{00000000-0005-0000-0000-000084080000}"/>
    <cellStyle name="Normal 7 4 3 6 2" xfId="6342" xr:uid="{00000000-0005-0000-0000-000084080000}"/>
    <cellStyle name="Normal 7 4 3 6 2 2" xfId="8301" xr:uid="{00000000-0005-0000-0000-00009B0B0000}"/>
    <cellStyle name="Normal 7 4 3 6 2 3" xfId="10698" xr:uid="{00000000-0005-0000-0000-00009B0B0000}"/>
    <cellStyle name="Normal 7 4 3 6 3" xfId="7531" xr:uid="{00000000-0005-0000-0000-00009A0B0000}"/>
    <cellStyle name="Normal 7 4 3 6 4" xfId="9931" xr:uid="{00000000-0005-0000-0000-00009A0B0000}"/>
    <cellStyle name="Normal 7 4 3 7" xfId="2485" xr:uid="{00000000-0005-0000-0000-000085080000}"/>
    <cellStyle name="Normal 7 4 3 7 2" xfId="7683" xr:uid="{00000000-0005-0000-0000-00009C0B0000}"/>
    <cellStyle name="Normal 7 4 3 7 3" xfId="10080" xr:uid="{00000000-0005-0000-0000-00009C0B0000}"/>
    <cellStyle name="Normal 7 4 3 8" xfId="2179" xr:uid="{00000000-0005-0000-0000-00006C080000}"/>
    <cellStyle name="Normal 7 4 3 9" xfId="4069" xr:uid="{00000000-0005-0000-0000-000013030000}"/>
    <cellStyle name="Normal 7 4 4" xfId="1432" xr:uid="{00000000-0005-0000-0000-00006F070000}"/>
    <cellStyle name="Normal 7 4 4 10" xfId="5370" xr:uid="{00000000-0005-0000-0000-0000C5040000}"/>
    <cellStyle name="Normal 7 4 4 11" xfId="4826" xr:uid="{00000000-0005-0000-0000-00003F040000}"/>
    <cellStyle name="Normal 7 4 4 12" xfId="6572" xr:uid="{00000000-0005-0000-0000-00009D0B0000}"/>
    <cellStyle name="Normal 7 4 4 13" xfId="8993" xr:uid="{00000000-0005-0000-0000-00009D0B0000}"/>
    <cellStyle name="Normal 7 4 4 2" xfId="1433" xr:uid="{00000000-0005-0000-0000-000070070000}"/>
    <cellStyle name="Normal 7 4 4 2 10" xfId="4979" xr:uid="{00000000-0005-0000-0000-000040040000}"/>
    <cellStyle name="Normal 7 4 4 2 11" xfId="6724" xr:uid="{00000000-0005-0000-0000-00009E0B0000}"/>
    <cellStyle name="Normal 7 4 4 2 12" xfId="9145" xr:uid="{00000000-0005-0000-0000-00009E0B0000}"/>
    <cellStyle name="Normal 7 4 4 2 2" xfId="1434" xr:uid="{00000000-0005-0000-0000-000071070000}"/>
    <cellStyle name="Normal 7 4 4 2 2 2" xfId="2834" xr:uid="{00000000-0005-0000-0000-000089080000}"/>
    <cellStyle name="Normal 7 4 4 2 2 2 2" xfId="3456" xr:uid="{00000000-0005-0000-0000-00008A080000}"/>
    <cellStyle name="Normal 7 4 4 2 2 2 2 2" xfId="8853" xr:uid="{00000000-0005-0000-0000-0000A10B0000}"/>
    <cellStyle name="Normal 7 4 4 2 2 2 2 3" xfId="11250" xr:uid="{00000000-0005-0000-0000-0000A10B0000}"/>
    <cellStyle name="Normal 7 4 4 2 2 2 3" xfId="4370" xr:uid="{00000000-0005-0000-0000-000089080000}"/>
    <cellStyle name="Normal 7 4 4 2 2 2 3 2" xfId="11419" xr:uid="{00000000-0005-0000-0000-0000B30A0000}"/>
    <cellStyle name="Normal 7 4 4 2 2 2 4" xfId="8120" xr:uid="{00000000-0005-0000-0000-0000A00B0000}"/>
    <cellStyle name="Normal 7 4 4 2 2 2 5" xfId="10517" xr:uid="{00000000-0005-0000-0000-0000A00B0000}"/>
    <cellStyle name="Normal 7 4 4 2 2 3" xfId="3457" xr:uid="{00000000-0005-0000-0000-00008B080000}"/>
    <cellStyle name="Normal 7 4 4 2 2 3 2" xfId="4587" xr:uid="{00000000-0005-0000-0000-00008B080000}"/>
    <cellStyle name="Normal 7 4 4 2 2 3 3" xfId="8854" xr:uid="{00000000-0005-0000-0000-0000A20B0000}"/>
    <cellStyle name="Normal 7 4 4 2 2 3 4" xfId="11251" xr:uid="{00000000-0005-0000-0000-0000A20B0000}"/>
    <cellStyle name="Normal 7 4 4 2 2 4" xfId="3455" xr:uid="{00000000-0005-0000-0000-00008C080000}"/>
    <cellStyle name="Normal 7 4 4 2 2 4 2" xfId="8852" xr:uid="{00000000-0005-0000-0000-0000A30B0000}"/>
    <cellStyle name="Normal 7 4 4 2 2 4 3" xfId="11249" xr:uid="{00000000-0005-0000-0000-0000A30B0000}"/>
    <cellStyle name="Normal 7 4 4 2 2 5" xfId="4244" xr:uid="{00000000-0005-0000-0000-000088080000}"/>
    <cellStyle name="Normal 7 4 4 2 2 5 2" xfId="7853" xr:uid="{00000000-0005-0000-0000-0000A40B0000}"/>
    <cellStyle name="Normal 7 4 4 2 2 5 3" xfId="10250" xr:uid="{00000000-0005-0000-0000-0000A40B0000}"/>
    <cellStyle name="Normal 7 4 4 2 2 6" xfId="5531" xr:uid="{00000000-0005-0000-0000-0000C7040000}"/>
    <cellStyle name="Normal 7 4 4 2 2 7" xfId="5254" xr:uid="{00000000-0005-0000-0000-000041040000}"/>
    <cellStyle name="Normal 7 4 4 2 2 8" xfId="7540" xr:uid="{00000000-0005-0000-0000-00009F0B0000}"/>
    <cellStyle name="Normal 7 4 4 2 2 9" xfId="9940" xr:uid="{00000000-0005-0000-0000-00009F0B0000}"/>
    <cellStyle name="Normal 7 4 4 2 3" xfId="2833" xr:uid="{00000000-0005-0000-0000-00008D080000}"/>
    <cellStyle name="Normal 7 4 4 2 3 2" xfId="3458" xr:uid="{00000000-0005-0000-0000-00008E080000}"/>
    <cellStyle name="Normal 7 4 4 2 3 2 2" xfId="8855" xr:uid="{00000000-0005-0000-0000-0000A60B0000}"/>
    <cellStyle name="Normal 7 4 4 2 3 2 3" xfId="11252" xr:uid="{00000000-0005-0000-0000-0000A60B0000}"/>
    <cellStyle name="Normal 7 4 4 2 3 3" xfId="4369" xr:uid="{00000000-0005-0000-0000-00008D080000}"/>
    <cellStyle name="Normal 7 4 4 2 3 3 2" xfId="8119" xr:uid="{00000000-0005-0000-0000-0000A70B0000}"/>
    <cellStyle name="Normal 7 4 4 2 3 3 3" xfId="10516" xr:uid="{00000000-0005-0000-0000-0000A70B0000}"/>
    <cellStyle name="Normal 7 4 4 2 3 4" xfId="6003" xr:uid="{00000000-0005-0000-0000-0000CA040000}"/>
    <cellStyle name="Normal 7 4 4 2 3 5" xfId="7539" xr:uid="{00000000-0005-0000-0000-0000A50B0000}"/>
    <cellStyle name="Normal 7 4 4 2 3 6" xfId="9939" xr:uid="{00000000-0005-0000-0000-0000A50B0000}"/>
    <cellStyle name="Normal 7 4 4 2 4" xfId="3459" xr:uid="{00000000-0005-0000-0000-00008F080000}"/>
    <cellStyle name="Normal 7 4 4 2 4 2" xfId="4588" xr:uid="{00000000-0005-0000-0000-00008F080000}"/>
    <cellStyle name="Normal 7 4 4 2 4 3" xfId="8856" xr:uid="{00000000-0005-0000-0000-0000A80B0000}"/>
    <cellStyle name="Normal 7 4 4 2 4 4" xfId="11253" xr:uid="{00000000-0005-0000-0000-0000A80B0000}"/>
    <cellStyle name="Normal 7 4 4 2 5" xfId="3454" xr:uid="{00000000-0005-0000-0000-000090080000}"/>
    <cellStyle name="Normal 7 4 4 2 5 2" xfId="8851" xr:uid="{00000000-0005-0000-0000-0000A90B0000}"/>
    <cellStyle name="Normal 7 4 4 2 5 3" xfId="11248" xr:uid="{00000000-0005-0000-0000-0000A90B0000}"/>
    <cellStyle name="Normal 7 4 4 2 6" xfId="2552" xr:uid="{00000000-0005-0000-0000-000091080000}"/>
    <cellStyle name="Normal 7 4 4 2 6 2" xfId="7750" xr:uid="{00000000-0005-0000-0000-0000AA0B0000}"/>
    <cellStyle name="Normal 7 4 4 2 6 3" xfId="10147" xr:uid="{00000000-0005-0000-0000-0000AA0B0000}"/>
    <cellStyle name="Normal 7 4 4 2 7" xfId="2246" xr:uid="{00000000-0005-0000-0000-000087080000}"/>
    <cellStyle name="Normal 7 4 4 2 8" xfId="3799" xr:uid="{00000000-0005-0000-0000-000018030000}"/>
    <cellStyle name="Normal 7 4 4 2 9" xfId="5430" xr:uid="{00000000-0005-0000-0000-0000C6040000}"/>
    <cellStyle name="Normal 7 4 4 3" xfId="1435" xr:uid="{00000000-0005-0000-0000-000072070000}"/>
    <cellStyle name="Normal 7 4 4 3 10" xfId="6885" xr:uid="{00000000-0005-0000-0000-0000AB0B0000}"/>
    <cellStyle name="Normal 7 4 4 3 11" xfId="9306" xr:uid="{00000000-0005-0000-0000-0000AB0B0000}"/>
    <cellStyle name="Normal 7 4 4 3 2" xfId="2835" xr:uid="{00000000-0005-0000-0000-000093080000}"/>
    <cellStyle name="Normal 7 4 4 3 2 2" xfId="3461" xr:uid="{00000000-0005-0000-0000-000094080000}"/>
    <cellStyle name="Normal 7 4 4 3 2 2 2" xfId="8858" xr:uid="{00000000-0005-0000-0000-0000AD0B0000}"/>
    <cellStyle name="Normal 7 4 4 3 2 2 3" xfId="11255" xr:uid="{00000000-0005-0000-0000-0000AD0B0000}"/>
    <cellStyle name="Normal 7 4 4 3 2 3" xfId="4371" xr:uid="{00000000-0005-0000-0000-000093080000}"/>
    <cellStyle name="Normal 7 4 4 3 2 3 2" xfId="8121" xr:uid="{00000000-0005-0000-0000-0000AE0B0000}"/>
    <cellStyle name="Normal 7 4 4 3 2 3 3" xfId="10518" xr:uid="{00000000-0005-0000-0000-0000AE0B0000}"/>
    <cellStyle name="Normal 7 4 4 3 2 4" xfId="6004" xr:uid="{00000000-0005-0000-0000-0000CD040000}"/>
    <cellStyle name="Normal 7 4 4 3 2 5" xfId="7541" xr:uid="{00000000-0005-0000-0000-0000AC0B0000}"/>
    <cellStyle name="Normal 7 4 4 3 2 6" xfId="9941" xr:uid="{00000000-0005-0000-0000-0000AC0B0000}"/>
    <cellStyle name="Normal 7 4 4 3 3" xfId="3462" xr:uid="{00000000-0005-0000-0000-000095080000}"/>
    <cellStyle name="Normal 7 4 4 3 3 2" xfId="4589" xr:uid="{00000000-0005-0000-0000-000095080000}"/>
    <cellStyle name="Normal 7 4 4 3 3 2 2" xfId="11932" xr:uid="{00000000-0005-0000-0000-00001E0C0000}"/>
    <cellStyle name="Normal 7 4 4 3 3 3" xfId="5702" xr:uid="{00000000-0005-0000-0000-0000CE040000}"/>
    <cellStyle name="Normal 7 4 4 3 3 4" xfId="8859" xr:uid="{00000000-0005-0000-0000-0000AF0B0000}"/>
    <cellStyle name="Normal 7 4 4 3 3 5" xfId="11256" xr:uid="{00000000-0005-0000-0000-0000AF0B0000}"/>
    <cellStyle name="Normal 7 4 4 3 4" xfId="3460" xr:uid="{00000000-0005-0000-0000-000096080000}"/>
    <cellStyle name="Normal 7 4 4 3 4 2" xfId="8857" xr:uid="{00000000-0005-0000-0000-0000B00B0000}"/>
    <cellStyle name="Normal 7 4 4 3 4 3" xfId="11254" xr:uid="{00000000-0005-0000-0000-0000B00B0000}"/>
    <cellStyle name="Normal 7 4 4 3 5" xfId="2595" xr:uid="{00000000-0005-0000-0000-000097080000}"/>
    <cellStyle name="Normal 7 4 4 3 5 2" xfId="7793" xr:uid="{00000000-0005-0000-0000-0000B10B0000}"/>
    <cellStyle name="Normal 7 4 4 3 5 3" xfId="10190" xr:uid="{00000000-0005-0000-0000-0000B10B0000}"/>
    <cellStyle name="Normal 7 4 4 3 6" xfId="2403" xr:uid="{00000000-0005-0000-0000-000092080000}"/>
    <cellStyle name="Normal 7 4 4 3 7" xfId="4103" xr:uid="{00000000-0005-0000-0000-000019030000}"/>
    <cellStyle name="Normal 7 4 4 3 8" xfId="5471" xr:uid="{00000000-0005-0000-0000-0000CC040000}"/>
    <cellStyle name="Normal 7 4 4 3 9" xfId="5253" xr:uid="{00000000-0005-0000-0000-000042040000}"/>
    <cellStyle name="Normal 7 4 4 4" xfId="1436" xr:uid="{00000000-0005-0000-0000-000073070000}"/>
    <cellStyle name="Normal 7 4 4 4 2" xfId="3463" xr:uid="{00000000-0005-0000-0000-000099080000}"/>
    <cellStyle name="Normal 7 4 4 4 2 2" xfId="8860" xr:uid="{00000000-0005-0000-0000-0000B30B0000}"/>
    <cellStyle name="Normal 7 4 4 4 2 3" xfId="11257" xr:uid="{00000000-0005-0000-0000-0000B30B0000}"/>
    <cellStyle name="Normal 7 4 4 4 3" xfId="2832" xr:uid="{00000000-0005-0000-0000-00009A080000}"/>
    <cellStyle name="Normal 7 4 4 4 3 2" xfId="8118" xr:uid="{00000000-0005-0000-0000-0000B40B0000}"/>
    <cellStyle name="Normal 7 4 4 4 3 3" xfId="10515" xr:uid="{00000000-0005-0000-0000-0000B40B0000}"/>
    <cellStyle name="Normal 7 4 4 4 4" xfId="4221" xr:uid="{00000000-0005-0000-0000-000098080000}"/>
    <cellStyle name="Normal 7 4 4 4 5" xfId="6002" xr:uid="{00000000-0005-0000-0000-0000CF040000}"/>
    <cellStyle name="Normal 7 4 4 4 6" xfId="7542" xr:uid="{00000000-0005-0000-0000-0000B20B0000}"/>
    <cellStyle name="Normal 7 4 4 4 7" xfId="9942" xr:uid="{00000000-0005-0000-0000-0000B20B0000}"/>
    <cellStyle name="Normal 7 4 4 5" xfId="3464" xr:uid="{00000000-0005-0000-0000-00009B080000}"/>
    <cellStyle name="Normal 7 4 4 5 2" xfId="4590" xr:uid="{00000000-0005-0000-0000-00009B080000}"/>
    <cellStyle name="Normal 7 4 4 5 2 2" xfId="8861" xr:uid="{00000000-0005-0000-0000-0000B60B0000}"/>
    <cellStyle name="Normal 7 4 4 5 2 3" xfId="11258" xr:uid="{00000000-0005-0000-0000-0000B60B0000}"/>
    <cellStyle name="Normal 7 4 4 5 3" xfId="5616" xr:uid="{00000000-0005-0000-0000-0000D0040000}"/>
    <cellStyle name="Normal 7 4 4 5 4" xfId="7538" xr:uid="{00000000-0005-0000-0000-0000B50B0000}"/>
    <cellStyle name="Normal 7 4 4 5 5" xfId="9938" xr:uid="{00000000-0005-0000-0000-0000B50B0000}"/>
    <cellStyle name="Normal 7 4 4 6" xfId="2994" xr:uid="{00000000-0005-0000-0000-00009C080000}"/>
    <cellStyle name="Normal 7 4 4 6 2" xfId="8303" xr:uid="{00000000-0005-0000-0000-0000B70B0000}"/>
    <cellStyle name="Normal 7 4 4 6 3" xfId="10700" xr:uid="{00000000-0005-0000-0000-0000B70B0000}"/>
    <cellStyle name="Normal 7 4 4 7" xfId="2492" xr:uid="{00000000-0005-0000-0000-00009D080000}"/>
    <cellStyle name="Normal 7 4 4 7 2" xfId="7690" xr:uid="{00000000-0005-0000-0000-0000B80B0000}"/>
    <cellStyle name="Normal 7 4 4 7 3" xfId="10087" xr:uid="{00000000-0005-0000-0000-0000B80B0000}"/>
    <cellStyle name="Normal 7 4 4 8" xfId="2186" xr:uid="{00000000-0005-0000-0000-000086080000}"/>
    <cellStyle name="Normal 7 4 4 9" xfId="4071" xr:uid="{00000000-0005-0000-0000-000017030000}"/>
    <cellStyle name="Normal 7 4 5" xfId="1437" xr:uid="{00000000-0005-0000-0000-000074070000}"/>
    <cellStyle name="Normal 7 4 5 10" xfId="5344" xr:uid="{00000000-0005-0000-0000-0000D1040000}"/>
    <cellStyle name="Normal 7 4 5 11" xfId="4800" xr:uid="{00000000-0005-0000-0000-000043040000}"/>
    <cellStyle name="Normal 7 4 5 12" xfId="6546" xr:uid="{00000000-0005-0000-0000-0000B90B0000}"/>
    <cellStyle name="Normal 7 4 5 13" xfId="8967" xr:uid="{00000000-0005-0000-0000-0000B90B0000}"/>
    <cellStyle name="Normal 7 4 5 2" xfId="1438" xr:uid="{00000000-0005-0000-0000-000075070000}"/>
    <cellStyle name="Normal 7 4 5 2 10" xfId="6725" xr:uid="{00000000-0005-0000-0000-0000BA0B0000}"/>
    <cellStyle name="Normal 7 4 5 2 11" xfId="9146" xr:uid="{00000000-0005-0000-0000-0000BA0B0000}"/>
    <cellStyle name="Normal 7 4 5 2 2" xfId="1439" xr:uid="{00000000-0005-0000-0000-000076070000}"/>
    <cellStyle name="Normal 7 4 5 2 2 2" xfId="3466" xr:uid="{00000000-0005-0000-0000-0000A1080000}"/>
    <cellStyle name="Normal 7 4 5 2 2 2 2" xfId="8863" xr:uid="{00000000-0005-0000-0000-0000BC0B0000}"/>
    <cellStyle name="Normal 7 4 5 2 2 2 3" xfId="11260" xr:uid="{00000000-0005-0000-0000-0000BC0B0000}"/>
    <cellStyle name="Normal 7 4 5 2 2 3" xfId="4373" xr:uid="{00000000-0005-0000-0000-0000A0080000}"/>
    <cellStyle name="Normal 7 4 5 2 2 3 2" xfId="8123" xr:uid="{00000000-0005-0000-0000-0000BD0B0000}"/>
    <cellStyle name="Normal 7 4 5 2 2 3 3" xfId="10520" xr:uid="{00000000-0005-0000-0000-0000BD0B0000}"/>
    <cellStyle name="Normal 7 4 5 2 2 4" xfId="6006" xr:uid="{00000000-0005-0000-0000-0000D3040000}"/>
    <cellStyle name="Normal 7 4 5 2 2 5" xfId="5256" xr:uid="{00000000-0005-0000-0000-000045040000}"/>
    <cellStyle name="Normal 7 4 5 2 2 6" xfId="7545" xr:uid="{00000000-0005-0000-0000-0000BB0B0000}"/>
    <cellStyle name="Normal 7 4 5 2 2 7" xfId="9945" xr:uid="{00000000-0005-0000-0000-0000BB0B0000}"/>
    <cellStyle name="Normal 7 4 5 2 3" xfId="3467" xr:uid="{00000000-0005-0000-0000-0000A2080000}"/>
    <cellStyle name="Normal 7 4 5 2 3 2" xfId="4591" xr:uid="{00000000-0005-0000-0000-0000A2080000}"/>
    <cellStyle name="Normal 7 4 5 2 3 2 2" xfId="8864" xr:uid="{00000000-0005-0000-0000-0000BF0B0000}"/>
    <cellStyle name="Normal 7 4 5 2 3 2 3" xfId="11261" xr:uid="{00000000-0005-0000-0000-0000BF0B0000}"/>
    <cellStyle name="Normal 7 4 5 2 3 3" xfId="5650" xr:uid="{00000000-0005-0000-0000-0000D4040000}"/>
    <cellStyle name="Normal 7 4 5 2 3 4" xfId="7544" xr:uid="{00000000-0005-0000-0000-0000BE0B0000}"/>
    <cellStyle name="Normal 7 4 5 2 3 5" xfId="9944" xr:uid="{00000000-0005-0000-0000-0000BE0B0000}"/>
    <cellStyle name="Normal 7 4 5 2 4" xfId="3465" xr:uid="{00000000-0005-0000-0000-0000A3080000}"/>
    <cellStyle name="Normal 7 4 5 2 4 2" xfId="8862" xr:uid="{00000000-0005-0000-0000-0000C00B0000}"/>
    <cellStyle name="Normal 7 4 5 2 4 3" xfId="11259" xr:uid="{00000000-0005-0000-0000-0000C00B0000}"/>
    <cellStyle name="Normal 7 4 5 2 5" xfId="2526" xr:uid="{00000000-0005-0000-0000-0000A4080000}"/>
    <cellStyle name="Normal 7 4 5 2 5 2" xfId="7724" xr:uid="{00000000-0005-0000-0000-0000C10B0000}"/>
    <cellStyle name="Normal 7 4 5 2 5 3" xfId="10121" xr:uid="{00000000-0005-0000-0000-0000C10B0000}"/>
    <cellStyle name="Normal 7 4 5 2 6" xfId="2404" xr:uid="{00000000-0005-0000-0000-00009F080000}"/>
    <cellStyle name="Normal 7 4 5 2 7" xfId="4104" xr:uid="{00000000-0005-0000-0000-00001B030000}"/>
    <cellStyle name="Normal 7 4 5 2 8" xfId="5404" xr:uid="{00000000-0005-0000-0000-0000D2040000}"/>
    <cellStyle name="Normal 7 4 5 2 9" xfId="4980" xr:uid="{00000000-0005-0000-0000-000044040000}"/>
    <cellStyle name="Normal 7 4 5 3" xfId="1440" xr:uid="{00000000-0005-0000-0000-000077070000}"/>
    <cellStyle name="Normal 7 4 5 3 10" xfId="9307" xr:uid="{00000000-0005-0000-0000-0000C20B0000}"/>
    <cellStyle name="Normal 7 4 5 3 2" xfId="2836" xr:uid="{00000000-0005-0000-0000-0000A6080000}"/>
    <cellStyle name="Normal 7 4 5 3 2 2" xfId="3469" xr:uid="{00000000-0005-0000-0000-0000A7080000}"/>
    <cellStyle name="Normal 7 4 5 3 2 2 2" xfId="8866" xr:uid="{00000000-0005-0000-0000-0000C40B0000}"/>
    <cellStyle name="Normal 7 4 5 3 2 2 3" xfId="11263" xr:uid="{00000000-0005-0000-0000-0000C40B0000}"/>
    <cellStyle name="Normal 7 4 5 3 2 3" xfId="4374" xr:uid="{00000000-0005-0000-0000-0000A6080000}"/>
    <cellStyle name="Normal 7 4 5 3 2 3 2" xfId="8124" xr:uid="{00000000-0005-0000-0000-0000C50B0000}"/>
    <cellStyle name="Normal 7 4 5 3 2 3 3" xfId="10521" xr:uid="{00000000-0005-0000-0000-0000C50B0000}"/>
    <cellStyle name="Normal 7 4 5 3 2 4" xfId="6007" xr:uid="{00000000-0005-0000-0000-0000D6040000}"/>
    <cellStyle name="Normal 7 4 5 3 2 5" xfId="7546" xr:uid="{00000000-0005-0000-0000-0000C30B0000}"/>
    <cellStyle name="Normal 7 4 5 3 2 6" xfId="9946" xr:uid="{00000000-0005-0000-0000-0000C30B0000}"/>
    <cellStyle name="Normal 7 4 5 3 3" xfId="3470" xr:uid="{00000000-0005-0000-0000-0000A8080000}"/>
    <cellStyle name="Normal 7 4 5 3 3 2" xfId="4592" xr:uid="{00000000-0005-0000-0000-0000A8080000}"/>
    <cellStyle name="Normal 7 4 5 3 3 2 2" xfId="11933" xr:uid="{00000000-0005-0000-0000-0000360C0000}"/>
    <cellStyle name="Normal 7 4 5 3 3 3" xfId="5735" xr:uid="{00000000-0005-0000-0000-0000D7040000}"/>
    <cellStyle name="Normal 7 4 5 3 3 4" xfId="8867" xr:uid="{00000000-0005-0000-0000-0000C60B0000}"/>
    <cellStyle name="Normal 7 4 5 3 3 5" xfId="11264" xr:uid="{00000000-0005-0000-0000-0000C60B0000}"/>
    <cellStyle name="Normal 7 4 5 3 4" xfId="3468" xr:uid="{00000000-0005-0000-0000-0000A9080000}"/>
    <cellStyle name="Normal 7 4 5 3 4 2" xfId="8865" xr:uid="{00000000-0005-0000-0000-0000C70B0000}"/>
    <cellStyle name="Normal 7 4 5 3 4 3" xfId="11262" xr:uid="{00000000-0005-0000-0000-0000C70B0000}"/>
    <cellStyle name="Normal 7 4 5 3 5" xfId="2629" xr:uid="{00000000-0005-0000-0000-0000AA080000}"/>
    <cellStyle name="Normal 7 4 5 3 5 2" xfId="7827" xr:uid="{00000000-0005-0000-0000-0000C80B0000}"/>
    <cellStyle name="Normal 7 4 5 3 5 3" xfId="10224" xr:uid="{00000000-0005-0000-0000-0000C80B0000}"/>
    <cellStyle name="Normal 7 4 5 3 6" xfId="4222" xr:uid="{00000000-0005-0000-0000-0000A5080000}"/>
    <cellStyle name="Normal 7 4 5 3 7" xfId="5505" xr:uid="{00000000-0005-0000-0000-0000D5040000}"/>
    <cellStyle name="Normal 7 4 5 3 8" xfId="5255" xr:uid="{00000000-0005-0000-0000-000046040000}"/>
    <cellStyle name="Normal 7 4 5 3 9" xfId="6886" xr:uid="{00000000-0005-0000-0000-0000C20B0000}"/>
    <cellStyle name="Normal 7 4 5 4" xfId="1441" xr:uid="{00000000-0005-0000-0000-000078070000}"/>
    <cellStyle name="Normal 7 4 5 4 2" xfId="3471" xr:uid="{00000000-0005-0000-0000-0000AC080000}"/>
    <cellStyle name="Normal 7 4 5 4 2 2" xfId="8868" xr:uid="{00000000-0005-0000-0000-0000CA0B0000}"/>
    <cellStyle name="Normal 7 4 5 4 2 3" xfId="11265" xr:uid="{00000000-0005-0000-0000-0000CA0B0000}"/>
    <cellStyle name="Normal 7 4 5 4 3" xfId="4372" xr:uid="{00000000-0005-0000-0000-0000AB080000}"/>
    <cellStyle name="Normal 7 4 5 4 3 2" xfId="8122" xr:uid="{00000000-0005-0000-0000-0000CB0B0000}"/>
    <cellStyle name="Normal 7 4 5 4 3 3" xfId="10519" xr:uid="{00000000-0005-0000-0000-0000CB0B0000}"/>
    <cellStyle name="Normal 7 4 5 4 4" xfId="6005" xr:uid="{00000000-0005-0000-0000-0000D8040000}"/>
    <cellStyle name="Normal 7 4 5 4 5" xfId="7547" xr:uid="{00000000-0005-0000-0000-0000C90B0000}"/>
    <cellStyle name="Normal 7 4 5 4 6" xfId="9947" xr:uid="{00000000-0005-0000-0000-0000C90B0000}"/>
    <cellStyle name="Normal 7 4 5 5" xfId="3472" xr:uid="{00000000-0005-0000-0000-0000AD080000}"/>
    <cellStyle name="Normal 7 4 5 5 2" xfId="4593" xr:uid="{00000000-0005-0000-0000-0000AD080000}"/>
    <cellStyle name="Normal 7 4 5 5 2 2" xfId="8869" xr:uid="{00000000-0005-0000-0000-0000CD0B0000}"/>
    <cellStyle name="Normal 7 4 5 5 2 3" xfId="11266" xr:uid="{00000000-0005-0000-0000-0000CD0B0000}"/>
    <cellStyle name="Normal 7 4 5 5 3" xfId="5590" xr:uid="{00000000-0005-0000-0000-0000D9040000}"/>
    <cellStyle name="Normal 7 4 5 5 4" xfId="7543" xr:uid="{00000000-0005-0000-0000-0000CC0B0000}"/>
    <cellStyle name="Normal 7 4 5 5 5" xfId="9943" xr:uid="{00000000-0005-0000-0000-0000CC0B0000}"/>
    <cellStyle name="Normal 7 4 5 6" xfId="2995" xr:uid="{00000000-0005-0000-0000-0000AE080000}"/>
    <cellStyle name="Normal 7 4 5 6 2" xfId="8304" xr:uid="{00000000-0005-0000-0000-0000CE0B0000}"/>
    <cellStyle name="Normal 7 4 5 6 3" xfId="10701" xr:uid="{00000000-0005-0000-0000-0000CE0B0000}"/>
    <cellStyle name="Normal 7 4 5 7" xfId="2466" xr:uid="{00000000-0005-0000-0000-0000AF080000}"/>
    <cellStyle name="Normal 7 4 5 7 2" xfId="7664" xr:uid="{00000000-0005-0000-0000-0000CF0B0000}"/>
    <cellStyle name="Normal 7 4 5 7 3" xfId="10061" xr:uid="{00000000-0005-0000-0000-0000CF0B0000}"/>
    <cellStyle name="Normal 7 4 5 8" xfId="2220" xr:uid="{00000000-0005-0000-0000-00009E080000}"/>
    <cellStyle name="Normal 7 4 5 9" xfId="4072" xr:uid="{00000000-0005-0000-0000-00001A030000}"/>
    <cellStyle name="Normal 7 4 6" xfId="1442" xr:uid="{00000000-0005-0000-0000-000079070000}"/>
    <cellStyle name="Normal 7 4 6 10" xfId="4783" xr:uid="{00000000-0005-0000-0000-000047040000}"/>
    <cellStyle name="Normal 7 4 6 11" xfId="6726" xr:uid="{00000000-0005-0000-0000-0000D00B0000}"/>
    <cellStyle name="Normal 7 4 6 12" xfId="9147" xr:uid="{00000000-0005-0000-0000-0000D00B0000}"/>
    <cellStyle name="Normal 7 4 6 2" xfId="1443" xr:uid="{00000000-0005-0000-0000-00007A070000}"/>
    <cellStyle name="Normal 7 4 6 2 10" xfId="6887" xr:uid="{00000000-0005-0000-0000-0000D10B0000}"/>
    <cellStyle name="Normal 7 4 6 2 11" xfId="9308" xr:uid="{00000000-0005-0000-0000-0000D10B0000}"/>
    <cellStyle name="Normal 7 4 6 2 2" xfId="1444" xr:uid="{00000000-0005-0000-0000-00007B070000}"/>
    <cellStyle name="Normal 7 4 6 2 2 2" xfId="3474" xr:uid="{00000000-0005-0000-0000-0000B3080000}"/>
    <cellStyle name="Normal 7 4 6 2 2 2 2" xfId="8871" xr:uid="{00000000-0005-0000-0000-0000D30B0000}"/>
    <cellStyle name="Normal 7 4 6 2 2 2 3" xfId="11268" xr:uid="{00000000-0005-0000-0000-0000D30B0000}"/>
    <cellStyle name="Normal 7 4 6 2 2 3" xfId="4375" xr:uid="{00000000-0005-0000-0000-0000B2080000}"/>
    <cellStyle name="Normal 7 4 6 2 2 3 2" xfId="8126" xr:uid="{00000000-0005-0000-0000-0000D40B0000}"/>
    <cellStyle name="Normal 7 4 6 2 2 3 3" xfId="10523" xr:uid="{00000000-0005-0000-0000-0000D40B0000}"/>
    <cellStyle name="Normal 7 4 6 2 2 4" xfId="6009" xr:uid="{00000000-0005-0000-0000-0000DC040000}"/>
    <cellStyle name="Normal 7 4 6 2 2 5" xfId="5258" xr:uid="{00000000-0005-0000-0000-000049040000}"/>
    <cellStyle name="Normal 7 4 6 2 2 6" xfId="7550" xr:uid="{00000000-0005-0000-0000-0000D20B0000}"/>
    <cellStyle name="Normal 7 4 6 2 2 7" xfId="9950" xr:uid="{00000000-0005-0000-0000-0000D20B0000}"/>
    <cellStyle name="Normal 7 4 6 2 3" xfId="3475" xr:uid="{00000000-0005-0000-0000-0000B4080000}"/>
    <cellStyle name="Normal 7 4 6 2 3 2" xfId="4594" xr:uid="{00000000-0005-0000-0000-0000B4080000}"/>
    <cellStyle name="Normal 7 4 6 2 3 2 2" xfId="8872" xr:uid="{00000000-0005-0000-0000-0000D60B0000}"/>
    <cellStyle name="Normal 7 4 6 2 3 2 3" xfId="11269" xr:uid="{00000000-0005-0000-0000-0000D60B0000}"/>
    <cellStyle name="Normal 7 4 6 2 3 3" xfId="5718" xr:uid="{00000000-0005-0000-0000-0000DD040000}"/>
    <cellStyle name="Normal 7 4 6 2 3 4" xfId="7549" xr:uid="{00000000-0005-0000-0000-0000D50B0000}"/>
    <cellStyle name="Normal 7 4 6 2 3 5" xfId="9949" xr:uid="{00000000-0005-0000-0000-0000D50B0000}"/>
    <cellStyle name="Normal 7 4 6 2 4" xfId="3473" xr:uid="{00000000-0005-0000-0000-0000B5080000}"/>
    <cellStyle name="Normal 7 4 6 2 4 2" xfId="8870" xr:uid="{00000000-0005-0000-0000-0000D70B0000}"/>
    <cellStyle name="Normal 7 4 6 2 4 3" xfId="11267" xr:uid="{00000000-0005-0000-0000-0000D70B0000}"/>
    <cellStyle name="Normal 7 4 6 2 5" xfId="2612" xr:uid="{00000000-0005-0000-0000-0000B6080000}"/>
    <cellStyle name="Normal 7 4 6 2 5 2" xfId="7810" xr:uid="{00000000-0005-0000-0000-0000D80B0000}"/>
    <cellStyle name="Normal 7 4 6 2 5 3" xfId="10207" xr:uid="{00000000-0005-0000-0000-0000D80B0000}"/>
    <cellStyle name="Normal 7 4 6 2 6" xfId="2405" xr:uid="{00000000-0005-0000-0000-0000B1080000}"/>
    <cellStyle name="Normal 7 4 6 2 7" xfId="4105" xr:uid="{00000000-0005-0000-0000-00001D030000}"/>
    <cellStyle name="Normal 7 4 6 2 8" xfId="5488" xr:uid="{00000000-0005-0000-0000-0000DB040000}"/>
    <cellStyle name="Normal 7 4 6 2 9" xfId="4981" xr:uid="{00000000-0005-0000-0000-000048040000}"/>
    <cellStyle name="Normal 7 4 6 3" xfId="1445" xr:uid="{00000000-0005-0000-0000-00007C070000}"/>
    <cellStyle name="Normal 7 4 6 3 2" xfId="3476" xr:uid="{00000000-0005-0000-0000-0000B8080000}"/>
    <cellStyle name="Normal 7 4 6 3 2 2" xfId="8873" xr:uid="{00000000-0005-0000-0000-0000DA0B0000}"/>
    <cellStyle name="Normal 7 4 6 3 2 2 2" xfId="11934" xr:uid="{00000000-0005-0000-0000-00004B0C0000}"/>
    <cellStyle name="Normal 7 4 6 3 2 3" xfId="11270" xr:uid="{00000000-0005-0000-0000-0000DA0B0000}"/>
    <cellStyle name="Normal 7 4 6 3 2 4" xfId="11720" xr:uid="{00000000-0005-0000-0000-00004A0C0000}"/>
    <cellStyle name="Normal 7 4 6 3 3" xfId="2837" xr:uid="{00000000-0005-0000-0000-0000B9080000}"/>
    <cellStyle name="Normal 7 4 6 3 3 2" xfId="8125" xr:uid="{00000000-0005-0000-0000-0000DB0B0000}"/>
    <cellStyle name="Normal 7 4 6 3 3 3" xfId="10522" xr:uid="{00000000-0005-0000-0000-0000DB0B0000}"/>
    <cellStyle name="Normal 7 4 6 3 4" xfId="4223" xr:uid="{00000000-0005-0000-0000-0000B7080000}"/>
    <cellStyle name="Normal 7 4 6 3 4 2" xfId="11829" xr:uid="{00000000-0005-0000-0000-00004D0C0000}"/>
    <cellStyle name="Normal 7 4 6 3 5" xfId="6008" xr:uid="{00000000-0005-0000-0000-0000DE040000}"/>
    <cellStyle name="Normal 7 4 6 3 6" xfId="5257" xr:uid="{00000000-0005-0000-0000-00004A040000}"/>
    <cellStyle name="Normal 7 4 6 3 7" xfId="7551" xr:uid="{00000000-0005-0000-0000-0000D90B0000}"/>
    <cellStyle name="Normal 7 4 6 3 8" xfId="9951" xr:uid="{00000000-0005-0000-0000-0000D90B0000}"/>
    <cellStyle name="Normal 7 4 6 4" xfId="1446" xr:uid="{00000000-0005-0000-0000-00007D070000}"/>
    <cellStyle name="Normal 7 4 6 4 2" xfId="4595" xr:uid="{00000000-0005-0000-0000-0000BA080000}"/>
    <cellStyle name="Normal 7 4 6 4 2 2" xfId="8874" xr:uid="{00000000-0005-0000-0000-0000DD0B0000}"/>
    <cellStyle name="Normal 7 4 6 4 2 3" xfId="11271" xr:uid="{00000000-0005-0000-0000-0000DD0B0000}"/>
    <cellStyle name="Normal 7 4 6 4 3" xfId="5573" xr:uid="{00000000-0005-0000-0000-0000DF040000}"/>
    <cellStyle name="Normal 7 4 6 4 4" xfId="7552" xr:uid="{00000000-0005-0000-0000-0000DC0B0000}"/>
    <cellStyle name="Normal 7 4 6 4 5" xfId="9952" xr:uid="{00000000-0005-0000-0000-0000DC0B0000}"/>
    <cellStyle name="Normal 7 4 6 5" xfId="2996" xr:uid="{00000000-0005-0000-0000-0000BB080000}"/>
    <cellStyle name="Normal 7 4 6 5 2" xfId="8305" xr:uid="{00000000-0005-0000-0000-0000DF0B0000}"/>
    <cellStyle name="Normal 7 4 6 5 2 2" xfId="10702" xr:uid="{00000000-0005-0000-0000-0000DF0B0000}"/>
    <cellStyle name="Normal 7 4 6 5 3" xfId="7548" xr:uid="{00000000-0005-0000-0000-0000DE0B0000}"/>
    <cellStyle name="Normal 7 4 6 5 4" xfId="9948" xr:uid="{00000000-0005-0000-0000-0000DE0B0000}"/>
    <cellStyle name="Normal 7 4 6 6" xfId="2449" xr:uid="{00000000-0005-0000-0000-0000BC080000}"/>
    <cellStyle name="Normal 7 4 6 6 2" xfId="7647" xr:uid="{00000000-0005-0000-0000-0000E00B0000}"/>
    <cellStyle name="Normal 7 4 6 6 3" xfId="10044" xr:uid="{00000000-0005-0000-0000-0000E00B0000}"/>
    <cellStyle name="Normal 7 4 6 7" xfId="2203" xr:uid="{00000000-0005-0000-0000-0000B0080000}"/>
    <cellStyle name="Normal 7 4 6 8" xfId="4073" xr:uid="{00000000-0005-0000-0000-00001C030000}"/>
    <cellStyle name="Normal 7 4 6 9" xfId="5327" xr:uid="{00000000-0005-0000-0000-0000DA040000}"/>
    <cellStyle name="Normal 7 4 7" xfId="1447" xr:uid="{00000000-0005-0000-0000-00007E070000}"/>
    <cellStyle name="Normal 7 4 7 10" xfId="4982" xr:uid="{00000000-0005-0000-0000-00004B040000}"/>
    <cellStyle name="Normal 7 4 7 11" xfId="6727" xr:uid="{00000000-0005-0000-0000-0000E10B0000}"/>
    <cellStyle name="Normal 7 4 7 12" xfId="9148" xr:uid="{00000000-0005-0000-0000-0000E10B0000}"/>
    <cellStyle name="Normal 7 4 7 2" xfId="1448" xr:uid="{00000000-0005-0000-0000-00007F070000}"/>
    <cellStyle name="Normal 7 4 7 2 10" xfId="6888" xr:uid="{00000000-0005-0000-0000-0000E20B0000}"/>
    <cellStyle name="Normal 7 4 7 2 11" xfId="9309" xr:uid="{00000000-0005-0000-0000-0000E20B0000}"/>
    <cellStyle name="Normal 7 4 7 2 2" xfId="1449" xr:uid="{00000000-0005-0000-0000-000080070000}"/>
    <cellStyle name="Normal 7 4 7 2 2 2" xfId="3478" xr:uid="{00000000-0005-0000-0000-0000C0080000}"/>
    <cellStyle name="Normal 7 4 7 2 2 2 2" xfId="8876" xr:uid="{00000000-0005-0000-0000-0000E40B0000}"/>
    <cellStyle name="Normal 7 4 7 2 2 2 3" xfId="11273" xr:uid="{00000000-0005-0000-0000-0000E40B0000}"/>
    <cellStyle name="Normal 7 4 7 2 2 3" xfId="4376" xr:uid="{00000000-0005-0000-0000-0000BF080000}"/>
    <cellStyle name="Normal 7 4 7 2 2 3 2" xfId="8128" xr:uid="{00000000-0005-0000-0000-0000E50B0000}"/>
    <cellStyle name="Normal 7 4 7 2 2 3 3" xfId="10525" xr:uid="{00000000-0005-0000-0000-0000E50B0000}"/>
    <cellStyle name="Normal 7 4 7 2 2 4" xfId="6011" xr:uid="{00000000-0005-0000-0000-0000E2040000}"/>
    <cellStyle name="Normal 7 4 7 2 2 5" xfId="7555" xr:uid="{00000000-0005-0000-0000-0000E30B0000}"/>
    <cellStyle name="Normal 7 4 7 2 2 6" xfId="9955" xr:uid="{00000000-0005-0000-0000-0000E30B0000}"/>
    <cellStyle name="Normal 7 4 7 2 3" xfId="3479" xr:uid="{00000000-0005-0000-0000-0000C1080000}"/>
    <cellStyle name="Normal 7 4 7 2 3 2" xfId="4596" xr:uid="{00000000-0005-0000-0000-0000C1080000}"/>
    <cellStyle name="Normal 7 4 7 2 3 2 2" xfId="8877" xr:uid="{00000000-0005-0000-0000-0000E70B0000}"/>
    <cellStyle name="Normal 7 4 7 2 3 2 3" xfId="11274" xr:uid="{00000000-0005-0000-0000-0000E70B0000}"/>
    <cellStyle name="Normal 7 4 7 2 3 3" xfId="5764" xr:uid="{00000000-0005-0000-0000-0000E3040000}"/>
    <cellStyle name="Normal 7 4 7 2 3 4" xfId="7554" xr:uid="{00000000-0005-0000-0000-0000E60B0000}"/>
    <cellStyle name="Normal 7 4 7 2 3 5" xfId="9954" xr:uid="{00000000-0005-0000-0000-0000E60B0000}"/>
    <cellStyle name="Normal 7 4 7 2 4" xfId="3477" xr:uid="{00000000-0005-0000-0000-0000C2080000}"/>
    <cellStyle name="Normal 7 4 7 2 4 2" xfId="8875" xr:uid="{00000000-0005-0000-0000-0000E80B0000}"/>
    <cellStyle name="Normal 7 4 7 2 4 3" xfId="11272" xr:uid="{00000000-0005-0000-0000-0000E80B0000}"/>
    <cellStyle name="Normal 7 4 7 2 5" xfId="2659" xr:uid="{00000000-0005-0000-0000-0000C3080000}"/>
    <cellStyle name="Normal 7 4 7 2 5 2" xfId="7871" xr:uid="{00000000-0005-0000-0000-0000E90B0000}"/>
    <cellStyle name="Normal 7 4 7 2 5 3" xfId="10268" xr:uid="{00000000-0005-0000-0000-0000E90B0000}"/>
    <cellStyle name="Normal 7 4 7 2 6" xfId="2406" xr:uid="{00000000-0005-0000-0000-0000BE080000}"/>
    <cellStyle name="Normal 7 4 7 2 7" xfId="4106" xr:uid="{00000000-0005-0000-0000-00001F030000}"/>
    <cellStyle name="Normal 7 4 7 2 8" xfId="5549" xr:uid="{00000000-0005-0000-0000-0000E1040000}"/>
    <cellStyle name="Normal 7 4 7 2 9" xfId="5259" xr:uid="{00000000-0005-0000-0000-00004C040000}"/>
    <cellStyle name="Normal 7 4 7 3" xfId="1450" xr:uid="{00000000-0005-0000-0000-000081070000}"/>
    <cellStyle name="Normal 7 4 7 3 2" xfId="3480" xr:uid="{00000000-0005-0000-0000-0000C5080000}"/>
    <cellStyle name="Normal 7 4 7 3 2 2" xfId="8878" xr:uid="{00000000-0005-0000-0000-0000EB0B0000}"/>
    <cellStyle name="Normal 7 4 7 3 2 2 2" xfId="11935" xr:uid="{00000000-0005-0000-0000-00005E0C0000}"/>
    <cellStyle name="Normal 7 4 7 3 2 3" xfId="11275" xr:uid="{00000000-0005-0000-0000-0000EB0B0000}"/>
    <cellStyle name="Normal 7 4 7 3 2 4" xfId="11721" xr:uid="{00000000-0005-0000-0000-00005D0C0000}"/>
    <cellStyle name="Normal 7 4 7 3 3" xfId="2838" xr:uid="{00000000-0005-0000-0000-0000C6080000}"/>
    <cellStyle name="Normal 7 4 7 3 3 2" xfId="8127" xr:uid="{00000000-0005-0000-0000-0000EC0B0000}"/>
    <cellStyle name="Normal 7 4 7 3 3 3" xfId="10524" xr:uid="{00000000-0005-0000-0000-0000EC0B0000}"/>
    <cellStyle name="Normal 7 4 7 3 4" xfId="4224" xr:uid="{00000000-0005-0000-0000-0000C4080000}"/>
    <cellStyle name="Normal 7 4 7 3 4 2" xfId="11830" xr:uid="{00000000-0005-0000-0000-0000600C0000}"/>
    <cellStyle name="Normal 7 4 7 3 5" xfId="6010" xr:uid="{00000000-0005-0000-0000-0000E4040000}"/>
    <cellStyle name="Normal 7 4 7 3 6" xfId="7556" xr:uid="{00000000-0005-0000-0000-0000EA0B0000}"/>
    <cellStyle name="Normal 7 4 7 3 7" xfId="9956" xr:uid="{00000000-0005-0000-0000-0000EA0B0000}"/>
    <cellStyle name="Normal 7 4 7 4" xfId="1451" xr:uid="{00000000-0005-0000-0000-000082070000}"/>
    <cellStyle name="Normal 7 4 7 4 2" xfId="4597" xr:uid="{00000000-0005-0000-0000-0000C7080000}"/>
    <cellStyle name="Normal 7 4 7 4 2 2" xfId="8879" xr:uid="{00000000-0005-0000-0000-0000EE0B0000}"/>
    <cellStyle name="Normal 7 4 7 4 2 3" xfId="11276" xr:uid="{00000000-0005-0000-0000-0000EE0B0000}"/>
    <cellStyle name="Normal 7 4 7 4 3" xfId="5633" xr:uid="{00000000-0005-0000-0000-0000E5040000}"/>
    <cellStyle name="Normal 7 4 7 4 4" xfId="7557" xr:uid="{00000000-0005-0000-0000-0000ED0B0000}"/>
    <cellStyle name="Normal 7 4 7 4 5" xfId="9957" xr:uid="{00000000-0005-0000-0000-0000ED0B0000}"/>
    <cellStyle name="Normal 7 4 7 5" xfId="2997" xr:uid="{00000000-0005-0000-0000-0000C8080000}"/>
    <cellStyle name="Normal 7 4 7 5 2" xfId="8306" xr:uid="{00000000-0005-0000-0000-0000F00B0000}"/>
    <cellStyle name="Normal 7 4 7 5 2 2" xfId="10703" xr:uid="{00000000-0005-0000-0000-0000F00B0000}"/>
    <cellStyle name="Normal 7 4 7 5 3" xfId="7553" xr:uid="{00000000-0005-0000-0000-0000EF0B0000}"/>
    <cellStyle name="Normal 7 4 7 5 4" xfId="9953" xr:uid="{00000000-0005-0000-0000-0000EF0B0000}"/>
    <cellStyle name="Normal 7 4 7 6" xfId="2509" xr:uid="{00000000-0005-0000-0000-0000C9080000}"/>
    <cellStyle name="Normal 7 4 7 6 2" xfId="7707" xr:uid="{00000000-0005-0000-0000-0000F10B0000}"/>
    <cellStyle name="Normal 7 4 7 6 3" xfId="10104" xr:uid="{00000000-0005-0000-0000-0000F10B0000}"/>
    <cellStyle name="Normal 7 4 7 7" xfId="2264" xr:uid="{00000000-0005-0000-0000-0000BD080000}"/>
    <cellStyle name="Normal 7 4 7 8" xfId="4074" xr:uid="{00000000-0005-0000-0000-00001E030000}"/>
    <cellStyle name="Normal 7 4 7 9" xfId="5387" xr:uid="{00000000-0005-0000-0000-0000E0040000}"/>
    <cellStyle name="Normal 7 4 8" xfId="1452" xr:uid="{00000000-0005-0000-0000-000083070000}"/>
    <cellStyle name="Normal 7 4 8 10" xfId="6728" xr:uid="{00000000-0005-0000-0000-0000F20B0000}"/>
    <cellStyle name="Normal 7 4 8 11" xfId="9149" xr:uid="{00000000-0005-0000-0000-0000F20B0000}"/>
    <cellStyle name="Normal 7 4 8 2" xfId="1453" xr:uid="{00000000-0005-0000-0000-000084070000}"/>
    <cellStyle name="Normal 7 4 8 2 2" xfId="1454" xr:uid="{00000000-0005-0000-0000-000085070000}"/>
    <cellStyle name="Normal 7 4 8 2 2 2" xfId="6429" xr:uid="{00000000-0005-0000-0000-0000CC080000}"/>
    <cellStyle name="Normal 7 4 8 2 2 2 2" xfId="8880" xr:uid="{00000000-0005-0000-0000-0000F50B0000}"/>
    <cellStyle name="Normal 7 4 8 2 2 2 3" xfId="11277" xr:uid="{00000000-0005-0000-0000-0000F50B0000}"/>
    <cellStyle name="Normal 7 4 8 2 2 3" xfId="7560" xr:uid="{00000000-0005-0000-0000-0000F40B0000}"/>
    <cellStyle name="Normal 7 4 8 2 2 3 2" xfId="12101" xr:uid="{00000000-0005-0000-0000-0000F7080000}"/>
    <cellStyle name="Normal 7 4 8 2 2 4" xfId="9960" xr:uid="{00000000-0005-0000-0000-0000F40B0000}"/>
    <cellStyle name="Normal 7 4 8 2 2 5" xfId="12057" xr:uid="{00000000-0005-0000-0000-0000F5080000}"/>
    <cellStyle name="Normal 7 4 8 2 3" xfId="2839" xr:uid="{00000000-0005-0000-0000-0000CD080000}"/>
    <cellStyle name="Normal 7 4 8 2 3 2" xfId="6244" xr:uid="{00000000-0005-0000-0000-0000CD080000}"/>
    <cellStyle name="Normal 7 4 8 2 3 3" xfId="7559" xr:uid="{00000000-0005-0000-0000-0000F60B0000}"/>
    <cellStyle name="Normal 7 4 8 2 3 4" xfId="9959" xr:uid="{00000000-0005-0000-0000-0000F60B0000}"/>
    <cellStyle name="Normal 7 4 8 2 4" xfId="4225" xr:uid="{00000000-0005-0000-0000-0000CB080000}"/>
    <cellStyle name="Normal 7 4 8 2 4 2" xfId="8129" xr:uid="{00000000-0005-0000-0000-0000F70B0000}"/>
    <cellStyle name="Normal 7 4 8 2 4 3" xfId="10526" xr:uid="{00000000-0005-0000-0000-0000F70B0000}"/>
    <cellStyle name="Normal 7 4 8 2 5" xfId="6012" xr:uid="{00000000-0005-0000-0000-0000E7040000}"/>
    <cellStyle name="Normal 7 4 8 2 6" xfId="5260" xr:uid="{00000000-0005-0000-0000-00004E040000}"/>
    <cellStyle name="Normal 7 4 8 2 7" xfId="6889" xr:uid="{00000000-0005-0000-0000-0000F30B0000}"/>
    <cellStyle name="Normal 7 4 8 2 8" xfId="9310" xr:uid="{00000000-0005-0000-0000-0000F30B0000}"/>
    <cellStyle name="Normal 7 4 8 3" xfId="1455" xr:uid="{00000000-0005-0000-0000-000086070000}"/>
    <cellStyle name="Normal 7 4 8 3 2" xfId="4598" xr:uid="{00000000-0005-0000-0000-0000CE080000}"/>
    <cellStyle name="Normal 7 4 8 3 2 2" xfId="8881" xr:uid="{00000000-0005-0000-0000-0000F90B0000}"/>
    <cellStyle name="Normal 7 4 8 3 2 3" xfId="11278" xr:uid="{00000000-0005-0000-0000-0000F90B0000}"/>
    <cellStyle name="Normal 7 4 8 3 3" xfId="5678" xr:uid="{00000000-0005-0000-0000-0000E8040000}"/>
    <cellStyle name="Normal 7 4 8 3 3 2" xfId="12102" xr:uid="{00000000-0005-0000-0000-0000FC080000}"/>
    <cellStyle name="Normal 7 4 8 3 4" xfId="7561" xr:uid="{00000000-0005-0000-0000-0000F80B0000}"/>
    <cellStyle name="Normal 7 4 8 3 5" xfId="9961" xr:uid="{00000000-0005-0000-0000-0000F80B0000}"/>
    <cellStyle name="Normal 7 4 8 4" xfId="1456" xr:uid="{00000000-0005-0000-0000-000087070000}"/>
    <cellStyle name="Normal 7 4 8 4 2" xfId="6343" xr:uid="{00000000-0005-0000-0000-0000CF080000}"/>
    <cellStyle name="Normal 7 4 8 4 2 2" xfId="8307" xr:uid="{00000000-0005-0000-0000-0000FB0B0000}"/>
    <cellStyle name="Normal 7 4 8 4 2 3" xfId="10704" xr:uid="{00000000-0005-0000-0000-0000FB0B0000}"/>
    <cellStyle name="Normal 7 4 8 4 3" xfId="7562" xr:uid="{00000000-0005-0000-0000-0000FA0B0000}"/>
    <cellStyle name="Normal 7 4 8 4 4" xfId="9962" xr:uid="{00000000-0005-0000-0000-0000FA0B0000}"/>
    <cellStyle name="Normal 7 4 8 5" xfId="2569" xr:uid="{00000000-0005-0000-0000-0000D0080000}"/>
    <cellStyle name="Normal 7 4 8 5 2" xfId="7558" xr:uid="{00000000-0005-0000-0000-0000FC0B0000}"/>
    <cellStyle name="Normal 7 4 8 5 3" xfId="9958" xr:uid="{00000000-0005-0000-0000-0000FC0B0000}"/>
    <cellStyle name="Normal 7 4 8 6" xfId="2407" xr:uid="{00000000-0005-0000-0000-0000CA080000}"/>
    <cellStyle name="Normal 7 4 8 6 2" xfId="7767" xr:uid="{00000000-0005-0000-0000-0000FD0B0000}"/>
    <cellStyle name="Normal 7 4 8 6 3" xfId="10164" xr:uid="{00000000-0005-0000-0000-0000FD0B0000}"/>
    <cellStyle name="Normal 7 4 8 7" xfId="4075" xr:uid="{00000000-0005-0000-0000-000020030000}"/>
    <cellStyle name="Normal 7 4 8 8" xfId="5447" xr:uid="{00000000-0005-0000-0000-0000E6040000}"/>
    <cellStyle name="Normal 7 4 8 9" xfId="4983" xr:uid="{00000000-0005-0000-0000-00004D040000}"/>
    <cellStyle name="Normal 7 4 9" xfId="1457" xr:uid="{00000000-0005-0000-0000-000088070000}"/>
    <cellStyle name="Normal 7 4 9 10" xfId="9150" xr:uid="{00000000-0005-0000-0000-0000FE0B0000}"/>
    <cellStyle name="Normal 7 4 9 2" xfId="1458" xr:uid="{00000000-0005-0000-0000-000089070000}"/>
    <cellStyle name="Normal 7 4 9 2 2" xfId="3481" xr:uid="{00000000-0005-0000-0000-0000D3080000}"/>
    <cellStyle name="Normal 7 4 9 2 2 2" xfId="6430" xr:uid="{00000000-0005-0000-0000-0000D3080000}"/>
    <cellStyle name="Normal 7 4 9 2 2 3" xfId="7564" xr:uid="{00000000-0005-0000-0000-0000000C0000}"/>
    <cellStyle name="Normal 7 4 9 2 2 4" xfId="9964" xr:uid="{00000000-0005-0000-0000-0000000C0000}"/>
    <cellStyle name="Normal 7 4 9 2 3" xfId="4226" xr:uid="{00000000-0005-0000-0000-0000D2080000}"/>
    <cellStyle name="Normal 7 4 9 2 3 2" xfId="6134" xr:uid="{00000000-0005-0000-0000-0000D2080000}"/>
    <cellStyle name="Normal 7 4 9 2 3 3" xfId="8882" xr:uid="{00000000-0005-0000-0000-0000010C0000}"/>
    <cellStyle name="Normal 7 4 9 2 3 4" xfId="11279" xr:uid="{00000000-0005-0000-0000-0000010C0000}"/>
    <cellStyle name="Normal 7 4 9 2 4" xfId="6013" xr:uid="{00000000-0005-0000-0000-0000EA040000}"/>
    <cellStyle name="Normal 7 4 9 2 5" xfId="5261" xr:uid="{00000000-0005-0000-0000-000050040000}"/>
    <cellStyle name="Normal 7 4 9 2 6" xfId="6890" xr:uid="{00000000-0005-0000-0000-0000FF0B0000}"/>
    <cellStyle name="Normal 7 4 9 2 7" xfId="9311" xr:uid="{00000000-0005-0000-0000-0000FF0B0000}"/>
    <cellStyle name="Normal 7 4 9 3" xfId="1459" xr:uid="{00000000-0005-0000-0000-00008A070000}"/>
    <cellStyle name="Normal 7 4 9 3 2" xfId="6520" xr:uid="{00000000-0005-0000-0000-00000A0B0000}"/>
    <cellStyle name="Normal 7 4 9 3 2 2" xfId="8308" xr:uid="{00000000-0005-0000-0000-0000030C0000}"/>
    <cellStyle name="Normal 7 4 9 3 2 3" xfId="10705" xr:uid="{00000000-0005-0000-0000-0000030C0000}"/>
    <cellStyle name="Normal 7 4 9 3 3" xfId="6344" xr:uid="{00000000-0005-0000-0000-0000D4080000}"/>
    <cellStyle name="Normal 7 4 9 3 4" xfId="7565" xr:uid="{00000000-0005-0000-0000-0000020C0000}"/>
    <cellStyle name="Normal 7 4 9 3 5" xfId="9965" xr:uid="{00000000-0005-0000-0000-0000020C0000}"/>
    <cellStyle name="Normal 7 4 9 4" xfId="2840" xr:uid="{00000000-0005-0000-0000-0000D5080000}"/>
    <cellStyle name="Normal 7 4 9 4 2" xfId="6245" xr:uid="{00000000-0005-0000-0000-0000D5080000}"/>
    <cellStyle name="Normal 7 4 9 4 3" xfId="7563" xr:uid="{00000000-0005-0000-0000-0000040C0000}"/>
    <cellStyle name="Normal 7 4 9 4 4" xfId="9963" xr:uid="{00000000-0005-0000-0000-0000040C0000}"/>
    <cellStyle name="Normal 7 4 9 5" xfId="2408" xr:uid="{00000000-0005-0000-0000-0000D1080000}"/>
    <cellStyle name="Normal 7 4 9 5 2" xfId="8130" xr:uid="{00000000-0005-0000-0000-0000050C0000}"/>
    <cellStyle name="Normal 7 4 9 5 3" xfId="10527" xr:uid="{00000000-0005-0000-0000-0000050C0000}"/>
    <cellStyle name="Normal 7 4 9 6" xfId="4076" xr:uid="{00000000-0005-0000-0000-000021030000}"/>
    <cellStyle name="Normal 7 4 9 7" xfId="5310" xr:uid="{00000000-0005-0000-0000-0000E9040000}"/>
    <cellStyle name="Normal 7 4 9 8" xfId="4984" xr:uid="{00000000-0005-0000-0000-00004F040000}"/>
    <cellStyle name="Normal 7 4 9 9" xfId="6729" xr:uid="{00000000-0005-0000-0000-0000FE0B0000}"/>
    <cellStyle name="Normal 7 5" xfId="1460" xr:uid="{00000000-0005-0000-0000-00008B070000}"/>
    <cellStyle name="Normal 7 6" xfId="1461" xr:uid="{00000000-0005-0000-0000-00008C070000}"/>
    <cellStyle name="Normal 7 6 10" xfId="1462" xr:uid="{00000000-0005-0000-0000-00008D070000}"/>
    <cellStyle name="Normal 7 6 10 2" xfId="1463" xr:uid="{00000000-0005-0000-0000-00008E070000}"/>
    <cellStyle name="Normal 7 6 10 2 2" xfId="1464" xr:uid="{00000000-0005-0000-0000-00008F070000}"/>
    <cellStyle name="Normal 7 6 10 2 2 2" xfId="11356" xr:uid="{00000000-0005-0000-0000-0000092D0000}"/>
    <cellStyle name="Normal 7 6 10 2 2 2 2" xfId="11516" xr:uid="{00000000-0005-0000-0000-000055040000}"/>
    <cellStyle name="Normal 7 6 10 2 3" xfId="1465" xr:uid="{00000000-0005-0000-0000-000090070000}"/>
    <cellStyle name="Normal 7 6 10 2 3 2" xfId="2031" xr:uid="{00000000-0005-0000-0000-000091070000}"/>
    <cellStyle name="Normal 7 6 10 2 3 3" xfId="3766" xr:uid="{00000000-0005-0000-0000-0000F0060000}"/>
    <cellStyle name="Normal 7 6 10 2 4" xfId="5025" xr:uid="{00000000-0005-0000-0000-000054040000}"/>
    <cellStyle name="Normal 7 6 10 2 4 2" xfId="11556" xr:uid="{00000000-0005-0000-0000-00005E060000}"/>
    <cellStyle name="Normal 7 6 10 3" xfId="1466" xr:uid="{00000000-0005-0000-0000-000092070000}"/>
    <cellStyle name="Normal 7 6 10 4" xfId="2998" xr:uid="{00000000-0005-0000-0000-0000DB080000}"/>
    <cellStyle name="Normal 7 6 10 5" xfId="2151" xr:uid="{00000000-0005-0000-0000-000024030000}"/>
    <cellStyle name="Normal 7 6 10 5 2" xfId="4681" xr:uid="{00000000-0005-0000-0000-0000D8080000}"/>
    <cellStyle name="Normal 7 6 10 6" xfId="4079" xr:uid="{00000000-0005-0000-0000-000024030000}"/>
    <cellStyle name="Normal 7 6 11" xfId="1467" xr:uid="{00000000-0005-0000-0000-000093070000}"/>
    <cellStyle name="Normal 7 6 11 2" xfId="2424" xr:uid="{00000000-0005-0000-0000-0000DD080000}"/>
    <cellStyle name="Normal 7 6 11 2 2" xfId="2999" xr:uid="{00000000-0005-0000-0000-0000DE080000}"/>
    <cellStyle name="Normal 7 6 11 2 2 2" xfId="6346" xr:uid="{00000000-0005-0000-0000-0000DE080000}"/>
    <cellStyle name="Normal 7 6 11 2 2 3" xfId="8309" xr:uid="{00000000-0005-0000-0000-0000100C0000}"/>
    <cellStyle name="Normal 7 6 11 2 2 4" xfId="10706" xr:uid="{00000000-0005-0000-0000-0000100C0000}"/>
    <cellStyle name="Normal 7 6 11 2 3" xfId="4748" xr:uid="{00000000-0005-0000-0000-00004F060000}"/>
    <cellStyle name="Normal 7 6 11 2 3 2" xfId="6135" xr:uid="{00000000-0005-0000-0000-0000DD080000}"/>
    <cellStyle name="Normal 7 6 11 2 4" xfId="5262" xr:uid="{00000000-0005-0000-0000-000058040000}"/>
    <cellStyle name="Normal 7 6 11 2 5" xfId="6891" xr:uid="{00000000-0005-0000-0000-00000F0C0000}"/>
    <cellStyle name="Normal 7 6 11 2 6" xfId="9312" xr:uid="{00000000-0005-0000-0000-00000F0C0000}"/>
    <cellStyle name="Normal 7 6 11 3" xfId="2841" xr:uid="{00000000-0005-0000-0000-0000DF080000}"/>
    <cellStyle name="Normal 7 6 11 3 2" xfId="6246" xr:uid="{00000000-0005-0000-0000-0000DF080000}"/>
    <cellStyle name="Normal 7 6 11 3 3" xfId="7566" xr:uid="{00000000-0005-0000-0000-0000110C0000}"/>
    <cellStyle name="Normal 7 6 11 3 4" xfId="9966" xr:uid="{00000000-0005-0000-0000-0000110C0000}"/>
    <cellStyle name="Normal 7 6 11 4" xfId="2409" xr:uid="{00000000-0005-0000-0000-0000DC080000}"/>
    <cellStyle name="Normal 7 6 11 4 2" xfId="6085" xr:uid="{00000000-0005-0000-0000-0000DC080000}"/>
    <cellStyle name="Normal 7 6 11 4 3" xfId="8131" xr:uid="{00000000-0005-0000-0000-0000120C0000}"/>
    <cellStyle name="Normal 7 6 11 4 4" xfId="10528" xr:uid="{00000000-0005-0000-0000-0000120C0000}"/>
    <cellStyle name="Normal 7 6 11 5" xfId="4080" xr:uid="{00000000-0005-0000-0000-000026030000}"/>
    <cellStyle name="Normal 7 6 11 6" xfId="6014" xr:uid="{00000000-0005-0000-0000-0000F0040000}"/>
    <cellStyle name="Normal 7 6 11 7" xfId="4985" xr:uid="{00000000-0005-0000-0000-000057040000}"/>
    <cellStyle name="Normal 7 6 11 8" xfId="6730" xr:uid="{00000000-0005-0000-0000-00000E0C0000}"/>
    <cellStyle name="Normal 7 6 11 9" xfId="9151" xr:uid="{00000000-0005-0000-0000-00000E0C0000}"/>
    <cellStyle name="Normal 7 6 12" xfId="1468" xr:uid="{00000000-0005-0000-0000-000094070000}"/>
    <cellStyle name="Normal 7 6 12 2" xfId="1469" xr:uid="{00000000-0005-0000-0000-000095070000}"/>
    <cellStyle name="Normal 7 6 12 2 2" xfId="1470" xr:uid="{00000000-0005-0000-0000-000096070000}"/>
    <cellStyle name="Normal 7 6 12 2 2 2" xfId="7568" xr:uid="{00000000-0005-0000-0000-0000150C0000}"/>
    <cellStyle name="Normal 7 6 12 2 2 3" xfId="9967" xr:uid="{00000000-0005-0000-0000-0000150C0000}"/>
    <cellStyle name="Normal 7 6 12 3" xfId="1471" xr:uid="{00000000-0005-0000-0000-000097070000}"/>
    <cellStyle name="Normal 7 6 12 3 2" xfId="4658" xr:uid="{00000000-0005-0000-0000-0000E0080000}"/>
    <cellStyle name="Normal 7 6 12 3 2 2" xfId="11627" xr:uid="{00000000-0005-0000-0000-0000860C0000}"/>
    <cellStyle name="Normal 7 6 12 4" xfId="2032" xr:uid="{00000000-0005-0000-0000-000098070000}"/>
    <cellStyle name="Normal 7 6 12 4 2" xfId="7567" xr:uid="{00000000-0005-0000-0000-0000170C0000}"/>
    <cellStyle name="Normal 7 6 12 5" xfId="2154" xr:uid="{00000000-0005-0000-0000-000027030000}"/>
    <cellStyle name="Normal 7 6 12 6" xfId="4107" xr:uid="{00000000-0005-0000-0000-000027030000}"/>
    <cellStyle name="Normal 7 6 13" xfId="1472" xr:uid="{00000000-0005-0000-0000-000099070000}"/>
    <cellStyle name="Normal 7 6 13 2" xfId="4599" xr:uid="{00000000-0005-0000-0000-0000E2080000}"/>
    <cellStyle name="Normal 7 6 13 2 2" xfId="8883" xr:uid="{00000000-0005-0000-0000-0000190C0000}"/>
    <cellStyle name="Normal 7 6 13 2 3" xfId="11280" xr:uid="{00000000-0005-0000-0000-0000190C0000}"/>
    <cellStyle name="Normal 7 6 13 3" xfId="5564" xr:uid="{00000000-0005-0000-0000-0000F2040000}"/>
    <cellStyle name="Normal 7 6 13 3 2" xfId="11722" xr:uid="{00000000-0005-0000-0000-00008A0C0000}"/>
    <cellStyle name="Normal 7 6 13 4" xfId="7569" xr:uid="{00000000-0005-0000-0000-0000180C0000}"/>
    <cellStyle name="Normal 7 6 13 4 2" xfId="11936" xr:uid="{00000000-0005-0000-0000-00008B0C0000}"/>
    <cellStyle name="Normal 7 6 13 5" xfId="9968" xr:uid="{00000000-0005-0000-0000-0000180C0000}"/>
    <cellStyle name="Normal 7 6 13 6" xfId="11648" xr:uid="{00000000-0005-0000-0000-0000880C0000}"/>
    <cellStyle name="Normal 7 6 14" xfId="1473" xr:uid="{00000000-0005-0000-0000-00009A070000}"/>
    <cellStyle name="Normal 7 6 14 2" xfId="1474" xr:uid="{00000000-0005-0000-0000-00009B070000}"/>
    <cellStyle name="Normal 7 6 14 3" xfId="3767" xr:uid="{00000000-0005-0000-0000-0000F9060000}"/>
    <cellStyle name="Normal 7 6 14 3 2" xfId="6345" xr:uid="{00000000-0005-0000-0000-0000E3080000}"/>
    <cellStyle name="Normal 7 6 14 4" xfId="4688" xr:uid="{00000000-0005-0000-0000-000054060000}"/>
    <cellStyle name="Normal 7 6 15" xfId="2441" xr:uid="{00000000-0005-0000-0000-0000E4080000}"/>
    <cellStyle name="Normal 7 6 15 2" xfId="7638" xr:uid="{00000000-0005-0000-0000-00001C0C0000}"/>
    <cellStyle name="Normal 7 6 15 3" xfId="10035" xr:uid="{00000000-0005-0000-0000-00001C0C0000}"/>
    <cellStyle name="Normal 7 6 16" xfId="2171" xr:uid="{00000000-0005-0000-0000-0000D7080000}"/>
    <cellStyle name="Normal 7 6 17" xfId="2150" xr:uid="{00000000-0005-0000-0000-000023030000}"/>
    <cellStyle name="Normal 7 6 17 2" xfId="11646" xr:uid="{00000000-0005-0000-0000-0000780C0000}"/>
    <cellStyle name="Normal 7 6 18" xfId="4078" xr:uid="{00000000-0005-0000-0000-000023030000}"/>
    <cellStyle name="Normal 7 6 19" xfId="5318" xr:uid="{00000000-0005-0000-0000-0000EC040000}"/>
    <cellStyle name="Normal 7 6 2" xfId="1475" xr:uid="{00000000-0005-0000-0000-00009C070000}"/>
    <cellStyle name="Normal 7 6 2 10" xfId="6580" xr:uid="{00000000-0005-0000-0000-00001D0C0000}"/>
    <cellStyle name="Normal 7 6 2 11" xfId="9001" xr:uid="{00000000-0005-0000-0000-00001D0C0000}"/>
    <cellStyle name="Normal 7 6 2 2" xfId="1476" xr:uid="{00000000-0005-0000-0000-00009D070000}"/>
    <cellStyle name="Normal 7 6 2 2 2" xfId="1477" xr:uid="{00000000-0005-0000-0000-00009E070000}"/>
    <cellStyle name="Normal 7 6 2 2 2 10" xfId="9163" xr:uid="{00000000-0005-0000-0000-00001F0C0000}"/>
    <cellStyle name="Normal 7 6 2 2 2 2" xfId="1478" xr:uid="{00000000-0005-0000-0000-00009F070000}"/>
    <cellStyle name="Normal 7 6 2 2 2 2 2" xfId="3483" xr:uid="{00000000-0005-0000-0000-0000E9080000}"/>
    <cellStyle name="Normal 7 6 2 2 2 2 2 2" xfId="8885" xr:uid="{00000000-0005-0000-0000-0000210C0000}"/>
    <cellStyle name="Normal 7 6 2 2 2 2 2 3" xfId="11282" xr:uid="{00000000-0005-0000-0000-0000210C0000}"/>
    <cellStyle name="Normal 7 6 2 2 2 2 3" xfId="4377" xr:uid="{00000000-0005-0000-0000-0000E8080000}"/>
    <cellStyle name="Normal 7 6 2 2 2 2 3 2" xfId="8132" xr:uid="{00000000-0005-0000-0000-0000220C0000}"/>
    <cellStyle name="Normal 7 6 2 2 2 2 3 3" xfId="10529" xr:uid="{00000000-0005-0000-0000-0000220C0000}"/>
    <cellStyle name="Normal 7 6 2 2 2 2 4" xfId="6015" xr:uid="{00000000-0005-0000-0000-0000F6040000}"/>
    <cellStyle name="Normal 7 6 2 2 2 2 5" xfId="5263" xr:uid="{00000000-0005-0000-0000-00005D040000}"/>
    <cellStyle name="Normal 7 6 2 2 2 2 6" xfId="7571" xr:uid="{00000000-0005-0000-0000-0000200C0000}"/>
    <cellStyle name="Normal 7 6 2 2 2 2 7" xfId="9969" xr:uid="{00000000-0005-0000-0000-0000200C0000}"/>
    <cellStyle name="Normal 7 6 2 2 2 3" xfId="3484" xr:uid="{00000000-0005-0000-0000-0000EA080000}"/>
    <cellStyle name="Normal 7 6 2 2 2 3 2" xfId="4600" xr:uid="{00000000-0005-0000-0000-0000EA080000}"/>
    <cellStyle name="Normal 7 6 2 2 2 3 2 2" xfId="8886" xr:uid="{00000000-0005-0000-0000-0000240C0000}"/>
    <cellStyle name="Normal 7 6 2 2 2 3 2 3" xfId="11283" xr:uid="{00000000-0005-0000-0000-0000240C0000}"/>
    <cellStyle name="Normal 7 6 2 2 2 3 3" xfId="5757" xr:uid="{00000000-0005-0000-0000-0000F7040000}"/>
    <cellStyle name="Normal 7 6 2 2 2 3 4" xfId="7570" xr:uid="{00000000-0005-0000-0000-0000230C0000}"/>
    <cellStyle name="Normal 7 6 2 2 2 3 4 2" xfId="11566" xr:uid="{00000000-0005-0000-0000-000068060000}"/>
    <cellStyle name="Normal 7 6 2 2 2 4" xfId="3482" xr:uid="{00000000-0005-0000-0000-0000EB080000}"/>
    <cellStyle name="Normal 7 6 2 2 2 4 2" xfId="8884" xr:uid="{00000000-0005-0000-0000-0000250C0000}"/>
    <cellStyle name="Normal 7 6 2 2 2 4 3" xfId="11281" xr:uid="{00000000-0005-0000-0000-0000250C0000}"/>
    <cellStyle name="Normal 7 6 2 2 2 5" xfId="2651" xr:uid="{00000000-0005-0000-0000-0000EC080000}"/>
    <cellStyle name="Normal 7 6 2 2 2 5 2" xfId="7861" xr:uid="{00000000-0005-0000-0000-0000260C0000}"/>
    <cellStyle name="Normal 7 6 2 2 2 5 3" xfId="10258" xr:uid="{00000000-0005-0000-0000-0000260C0000}"/>
    <cellStyle name="Normal 7 6 2 2 2 6" xfId="4108" xr:uid="{00000000-0005-0000-0000-00002B030000}"/>
    <cellStyle name="Normal 7 6 2 2 2 6 2" xfId="11588" xr:uid="{00000000-0005-0000-0000-0000900C0000}"/>
    <cellStyle name="Normal 7 6 2 2 2 7" xfId="5539" xr:uid="{00000000-0005-0000-0000-0000F5040000}"/>
    <cellStyle name="Normal 7 6 2 2 2 8" xfId="5026" xr:uid="{00000000-0005-0000-0000-00005C040000}"/>
    <cellStyle name="Normal 7 6 2 2 2 9" xfId="6742" xr:uid="{00000000-0005-0000-0000-00001F0C0000}"/>
    <cellStyle name="Normal 7 6 2 2 3" xfId="1479" xr:uid="{00000000-0005-0000-0000-0000A0070000}"/>
    <cellStyle name="Normal 7 6 2 2 3 2" xfId="3485" xr:uid="{00000000-0005-0000-0000-0000EE080000}"/>
    <cellStyle name="Normal 7 6 2 2 3 2 2" xfId="8887" xr:uid="{00000000-0005-0000-0000-0000280C0000}"/>
    <cellStyle name="Normal 7 6 2 2 3 2 3" xfId="11284" xr:uid="{00000000-0005-0000-0000-0000280C0000}"/>
    <cellStyle name="Normal 7 6 2 2 3 3" xfId="2843" xr:uid="{00000000-0005-0000-0000-0000ED080000}"/>
    <cellStyle name="Normal 7 6 2 2 3 3 2" xfId="8133" xr:uid="{00000000-0005-0000-0000-0000290C0000}"/>
    <cellStyle name="Normal 7 6 2 2 3 3 3" xfId="10530" xr:uid="{00000000-0005-0000-0000-0000290C0000}"/>
    <cellStyle name="Normal 7 6 2 2 3 4" xfId="3804" xr:uid="{00000000-0005-0000-0000-00002C030000}"/>
    <cellStyle name="Normal 7 6 2 2 3 5" xfId="7572" xr:uid="{00000000-0005-0000-0000-0000270C0000}"/>
    <cellStyle name="Normal 7 6 2 2 3 6" xfId="9970" xr:uid="{00000000-0005-0000-0000-0000270C0000}"/>
    <cellStyle name="Normal 7 6 2 2 4" xfId="2842" xr:uid="{00000000-0005-0000-0000-0000EF080000}"/>
    <cellStyle name="Normal 7 6 2 2 5" xfId="3486" xr:uid="{00000000-0005-0000-0000-0000F0080000}"/>
    <cellStyle name="Normal 7 6 2 2 5 2" xfId="4601" xr:uid="{00000000-0005-0000-0000-0000F0080000}"/>
    <cellStyle name="Normal 7 6 2 2 5 3" xfId="8888" xr:uid="{00000000-0005-0000-0000-00002B0C0000}"/>
    <cellStyle name="Normal 7 6 2 2 5 4" xfId="11285" xr:uid="{00000000-0005-0000-0000-00002B0C0000}"/>
    <cellStyle name="Normal 7 6 2 2 6" xfId="2560" xr:uid="{00000000-0005-0000-0000-0000F1080000}"/>
    <cellStyle name="Normal 7 6 2 2 6 2" xfId="7758" xr:uid="{00000000-0005-0000-0000-00002C0C0000}"/>
    <cellStyle name="Normal 7 6 2 2 6 3" xfId="10155" xr:uid="{00000000-0005-0000-0000-00002C0C0000}"/>
    <cellStyle name="Normal 7 6 2 2 7" xfId="2254" xr:uid="{00000000-0005-0000-0000-0000E6080000}"/>
    <cellStyle name="Normal 7 6 2 2 8" xfId="5438" xr:uid="{00000000-0005-0000-0000-0000F4040000}"/>
    <cellStyle name="Normal 7 6 2 3" xfId="1480" xr:uid="{00000000-0005-0000-0000-0000A1070000}"/>
    <cellStyle name="Normal 7 6 2 3 10" xfId="6731" xr:uid="{00000000-0005-0000-0000-00002D0C0000}"/>
    <cellStyle name="Normal 7 6 2 3 11" xfId="9152" xr:uid="{00000000-0005-0000-0000-00002D0C0000}"/>
    <cellStyle name="Normal 7 6 2 3 2" xfId="2425" xr:uid="{00000000-0005-0000-0000-0000F3080000}"/>
    <cellStyle name="Normal 7 6 2 3 2 2" xfId="3487" xr:uid="{00000000-0005-0000-0000-0000F4080000}"/>
    <cellStyle name="Normal 7 6 2 3 2 2 2" xfId="6431" xr:uid="{00000000-0005-0000-0000-0000F4080000}"/>
    <cellStyle name="Normal 7 6 2 3 2 2 3" xfId="8889" xr:uid="{00000000-0005-0000-0000-00002F0C0000}"/>
    <cellStyle name="Normal 7 6 2 3 2 2 4" xfId="11286" xr:uid="{00000000-0005-0000-0000-00002F0C0000}"/>
    <cellStyle name="Normal 7 6 2 3 2 3" xfId="2844" xr:uid="{00000000-0005-0000-0000-0000F5080000}"/>
    <cellStyle name="Normal 7 6 2 3 2 3 2" xfId="6247" xr:uid="{00000000-0005-0000-0000-0000F5080000}"/>
    <cellStyle name="Normal 7 6 2 3 2 3 3" xfId="8134" xr:uid="{00000000-0005-0000-0000-0000300C0000}"/>
    <cellStyle name="Normal 7 6 2 3 2 3 4" xfId="10531" xr:uid="{00000000-0005-0000-0000-0000300C0000}"/>
    <cellStyle name="Normal 7 6 2 3 2 4" xfId="4227" xr:uid="{00000000-0005-0000-0000-0000F3080000}"/>
    <cellStyle name="Normal 7 6 2 3 2 5" xfId="6016" xr:uid="{00000000-0005-0000-0000-0000FC040000}"/>
    <cellStyle name="Normal 7 6 2 3 2 6" xfId="5264" xr:uid="{00000000-0005-0000-0000-00005F040000}"/>
    <cellStyle name="Normal 7 6 2 3 2 7" xfId="6892" xr:uid="{00000000-0005-0000-0000-00002E0C0000}"/>
    <cellStyle name="Normal 7 6 2 3 2 8" xfId="9313" xr:uid="{00000000-0005-0000-0000-00002E0C0000}"/>
    <cellStyle name="Normal 7 6 2 3 3" xfId="3488" xr:uid="{00000000-0005-0000-0000-0000F6080000}"/>
    <cellStyle name="Normal 7 6 2 3 3 2" xfId="4602" xr:uid="{00000000-0005-0000-0000-0000F6080000}"/>
    <cellStyle name="Normal 7 6 2 3 3 2 2" xfId="8890" xr:uid="{00000000-0005-0000-0000-0000320C0000}"/>
    <cellStyle name="Normal 7 6 2 3 3 2 3" xfId="11287" xr:uid="{00000000-0005-0000-0000-0000320C0000}"/>
    <cellStyle name="Normal 7 6 2 3 3 3" xfId="5709" xr:uid="{00000000-0005-0000-0000-0000FD040000}"/>
    <cellStyle name="Normal 7 6 2 3 3 4" xfId="7573" xr:uid="{00000000-0005-0000-0000-0000310C0000}"/>
    <cellStyle name="Normal 7 6 2 3 3 5" xfId="9971" xr:uid="{00000000-0005-0000-0000-0000310C0000}"/>
    <cellStyle name="Normal 7 6 2 3 4" xfId="3000" xr:uid="{00000000-0005-0000-0000-0000F7080000}"/>
    <cellStyle name="Normal 7 6 2 3 4 2" xfId="6347" xr:uid="{00000000-0005-0000-0000-0000F7080000}"/>
    <cellStyle name="Normal 7 6 2 3 4 3" xfId="8310" xr:uid="{00000000-0005-0000-0000-0000330C0000}"/>
    <cellStyle name="Normal 7 6 2 3 4 4" xfId="10707" xr:uid="{00000000-0005-0000-0000-0000330C0000}"/>
    <cellStyle name="Normal 7 6 2 3 5" xfId="2603" xr:uid="{00000000-0005-0000-0000-0000F8080000}"/>
    <cellStyle name="Normal 7 6 2 3 5 2" xfId="7801" xr:uid="{00000000-0005-0000-0000-0000340C0000}"/>
    <cellStyle name="Normal 7 6 2 3 5 3" xfId="10198" xr:uid="{00000000-0005-0000-0000-0000340C0000}"/>
    <cellStyle name="Normal 7 6 2 3 6" xfId="2410" xr:uid="{00000000-0005-0000-0000-0000F2080000}"/>
    <cellStyle name="Normal 7 6 2 3 7" xfId="4081" xr:uid="{00000000-0005-0000-0000-00002D030000}"/>
    <cellStyle name="Normal 7 6 2 3 8" xfId="5479" xr:uid="{00000000-0005-0000-0000-0000FB040000}"/>
    <cellStyle name="Normal 7 6 2 3 9" xfId="4986" xr:uid="{00000000-0005-0000-0000-00005E040000}"/>
    <cellStyle name="Normal 7 6 2 4" xfId="1481" xr:uid="{00000000-0005-0000-0000-0000A2070000}"/>
    <cellStyle name="Normal 7 6 2 4 2" xfId="1482" xr:uid="{00000000-0005-0000-0000-0000A3070000}"/>
    <cellStyle name="Normal 7 6 2 4 2 2" xfId="7574" xr:uid="{00000000-0005-0000-0000-0000360C0000}"/>
    <cellStyle name="Normal 7 6 2 4 2 3" xfId="9972" xr:uid="{00000000-0005-0000-0000-0000360C0000}"/>
    <cellStyle name="Normal 7 6 2 5" xfId="1483" xr:uid="{00000000-0005-0000-0000-0000A4070000}"/>
    <cellStyle name="Normal 7 6 2 5 2" xfId="4603" xr:uid="{00000000-0005-0000-0000-0000FA080000}"/>
    <cellStyle name="Normal 7 6 2 5 2 2" xfId="8891" xr:uid="{00000000-0005-0000-0000-0000380C0000}"/>
    <cellStyle name="Normal 7 6 2 5 2 3" xfId="11288" xr:uid="{00000000-0005-0000-0000-0000380C0000}"/>
    <cellStyle name="Normal 7 6 2 5 3" xfId="5624" xr:uid="{00000000-0005-0000-0000-0000FF040000}"/>
    <cellStyle name="Normal 7 6 2 5 3 2" xfId="11723" xr:uid="{00000000-0005-0000-0000-0000A90C0000}"/>
    <cellStyle name="Normal 7 6 2 5 4" xfId="7575" xr:uid="{00000000-0005-0000-0000-0000370C0000}"/>
    <cellStyle name="Normal 7 6 2 5 4 2" xfId="11937" xr:uid="{00000000-0005-0000-0000-0000AA0C0000}"/>
    <cellStyle name="Normal 7 6 2 5 5" xfId="9973" xr:uid="{00000000-0005-0000-0000-0000370C0000}"/>
    <cellStyle name="Normal 7 6 2 5 6" xfId="11661" xr:uid="{00000000-0005-0000-0000-0000A70C0000}"/>
    <cellStyle name="Normal 7 6 2 6" xfId="1484" xr:uid="{00000000-0005-0000-0000-0000A5070000}"/>
    <cellStyle name="Normal 7 6 2 6 2" xfId="2500" xr:uid="{00000000-0005-0000-0000-0000FB080000}"/>
    <cellStyle name="Normal 7 6 2 6 3" xfId="2047" xr:uid="{00000000-0005-0000-0000-0000A5070000}"/>
    <cellStyle name="Normal 7 6 2 6 4" xfId="6155" xr:uid="{00000000-0005-0000-0000-0000FB080000}"/>
    <cellStyle name="Normal 7 6 2 7" xfId="2194" xr:uid="{00000000-0005-0000-0000-0000E5080000}"/>
    <cellStyle name="Normal 7 6 2 7 2" xfId="7698" xr:uid="{00000000-0005-0000-0000-00003A0C0000}"/>
    <cellStyle name="Normal 7 6 2 7 3" xfId="10095" xr:uid="{00000000-0005-0000-0000-00003A0C0000}"/>
    <cellStyle name="Normal 7 6 2 8" xfId="5378" xr:uid="{00000000-0005-0000-0000-0000F3040000}"/>
    <cellStyle name="Normal 7 6 2 9" xfId="4834" xr:uid="{00000000-0005-0000-0000-00005A040000}"/>
    <cellStyle name="Normal 7 6 20" xfId="4773" xr:uid="{00000000-0005-0000-0000-000052040000}"/>
    <cellStyle name="Normal 7 6 21" xfId="6537" xr:uid="{00000000-0005-0000-0000-0000070C0000}"/>
    <cellStyle name="Normal 7 6 22" xfId="8958" xr:uid="{00000000-0005-0000-0000-0000070C0000}"/>
    <cellStyle name="Normal 7 6 3" xfId="1485" xr:uid="{00000000-0005-0000-0000-0000A6070000}"/>
    <cellStyle name="Normal 7 6 3 10" xfId="5355" xr:uid="{00000000-0005-0000-0000-000000050000}"/>
    <cellStyle name="Normal 7 6 3 11" xfId="4811" xr:uid="{00000000-0005-0000-0000-000061040000}"/>
    <cellStyle name="Normal 7 6 3 12" xfId="6557" xr:uid="{00000000-0005-0000-0000-00003B0C0000}"/>
    <cellStyle name="Normal 7 6 3 13" xfId="8978" xr:uid="{00000000-0005-0000-0000-00003B0C0000}"/>
    <cellStyle name="Normal 7 6 3 2" xfId="1486" xr:uid="{00000000-0005-0000-0000-0000A7070000}"/>
    <cellStyle name="Normal 7 6 3 2 10" xfId="6732" xr:uid="{00000000-0005-0000-0000-00003C0C0000}"/>
    <cellStyle name="Normal 7 6 3 2 11" xfId="9153" xr:uid="{00000000-0005-0000-0000-00003C0C0000}"/>
    <cellStyle name="Normal 7 6 3 2 2" xfId="1487" xr:uid="{00000000-0005-0000-0000-0000A8070000}"/>
    <cellStyle name="Normal 7 6 3 2 2 2" xfId="3490" xr:uid="{00000000-0005-0000-0000-0000FF080000}"/>
    <cellStyle name="Normal 7 6 3 2 2 2 2" xfId="6433" xr:uid="{00000000-0005-0000-0000-0000FF080000}"/>
    <cellStyle name="Normal 7 6 3 2 2 2 2 2" xfId="8893" xr:uid="{00000000-0005-0000-0000-00003F0C0000}"/>
    <cellStyle name="Normal 7 6 3 2 2 2 2 3" xfId="11290" xr:uid="{00000000-0005-0000-0000-00003F0C0000}"/>
    <cellStyle name="Normal 7 6 3 2 2 2 3" xfId="7577" xr:uid="{00000000-0005-0000-0000-00003E0C0000}"/>
    <cellStyle name="Normal 7 6 3 2 2 2 4" xfId="9975" xr:uid="{00000000-0005-0000-0000-00003E0C0000}"/>
    <cellStyle name="Normal 7 6 3 2 2 3" xfId="4378" xr:uid="{00000000-0005-0000-0000-0000FE080000}"/>
    <cellStyle name="Normal 7 6 3 2 2 3 2" xfId="6248" xr:uid="{00000000-0005-0000-0000-0000FE080000}"/>
    <cellStyle name="Normal 7 6 3 2 2 3 3" xfId="8136" xr:uid="{00000000-0005-0000-0000-0000400C0000}"/>
    <cellStyle name="Normal 7 6 3 2 2 3 4" xfId="10533" xr:uid="{00000000-0005-0000-0000-0000400C0000}"/>
    <cellStyle name="Normal 7 6 3 2 2 4" xfId="6018" xr:uid="{00000000-0005-0000-0000-000002050000}"/>
    <cellStyle name="Normal 7 6 3 2 2 5" xfId="5265" xr:uid="{00000000-0005-0000-0000-000063040000}"/>
    <cellStyle name="Normal 7 6 3 2 2 6" xfId="6893" xr:uid="{00000000-0005-0000-0000-00003D0C0000}"/>
    <cellStyle name="Normal 7 6 3 2 2 7" xfId="9314" xr:uid="{00000000-0005-0000-0000-00003D0C0000}"/>
    <cellStyle name="Normal 7 6 3 2 3" xfId="3491" xr:uid="{00000000-0005-0000-0000-000000090000}"/>
    <cellStyle name="Normal 7 6 3 2 3 2" xfId="4604" xr:uid="{00000000-0005-0000-0000-000000090000}"/>
    <cellStyle name="Normal 7 6 3 2 3 2 2" xfId="8894" xr:uid="{00000000-0005-0000-0000-0000420C0000}"/>
    <cellStyle name="Normal 7 6 3 2 3 2 3" xfId="11291" xr:uid="{00000000-0005-0000-0000-0000420C0000}"/>
    <cellStyle name="Normal 7 6 3 2 3 3" xfId="5660" xr:uid="{00000000-0005-0000-0000-000003050000}"/>
    <cellStyle name="Normal 7 6 3 2 3 4" xfId="7576" xr:uid="{00000000-0005-0000-0000-0000410C0000}"/>
    <cellStyle name="Normal 7 6 3 2 3 5" xfId="9974" xr:uid="{00000000-0005-0000-0000-0000410C0000}"/>
    <cellStyle name="Normal 7 6 3 2 4" xfId="3489" xr:uid="{00000000-0005-0000-0000-000001090000}"/>
    <cellStyle name="Normal 7 6 3 2 4 2" xfId="6432" xr:uid="{00000000-0005-0000-0000-000001090000}"/>
    <cellStyle name="Normal 7 6 3 2 4 3" xfId="8892" xr:uid="{00000000-0005-0000-0000-0000430C0000}"/>
    <cellStyle name="Normal 7 6 3 2 4 4" xfId="11289" xr:uid="{00000000-0005-0000-0000-0000430C0000}"/>
    <cellStyle name="Normal 7 6 3 2 5" xfId="2537" xr:uid="{00000000-0005-0000-0000-000002090000}"/>
    <cellStyle name="Normal 7 6 3 2 5 2" xfId="7735" xr:uid="{00000000-0005-0000-0000-0000440C0000}"/>
    <cellStyle name="Normal 7 6 3 2 5 3" xfId="10132" xr:uid="{00000000-0005-0000-0000-0000440C0000}"/>
    <cellStyle name="Normal 7 6 3 2 6" xfId="2411" xr:uid="{00000000-0005-0000-0000-0000FD080000}"/>
    <cellStyle name="Normal 7 6 3 2 7" xfId="4083" xr:uid="{00000000-0005-0000-0000-000030030000}"/>
    <cellStyle name="Normal 7 6 3 2 8" xfId="5415" xr:uid="{00000000-0005-0000-0000-000001050000}"/>
    <cellStyle name="Normal 7 6 3 2 9" xfId="4988" xr:uid="{00000000-0005-0000-0000-000062040000}"/>
    <cellStyle name="Normal 7 6 3 3" xfId="1488" xr:uid="{00000000-0005-0000-0000-0000A9070000}"/>
    <cellStyle name="Normal 7 6 3 3 2" xfId="1489" xr:uid="{00000000-0005-0000-0000-0000AA070000}"/>
    <cellStyle name="Normal 7 6 3 3 2 2" xfId="1490" xr:uid="{00000000-0005-0000-0000-0000AB070000}"/>
    <cellStyle name="Normal 7 6 3 3 2 2 2" xfId="3494" xr:uid="{00000000-0005-0000-0000-000005090000}"/>
    <cellStyle name="Normal 7 6 3 3 2 2 2 2" xfId="8896" xr:uid="{00000000-0005-0000-0000-0000480C0000}"/>
    <cellStyle name="Normal 7 6 3 3 2 2 2 3" xfId="11293" xr:uid="{00000000-0005-0000-0000-0000480C0000}"/>
    <cellStyle name="Normal 7 6 3 3 2 2 3" xfId="3624" xr:uid="{00000000-0005-0000-0000-0000AB070000}"/>
    <cellStyle name="Normal 7 6 3 3 2 2 4" xfId="6434" xr:uid="{00000000-0005-0000-0000-000005090000}"/>
    <cellStyle name="Normal 7 6 3 3 2 2 5" xfId="11568" xr:uid="{00000000-0005-0000-0000-000075060000}"/>
    <cellStyle name="Normal 7 6 3 3 2 3" xfId="3493" xr:uid="{00000000-0005-0000-0000-000006090000}"/>
    <cellStyle name="Normal 7 6 3 3 2 3 2" xfId="11345" xr:uid="{00000000-0005-0000-0000-00000A2D0000}"/>
    <cellStyle name="Normal 7 6 3 3 2 4" xfId="2846" xr:uid="{00000000-0005-0000-0000-000004090000}"/>
    <cellStyle name="Normal 7 6 3 3 2 4 2" xfId="8137" xr:uid="{00000000-0005-0000-0000-00004A0C0000}"/>
    <cellStyle name="Normal 7 6 3 3 2 4 3" xfId="10534" xr:uid="{00000000-0005-0000-0000-00004A0C0000}"/>
    <cellStyle name="Normal 7 6 3 3 2 5" xfId="3768" xr:uid="{00000000-0005-0000-0000-000009070000}"/>
    <cellStyle name="Normal 7 6 3 3 2 5 2" xfId="4095" xr:uid="{00000000-0005-0000-0000-000032030000}"/>
    <cellStyle name="Normal 7 6 3 3 2 5 2 2" xfId="6472" xr:uid="{00000000-0005-0000-0000-0000470B0000}"/>
    <cellStyle name="Normal 7 6 3 3 2 5 3" xfId="11420" xr:uid="{00000000-0005-0000-0000-0000470B0000}"/>
    <cellStyle name="Normal 7 6 3 3 2 6" xfId="6019" xr:uid="{00000000-0005-0000-0000-000005050000}"/>
    <cellStyle name="Normal 7 6 3 3 3" xfId="1491" xr:uid="{00000000-0005-0000-0000-0000AC070000}"/>
    <cellStyle name="Normal 7 6 3 3 3 2" xfId="3495" xr:uid="{00000000-0005-0000-0000-000007090000}"/>
    <cellStyle name="Normal 7 6 3 3 3 2 2" xfId="6490" xr:uid="{00000000-0005-0000-0000-0000490B0000}"/>
    <cellStyle name="Normal 7 6 3 3 3 2 2 2" xfId="11938" xr:uid="{00000000-0005-0000-0000-0000BD0C0000}"/>
    <cellStyle name="Normal 7 6 3 3 3 2 3" xfId="8897" xr:uid="{00000000-0005-0000-0000-00004C0C0000}"/>
    <cellStyle name="Normal 7 6 3 3 3 2 4" xfId="11294" xr:uid="{00000000-0005-0000-0000-00004C0C0000}"/>
    <cellStyle name="Normal 7 6 3 3 3 3" xfId="3582" xr:uid="{00000000-0005-0000-0000-0000AC070000}"/>
    <cellStyle name="Normal 7 6 3 3 3 3 2" xfId="6498" xr:uid="{00000000-0005-0000-0000-00004A0B0000}"/>
    <cellStyle name="Normal 7 6 3 3 3 3 3" xfId="11485" xr:uid="{00000000-0005-0000-0000-00004A0B0000}"/>
    <cellStyle name="Normal 7 6 3 3 3 4" xfId="4605" xr:uid="{00000000-0005-0000-0000-000007090000}"/>
    <cellStyle name="Normal 7 6 3 3 3 5" xfId="5745" xr:uid="{00000000-0005-0000-0000-000006050000}"/>
    <cellStyle name="Normal 7 6 3 3 3 6" xfId="5289" xr:uid="{00000000-0005-0000-0000-000067040000}"/>
    <cellStyle name="Normal 7 6 3 3 4" xfId="3492" xr:uid="{00000000-0005-0000-0000-000008090000}"/>
    <cellStyle name="Normal 7 6 3 3 4 2" xfId="6457" xr:uid="{00000000-0005-0000-0000-00004C0B0000}"/>
    <cellStyle name="Normal 7 6 3 3 4 2 2" xfId="11484" xr:uid="{00000000-0005-0000-0000-00004C0B0000}"/>
    <cellStyle name="Normal 7 6 3 3 4 3" xfId="8895" xr:uid="{00000000-0005-0000-0000-00004D0C0000}"/>
    <cellStyle name="Normal 7 6 3 3 4 4" xfId="11292" xr:uid="{00000000-0005-0000-0000-00004D0C0000}"/>
    <cellStyle name="Normal 7 6 3 3 4 5" xfId="11947" xr:uid="{00000000-0005-0000-0000-0000D82E0000}"/>
    <cellStyle name="Normal 7 6 3 3 5" xfId="2639" xr:uid="{00000000-0005-0000-0000-000009090000}"/>
    <cellStyle name="Normal 7 6 3 3 5 2" xfId="7838" xr:uid="{00000000-0005-0000-0000-00004E0C0000}"/>
    <cellStyle name="Normal 7 6 3 3 5 3" xfId="10235" xr:uid="{00000000-0005-0000-0000-00004E0C0000}"/>
    <cellStyle name="Normal 7 6 3 3 6" xfId="2152" xr:uid="{00000000-0005-0000-0000-000031030000}"/>
    <cellStyle name="Normal 7 6 3 3 6 2" xfId="4639" xr:uid="{00000000-0005-0000-0000-000003090000}"/>
    <cellStyle name="Normal 7 6 3 3 7" xfId="4084" xr:uid="{00000000-0005-0000-0000-000031030000}"/>
    <cellStyle name="Normal 7 6 3 3 8" xfId="5516" xr:uid="{00000000-0005-0000-0000-000004050000}"/>
    <cellStyle name="Normal 7 6 3 3 9" xfId="4987" xr:uid="{00000000-0005-0000-0000-000064040000}"/>
    <cellStyle name="Normal 7 6 3 4" xfId="1492" xr:uid="{00000000-0005-0000-0000-0000AD070000}"/>
    <cellStyle name="Normal 7 6 3 4 2" xfId="3496" xr:uid="{00000000-0005-0000-0000-00000B090000}"/>
    <cellStyle name="Normal 7 6 3 4 2 2" xfId="8898" xr:uid="{00000000-0005-0000-0000-0000500C0000}"/>
    <cellStyle name="Normal 7 6 3 4 2 2 2" xfId="11939" xr:uid="{00000000-0005-0000-0000-0000C30C0000}"/>
    <cellStyle name="Normal 7 6 3 4 2 3" xfId="11295" xr:uid="{00000000-0005-0000-0000-0000500C0000}"/>
    <cellStyle name="Normal 7 6 3 4 2 4" xfId="11724" xr:uid="{00000000-0005-0000-0000-0000C20C0000}"/>
    <cellStyle name="Normal 7 6 3 4 3" xfId="2845" xr:uid="{00000000-0005-0000-0000-00000C090000}"/>
    <cellStyle name="Normal 7 6 3 4 3 2" xfId="8135" xr:uid="{00000000-0005-0000-0000-0000510C0000}"/>
    <cellStyle name="Normal 7 6 3 4 3 3" xfId="10532" xr:uid="{00000000-0005-0000-0000-0000510C0000}"/>
    <cellStyle name="Normal 7 6 3 4 4" xfId="4228" xr:uid="{00000000-0005-0000-0000-00000A090000}"/>
    <cellStyle name="Normal 7 6 3 4 4 2" xfId="11831" xr:uid="{00000000-0005-0000-0000-0000C50C0000}"/>
    <cellStyle name="Normal 7 6 3 4 5" xfId="6017" xr:uid="{00000000-0005-0000-0000-000007050000}"/>
    <cellStyle name="Normal 7 6 3 4 6" xfId="7578" xr:uid="{00000000-0005-0000-0000-00004F0C0000}"/>
    <cellStyle name="Normal 7 6 3 4 7" xfId="9976" xr:uid="{00000000-0005-0000-0000-00004F0C0000}"/>
    <cellStyle name="Normal 7 6 3 5" xfId="1493" xr:uid="{00000000-0005-0000-0000-0000AE070000}"/>
    <cellStyle name="Normal 7 6 3 5 2" xfId="4606" xr:uid="{00000000-0005-0000-0000-00000D090000}"/>
    <cellStyle name="Normal 7 6 3 5 2 2" xfId="8899" xr:uid="{00000000-0005-0000-0000-0000530C0000}"/>
    <cellStyle name="Normal 7 6 3 5 2 3" xfId="11296" xr:uid="{00000000-0005-0000-0000-0000530C0000}"/>
    <cellStyle name="Normal 7 6 3 5 3" xfId="5601" xr:uid="{00000000-0005-0000-0000-000008050000}"/>
    <cellStyle name="Normal 7 6 3 5 4" xfId="7579" xr:uid="{00000000-0005-0000-0000-0000520C0000}"/>
    <cellStyle name="Normal 7 6 3 5 5" xfId="9977" xr:uid="{00000000-0005-0000-0000-0000520C0000}"/>
    <cellStyle name="Normal 7 6 3 6" xfId="3001" xr:uid="{00000000-0005-0000-0000-00000E090000}"/>
    <cellStyle name="Normal 7 6 3 6 2" xfId="8311" xr:uid="{00000000-0005-0000-0000-0000540C0000}"/>
    <cellStyle name="Normal 7 6 3 6 2 2" xfId="11847" xr:uid="{00000000-0005-0000-0000-0000C90C0000}"/>
    <cellStyle name="Normal 7 6 3 6 3" xfId="10708" xr:uid="{00000000-0005-0000-0000-0000540C0000}"/>
    <cellStyle name="Normal 7 6 3 7" xfId="2477" xr:uid="{00000000-0005-0000-0000-00000F090000}"/>
    <cellStyle name="Normal 7 6 3 7 2" xfId="7675" xr:uid="{00000000-0005-0000-0000-0000550C0000}"/>
    <cellStyle name="Normal 7 6 3 7 3" xfId="10072" xr:uid="{00000000-0005-0000-0000-0000550C0000}"/>
    <cellStyle name="Normal 7 6 3 8" xfId="2231" xr:uid="{00000000-0005-0000-0000-0000FC080000}"/>
    <cellStyle name="Normal 7 6 3 9" xfId="4082" xr:uid="{00000000-0005-0000-0000-00002F030000}"/>
    <cellStyle name="Normal 7 6 4" xfId="1494" xr:uid="{00000000-0005-0000-0000-0000AF070000}"/>
    <cellStyle name="Normal 7 6 4 10" xfId="4791" xr:uid="{00000000-0005-0000-0000-000068040000}"/>
    <cellStyle name="Normal 7 6 4 11" xfId="6733" xr:uid="{00000000-0005-0000-0000-0000560C0000}"/>
    <cellStyle name="Normal 7 6 4 12" xfId="9154" xr:uid="{00000000-0005-0000-0000-0000560C0000}"/>
    <cellStyle name="Normal 7 6 4 2" xfId="1495" xr:uid="{00000000-0005-0000-0000-0000B0070000}"/>
    <cellStyle name="Normal 7 6 4 2 10" xfId="6894" xr:uid="{00000000-0005-0000-0000-0000570C0000}"/>
    <cellStyle name="Normal 7 6 4 2 11" xfId="9315" xr:uid="{00000000-0005-0000-0000-0000570C0000}"/>
    <cellStyle name="Normal 7 6 4 2 2" xfId="1496" xr:uid="{00000000-0005-0000-0000-0000B1070000}"/>
    <cellStyle name="Normal 7 6 4 2 2 2" xfId="3498" xr:uid="{00000000-0005-0000-0000-000013090000}"/>
    <cellStyle name="Normal 7 6 4 2 2 2 2" xfId="8901" xr:uid="{00000000-0005-0000-0000-0000590C0000}"/>
    <cellStyle name="Normal 7 6 4 2 2 2 3" xfId="11298" xr:uid="{00000000-0005-0000-0000-0000590C0000}"/>
    <cellStyle name="Normal 7 6 4 2 2 3" xfId="4379" xr:uid="{00000000-0005-0000-0000-000012090000}"/>
    <cellStyle name="Normal 7 6 4 2 2 3 2" xfId="8139" xr:uid="{00000000-0005-0000-0000-00005A0C0000}"/>
    <cellStyle name="Normal 7 6 4 2 2 3 3" xfId="10536" xr:uid="{00000000-0005-0000-0000-00005A0C0000}"/>
    <cellStyle name="Normal 7 6 4 2 2 4" xfId="6021" xr:uid="{00000000-0005-0000-0000-00000B050000}"/>
    <cellStyle name="Normal 7 6 4 2 2 5" xfId="5267" xr:uid="{00000000-0005-0000-0000-00006A040000}"/>
    <cellStyle name="Normal 7 6 4 2 2 6" xfId="7582" xr:uid="{00000000-0005-0000-0000-0000580C0000}"/>
    <cellStyle name="Normal 7 6 4 2 2 7" xfId="9980" xr:uid="{00000000-0005-0000-0000-0000580C0000}"/>
    <cellStyle name="Normal 7 6 4 2 3" xfId="3499" xr:uid="{00000000-0005-0000-0000-000014090000}"/>
    <cellStyle name="Normal 7 6 4 2 3 2" xfId="4607" xr:uid="{00000000-0005-0000-0000-000014090000}"/>
    <cellStyle name="Normal 7 6 4 2 3 2 2" xfId="8902" xr:uid="{00000000-0005-0000-0000-00005C0C0000}"/>
    <cellStyle name="Normal 7 6 4 2 3 2 3" xfId="11299" xr:uid="{00000000-0005-0000-0000-00005C0C0000}"/>
    <cellStyle name="Normal 7 6 4 2 3 3" xfId="5726" xr:uid="{00000000-0005-0000-0000-00000C050000}"/>
    <cellStyle name="Normal 7 6 4 2 3 4" xfId="7581" xr:uid="{00000000-0005-0000-0000-00005B0C0000}"/>
    <cellStyle name="Normal 7 6 4 2 3 5" xfId="9979" xr:uid="{00000000-0005-0000-0000-00005B0C0000}"/>
    <cellStyle name="Normal 7 6 4 2 4" xfId="3497" xr:uid="{00000000-0005-0000-0000-000015090000}"/>
    <cellStyle name="Normal 7 6 4 2 4 2" xfId="8900" xr:uid="{00000000-0005-0000-0000-00005D0C0000}"/>
    <cellStyle name="Normal 7 6 4 2 4 3" xfId="11297" xr:uid="{00000000-0005-0000-0000-00005D0C0000}"/>
    <cellStyle name="Normal 7 6 4 2 5" xfId="2620" xr:uid="{00000000-0005-0000-0000-000016090000}"/>
    <cellStyle name="Normal 7 6 4 2 5 2" xfId="7818" xr:uid="{00000000-0005-0000-0000-00005E0C0000}"/>
    <cellStyle name="Normal 7 6 4 2 5 3" xfId="10215" xr:uid="{00000000-0005-0000-0000-00005E0C0000}"/>
    <cellStyle name="Normal 7 6 4 2 6" xfId="2412" xr:uid="{00000000-0005-0000-0000-000011090000}"/>
    <cellStyle name="Normal 7 6 4 2 7" xfId="4109" xr:uid="{00000000-0005-0000-0000-000034030000}"/>
    <cellStyle name="Normal 7 6 4 2 8" xfId="5496" xr:uid="{00000000-0005-0000-0000-00000A050000}"/>
    <cellStyle name="Normal 7 6 4 2 9" xfId="4989" xr:uid="{00000000-0005-0000-0000-000069040000}"/>
    <cellStyle name="Normal 7 6 4 3" xfId="1497" xr:uid="{00000000-0005-0000-0000-0000B2070000}"/>
    <cellStyle name="Normal 7 6 4 3 2" xfId="3500" xr:uid="{00000000-0005-0000-0000-000018090000}"/>
    <cellStyle name="Normal 7 6 4 3 2 2" xfId="8903" xr:uid="{00000000-0005-0000-0000-0000600C0000}"/>
    <cellStyle name="Normal 7 6 4 3 2 2 2" xfId="11940" xr:uid="{00000000-0005-0000-0000-0000D60C0000}"/>
    <cellStyle name="Normal 7 6 4 3 2 3" xfId="11300" xr:uid="{00000000-0005-0000-0000-0000600C0000}"/>
    <cellStyle name="Normal 7 6 4 3 2 4" xfId="11725" xr:uid="{00000000-0005-0000-0000-0000D50C0000}"/>
    <cellStyle name="Normal 7 6 4 3 3" xfId="2847" xr:uid="{00000000-0005-0000-0000-000019090000}"/>
    <cellStyle name="Normal 7 6 4 3 3 2" xfId="8138" xr:uid="{00000000-0005-0000-0000-0000610C0000}"/>
    <cellStyle name="Normal 7 6 4 3 3 3" xfId="10535" xr:uid="{00000000-0005-0000-0000-0000610C0000}"/>
    <cellStyle name="Normal 7 6 4 3 4" xfId="4229" xr:uid="{00000000-0005-0000-0000-000017090000}"/>
    <cellStyle name="Normal 7 6 4 3 4 2" xfId="11832" xr:uid="{00000000-0005-0000-0000-0000D80C0000}"/>
    <cellStyle name="Normal 7 6 4 3 5" xfId="6020" xr:uid="{00000000-0005-0000-0000-00000D050000}"/>
    <cellStyle name="Normal 7 6 4 3 6" xfId="5266" xr:uid="{00000000-0005-0000-0000-00006B040000}"/>
    <cellStyle name="Normal 7 6 4 3 7" xfId="7583" xr:uid="{00000000-0005-0000-0000-00005F0C0000}"/>
    <cellStyle name="Normal 7 6 4 3 8" xfId="9981" xr:uid="{00000000-0005-0000-0000-00005F0C0000}"/>
    <cellStyle name="Normal 7 6 4 4" xfId="1498" xr:uid="{00000000-0005-0000-0000-0000B3070000}"/>
    <cellStyle name="Normal 7 6 4 4 2" xfId="4608" xr:uid="{00000000-0005-0000-0000-00001A090000}"/>
    <cellStyle name="Normal 7 6 4 4 2 2" xfId="8904" xr:uid="{00000000-0005-0000-0000-0000630C0000}"/>
    <cellStyle name="Normal 7 6 4 4 2 3" xfId="11301" xr:uid="{00000000-0005-0000-0000-0000630C0000}"/>
    <cellStyle name="Normal 7 6 4 4 3" xfId="5581" xr:uid="{00000000-0005-0000-0000-00000E050000}"/>
    <cellStyle name="Normal 7 6 4 4 4" xfId="7584" xr:uid="{00000000-0005-0000-0000-0000620C0000}"/>
    <cellStyle name="Normal 7 6 4 4 5" xfId="9982" xr:uid="{00000000-0005-0000-0000-0000620C0000}"/>
    <cellStyle name="Normal 7 6 4 5" xfId="3002" xr:uid="{00000000-0005-0000-0000-00001B090000}"/>
    <cellStyle name="Normal 7 6 4 5 2" xfId="8312" xr:uid="{00000000-0005-0000-0000-0000650C0000}"/>
    <cellStyle name="Normal 7 6 4 5 2 2" xfId="10709" xr:uid="{00000000-0005-0000-0000-0000650C0000}"/>
    <cellStyle name="Normal 7 6 4 5 3" xfId="7580" xr:uid="{00000000-0005-0000-0000-0000640C0000}"/>
    <cellStyle name="Normal 7 6 4 5 4" xfId="9978" xr:uid="{00000000-0005-0000-0000-0000640C0000}"/>
    <cellStyle name="Normal 7 6 4 6" xfId="2457" xr:uid="{00000000-0005-0000-0000-00001C090000}"/>
    <cellStyle name="Normal 7 6 4 6 2" xfId="7655" xr:uid="{00000000-0005-0000-0000-0000660C0000}"/>
    <cellStyle name="Normal 7 6 4 6 3" xfId="10052" xr:uid="{00000000-0005-0000-0000-0000660C0000}"/>
    <cellStyle name="Normal 7 6 4 7" xfId="2211" xr:uid="{00000000-0005-0000-0000-000010090000}"/>
    <cellStyle name="Normal 7 6 4 8" xfId="4085" xr:uid="{00000000-0005-0000-0000-000033030000}"/>
    <cellStyle name="Normal 7 6 4 9" xfId="5335" xr:uid="{00000000-0005-0000-0000-000009050000}"/>
    <cellStyle name="Normal 7 6 5" xfId="1499" xr:uid="{00000000-0005-0000-0000-0000B4070000}"/>
    <cellStyle name="Normal 7 6 5 10" xfId="6734" xr:uid="{00000000-0005-0000-0000-0000670C0000}"/>
    <cellStyle name="Normal 7 6 5 11" xfId="9155" xr:uid="{00000000-0005-0000-0000-0000670C0000}"/>
    <cellStyle name="Normal 7 6 5 2" xfId="1500" xr:uid="{00000000-0005-0000-0000-0000B5070000}"/>
    <cellStyle name="Normal 7 6 5 2 2" xfId="1501" xr:uid="{00000000-0005-0000-0000-0000B6070000}"/>
    <cellStyle name="Normal 7 6 5 2 2 2" xfId="6435" xr:uid="{00000000-0005-0000-0000-00001F090000}"/>
    <cellStyle name="Normal 7 6 5 2 2 2 2" xfId="8905" xr:uid="{00000000-0005-0000-0000-00006A0C0000}"/>
    <cellStyle name="Normal 7 6 5 2 2 2 3" xfId="11302" xr:uid="{00000000-0005-0000-0000-00006A0C0000}"/>
    <cellStyle name="Normal 7 6 5 2 2 3" xfId="7587" xr:uid="{00000000-0005-0000-0000-0000690C0000}"/>
    <cellStyle name="Normal 7 6 5 2 2 3 2" xfId="12103" xr:uid="{00000000-0005-0000-0000-000044090000}"/>
    <cellStyle name="Normal 7 6 5 2 2 4" xfId="9985" xr:uid="{00000000-0005-0000-0000-0000690C0000}"/>
    <cellStyle name="Normal 7 6 5 2 2 5" xfId="12058" xr:uid="{00000000-0005-0000-0000-000042090000}"/>
    <cellStyle name="Normal 7 6 5 2 3" xfId="2848" xr:uid="{00000000-0005-0000-0000-000020090000}"/>
    <cellStyle name="Normal 7 6 5 2 3 2" xfId="6249" xr:uid="{00000000-0005-0000-0000-000020090000}"/>
    <cellStyle name="Normal 7 6 5 2 3 3" xfId="7586" xr:uid="{00000000-0005-0000-0000-00006B0C0000}"/>
    <cellStyle name="Normal 7 6 5 2 3 4" xfId="9984" xr:uid="{00000000-0005-0000-0000-00006B0C0000}"/>
    <cellStyle name="Normal 7 6 5 2 4" xfId="4230" xr:uid="{00000000-0005-0000-0000-00001E090000}"/>
    <cellStyle name="Normal 7 6 5 2 4 2" xfId="8140" xr:uid="{00000000-0005-0000-0000-00006C0C0000}"/>
    <cellStyle name="Normal 7 6 5 2 4 3" xfId="10537" xr:uid="{00000000-0005-0000-0000-00006C0C0000}"/>
    <cellStyle name="Normal 7 6 5 2 5" xfId="6022" xr:uid="{00000000-0005-0000-0000-000010050000}"/>
    <cellStyle name="Normal 7 6 5 2 6" xfId="5268" xr:uid="{00000000-0005-0000-0000-00006D040000}"/>
    <cellStyle name="Normal 7 6 5 2 7" xfId="6895" xr:uid="{00000000-0005-0000-0000-0000680C0000}"/>
    <cellStyle name="Normal 7 6 5 2 8" xfId="9316" xr:uid="{00000000-0005-0000-0000-0000680C0000}"/>
    <cellStyle name="Normal 7 6 5 3" xfId="1502" xr:uid="{00000000-0005-0000-0000-0000B7070000}"/>
    <cellStyle name="Normal 7 6 5 3 2" xfId="4609" xr:uid="{00000000-0005-0000-0000-000021090000}"/>
    <cellStyle name="Normal 7 6 5 3 2 2" xfId="8906" xr:uid="{00000000-0005-0000-0000-00006E0C0000}"/>
    <cellStyle name="Normal 7 6 5 3 2 3" xfId="11303" xr:uid="{00000000-0005-0000-0000-00006E0C0000}"/>
    <cellStyle name="Normal 7 6 5 3 3" xfId="5641" xr:uid="{00000000-0005-0000-0000-000011050000}"/>
    <cellStyle name="Normal 7 6 5 3 3 2" xfId="11726" xr:uid="{00000000-0005-0000-0000-0000E60C0000}"/>
    <cellStyle name="Normal 7 6 5 3 4" xfId="7588" xr:uid="{00000000-0005-0000-0000-00006D0C0000}"/>
    <cellStyle name="Normal 7 6 5 3 4 2" xfId="11941" xr:uid="{00000000-0005-0000-0000-0000E70C0000}"/>
    <cellStyle name="Normal 7 6 5 3 5" xfId="9986" xr:uid="{00000000-0005-0000-0000-00006D0C0000}"/>
    <cellStyle name="Normal 7 6 5 3 6" xfId="11656" xr:uid="{00000000-0005-0000-0000-0000E40C0000}"/>
    <cellStyle name="Normal 7 6 5 4" xfId="1503" xr:uid="{00000000-0005-0000-0000-0000B8070000}"/>
    <cellStyle name="Normal 7 6 5 4 2" xfId="6348" xr:uid="{00000000-0005-0000-0000-000022090000}"/>
    <cellStyle name="Normal 7 6 5 4 2 2" xfId="8313" xr:uid="{00000000-0005-0000-0000-0000700C0000}"/>
    <cellStyle name="Normal 7 6 5 4 2 3" xfId="10710" xr:uid="{00000000-0005-0000-0000-0000700C0000}"/>
    <cellStyle name="Normal 7 6 5 4 3" xfId="7589" xr:uid="{00000000-0005-0000-0000-00006F0C0000}"/>
    <cellStyle name="Normal 7 6 5 4 4" xfId="9987" xr:uid="{00000000-0005-0000-0000-00006F0C0000}"/>
    <cellStyle name="Normal 7 6 5 5" xfId="2517" xr:uid="{00000000-0005-0000-0000-000023090000}"/>
    <cellStyle name="Normal 7 6 5 5 2" xfId="7585" xr:uid="{00000000-0005-0000-0000-0000710C0000}"/>
    <cellStyle name="Normal 7 6 5 5 3" xfId="9983" xr:uid="{00000000-0005-0000-0000-0000710C0000}"/>
    <cellStyle name="Normal 7 6 5 6" xfId="2413" xr:uid="{00000000-0005-0000-0000-00001D090000}"/>
    <cellStyle name="Normal 7 6 5 6 2" xfId="7715" xr:uid="{00000000-0005-0000-0000-0000720C0000}"/>
    <cellStyle name="Normal 7 6 5 6 3" xfId="10112" xr:uid="{00000000-0005-0000-0000-0000720C0000}"/>
    <cellStyle name="Normal 7 6 5 7" xfId="4086" xr:uid="{00000000-0005-0000-0000-000035030000}"/>
    <cellStyle name="Normal 7 6 5 8" xfId="5395" xr:uid="{00000000-0005-0000-0000-00000F050000}"/>
    <cellStyle name="Normal 7 6 5 9" xfId="4990" xr:uid="{00000000-0005-0000-0000-00006C040000}"/>
    <cellStyle name="Normal 7 6 6" xfId="1504" xr:uid="{00000000-0005-0000-0000-0000B9070000}"/>
    <cellStyle name="Normal 7 6 6 10" xfId="6735" xr:uid="{00000000-0005-0000-0000-0000730C0000}"/>
    <cellStyle name="Normal 7 6 6 11" xfId="9156" xr:uid="{00000000-0005-0000-0000-0000730C0000}"/>
    <cellStyle name="Normal 7 6 6 2" xfId="1505" xr:uid="{00000000-0005-0000-0000-0000BA070000}"/>
    <cellStyle name="Normal 7 6 6 2 2" xfId="1506" xr:uid="{00000000-0005-0000-0000-0000BB070000}"/>
    <cellStyle name="Normal 7 6 6 2 2 2" xfId="6436" xr:uid="{00000000-0005-0000-0000-000026090000}"/>
    <cellStyle name="Normal 7 6 6 2 2 2 2" xfId="8907" xr:uid="{00000000-0005-0000-0000-0000760C0000}"/>
    <cellStyle name="Normal 7 6 6 2 2 2 3" xfId="11304" xr:uid="{00000000-0005-0000-0000-0000760C0000}"/>
    <cellStyle name="Normal 7 6 6 2 2 3" xfId="7592" xr:uid="{00000000-0005-0000-0000-0000750C0000}"/>
    <cellStyle name="Normal 7 6 6 2 2 3 2" xfId="12104" xr:uid="{00000000-0005-0000-0000-000050090000}"/>
    <cellStyle name="Normal 7 6 6 2 2 4" xfId="9990" xr:uid="{00000000-0005-0000-0000-0000750C0000}"/>
    <cellStyle name="Normal 7 6 6 2 2 5" xfId="12059" xr:uid="{00000000-0005-0000-0000-00004E090000}"/>
    <cellStyle name="Normal 7 6 6 2 3" xfId="2849" xr:uid="{00000000-0005-0000-0000-000027090000}"/>
    <cellStyle name="Normal 7 6 6 2 3 2" xfId="6250" xr:uid="{00000000-0005-0000-0000-000027090000}"/>
    <cellStyle name="Normal 7 6 6 2 3 3" xfId="7591" xr:uid="{00000000-0005-0000-0000-0000770C0000}"/>
    <cellStyle name="Normal 7 6 6 2 3 4" xfId="9989" xr:uid="{00000000-0005-0000-0000-0000770C0000}"/>
    <cellStyle name="Normal 7 6 6 2 4" xfId="4231" xr:uid="{00000000-0005-0000-0000-000025090000}"/>
    <cellStyle name="Normal 7 6 6 2 4 2" xfId="8141" xr:uid="{00000000-0005-0000-0000-0000780C0000}"/>
    <cellStyle name="Normal 7 6 6 2 4 3" xfId="10538" xr:uid="{00000000-0005-0000-0000-0000780C0000}"/>
    <cellStyle name="Normal 7 6 6 2 5" xfId="6023" xr:uid="{00000000-0005-0000-0000-000013050000}"/>
    <cellStyle name="Normal 7 6 6 2 6" xfId="5269" xr:uid="{00000000-0005-0000-0000-00006F040000}"/>
    <cellStyle name="Normal 7 6 6 2 7" xfId="6896" xr:uid="{00000000-0005-0000-0000-0000740C0000}"/>
    <cellStyle name="Normal 7 6 6 2 8" xfId="9317" xr:uid="{00000000-0005-0000-0000-0000740C0000}"/>
    <cellStyle name="Normal 7 6 6 3" xfId="1507" xr:uid="{00000000-0005-0000-0000-0000BC070000}"/>
    <cellStyle name="Normal 7 6 6 3 2" xfId="4610" xr:uid="{00000000-0005-0000-0000-000028090000}"/>
    <cellStyle name="Normal 7 6 6 3 2 2" xfId="8908" xr:uid="{00000000-0005-0000-0000-00007A0C0000}"/>
    <cellStyle name="Normal 7 6 6 3 2 3" xfId="11305" xr:uid="{00000000-0005-0000-0000-00007A0C0000}"/>
    <cellStyle name="Normal 7 6 6 3 3" xfId="5687" xr:uid="{00000000-0005-0000-0000-000014050000}"/>
    <cellStyle name="Normal 7 6 6 3 3 2" xfId="12105" xr:uid="{00000000-0005-0000-0000-000055090000}"/>
    <cellStyle name="Normal 7 6 6 3 4" xfId="7593" xr:uid="{00000000-0005-0000-0000-0000790C0000}"/>
    <cellStyle name="Normal 7 6 6 3 5" xfId="9991" xr:uid="{00000000-0005-0000-0000-0000790C0000}"/>
    <cellStyle name="Normal 7 6 6 4" xfId="1508" xr:uid="{00000000-0005-0000-0000-0000BD070000}"/>
    <cellStyle name="Normal 7 6 6 4 2" xfId="6349" xr:uid="{00000000-0005-0000-0000-000029090000}"/>
    <cellStyle name="Normal 7 6 6 4 2 2" xfId="8314" xr:uid="{00000000-0005-0000-0000-00007C0C0000}"/>
    <cellStyle name="Normal 7 6 6 4 2 3" xfId="10711" xr:uid="{00000000-0005-0000-0000-00007C0C0000}"/>
    <cellStyle name="Normal 7 6 6 4 3" xfId="7594" xr:uid="{00000000-0005-0000-0000-00007B0C0000}"/>
    <cellStyle name="Normal 7 6 6 4 4" xfId="9992" xr:uid="{00000000-0005-0000-0000-00007B0C0000}"/>
    <cellStyle name="Normal 7 6 6 5" xfId="2580" xr:uid="{00000000-0005-0000-0000-00002A090000}"/>
    <cellStyle name="Normal 7 6 6 5 2" xfId="7590" xr:uid="{00000000-0005-0000-0000-00007D0C0000}"/>
    <cellStyle name="Normal 7 6 6 5 3" xfId="9988" xr:uid="{00000000-0005-0000-0000-00007D0C0000}"/>
    <cellStyle name="Normal 7 6 6 6" xfId="2414" xr:uid="{00000000-0005-0000-0000-000024090000}"/>
    <cellStyle name="Normal 7 6 6 6 2" xfId="7778" xr:uid="{00000000-0005-0000-0000-00007E0C0000}"/>
    <cellStyle name="Normal 7 6 6 6 3" xfId="10175" xr:uid="{00000000-0005-0000-0000-00007E0C0000}"/>
    <cellStyle name="Normal 7 6 6 7" xfId="4087" xr:uid="{00000000-0005-0000-0000-000036030000}"/>
    <cellStyle name="Normal 7 6 6 8" xfId="5456" xr:uid="{00000000-0005-0000-0000-000012050000}"/>
    <cellStyle name="Normal 7 6 6 9" xfId="4991" xr:uid="{00000000-0005-0000-0000-00006E040000}"/>
    <cellStyle name="Normal 7 6 7" xfId="1509" xr:uid="{00000000-0005-0000-0000-0000BE070000}"/>
    <cellStyle name="Normal 7 6 7 2" xfId="1510" xr:uid="{00000000-0005-0000-0000-0000BF070000}"/>
    <cellStyle name="Normal 7 6 7 2 2" xfId="3003" xr:uid="{00000000-0005-0000-0000-00002D090000}"/>
    <cellStyle name="Normal 7 6 7 2 2 2" xfId="6350" xr:uid="{00000000-0005-0000-0000-00002D090000}"/>
    <cellStyle name="Normal 7 6 7 2 2 3" xfId="7596" xr:uid="{00000000-0005-0000-0000-0000810C0000}"/>
    <cellStyle name="Normal 7 6 7 2 2 4" xfId="9994" xr:uid="{00000000-0005-0000-0000-0000810C0000}"/>
    <cellStyle name="Normal 7 6 7 2 3" xfId="4749" xr:uid="{00000000-0005-0000-0000-000082060000}"/>
    <cellStyle name="Normal 7 6 7 2 3 2" xfId="6136" xr:uid="{00000000-0005-0000-0000-00002C090000}"/>
    <cellStyle name="Normal 7 6 7 2 3 3" xfId="8315" xr:uid="{00000000-0005-0000-0000-0000820C0000}"/>
    <cellStyle name="Normal 7 6 7 2 3 4" xfId="10712" xr:uid="{00000000-0005-0000-0000-0000820C0000}"/>
    <cellStyle name="Normal 7 6 7 2 4" xfId="5270" xr:uid="{00000000-0005-0000-0000-000071040000}"/>
    <cellStyle name="Normal 7 6 7 2 5" xfId="6897" xr:uid="{00000000-0005-0000-0000-0000800C0000}"/>
    <cellStyle name="Normal 7 6 7 2 6" xfId="9318" xr:uid="{00000000-0005-0000-0000-0000800C0000}"/>
    <cellStyle name="Normal 7 6 7 3" xfId="1511" xr:uid="{00000000-0005-0000-0000-0000C0070000}"/>
    <cellStyle name="Normal 7 6 7 3 2" xfId="6251" xr:uid="{00000000-0005-0000-0000-00002E090000}"/>
    <cellStyle name="Normal 7 6 7 3 3" xfId="7597" xr:uid="{00000000-0005-0000-0000-0000830C0000}"/>
    <cellStyle name="Normal 7 6 7 3 4" xfId="9995" xr:uid="{00000000-0005-0000-0000-0000830C0000}"/>
    <cellStyle name="Normal 7 6 7 4" xfId="2415" xr:uid="{00000000-0005-0000-0000-00002B090000}"/>
    <cellStyle name="Normal 7 6 7 4 2" xfId="6086" xr:uid="{00000000-0005-0000-0000-00002B090000}"/>
    <cellStyle name="Normal 7 6 7 4 3" xfId="7595" xr:uid="{00000000-0005-0000-0000-0000840C0000}"/>
    <cellStyle name="Normal 7 6 7 4 4" xfId="9993" xr:uid="{00000000-0005-0000-0000-0000840C0000}"/>
    <cellStyle name="Normal 7 6 7 5" xfId="4088" xr:uid="{00000000-0005-0000-0000-000037030000}"/>
    <cellStyle name="Normal 7 6 7 5 2" xfId="8142" xr:uid="{00000000-0005-0000-0000-0000850C0000}"/>
    <cellStyle name="Normal 7 6 7 5 3" xfId="10539" xr:uid="{00000000-0005-0000-0000-0000850C0000}"/>
    <cellStyle name="Normal 7 6 7 6" xfId="6024" xr:uid="{00000000-0005-0000-0000-000015050000}"/>
    <cellStyle name="Normal 7 6 7 7" xfId="4992" xr:uid="{00000000-0005-0000-0000-000070040000}"/>
    <cellStyle name="Normal 7 6 7 8" xfId="6736" xr:uid="{00000000-0005-0000-0000-00007F0C0000}"/>
    <cellStyle name="Normal 7 6 7 9" xfId="9157" xr:uid="{00000000-0005-0000-0000-00007F0C0000}"/>
    <cellStyle name="Normal 7 6 8" xfId="1512" xr:uid="{00000000-0005-0000-0000-0000C1070000}"/>
    <cellStyle name="Normal 7 6 8 2" xfId="1513" xr:uid="{00000000-0005-0000-0000-0000C2070000}"/>
    <cellStyle name="Normal 7 6 8 2 2" xfId="3004" xr:uid="{00000000-0005-0000-0000-000031090000}"/>
    <cellStyle name="Normal 7 6 8 2 2 2" xfId="6351" xr:uid="{00000000-0005-0000-0000-000031090000}"/>
    <cellStyle name="Normal 7 6 8 2 2 3" xfId="7599" xr:uid="{00000000-0005-0000-0000-0000880C0000}"/>
    <cellStyle name="Normal 7 6 8 2 2 4" xfId="9997" xr:uid="{00000000-0005-0000-0000-0000880C0000}"/>
    <cellStyle name="Normal 7 6 8 2 3" xfId="4750" xr:uid="{00000000-0005-0000-0000-000088060000}"/>
    <cellStyle name="Normal 7 6 8 2 3 2" xfId="6137" xr:uid="{00000000-0005-0000-0000-000030090000}"/>
    <cellStyle name="Normal 7 6 8 2 3 3" xfId="8316" xr:uid="{00000000-0005-0000-0000-0000890C0000}"/>
    <cellStyle name="Normal 7 6 8 2 3 4" xfId="10713" xr:uid="{00000000-0005-0000-0000-0000890C0000}"/>
    <cellStyle name="Normal 7 6 8 2 4" xfId="5271" xr:uid="{00000000-0005-0000-0000-000073040000}"/>
    <cellStyle name="Normal 7 6 8 2 5" xfId="6898" xr:uid="{00000000-0005-0000-0000-0000870C0000}"/>
    <cellStyle name="Normal 7 6 8 2 6" xfId="9319" xr:uid="{00000000-0005-0000-0000-0000870C0000}"/>
    <cellStyle name="Normal 7 6 8 3" xfId="1514" xr:uid="{00000000-0005-0000-0000-0000C3070000}"/>
    <cellStyle name="Normal 7 6 8 3 2" xfId="6252" xr:uid="{00000000-0005-0000-0000-000032090000}"/>
    <cellStyle name="Normal 7 6 8 3 3" xfId="7600" xr:uid="{00000000-0005-0000-0000-00008A0C0000}"/>
    <cellStyle name="Normal 7 6 8 3 4" xfId="9998" xr:uid="{00000000-0005-0000-0000-00008A0C0000}"/>
    <cellStyle name="Normal 7 6 8 4" xfId="2416" xr:uid="{00000000-0005-0000-0000-00002F090000}"/>
    <cellStyle name="Normal 7 6 8 4 2" xfId="6087" xr:uid="{00000000-0005-0000-0000-00002F090000}"/>
    <cellStyle name="Normal 7 6 8 4 3" xfId="7598" xr:uid="{00000000-0005-0000-0000-00008B0C0000}"/>
    <cellStyle name="Normal 7 6 8 4 4" xfId="9996" xr:uid="{00000000-0005-0000-0000-00008B0C0000}"/>
    <cellStyle name="Normal 7 6 8 5" xfId="4089" xr:uid="{00000000-0005-0000-0000-000038030000}"/>
    <cellStyle name="Normal 7 6 8 5 2" xfId="8143" xr:uid="{00000000-0005-0000-0000-00008C0C0000}"/>
    <cellStyle name="Normal 7 6 8 5 3" xfId="10540" xr:uid="{00000000-0005-0000-0000-00008C0C0000}"/>
    <cellStyle name="Normal 7 6 8 6" xfId="6025" xr:uid="{00000000-0005-0000-0000-000016050000}"/>
    <cellStyle name="Normal 7 6 8 7" xfId="4993" xr:uid="{00000000-0005-0000-0000-000072040000}"/>
    <cellStyle name="Normal 7 6 8 8" xfId="6737" xr:uid="{00000000-0005-0000-0000-0000860C0000}"/>
    <cellStyle name="Normal 7 6 8 9" xfId="9158" xr:uid="{00000000-0005-0000-0000-0000860C0000}"/>
    <cellStyle name="Normal 7 6 9" xfId="1515" xr:uid="{00000000-0005-0000-0000-0000C4070000}"/>
    <cellStyle name="Normal 7 7" xfId="1516" xr:uid="{00000000-0005-0000-0000-0000C5070000}"/>
    <cellStyle name="Normal 7 7 10" xfId="5369" xr:uid="{00000000-0005-0000-0000-000018050000}"/>
    <cellStyle name="Normal 7 7 11" xfId="4825" xr:uid="{00000000-0005-0000-0000-000075040000}"/>
    <cellStyle name="Normal 7 7 12" xfId="6571" xr:uid="{00000000-0005-0000-0000-00008E0C0000}"/>
    <cellStyle name="Normal 7 7 13" xfId="8992" xr:uid="{00000000-0005-0000-0000-00008E0C0000}"/>
    <cellStyle name="Normal 7 7 2" xfId="1517" xr:uid="{00000000-0005-0000-0000-0000C6070000}"/>
    <cellStyle name="Normal 7 7 2 10" xfId="4994" xr:uid="{00000000-0005-0000-0000-000076040000}"/>
    <cellStyle name="Normal 7 7 2 11" xfId="6738" xr:uid="{00000000-0005-0000-0000-00008F0C0000}"/>
    <cellStyle name="Normal 7 7 2 12" xfId="9159" xr:uid="{00000000-0005-0000-0000-00008F0C0000}"/>
    <cellStyle name="Normal 7 7 2 2" xfId="1518" xr:uid="{00000000-0005-0000-0000-0000C7070000}"/>
    <cellStyle name="Normal 7 7 2 2 2" xfId="2852" xr:uid="{00000000-0005-0000-0000-000037090000}"/>
    <cellStyle name="Normal 7 7 2 2 2 2" xfId="3503" xr:uid="{00000000-0005-0000-0000-000038090000}"/>
    <cellStyle name="Normal 7 7 2 2 2 2 2" xfId="8911" xr:uid="{00000000-0005-0000-0000-0000920C0000}"/>
    <cellStyle name="Normal 7 7 2 2 2 2 3" xfId="11308" xr:uid="{00000000-0005-0000-0000-0000920C0000}"/>
    <cellStyle name="Normal 7 7 2 2 2 3" xfId="4381" xr:uid="{00000000-0005-0000-0000-000037090000}"/>
    <cellStyle name="Normal 7 7 2 2 2 3 2" xfId="11421" xr:uid="{00000000-0005-0000-0000-0000840B0000}"/>
    <cellStyle name="Normal 7 7 2 2 2 4" xfId="8146" xr:uid="{00000000-0005-0000-0000-0000910C0000}"/>
    <cellStyle name="Normal 7 7 2 2 2 5" xfId="10543" xr:uid="{00000000-0005-0000-0000-0000910C0000}"/>
    <cellStyle name="Normal 7 7 2 2 3" xfId="3504" xr:uid="{00000000-0005-0000-0000-000039090000}"/>
    <cellStyle name="Normal 7 7 2 2 3 2" xfId="4611" xr:uid="{00000000-0005-0000-0000-000039090000}"/>
    <cellStyle name="Normal 7 7 2 2 3 3" xfId="8912" xr:uid="{00000000-0005-0000-0000-0000930C0000}"/>
    <cellStyle name="Normal 7 7 2 2 3 4" xfId="11309" xr:uid="{00000000-0005-0000-0000-0000930C0000}"/>
    <cellStyle name="Normal 7 7 2 2 4" xfId="3502" xr:uid="{00000000-0005-0000-0000-00003A090000}"/>
    <cellStyle name="Normal 7 7 2 2 4 2" xfId="8910" xr:uid="{00000000-0005-0000-0000-0000940C0000}"/>
    <cellStyle name="Normal 7 7 2 2 4 3" xfId="11307" xr:uid="{00000000-0005-0000-0000-0000940C0000}"/>
    <cellStyle name="Normal 7 7 2 2 5" xfId="4243" xr:uid="{00000000-0005-0000-0000-000036090000}"/>
    <cellStyle name="Normal 7 7 2 2 5 2" xfId="7852" xr:uid="{00000000-0005-0000-0000-0000950C0000}"/>
    <cellStyle name="Normal 7 7 2 2 5 3" xfId="10249" xr:uid="{00000000-0005-0000-0000-0000950C0000}"/>
    <cellStyle name="Normal 7 7 2 2 6" xfId="5530" xr:uid="{00000000-0005-0000-0000-00001A050000}"/>
    <cellStyle name="Normal 7 7 2 2 7" xfId="5273" xr:uid="{00000000-0005-0000-0000-000077040000}"/>
    <cellStyle name="Normal 7 7 2 2 8" xfId="7603" xr:uid="{00000000-0005-0000-0000-0000900C0000}"/>
    <cellStyle name="Normal 7 7 2 2 9" xfId="10001" xr:uid="{00000000-0005-0000-0000-0000900C0000}"/>
    <cellStyle name="Normal 7 7 2 3" xfId="2851" xr:uid="{00000000-0005-0000-0000-00003B090000}"/>
    <cellStyle name="Normal 7 7 2 3 2" xfId="3505" xr:uid="{00000000-0005-0000-0000-00003C090000}"/>
    <cellStyle name="Normal 7 7 2 3 2 2" xfId="8913" xr:uid="{00000000-0005-0000-0000-0000970C0000}"/>
    <cellStyle name="Normal 7 7 2 3 2 3" xfId="11310" xr:uid="{00000000-0005-0000-0000-0000970C0000}"/>
    <cellStyle name="Normal 7 7 2 3 3" xfId="4380" xr:uid="{00000000-0005-0000-0000-00003B090000}"/>
    <cellStyle name="Normal 7 7 2 3 3 2" xfId="8145" xr:uid="{00000000-0005-0000-0000-0000980C0000}"/>
    <cellStyle name="Normal 7 7 2 3 3 3" xfId="10542" xr:uid="{00000000-0005-0000-0000-0000980C0000}"/>
    <cellStyle name="Normal 7 7 2 3 4" xfId="6027" xr:uid="{00000000-0005-0000-0000-00001D050000}"/>
    <cellStyle name="Normal 7 7 2 3 5" xfId="7602" xr:uid="{00000000-0005-0000-0000-0000960C0000}"/>
    <cellStyle name="Normal 7 7 2 3 6" xfId="10000" xr:uid="{00000000-0005-0000-0000-0000960C0000}"/>
    <cellStyle name="Normal 7 7 2 4" xfId="3506" xr:uid="{00000000-0005-0000-0000-00003D090000}"/>
    <cellStyle name="Normal 7 7 2 4 2" xfId="4612" xr:uid="{00000000-0005-0000-0000-00003D090000}"/>
    <cellStyle name="Normal 7 7 2 4 3" xfId="8914" xr:uid="{00000000-0005-0000-0000-0000990C0000}"/>
    <cellStyle name="Normal 7 7 2 4 4" xfId="11311" xr:uid="{00000000-0005-0000-0000-0000990C0000}"/>
    <cellStyle name="Normal 7 7 2 5" xfId="3501" xr:uid="{00000000-0005-0000-0000-00003E090000}"/>
    <cellStyle name="Normal 7 7 2 5 2" xfId="8909" xr:uid="{00000000-0005-0000-0000-00009A0C0000}"/>
    <cellStyle name="Normal 7 7 2 5 3" xfId="11306" xr:uid="{00000000-0005-0000-0000-00009A0C0000}"/>
    <cellStyle name="Normal 7 7 2 6" xfId="2551" xr:uid="{00000000-0005-0000-0000-00003F090000}"/>
    <cellStyle name="Normal 7 7 2 6 2" xfId="7749" xr:uid="{00000000-0005-0000-0000-00009B0C0000}"/>
    <cellStyle name="Normal 7 7 2 6 3" xfId="10146" xr:uid="{00000000-0005-0000-0000-00009B0C0000}"/>
    <cellStyle name="Normal 7 7 2 7" xfId="2245" xr:uid="{00000000-0005-0000-0000-000035090000}"/>
    <cellStyle name="Normal 7 7 2 8" xfId="3798" xr:uid="{00000000-0005-0000-0000-00003B030000}"/>
    <cellStyle name="Normal 7 7 2 9" xfId="5429" xr:uid="{00000000-0005-0000-0000-000019050000}"/>
    <cellStyle name="Normal 7 7 3" xfId="1519" xr:uid="{00000000-0005-0000-0000-0000C8070000}"/>
    <cellStyle name="Normal 7 7 3 10" xfId="6899" xr:uid="{00000000-0005-0000-0000-00009C0C0000}"/>
    <cellStyle name="Normal 7 7 3 11" xfId="9320" xr:uid="{00000000-0005-0000-0000-00009C0C0000}"/>
    <cellStyle name="Normal 7 7 3 2" xfId="2853" xr:uid="{00000000-0005-0000-0000-000041090000}"/>
    <cellStyle name="Normal 7 7 3 2 2" xfId="3508" xr:uid="{00000000-0005-0000-0000-000042090000}"/>
    <cellStyle name="Normal 7 7 3 2 2 2" xfId="8916" xr:uid="{00000000-0005-0000-0000-00009E0C0000}"/>
    <cellStyle name="Normal 7 7 3 2 2 3" xfId="11313" xr:uid="{00000000-0005-0000-0000-00009E0C0000}"/>
    <cellStyle name="Normal 7 7 3 2 3" xfId="4382" xr:uid="{00000000-0005-0000-0000-000041090000}"/>
    <cellStyle name="Normal 7 7 3 2 3 2" xfId="8147" xr:uid="{00000000-0005-0000-0000-00009F0C0000}"/>
    <cellStyle name="Normal 7 7 3 2 3 3" xfId="10544" xr:uid="{00000000-0005-0000-0000-00009F0C0000}"/>
    <cellStyle name="Normal 7 7 3 2 4" xfId="6028" xr:uid="{00000000-0005-0000-0000-000020050000}"/>
    <cellStyle name="Normal 7 7 3 2 5" xfId="7604" xr:uid="{00000000-0005-0000-0000-00009D0C0000}"/>
    <cellStyle name="Normal 7 7 3 2 6" xfId="10002" xr:uid="{00000000-0005-0000-0000-00009D0C0000}"/>
    <cellStyle name="Normal 7 7 3 3" xfId="3509" xr:uid="{00000000-0005-0000-0000-000043090000}"/>
    <cellStyle name="Normal 7 7 3 3 2" xfId="4613" xr:uid="{00000000-0005-0000-0000-000043090000}"/>
    <cellStyle name="Normal 7 7 3 3 2 2" xfId="11942" xr:uid="{00000000-0005-0000-0000-0000160D0000}"/>
    <cellStyle name="Normal 7 7 3 3 3" xfId="5701" xr:uid="{00000000-0005-0000-0000-000021050000}"/>
    <cellStyle name="Normal 7 7 3 3 4" xfId="8917" xr:uid="{00000000-0005-0000-0000-0000A00C0000}"/>
    <cellStyle name="Normal 7 7 3 3 5" xfId="11314" xr:uid="{00000000-0005-0000-0000-0000A00C0000}"/>
    <cellStyle name="Normal 7 7 3 4" xfId="3507" xr:uid="{00000000-0005-0000-0000-000044090000}"/>
    <cellStyle name="Normal 7 7 3 4 2" xfId="8915" xr:uid="{00000000-0005-0000-0000-0000A10C0000}"/>
    <cellStyle name="Normal 7 7 3 4 3" xfId="11312" xr:uid="{00000000-0005-0000-0000-0000A10C0000}"/>
    <cellStyle name="Normal 7 7 3 5" xfId="2594" xr:uid="{00000000-0005-0000-0000-000045090000}"/>
    <cellStyle name="Normal 7 7 3 5 2" xfId="7792" xr:uid="{00000000-0005-0000-0000-0000A20C0000}"/>
    <cellStyle name="Normal 7 7 3 5 3" xfId="10189" xr:uid="{00000000-0005-0000-0000-0000A20C0000}"/>
    <cellStyle name="Normal 7 7 3 6" xfId="2417" xr:uid="{00000000-0005-0000-0000-000040090000}"/>
    <cellStyle name="Normal 7 7 3 7" xfId="4110" xr:uid="{00000000-0005-0000-0000-00003C030000}"/>
    <cellStyle name="Normal 7 7 3 8" xfId="5470" xr:uid="{00000000-0005-0000-0000-00001F050000}"/>
    <cellStyle name="Normal 7 7 3 9" xfId="5272" xr:uid="{00000000-0005-0000-0000-000078040000}"/>
    <cellStyle name="Normal 7 7 4" xfId="1520" xr:uid="{00000000-0005-0000-0000-0000C9070000}"/>
    <cellStyle name="Normal 7 7 4 2" xfId="3510" xr:uid="{00000000-0005-0000-0000-000047090000}"/>
    <cellStyle name="Normal 7 7 4 2 2" xfId="8918" xr:uid="{00000000-0005-0000-0000-0000A40C0000}"/>
    <cellStyle name="Normal 7 7 4 2 3" xfId="11315" xr:uid="{00000000-0005-0000-0000-0000A40C0000}"/>
    <cellStyle name="Normal 7 7 4 3" xfId="2850" xr:uid="{00000000-0005-0000-0000-000048090000}"/>
    <cellStyle name="Normal 7 7 4 3 2" xfId="8144" xr:uid="{00000000-0005-0000-0000-0000A50C0000}"/>
    <cellStyle name="Normal 7 7 4 3 3" xfId="10541" xr:uid="{00000000-0005-0000-0000-0000A50C0000}"/>
    <cellStyle name="Normal 7 7 4 4" xfId="4232" xr:uid="{00000000-0005-0000-0000-000046090000}"/>
    <cellStyle name="Normal 7 7 4 5" xfId="6026" xr:uid="{00000000-0005-0000-0000-000022050000}"/>
    <cellStyle name="Normal 7 7 4 6" xfId="7605" xr:uid="{00000000-0005-0000-0000-0000A30C0000}"/>
    <cellStyle name="Normal 7 7 4 7" xfId="10003" xr:uid="{00000000-0005-0000-0000-0000A30C0000}"/>
    <cellStyle name="Normal 7 7 5" xfId="3511" xr:uid="{00000000-0005-0000-0000-000049090000}"/>
    <cellStyle name="Normal 7 7 5 2" xfId="4614" xr:uid="{00000000-0005-0000-0000-000049090000}"/>
    <cellStyle name="Normal 7 7 5 2 2" xfId="8919" xr:uid="{00000000-0005-0000-0000-0000A70C0000}"/>
    <cellStyle name="Normal 7 7 5 2 3" xfId="11316" xr:uid="{00000000-0005-0000-0000-0000A70C0000}"/>
    <cellStyle name="Normal 7 7 5 3" xfId="5615" xr:uid="{00000000-0005-0000-0000-000023050000}"/>
    <cellStyle name="Normal 7 7 5 4" xfId="7601" xr:uid="{00000000-0005-0000-0000-0000A60C0000}"/>
    <cellStyle name="Normal 7 7 5 5" xfId="9999" xr:uid="{00000000-0005-0000-0000-0000A60C0000}"/>
    <cellStyle name="Normal 7 7 6" xfId="3005" xr:uid="{00000000-0005-0000-0000-00004A090000}"/>
    <cellStyle name="Normal 7 7 6 2" xfId="8317" xr:uid="{00000000-0005-0000-0000-0000A80C0000}"/>
    <cellStyle name="Normal 7 7 6 3" xfId="10714" xr:uid="{00000000-0005-0000-0000-0000A80C0000}"/>
    <cellStyle name="Normal 7 7 7" xfId="2491" xr:uid="{00000000-0005-0000-0000-00004B090000}"/>
    <cellStyle name="Normal 7 7 7 2" xfId="7689" xr:uid="{00000000-0005-0000-0000-0000A90C0000}"/>
    <cellStyle name="Normal 7 7 7 3" xfId="10086" xr:uid="{00000000-0005-0000-0000-0000A90C0000}"/>
    <cellStyle name="Normal 7 7 8" xfId="2185" xr:uid="{00000000-0005-0000-0000-000034090000}"/>
    <cellStyle name="Normal 7 7 9" xfId="4090" xr:uid="{00000000-0005-0000-0000-00003A030000}"/>
    <cellStyle name="Normal 7 8" xfId="1521" xr:uid="{00000000-0005-0000-0000-0000CA070000}"/>
    <cellStyle name="Normal 7 8 10" xfId="5343" xr:uid="{00000000-0005-0000-0000-000024050000}"/>
    <cellStyle name="Normal 7 8 11" xfId="4799" xr:uid="{00000000-0005-0000-0000-000079040000}"/>
    <cellStyle name="Normal 7 8 12" xfId="6545" xr:uid="{00000000-0005-0000-0000-0000AA0C0000}"/>
    <cellStyle name="Normal 7 8 13" xfId="8966" xr:uid="{00000000-0005-0000-0000-0000AA0C0000}"/>
    <cellStyle name="Normal 7 8 2" xfId="1522" xr:uid="{00000000-0005-0000-0000-0000CB070000}"/>
    <cellStyle name="Normal 7 8 2 10" xfId="6739" xr:uid="{00000000-0005-0000-0000-0000AB0C0000}"/>
    <cellStyle name="Normal 7 8 2 11" xfId="9160" xr:uid="{00000000-0005-0000-0000-0000AB0C0000}"/>
    <cellStyle name="Normal 7 8 2 2" xfId="1523" xr:uid="{00000000-0005-0000-0000-0000CC070000}"/>
    <cellStyle name="Normal 7 8 2 2 2" xfId="3513" xr:uid="{00000000-0005-0000-0000-00004F090000}"/>
    <cellStyle name="Normal 7 8 2 2 2 2" xfId="8921" xr:uid="{00000000-0005-0000-0000-0000AD0C0000}"/>
    <cellStyle name="Normal 7 8 2 2 2 3" xfId="11318" xr:uid="{00000000-0005-0000-0000-0000AD0C0000}"/>
    <cellStyle name="Normal 7 8 2 2 3" xfId="4384" xr:uid="{00000000-0005-0000-0000-00004E090000}"/>
    <cellStyle name="Normal 7 8 2 2 3 2" xfId="8149" xr:uid="{00000000-0005-0000-0000-0000AE0C0000}"/>
    <cellStyle name="Normal 7 8 2 2 3 3" xfId="10546" xr:uid="{00000000-0005-0000-0000-0000AE0C0000}"/>
    <cellStyle name="Normal 7 8 2 2 4" xfId="6030" xr:uid="{00000000-0005-0000-0000-000026050000}"/>
    <cellStyle name="Normal 7 8 2 2 5" xfId="5275" xr:uid="{00000000-0005-0000-0000-00007B040000}"/>
    <cellStyle name="Normal 7 8 2 2 6" xfId="7608" xr:uid="{00000000-0005-0000-0000-0000AC0C0000}"/>
    <cellStyle name="Normal 7 8 2 2 7" xfId="10006" xr:uid="{00000000-0005-0000-0000-0000AC0C0000}"/>
    <cellStyle name="Normal 7 8 2 3" xfId="3514" xr:uid="{00000000-0005-0000-0000-000050090000}"/>
    <cellStyle name="Normal 7 8 2 3 2" xfId="4615" xr:uid="{00000000-0005-0000-0000-000050090000}"/>
    <cellStyle name="Normal 7 8 2 3 2 2" xfId="8922" xr:uid="{00000000-0005-0000-0000-0000B00C0000}"/>
    <cellStyle name="Normal 7 8 2 3 2 3" xfId="11319" xr:uid="{00000000-0005-0000-0000-0000B00C0000}"/>
    <cellStyle name="Normal 7 8 2 3 3" xfId="5649" xr:uid="{00000000-0005-0000-0000-000027050000}"/>
    <cellStyle name="Normal 7 8 2 3 4" xfId="7607" xr:uid="{00000000-0005-0000-0000-0000AF0C0000}"/>
    <cellStyle name="Normal 7 8 2 3 5" xfId="10005" xr:uid="{00000000-0005-0000-0000-0000AF0C0000}"/>
    <cellStyle name="Normal 7 8 2 4" xfId="3512" xr:uid="{00000000-0005-0000-0000-000051090000}"/>
    <cellStyle name="Normal 7 8 2 4 2" xfId="8920" xr:uid="{00000000-0005-0000-0000-0000B10C0000}"/>
    <cellStyle name="Normal 7 8 2 4 3" xfId="11317" xr:uid="{00000000-0005-0000-0000-0000B10C0000}"/>
    <cellStyle name="Normal 7 8 2 5" xfId="2525" xr:uid="{00000000-0005-0000-0000-000052090000}"/>
    <cellStyle name="Normal 7 8 2 5 2" xfId="7723" xr:uid="{00000000-0005-0000-0000-0000B20C0000}"/>
    <cellStyle name="Normal 7 8 2 5 3" xfId="10120" xr:uid="{00000000-0005-0000-0000-0000B20C0000}"/>
    <cellStyle name="Normal 7 8 2 6" xfId="2418" xr:uid="{00000000-0005-0000-0000-00004D090000}"/>
    <cellStyle name="Normal 7 8 2 7" xfId="4111" xr:uid="{00000000-0005-0000-0000-00003E030000}"/>
    <cellStyle name="Normal 7 8 2 8" xfId="5403" xr:uid="{00000000-0005-0000-0000-000025050000}"/>
    <cellStyle name="Normal 7 8 2 9" xfId="4995" xr:uid="{00000000-0005-0000-0000-00007A040000}"/>
    <cellStyle name="Normal 7 8 3" xfId="1524" xr:uid="{00000000-0005-0000-0000-0000CD070000}"/>
    <cellStyle name="Normal 7 8 3 10" xfId="9321" xr:uid="{00000000-0005-0000-0000-0000B30C0000}"/>
    <cellStyle name="Normal 7 8 3 2" xfId="2854" xr:uid="{00000000-0005-0000-0000-000054090000}"/>
    <cellStyle name="Normal 7 8 3 2 2" xfId="3516" xr:uid="{00000000-0005-0000-0000-000055090000}"/>
    <cellStyle name="Normal 7 8 3 2 2 2" xfId="8924" xr:uid="{00000000-0005-0000-0000-0000B50C0000}"/>
    <cellStyle name="Normal 7 8 3 2 2 3" xfId="11321" xr:uid="{00000000-0005-0000-0000-0000B50C0000}"/>
    <cellStyle name="Normal 7 8 3 2 3" xfId="4385" xr:uid="{00000000-0005-0000-0000-000054090000}"/>
    <cellStyle name="Normal 7 8 3 2 3 2" xfId="8150" xr:uid="{00000000-0005-0000-0000-0000B60C0000}"/>
    <cellStyle name="Normal 7 8 3 2 3 3" xfId="10547" xr:uid="{00000000-0005-0000-0000-0000B60C0000}"/>
    <cellStyle name="Normal 7 8 3 2 4" xfId="6031" xr:uid="{00000000-0005-0000-0000-000029050000}"/>
    <cellStyle name="Normal 7 8 3 2 5" xfId="7609" xr:uid="{00000000-0005-0000-0000-0000B40C0000}"/>
    <cellStyle name="Normal 7 8 3 2 6" xfId="10007" xr:uid="{00000000-0005-0000-0000-0000B40C0000}"/>
    <cellStyle name="Normal 7 8 3 3" xfId="3517" xr:uid="{00000000-0005-0000-0000-000056090000}"/>
    <cellStyle name="Normal 7 8 3 3 2" xfId="4616" xr:uid="{00000000-0005-0000-0000-000056090000}"/>
    <cellStyle name="Normal 7 8 3 3 2 2" xfId="11943" xr:uid="{00000000-0005-0000-0000-00002E0D0000}"/>
    <cellStyle name="Normal 7 8 3 3 3" xfId="5734" xr:uid="{00000000-0005-0000-0000-00002A050000}"/>
    <cellStyle name="Normal 7 8 3 3 4" xfId="8925" xr:uid="{00000000-0005-0000-0000-0000B70C0000}"/>
    <cellStyle name="Normal 7 8 3 3 5" xfId="11322" xr:uid="{00000000-0005-0000-0000-0000B70C0000}"/>
    <cellStyle name="Normal 7 8 3 4" xfId="3515" xr:uid="{00000000-0005-0000-0000-000057090000}"/>
    <cellStyle name="Normal 7 8 3 4 2" xfId="8923" xr:uid="{00000000-0005-0000-0000-0000B80C0000}"/>
    <cellStyle name="Normal 7 8 3 4 3" xfId="11320" xr:uid="{00000000-0005-0000-0000-0000B80C0000}"/>
    <cellStyle name="Normal 7 8 3 5" xfId="2628" xr:uid="{00000000-0005-0000-0000-000058090000}"/>
    <cellStyle name="Normal 7 8 3 5 2" xfId="7826" xr:uid="{00000000-0005-0000-0000-0000B90C0000}"/>
    <cellStyle name="Normal 7 8 3 5 3" xfId="10223" xr:uid="{00000000-0005-0000-0000-0000B90C0000}"/>
    <cellStyle name="Normal 7 8 3 6" xfId="4233" xr:uid="{00000000-0005-0000-0000-000053090000}"/>
    <cellStyle name="Normal 7 8 3 7" xfId="5504" xr:uid="{00000000-0005-0000-0000-000028050000}"/>
    <cellStyle name="Normal 7 8 3 8" xfId="5274" xr:uid="{00000000-0005-0000-0000-00007C040000}"/>
    <cellStyle name="Normal 7 8 3 9" xfId="6900" xr:uid="{00000000-0005-0000-0000-0000B30C0000}"/>
    <cellStyle name="Normal 7 8 4" xfId="1525" xr:uid="{00000000-0005-0000-0000-0000CE070000}"/>
    <cellStyle name="Normal 7 8 4 2" xfId="3518" xr:uid="{00000000-0005-0000-0000-00005A090000}"/>
    <cellStyle name="Normal 7 8 4 2 2" xfId="8926" xr:uid="{00000000-0005-0000-0000-0000BB0C0000}"/>
    <cellStyle name="Normal 7 8 4 2 3" xfId="11323" xr:uid="{00000000-0005-0000-0000-0000BB0C0000}"/>
    <cellStyle name="Normal 7 8 4 3" xfId="4383" xr:uid="{00000000-0005-0000-0000-000059090000}"/>
    <cellStyle name="Normal 7 8 4 3 2" xfId="8148" xr:uid="{00000000-0005-0000-0000-0000BC0C0000}"/>
    <cellStyle name="Normal 7 8 4 3 3" xfId="10545" xr:uid="{00000000-0005-0000-0000-0000BC0C0000}"/>
    <cellStyle name="Normal 7 8 4 4" xfId="6029" xr:uid="{00000000-0005-0000-0000-00002B050000}"/>
    <cellStyle name="Normal 7 8 4 5" xfId="7610" xr:uid="{00000000-0005-0000-0000-0000BA0C0000}"/>
    <cellStyle name="Normal 7 8 4 6" xfId="10008" xr:uid="{00000000-0005-0000-0000-0000BA0C0000}"/>
    <cellStyle name="Normal 7 8 5" xfId="3519" xr:uid="{00000000-0005-0000-0000-00005B090000}"/>
    <cellStyle name="Normal 7 8 5 2" xfId="4617" xr:uid="{00000000-0005-0000-0000-00005B090000}"/>
    <cellStyle name="Normal 7 8 5 2 2" xfId="8927" xr:uid="{00000000-0005-0000-0000-0000BE0C0000}"/>
    <cellStyle name="Normal 7 8 5 2 3" xfId="11324" xr:uid="{00000000-0005-0000-0000-0000BE0C0000}"/>
    <cellStyle name="Normal 7 8 5 3" xfId="5589" xr:uid="{00000000-0005-0000-0000-00002C050000}"/>
    <cellStyle name="Normal 7 8 5 4" xfId="7606" xr:uid="{00000000-0005-0000-0000-0000BD0C0000}"/>
    <cellStyle name="Normal 7 8 5 5" xfId="10004" xr:uid="{00000000-0005-0000-0000-0000BD0C0000}"/>
    <cellStyle name="Normal 7 8 6" xfId="3006" xr:uid="{00000000-0005-0000-0000-00005C090000}"/>
    <cellStyle name="Normal 7 8 6 2" xfId="8318" xr:uid="{00000000-0005-0000-0000-0000BF0C0000}"/>
    <cellStyle name="Normal 7 8 6 3" xfId="10715" xr:uid="{00000000-0005-0000-0000-0000BF0C0000}"/>
    <cellStyle name="Normal 7 8 7" xfId="2465" xr:uid="{00000000-0005-0000-0000-00005D090000}"/>
    <cellStyle name="Normal 7 8 7 2" xfId="7663" xr:uid="{00000000-0005-0000-0000-0000C00C0000}"/>
    <cellStyle name="Normal 7 8 7 3" xfId="10060" xr:uid="{00000000-0005-0000-0000-0000C00C0000}"/>
    <cellStyle name="Normal 7 8 8" xfId="2219" xr:uid="{00000000-0005-0000-0000-00004C090000}"/>
    <cellStyle name="Normal 7 8 9" xfId="4091" xr:uid="{00000000-0005-0000-0000-00003D030000}"/>
    <cellStyle name="Normal 7 9" xfId="1526" xr:uid="{00000000-0005-0000-0000-0000CF070000}"/>
    <cellStyle name="Normal 7 9 10" xfId="4782" xr:uid="{00000000-0005-0000-0000-00007D040000}"/>
    <cellStyle name="Normal 7 9 11" xfId="6740" xr:uid="{00000000-0005-0000-0000-0000C10C0000}"/>
    <cellStyle name="Normal 7 9 12" xfId="9161" xr:uid="{00000000-0005-0000-0000-0000C10C0000}"/>
    <cellStyle name="Normal 7 9 2" xfId="1527" xr:uid="{00000000-0005-0000-0000-0000D0070000}"/>
    <cellStyle name="Normal 7 9 2 10" xfId="6901" xr:uid="{00000000-0005-0000-0000-0000C20C0000}"/>
    <cellStyle name="Normal 7 9 2 11" xfId="9322" xr:uid="{00000000-0005-0000-0000-0000C20C0000}"/>
    <cellStyle name="Normal 7 9 2 2" xfId="1528" xr:uid="{00000000-0005-0000-0000-0000D1070000}"/>
    <cellStyle name="Normal 7 9 2 2 2" xfId="3521" xr:uid="{00000000-0005-0000-0000-000061090000}"/>
    <cellStyle name="Normal 7 9 2 2 2 2" xfId="8929" xr:uid="{00000000-0005-0000-0000-0000C40C0000}"/>
    <cellStyle name="Normal 7 9 2 2 2 3" xfId="11326" xr:uid="{00000000-0005-0000-0000-0000C40C0000}"/>
    <cellStyle name="Normal 7 9 2 2 3" xfId="4386" xr:uid="{00000000-0005-0000-0000-000060090000}"/>
    <cellStyle name="Normal 7 9 2 2 3 2" xfId="8152" xr:uid="{00000000-0005-0000-0000-0000C50C0000}"/>
    <cellStyle name="Normal 7 9 2 2 3 3" xfId="10549" xr:uid="{00000000-0005-0000-0000-0000C50C0000}"/>
    <cellStyle name="Normal 7 9 2 2 4" xfId="6033" xr:uid="{00000000-0005-0000-0000-00002F050000}"/>
    <cellStyle name="Normal 7 9 2 2 5" xfId="5277" xr:uid="{00000000-0005-0000-0000-00007F040000}"/>
    <cellStyle name="Normal 7 9 2 2 6" xfId="7613" xr:uid="{00000000-0005-0000-0000-0000C30C0000}"/>
    <cellStyle name="Normal 7 9 2 2 7" xfId="10011" xr:uid="{00000000-0005-0000-0000-0000C30C0000}"/>
    <cellStyle name="Normal 7 9 2 3" xfId="3522" xr:uid="{00000000-0005-0000-0000-000062090000}"/>
    <cellStyle name="Normal 7 9 2 3 2" xfId="4618" xr:uid="{00000000-0005-0000-0000-000062090000}"/>
    <cellStyle name="Normal 7 9 2 3 2 2" xfId="8930" xr:uid="{00000000-0005-0000-0000-0000C70C0000}"/>
    <cellStyle name="Normal 7 9 2 3 2 3" xfId="11327" xr:uid="{00000000-0005-0000-0000-0000C70C0000}"/>
    <cellStyle name="Normal 7 9 2 3 3" xfId="5717" xr:uid="{00000000-0005-0000-0000-000030050000}"/>
    <cellStyle name="Normal 7 9 2 3 4" xfId="7612" xr:uid="{00000000-0005-0000-0000-0000C60C0000}"/>
    <cellStyle name="Normal 7 9 2 3 5" xfId="10010" xr:uid="{00000000-0005-0000-0000-0000C60C0000}"/>
    <cellStyle name="Normal 7 9 2 4" xfId="3520" xr:uid="{00000000-0005-0000-0000-000063090000}"/>
    <cellStyle name="Normal 7 9 2 4 2" xfId="8928" xr:uid="{00000000-0005-0000-0000-0000C80C0000}"/>
    <cellStyle name="Normal 7 9 2 4 3" xfId="11325" xr:uid="{00000000-0005-0000-0000-0000C80C0000}"/>
    <cellStyle name="Normal 7 9 2 5" xfId="2611" xr:uid="{00000000-0005-0000-0000-000064090000}"/>
    <cellStyle name="Normal 7 9 2 5 2" xfId="7809" xr:uid="{00000000-0005-0000-0000-0000C90C0000}"/>
    <cellStyle name="Normal 7 9 2 5 3" xfId="10206" xr:uid="{00000000-0005-0000-0000-0000C90C0000}"/>
    <cellStyle name="Normal 7 9 2 6" xfId="2419" xr:uid="{00000000-0005-0000-0000-00005F090000}"/>
    <cellStyle name="Normal 7 9 2 7" xfId="4112" xr:uid="{00000000-0005-0000-0000-000040030000}"/>
    <cellStyle name="Normal 7 9 2 8" xfId="5487" xr:uid="{00000000-0005-0000-0000-00002E050000}"/>
    <cellStyle name="Normal 7 9 2 9" xfId="4996" xr:uid="{00000000-0005-0000-0000-00007E040000}"/>
    <cellStyle name="Normal 7 9 3" xfId="1529" xr:uid="{00000000-0005-0000-0000-0000D2070000}"/>
    <cellStyle name="Normal 7 9 3 2" xfId="3523" xr:uid="{00000000-0005-0000-0000-000066090000}"/>
    <cellStyle name="Normal 7 9 3 2 2" xfId="8931" xr:uid="{00000000-0005-0000-0000-0000CB0C0000}"/>
    <cellStyle name="Normal 7 9 3 2 2 2" xfId="11944" xr:uid="{00000000-0005-0000-0000-0000430D0000}"/>
    <cellStyle name="Normal 7 9 3 2 3" xfId="11328" xr:uid="{00000000-0005-0000-0000-0000CB0C0000}"/>
    <cellStyle name="Normal 7 9 3 2 4" xfId="11727" xr:uid="{00000000-0005-0000-0000-0000420D0000}"/>
    <cellStyle name="Normal 7 9 3 3" xfId="2855" xr:uid="{00000000-0005-0000-0000-000067090000}"/>
    <cellStyle name="Normal 7 9 3 3 2" xfId="8151" xr:uid="{00000000-0005-0000-0000-0000CC0C0000}"/>
    <cellStyle name="Normal 7 9 3 3 3" xfId="10548" xr:uid="{00000000-0005-0000-0000-0000CC0C0000}"/>
    <cellStyle name="Normal 7 9 3 4" xfId="4234" xr:uid="{00000000-0005-0000-0000-000065090000}"/>
    <cellStyle name="Normal 7 9 3 4 2" xfId="11833" xr:uid="{00000000-0005-0000-0000-0000450D0000}"/>
    <cellStyle name="Normal 7 9 3 5" xfId="6032" xr:uid="{00000000-0005-0000-0000-000031050000}"/>
    <cellStyle name="Normal 7 9 3 6" xfId="5276" xr:uid="{00000000-0005-0000-0000-000080040000}"/>
    <cellStyle name="Normal 7 9 3 7" xfId="7614" xr:uid="{00000000-0005-0000-0000-0000CA0C0000}"/>
    <cellStyle name="Normal 7 9 3 8" xfId="10012" xr:uid="{00000000-0005-0000-0000-0000CA0C0000}"/>
    <cellStyle name="Normal 7 9 4" xfId="1530" xr:uid="{00000000-0005-0000-0000-0000D3070000}"/>
    <cellStyle name="Normal 7 9 4 2" xfId="4619" xr:uid="{00000000-0005-0000-0000-000068090000}"/>
    <cellStyle name="Normal 7 9 4 2 2" xfId="8932" xr:uid="{00000000-0005-0000-0000-0000CE0C0000}"/>
    <cellStyle name="Normal 7 9 4 2 3" xfId="11329" xr:uid="{00000000-0005-0000-0000-0000CE0C0000}"/>
    <cellStyle name="Normal 7 9 4 3" xfId="5572" xr:uid="{00000000-0005-0000-0000-000032050000}"/>
    <cellStyle name="Normal 7 9 4 4" xfId="7615" xr:uid="{00000000-0005-0000-0000-0000CD0C0000}"/>
    <cellStyle name="Normal 7 9 4 5" xfId="10013" xr:uid="{00000000-0005-0000-0000-0000CD0C0000}"/>
    <cellStyle name="Normal 7 9 5" xfId="3007" xr:uid="{00000000-0005-0000-0000-000069090000}"/>
    <cellStyle name="Normal 7 9 5 2" xfId="8319" xr:uid="{00000000-0005-0000-0000-0000D00C0000}"/>
    <cellStyle name="Normal 7 9 5 2 2" xfId="10716" xr:uid="{00000000-0005-0000-0000-0000D00C0000}"/>
    <cellStyle name="Normal 7 9 5 3" xfId="7611" xr:uid="{00000000-0005-0000-0000-0000CF0C0000}"/>
    <cellStyle name="Normal 7 9 5 4" xfId="10009" xr:uid="{00000000-0005-0000-0000-0000CF0C0000}"/>
    <cellStyle name="Normal 7 9 6" xfId="2448" xr:uid="{00000000-0005-0000-0000-00006A090000}"/>
    <cellStyle name="Normal 7 9 6 2" xfId="7646" xr:uid="{00000000-0005-0000-0000-0000D10C0000}"/>
    <cellStyle name="Normal 7 9 6 3" xfId="10043" xr:uid="{00000000-0005-0000-0000-0000D10C0000}"/>
    <cellStyle name="Normal 7 9 7" xfId="2202" xr:uid="{00000000-0005-0000-0000-00005E090000}"/>
    <cellStyle name="Normal 7 9 8" xfId="4092" xr:uid="{00000000-0005-0000-0000-00003F030000}"/>
    <cellStyle name="Normal 7 9 9" xfId="5326" xr:uid="{00000000-0005-0000-0000-00002D050000}"/>
    <cellStyle name="Normal 8" xfId="1531" xr:uid="{00000000-0005-0000-0000-0000D4070000}"/>
    <cellStyle name="Normal 9" xfId="1532" xr:uid="{00000000-0005-0000-0000-0000D5070000}"/>
    <cellStyle name="Normal 9 2" xfId="1533" xr:uid="{00000000-0005-0000-0000-0000D6070000}"/>
    <cellStyle name="Normal 9 3" xfId="1534" xr:uid="{00000000-0005-0000-0000-0000D7070000}"/>
    <cellStyle name="Normal 9 3 10" xfId="5345" xr:uid="{00000000-0005-0000-0000-000036050000}"/>
    <cellStyle name="Normal 9 3 11" xfId="4801" xr:uid="{00000000-0005-0000-0000-000084040000}"/>
    <cellStyle name="Normal 9 3 12" xfId="6547" xr:uid="{00000000-0005-0000-0000-0000D50C0000}"/>
    <cellStyle name="Normal 9 3 13" xfId="8968" xr:uid="{00000000-0005-0000-0000-0000D50C0000}"/>
    <cellStyle name="Normal 9 3 2" xfId="1535" xr:uid="{00000000-0005-0000-0000-0000D8070000}"/>
    <cellStyle name="Normal 9 3 2 10" xfId="6741" xr:uid="{00000000-0005-0000-0000-0000D60C0000}"/>
    <cellStyle name="Normal 9 3 2 11" xfId="9162" xr:uid="{00000000-0005-0000-0000-0000D60C0000}"/>
    <cellStyle name="Normal 9 3 2 2" xfId="1536" xr:uid="{00000000-0005-0000-0000-0000D9070000}"/>
    <cellStyle name="Normal 9 3 2 2 2" xfId="3525" xr:uid="{00000000-0005-0000-0000-000071090000}"/>
    <cellStyle name="Normal 9 3 2 2 2 2" xfId="8934" xr:uid="{00000000-0005-0000-0000-0000D80C0000}"/>
    <cellStyle name="Normal 9 3 2 2 2 3" xfId="11331" xr:uid="{00000000-0005-0000-0000-0000D80C0000}"/>
    <cellStyle name="Normal 9 3 2 2 3" xfId="4388" xr:uid="{00000000-0005-0000-0000-000070090000}"/>
    <cellStyle name="Normal 9 3 2 2 3 2" xfId="8154" xr:uid="{00000000-0005-0000-0000-0000D90C0000}"/>
    <cellStyle name="Normal 9 3 2 2 3 3" xfId="10551" xr:uid="{00000000-0005-0000-0000-0000D90C0000}"/>
    <cellStyle name="Normal 9 3 2 2 4" xfId="6035" xr:uid="{00000000-0005-0000-0000-000038050000}"/>
    <cellStyle name="Normal 9 3 2 2 5" xfId="5279" xr:uid="{00000000-0005-0000-0000-000086040000}"/>
    <cellStyle name="Normal 9 3 2 2 6" xfId="7618" xr:uid="{00000000-0005-0000-0000-0000D70C0000}"/>
    <cellStyle name="Normal 9 3 2 2 7" xfId="10016" xr:uid="{00000000-0005-0000-0000-0000D70C0000}"/>
    <cellStyle name="Normal 9 3 2 3" xfId="3526" xr:uid="{00000000-0005-0000-0000-000072090000}"/>
    <cellStyle name="Normal 9 3 2 3 2" xfId="4620" xr:uid="{00000000-0005-0000-0000-000072090000}"/>
    <cellStyle name="Normal 9 3 2 3 2 2" xfId="8935" xr:uid="{00000000-0005-0000-0000-0000DB0C0000}"/>
    <cellStyle name="Normal 9 3 2 3 2 3" xfId="11332" xr:uid="{00000000-0005-0000-0000-0000DB0C0000}"/>
    <cellStyle name="Normal 9 3 2 3 3" xfId="5651" xr:uid="{00000000-0005-0000-0000-000039050000}"/>
    <cellStyle name="Normal 9 3 2 3 4" xfId="7617" xr:uid="{00000000-0005-0000-0000-0000DA0C0000}"/>
    <cellStyle name="Normal 9 3 2 3 5" xfId="10015" xr:uid="{00000000-0005-0000-0000-0000DA0C0000}"/>
    <cellStyle name="Normal 9 3 2 4" xfId="3524" xr:uid="{00000000-0005-0000-0000-000073090000}"/>
    <cellStyle name="Normal 9 3 2 4 2" xfId="8933" xr:uid="{00000000-0005-0000-0000-0000DC0C0000}"/>
    <cellStyle name="Normal 9 3 2 4 3" xfId="11330" xr:uid="{00000000-0005-0000-0000-0000DC0C0000}"/>
    <cellStyle name="Normal 9 3 2 5" xfId="2527" xr:uid="{00000000-0005-0000-0000-000074090000}"/>
    <cellStyle name="Normal 9 3 2 5 2" xfId="7725" xr:uid="{00000000-0005-0000-0000-0000DD0C0000}"/>
    <cellStyle name="Normal 9 3 2 5 3" xfId="10122" xr:uid="{00000000-0005-0000-0000-0000DD0C0000}"/>
    <cellStyle name="Normal 9 3 2 6" xfId="2420" xr:uid="{00000000-0005-0000-0000-00006F090000}"/>
    <cellStyle name="Normal 9 3 2 7" xfId="4113" xr:uid="{00000000-0005-0000-0000-000045030000}"/>
    <cellStyle name="Normal 9 3 2 8" xfId="5405" xr:uid="{00000000-0005-0000-0000-000037050000}"/>
    <cellStyle name="Normal 9 3 2 9" xfId="4997" xr:uid="{00000000-0005-0000-0000-000085040000}"/>
    <cellStyle name="Normal 9 3 3" xfId="1537" xr:uid="{00000000-0005-0000-0000-0000DA070000}"/>
    <cellStyle name="Normal 9 3 3 10" xfId="9323" xr:uid="{00000000-0005-0000-0000-0000DE0C0000}"/>
    <cellStyle name="Normal 9 3 3 2" xfId="2856" xr:uid="{00000000-0005-0000-0000-000076090000}"/>
    <cellStyle name="Normal 9 3 3 2 2" xfId="3528" xr:uid="{00000000-0005-0000-0000-000077090000}"/>
    <cellStyle name="Normal 9 3 3 2 2 2" xfId="8937" xr:uid="{00000000-0005-0000-0000-0000E00C0000}"/>
    <cellStyle name="Normal 9 3 3 2 2 3" xfId="11334" xr:uid="{00000000-0005-0000-0000-0000E00C0000}"/>
    <cellStyle name="Normal 9 3 3 2 3" xfId="4389" xr:uid="{00000000-0005-0000-0000-000076090000}"/>
    <cellStyle name="Normal 9 3 3 2 3 2" xfId="8155" xr:uid="{00000000-0005-0000-0000-0000E10C0000}"/>
    <cellStyle name="Normal 9 3 3 2 3 3" xfId="10552" xr:uid="{00000000-0005-0000-0000-0000E10C0000}"/>
    <cellStyle name="Normal 9 3 3 2 4" xfId="6036" xr:uid="{00000000-0005-0000-0000-00003B050000}"/>
    <cellStyle name="Normal 9 3 3 2 5" xfId="7619" xr:uid="{00000000-0005-0000-0000-0000DF0C0000}"/>
    <cellStyle name="Normal 9 3 3 2 6" xfId="10017" xr:uid="{00000000-0005-0000-0000-0000DF0C0000}"/>
    <cellStyle name="Normal 9 3 3 3" xfId="3529" xr:uid="{00000000-0005-0000-0000-000078090000}"/>
    <cellStyle name="Normal 9 3 3 3 2" xfId="4621" xr:uid="{00000000-0005-0000-0000-000078090000}"/>
    <cellStyle name="Normal 9 3 3 3 2 2" xfId="11945" xr:uid="{00000000-0005-0000-0000-00005C0D0000}"/>
    <cellStyle name="Normal 9 3 3 3 3" xfId="5736" xr:uid="{00000000-0005-0000-0000-00003C050000}"/>
    <cellStyle name="Normal 9 3 3 3 4" xfId="8938" xr:uid="{00000000-0005-0000-0000-0000E20C0000}"/>
    <cellStyle name="Normal 9 3 3 3 5" xfId="11335" xr:uid="{00000000-0005-0000-0000-0000E20C0000}"/>
    <cellStyle name="Normal 9 3 3 4" xfId="3527" xr:uid="{00000000-0005-0000-0000-000079090000}"/>
    <cellStyle name="Normal 9 3 3 4 2" xfId="8936" xr:uid="{00000000-0005-0000-0000-0000E30C0000}"/>
    <cellStyle name="Normal 9 3 3 4 3" xfId="11333" xr:uid="{00000000-0005-0000-0000-0000E30C0000}"/>
    <cellStyle name="Normal 9 3 3 5" xfId="2630" xr:uid="{00000000-0005-0000-0000-00007A090000}"/>
    <cellStyle name="Normal 9 3 3 5 2" xfId="7828" xr:uid="{00000000-0005-0000-0000-0000E40C0000}"/>
    <cellStyle name="Normal 9 3 3 5 3" xfId="10225" xr:uid="{00000000-0005-0000-0000-0000E40C0000}"/>
    <cellStyle name="Normal 9 3 3 6" xfId="4235" xr:uid="{00000000-0005-0000-0000-000075090000}"/>
    <cellStyle name="Normal 9 3 3 7" xfId="5506" xr:uid="{00000000-0005-0000-0000-00003A050000}"/>
    <cellStyle name="Normal 9 3 3 8" xfId="5278" xr:uid="{00000000-0005-0000-0000-000087040000}"/>
    <cellStyle name="Normal 9 3 3 9" xfId="6902" xr:uid="{00000000-0005-0000-0000-0000DE0C0000}"/>
    <cellStyle name="Normal 9 3 4" xfId="1538" xr:uid="{00000000-0005-0000-0000-0000DB070000}"/>
    <cellStyle name="Normal 9 3 4 2" xfId="3530" xr:uid="{00000000-0005-0000-0000-00007C090000}"/>
    <cellStyle name="Normal 9 3 4 2 2" xfId="8939" xr:uid="{00000000-0005-0000-0000-0000E60C0000}"/>
    <cellStyle name="Normal 9 3 4 2 3" xfId="11336" xr:uid="{00000000-0005-0000-0000-0000E60C0000}"/>
    <cellStyle name="Normal 9 3 4 3" xfId="4387" xr:uid="{00000000-0005-0000-0000-00007B090000}"/>
    <cellStyle name="Normal 9 3 4 3 2" xfId="8153" xr:uid="{00000000-0005-0000-0000-0000E70C0000}"/>
    <cellStyle name="Normal 9 3 4 3 3" xfId="10550" xr:uid="{00000000-0005-0000-0000-0000E70C0000}"/>
    <cellStyle name="Normal 9 3 4 4" xfId="6034" xr:uid="{00000000-0005-0000-0000-00003D050000}"/>
    <cellStyle name="Normal 9 3 4 5" xfId="7620" xr:uid="{00000000-0005-0000-0000-0000E50C0000}"/>
    <cellStyle name="Normal 9 3 4 6" xfId="10018" xr:uid="{00000000-0005-0000-0000-0000E50C0000}"/>
    <cellStyle name="Normal 9 3 5" xfId="3531" xr:uid="{00000000-0005-0000-0000-00007D090000}"/>
    <cellStyle name="Normal 9 3 5 2" xfId="4622" xr:uid="{00000000-0005-0000-0000-00007D090000}"/>
    <cellStyle name="Normal 9 3 5 2 2" xfId="8940" xr:uid="{00000000-0005-0000-0000-0000E90C0000}"/>
    <cellStyle name="Normal 9 3 5 2 3" xfId="11337" xr:uid="{00000000-0005-0000-0000-0000E90C0000}"/>
    <cellStyle name="Normal 9 3 5 3" xfId="5591" xr:uid="{00000000-0005-0000-0000-00003E050000}"/>
    <cellStyle name="Normal 9 3 5 4" xfId="7616" xr:uid="{00000000-0005-0000-0000-0000E80C0000}"/>
    <cellStyle name="Normal 9 3 5 5" xfId="10014" xr:uid="{00000000-0005-0000-0000-0000E80C0000}"/>
    <cellStyle name="Normal 9 3 6" xfId="3008" xr:uid="{00000000-0005-0000-0000-00007E090000}"/>
    <cellStyle name="Normal 9 3 6 2" xfId="8320" xr:uid="{00000000-0005-0000-0000-0000EA0C0000}"/>
    <cellStyle name="Normal 9 3 6 3" xfId="10717" xr:uid="{00000000-0005-0000-0000-0000EA0C0000}"/>
    <cellStyle name="Normal 9 3 7" xfId="2467" xr:uid="{00000000-0005-0000-0000-00007F090000}"/>
    <cellStyle name="Normal 9 3 7 2" xfId="7665" xr:uid="{00000000-0005-0000-0000-0000EB0C0000}"/>
    <cellStyle name="Normal 9 3 7 3" xfId="10062" xr:uid="{00000000-0005-0000-0000-0000EB0C0000}"/>
    <cellStyle name="Normal 9 3 8" xfId="2221" xr:uid="{00000000-0005-0000-0000-00006E090000}"/>
    <cellStyle name="Normal 9 3 9" xfId="4094" xr:uid="{00000000-0005-0000-0000-000044030000}"/>
    <cellStyle name="Normal 9 4" xfId="1539" xr:uid="{00000000-0005-0000-0000-0000DC070000}"/>
    <cellStyle name="Normal 9 4 2" xfId="2857" xr:uid="{00000000-0005-0000-0000-000081090000}"/>
    <cellStyle name="Normal 9 4 2 2" xfId="3533" xr:uid="{00000000-0005-0000-0000-000082090000}"/>
    <cellStyle name="Normal 9 4 2 2 2" xfId="8942" xr:uid="{00000000-0005-0000-0000-0000EE0C0000}"/>
    <cellStyle name="Normal 9 4 2 2 3" xfId="11339" xr:uid="{00000000-0005-0000-0000-0000EE0C0000}"/>
    <cellStyle name="Normal 9 4 2 3" xfId="4390" xr:uid="{00000000-0005-0000-0000-000081090000}"/>
    <cellStyle name="Normal 9 4 2 3 2" xfId="11422" xr:uid="{00000000-0005-0000-0000-0000DD0B0000}"/>
    <cellStyle name="Normal 9 4 2 4" xfId="8156" xr:uid="{00000000-0005-0000-0000-0000ED0C0000}"/>
    <cellStyle name="Normal 9 4 2 5" xfId="10553" xr:uid="{00000000-0005-0000-0000-0000ED0C0000}"/>
    <cellStyle name="Normal 9 4 3" xfId="3534" xr:uid="{00000000-0005-0000-0000-000083090000}"/>
    <cellStyle name="Normal 9 4 3 2" xfId="4623" xr:uid="{00000000-0005-0000-0000-000083090000}"/>
    <cellStyle name="Normal 9 4 3 3" xfId="8943" xr:uid="{00000000-0005-0000-0000-0000EF0C0000}"/>
    <cellStyle name="Normal 9 4 3 4" xfId="11340" xr:uid="{00000000-0005-0000-0000-0000EF0C0000}"/>
    <cellStyle name="Normal 9 4 4" xfId="3532" xr:uid="{00000000-0005-0000-0000-000084090000}"/>
    <cellStyle name="Normal 9 4 4 2" xfId="8941" xr:uid="{00000000-0005-0000-0000-0000F00C0000}"/>
    <cellStyle name="Normal 9 4 4 3" xfId="11338" xr:uid="{00000000-0005-0000-0000-0000F00C0000}"/>
    <cellStyle name="Normal 9 4 5" xfId="2570" xr:uid="{00000000-0005-0000-0000-000080090000}"/>
    <cellStyle name="Normal 9 4 5 2" xfId="7768" xr:uid="{00000000-0005-0000-0000-0000F10C0000}"/>
    <cellStyle name="Normal 9 4 5 3" xfId="10165" xr:uid="{00000000-0005-0000-0000-0000F10C0000}"/>
    <cellStyle name="Normal 9 4 6" xfId="4093" xr:uid="{00000000-0005-0000-0000-000046030000}"/>
    <cellStyle name="Normal 9 4 6 2" xfId="11772" xr:uid="{00000000-0005-0000-0000-0000660D0000}"/>
    <cellStyle name="Normal 9 4 7" xfId="11378" xr:uid="{00000000-0005-0000-0000-0000DA0B0000}"/>
    <cellStyle name="Normal 9 4 8" xfId="11558" xr:uid="{00000000-0005-0000-0000-0000AE060000}"/>
    <cellStyle name="Normal 9 5" xfId="2161" xr:uid="{00000000-0005-0000-0000-00006C090000}"/>
    <cellStyle name="Normal 9 6" xfId="3786" xr:uid="{00000000-0005-0000-0000-000042030000}"/>
    <cellStyle name="Normal_98AFRCOU" xfId="1540" xr:uid="{00000000-0005-0000-0000-0000DD070000}"/>
    <cellStyle name="Note 2" xfId="1541" xr:uid="{00000000-0005-0000-0000-0000DE070000}"/>
    <cellStyle name="Note 3" xfId="1542" xr:uid="{00000000-0005-0000-0000-0000DF070000}"/>
    <cellStyle name="Note 4" xfId="1543" xr:uid="{00000000-0005-0000-0000-0000E0070000}"/>
    <cellStyle name="Note 4 2" xfId="1544" xr:uid="{00000000-0005-0000-0000-0000E1070000}"/>
    <cellStyle name="Note 4 2 2" xfId="3536" xr:uid="{00000000-0005-0000-0000-00008A090000}"/>
    <cellStyle name="Note 4 2 3" xfId="3535" xr:uid="{00000000-0005-0000-0000-00008B090000}"/>
    <cellStyle name="Note 4 2 4" xfId="3769" xr:uid="{00000000-0005-0000-0000-0000E60E0000}"/>
    <cellStyle name="Note 4 3" xfId="1545" xr:uid="{00000000-0005-0000-0000-0000E2070000}"/>
    <cellStyle name="Note 4 3 2" xfId="11477" xr:uid="{00000000-0005-0000-0000-00000B2D0000}"/>
    <cellStyle name="Note 4 4" xfId="2073" xr:uid="{00000000-0005-0000-0000-000049030000}"/>
    <cellStyle name="Output 2" xfId="1546" xr:uid="{00000000-0005-0000-0000-0000E3070000}"/>
    <cellStyle name="Output 3" xfId="1547" xr:uid="{00000000-0005-0000-0000-0000E4070000}"/>
    <cellStyle name="Percent 2" xfId="1548" xr:uid="{00000000-0005-0000-0000-0000E5070000}"/>
    <cellStyle name="Percent 2 2" xfId="1549" xr:uid="{00000000-0005-0000-0000-0000E6070000}"/>
    <cellStyle name="Percent 3" xfId="1550" xr:uid="{00000000-0005-0000-0000-0000E7070000}"/>
    <cellStyle name="Percent 3 2" xfId="2034" xr:uid="{00000000-0005-0000-0000-0000E8070000}"/>
    <cellStyle name="Percent 3 2 2" xfId="6509" xr:uid="{00000000-0005-0000-0000-0000EE0B0000}"/>
    <cellStyle name="Percent 3 3" xfId="2035" xr:uid="{00000000-0005-0000-0000-0000E9070000}"/>
    <cellStyle name="Percent 3 4" xfId="2033" xr:uid="{00000000-0005-0000-0000-0000EA070000}"/>
    <cellStyle name="Percent 4" xfId="1551" xr:uid="{00000000-0005-0000-0000-0000EB070000}"/>
    <cellStyle name="Percent 4 2" xfId="2037" xr:uid="{00000000-0005-0000-0000-0000EC070000}"/>
    <cellStyle name="Percent 4 2 2" xfId="6444" xr:uid="{00000000-0005-0000-0000-0000EC070000}"/>
    <cellStyle name="Percent 4 2 3" xfId="7621" xr:uid="{00000000-0005-0000-0000-0000000D0000}"/>
    <cellStyle name="Percent 4 2 4" xfId="10019" xr:uid="{00000000-0005-0000-0000-0000000D0000}"/>
    <cellStyle name="Percent 4 2 5" xfId="4695" xr:uid="{00000000-0005-0000-0000-0000B9060000}"/>
    <cellStyle name="Percent 4 3" xfId="2038" xr:uid="{00000000-0005-0000-0000-0000ED070000}"/>
    <cellStyle name="Percent 4 3 2" xfId="6053" xr:uid="{00000000-0005-0000-0000-0000ED070000}"/>
    <cellStyle name="Percent 4 3 3" xfId="4751" xr:uid="{00000000-0005-0000-0000-0000BA060000}"/>
    <cellStyle name="Percent 4 4" xfId="2036" xr:uid="{00000000-0005-0000-0000-0000EE070000}"/>
    <cellStyle name="Percent 4 5" xfId="6076" xr:uid="{00000000-0005-0000-0000-0000EB070000}"/>
    <cellStyle name="Percent 4 6" xfId="6903" xr:uid="{00000000-0005-0000-0000-0000FF0C0000}"/>
    <cellStyle name="Percent 4 7" xfId="9324" xr:uid="{00000000-0005-0000-0000-0000FF0C0000}"/>
    <cellStyle name="Sheet Title" xfId="1552" xr:uid="{00000000-0005-0000-0000-0000EF070000}"/>
    <cellStyle name="Style 1" xfId="1553" xr:uid="{00000000-0005-0000-0000-0000F0070000}"/>
    <cellStyle name="Style 1 2" xfId="1554" xr:uid="{00000000-0005-0000-0000-0000F1070000}"/>
    <cellStyle name="Style 1 2 2" xfId="2040" xr:uid="{00000000-0005-0000-0000-0000F2070000}"/>
    <cellStyle name="Style 1 2 2 2" xfId="6479" xr:uid="{00000000-0005-0000-0000-0000F30B0000}"/>
    <cellStyle name="Style 1 2 3" xfId="2041" xr:uid="{00000000-0005-0000-0000-0000F3070000}"/>
    <cellStyle name="Style 1 2 4" xfId="2039" xr:uid="{00000000-0005-0000-0000-0000F4070000}"/>
    <cellStyle name="Style 1 3" xfId="1555" xr:uid="{00000000-0005-0000-0000-0000F5070000}"/>
    <cellStyle name="Style 1 4" xfId="2042" xr:uid="{00000000-0005-0000-0000-0000F6070000}"/>
    <cellStyle name="Style 1 4 2" xfId="6518" xr:uid="{00000000-0005-0000-0000-0000F60B0000}"/>
    <cellStyle name="Total 2" xfId="1556" xr:uid="{00000000-0005-0000-0000-0000F7070000}"/>
    <cellStyle name="Total 3" xfId="1557" xr:uid="{00000000-0005-0000-0000-0000F8070000}"/>
    <cellStyle name="Warning Text 2" xfId="1558" xr:uid="{00000000-0005-0000-0000-0000F9070000}"/>
    <cellStyle name="Warning Text 3" xfId="1559" xr:uid="{00000000-0005-0000-0000-0000FA070000}"/>
  </cellStyles>
  <dxfs count="86">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numFmt numFmtId="179" formatCode=";;;"/>
    </dxf>
    <dxf>
      <numFmt numFmtId="179" formatCode=";;;"/>
    </dxf>
    <dxf>
      <numFmt numFmtId="179" formatCode=";;;"/>
    </dxf>
    <dxf>
      <numFmt numFmtId="179" formatCode=";;;"/>
    </dxf>
    <dxf>
      <numFmt numFmtId="179" formatCode=";;;"/>
    </dxf>
    <dxf>
      <font>
        <color auto="1"/>
      </font>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99"/>
        </patternFill>
      </fill>
    </dxf>
    <dxf>
      <fill>
        <patternFill>
          <bgColor theme="7" tint="0.79998168889431442"/>
        </patternFill>
      </fill>
    </dxf>
    <dxf>
      <fill>
        <patternFill>
          <bgColor theme="7" tint="0.79998168889431442"/>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ctreasurer.com/slg/lfm/financial-analysis/Pages/Analysis-by-Population.aspx" TargetMode="External"/><Relationship Id="rId2" Type="http://schemas.openxmlformats.org/officeDocument/2006/relationships/hyperlink" Target="http://www.nctreasurer.com/lgc/units/unitlistjs.htm" TargetMode="External"/><Relationship Id="rId1" Type="http://schemas.openxmlformats.org/officeDocument/2006/relationships/hyperlink" Target="https://efc.sog.unc.edu/reslib/item/north-carolina-water-and-wastewater-rates-dashboar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4"/>
  <sheetViews>
    <sheetView workbookViewId="0">
      <selection activeCell="A19" sqref="A19"/>
    </sheetView>
  </sheetViews>
  <sheetFormatPr defaultRowHeight="15" x14ac:dyDescent="0.25"/>
  <cols>
    <col min="1" max="1" width="155" customWidth="1"/>
    <col min="2" max="3" width="9.140625" hidden="1" customWidth="1"/>
  </cols>
  <sheetData>
    <row r="2" spans="1:1" ht="33" x14ac:dyDescent="0.25">
      <c r="A2" s="40" t="s">
        <v>46</v>
      </c>
    </row>
    <row r="3" spans="1:1" ht="15.75" x14ac:dyDescent="0.25">
      <c r="A3" s="41" t="s">
        <v>47</v>
      </c>
    </row>
    <row r="4" spans="1:1" ht="126" x14ac:dyDescent="0.25">
      <c r="A4" s="42" t="s">
        <v>48</v>
      </c>
    </row>
    <row r="5" spans="1:1" x14ac:dyDescent="0.25">
      <c r="A5" s="43"/>
    </row>
    <row r="6" spans="1:1" x14ac:dyDescent="0.25">
      <c r="A6" s="44" t="s">
        <v>49</v>
      </c>
    </row>
    <row r="7" spans="1:1" x14ac:dyDescent="0.25">
      <c r="A7" s="45" t="s">
        <v>494</v>
      </c>
    </row>
    <row r="8" spans="1:1" x14ac:dyDescent="0.25">
      <c r="A8" s="44"/>
    </row>
    <row r="9" spans="1:1" x14ac:dyDescent="0.25">
      <c r="A9" s="44" t="s">
        <v>479</v>
      </c>
    </row>
    <row r="10" spans="1:1" x14ac:dyDescent="0.25">
      <c r="A10" s="45" t="s">
        <v>51</v>
      </c>
    </row>
    <row r="11" spans="1:1" x14ac:dyDescent="0.25">
      <c r="A11" s="44"/>
    </row>
    <row r="12" spans="1:1" x14ac:dyDescent="0.25">
      <c r="A12" s="44" t="s">
        <v>50</v>
      </c>
    </row>
    <row r="13" spans="1:1" x14ac:dyDescent="0.25">
      <c r="A13" s="411" t="s">
        <v>480</v>
      </c>
    </row>
    <row r="14" spans="1:1" x14ac:dyDescent="0.25">
      <c r="A14" s="44"/>
    </row>
    <row r="15" spans="1:1" ht="15.75" x14ac:dyDescent="0.25">
      <c r="A15" s="41" t="s">
        <v>52</v>
      </c>
    </row>
    <row r="16" spans="1:1" ht="47.25" x14ac:dyDescent="0.25">
      <c r="A16" s="42" t="s">
        <v>53</v>
      </c>
    </row>
    <row r="17" spans="1:1" ht="15.75" x14ac:dyDescent="0.25">
      <c r="A17" s="42"/>
    </row>
    <row r="18" spans="1:1" ht="118.5" customHeight="1" x14ac:dyDescent="0.25">
      <c r="A18" s="42" t="s">
        <v>495</v>
      </c>
    </row>
    <row r="19" spans="1:1" s="218" customFormat="1" ht="15.75" x14ac:dyDescent="0.25">
      <c r="A19" s="42"/>
    </row>
    <row r="20" spans="1:1" s="218" customFormat="1" ht="132.75" customHeight="1" x14ac:dyDescent="0.25">
      <c r="A20" s="42" t="s">
        <v>481</v>
      </c>
    </row>
    <row r="21" spans="1:1" ht="15.75" x14ac:dyDescent="0.25">
      <c r="A21" s="42"/>
    </row>
    <row r="22" spans="1:1" ht="39.75" customHeight="1" x14ac:dyDescent="0.25">
      <c r="A22" s="42" t="s">
        <v>54</v>
      </c>
    </row>
    <row r="23" spans="1:1" ht="15.75" x14ac:dyDescent="0.25">
      <c r="A23" s="46"/>
    </row>
    <row r="24" spans="1:1" ht="15.75" x14ac:dyDescent="0.25">
      <c r="A24" s="46" t="s">
        <v>461</v>
      </c>
    </row>
  </sheetData>
  <sheetProtection password="CEAA" sheet="1" formatCells="0" formatColumns="0" formatRows="0"/>
  <hyperlinks>
    <hyperlink ref="A7" r:id="rId1" xr:uid="{00000000-0004-0000-0000-000000000000}"/>
    <hyperlink ref="A10" r:id="rId2" display="http://www.nctreasurer.com/lgc/units/unitlistjs.htm" xr:uid="{00000000-0004-0000-0000-000001000000}"/>
    <hyperlink ref="A13"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43"/>
  <sheetViews>
    <sheetView tabSelected="1" zoomScaleNormal="100" workbookViewId="0">
      <pane ySplit="5" topLeftCell="A6" activePane="bottomLeft" state="frozen"/>
      <selection activeCell="A2" sqref="A2"/>
      <selection pane="bottomLeft" activeCell="D2" sqref="D2"/>
    </sheetView>
  </sheetViews>
  <sheetFormatPr defaultRowHeight="15" x14ac:dyDescent="0.25"/>
  <cols>
    <col min="1" max="1" width="5.85546875" style="26" customWidth="1"/>
    <col min="2" max="2" width="16.140625" style="23" customWidth="1"/>
    <col min="3" max="3" width="17.42578125" style="23" customWidth="1"/>
    <col min="4" max="4" width="46.28515625" style="1" customWidth="1"/>
    <col min="5" max="5" width="17.5703125" style="1" customWidth="1"/>
    <col min="6" max="6" width="21.5703125" style="1" customWidth="1"/>
    <col min="7" max="7" width="26.7109375" style="10" customWidth="1"/>
    <col min="8" max="8" width="17.140625" style="3" customWidth="1"/>
    <col min="9" max="9" width="24" style="1" customWidth="1"/>
    <col min="10" max="10" width="24" style="268" hidden="1" customWidth="1"/>
    <col min="11" max="11" width="13.28515625" style="1" hidden="1" customWidth="1"/>
    <col min="12" max="12" width="6.5703125" style="1" hidden="1" customWidth="1"/>
    <col min="13" max="13" width="6" style="1" hidden="1" customWidth="1"/>
    <col min="14" max="14" width="21.28515625" style="1" customWidth="1"/>
    <col min="15" max="15" width="11.7109375" style="1" customWidth="1"/>
    <col min="16" max="16384" width="9.140625" style="1"/>
  </cols>
  <sheetData>
    <row r="1" spans="1:15" ht="29.25" thickBot="1" x14ac:dyDescent="0.5">
      <c r="B1" s="33" t="s">
        <v>15</v>
      </c>
      <c r="C1" s="33"/>
      <c r="E1" s="37" t="s">
        <v>45</v>
      </c>
      <c r="F1" s="19">
        <v>2019</v>
      </c>
      <c r="G1" s="465" t="s">
        <v>148</v>
      </c>
      <c r="H1" s="466"/>
      <c r="I1" s="467"/>
      <c r="K1" s="1" t="s">
        <v>70</v>
      </c>
      <c r="M1" s="1">
        <v>547</v>
      </c>
      <c r="N1" s="470" t="s">
        <v>1004</v>
      </c>
    </row>
    <row r="2" spans="1:15" ht="44.25" customHeight="1" thickBot="1" x14ac:dyDescent="0.4">
      <c r="B2" s="694" t="s">
        <v>376</v>
      </c>
      <c r="C2" s="695"/>
      <c r="D2" s="289"/>
      <c r="E2" s="692" t="s">
        <v>417</v>
      </c>
      <c r="F2" s="692"/>
      <c r="G2" s="693"/>
      <c r="H2" s="15"/>
      <c r="K2" s="1" t="s">
        <v>71</v>
      </c>
      <c r="L2" s="364">
        <v>50</v>
      </c>
      <c r="M2" s="1">
        <v>1</v>
      </c>
    </row>
    <row r="3" spans="1:15" ht="19.5" thickBot="1" x14ac:dyDescent="0.35">
      <c r="B3" s="24" t="s">
        <v>0</v>
      </c>
      <c r="C3" s="132"/>
      <c r="D3" s="216" t="e">
        <f>VLOOKUP(D2,'Unit Names'!A1:B92,2,FALSE)</f>
        <v>#N/A</v>
      </c>
      <c r="E3" s="131"/>
      <c r="F3" s="64"/>
      <c r="G3" s="12"/>
      <c r="H3" s="15"/>
      <c r="L3" s="364">
        <v>51</v>
      </c>
      <c r="M3" s="1">
        <v>2</v>
      </c>
    </row>
    <row r="4" spans="1:15" ht="19.5" thickBot="1" x14ac:dyDescent="0.35">
      <c r="B4" s="32" t="s">
        <v>64</v>
      </c>
      <c r="C4" s="133"/>
      <c r="D4" s="31"/>
      <c r="E4" s="31"/>
      <c r="F4" s="48"/>
      <c r="G4" s="13"/>
      <c r="H4" s="15"/>
      <c r="I4" s="17"/>
      <c r="J4" s="17"/>
      <c r="K4" s="1" t="s">
        <v>460</v>
      </c>
      <c r="L4" s="364">
        <v>52</v>
      </c>
      <c r="M4" s="268">
        <v>3</v>
      </c>
    </row>
    <row r="5" spans="1:15" ht="37.5" customHeight="1" x14ac:dyDescent="0.35">
      <c r="A5" s="27" t="s">
        <v>149</v>
      </c>
      <c r="B5" s="21" t="s">
        <v>130</v>
      </c>
      <c r="C5" s="21" t="s">
        <v>151</v>
      </c>
      <c r="D5" s="5" t="s">
        <v>1</v>
      </c>
      <c r="E5" s="57">
        <v>2018</v>
      </c>
      <c r="F5" s="128">
        <v>2019</v>
      </c>
      <c r="G5" s="14" t="s">
        <v>13</v>
      </c>
      <c r="H5" s="296" t="s">
        <v>423</v>
      </c>
      <c r="I5" s="297" t="s">
        <v>17</v>
      </c>
      <c r="J5" s="297"/>
      <c r="K5" s="268" t="s">
        <v>459</v>
      </c>
      <c r="M5" s="268">
        <v>4</v>
      </c>
    </row>
    <row r="6" spans="1:15" ht="22.5" customHeight="1" x14ac:dyDescent="0.25">
      <c r="A6" s="28"/>
      <c r="B6" s="144" t="s">
        <v>150</v>
      </c>
      <c r="C6" s="136"/>
      <c r="D6" s="137"/>
      <c r="E6" s="135"/>
      <c r="F6" s="138"/>
      <c r="G6" s="139"/>
      <c r="H6" s="16"/>
      <c r="N6" s="390"/>
    </row>
    <row r="7" spans="1:15" s="4" customFormat="1" ht="57.75" customHeight="1" x14ac:dyDescent="0.25">
      <c r="A7" s="219">
        <v>333</v>
      </c>
      <c r="B7" s="177" t="s">
        <v>86</v>
      </c>
      <c r="C7" s="212" t="s">
        <v>152</v>
      </c>
      <c r="D7" s="195" t="s">
        <v>381</v>
      </c>
      <c r="E7" s="36" t="e">
        <f>HLOOKUP($D$2,'2018 Data'!$C$1:$CR$284,99,FALSE)</f>
        <v>#N/A</v>
      </c>
      <c r="F7" s="490"/>
      <c r="G7" s="8">
        <f>IF(F7&lt;0,"Note: Number is normally positive.",)</f>
        <v>0</v>
      </c>
      <c r="H7" s="20"/>
      <c r="I7" s="359"/>
      <c r="J7" s="535" t="s">
        <v>551</v>
      </c>
      <c r="K7" s="365"/>
      <c r="N7" s="458"/>
    </row>
    <row r="8" spans="1:15" s="4" customFormat="1" ht="48" customHeight="1" x14ac:dyDescent="0.25">
      <c r="A8" s="219">
        <v>500</v>
      </c>
      <c r="B8" s="177" t="s">
        <v>74</v>
      </c>
      <c r="C8" s="212" t="s">
        <v>152</v>
      </c>
      <c r="D8" s="195" t="s">
        <v>153</v>
      </c>
      <c r="E8" s="36" t="e">
        <f>HLOOKUP($D$2,'2018 Data'!$C$1:$CR$284,150,FALSE)</f>
        <v>#N/A</v>
      </c>
      <c r="F8" s="490"/>
      <c r="G8" s="79">
        <f>IF(F8&lt;0,"Note: Number is normally positive.",)</f>
        <v>0</v>
      </c>
      <c r="H8" s="20"/>
      <c r="I8" s="176"/>
      <c r="J8" s="531" t="s">
        <v>552</v>
      </c>
      <c r="K8" s="365"/>
      <c r="N8" s="459"/>
      <c r="O8" s="391"/>
    </row>
    <row r="9" spans="1:15" ht="40.5" x14ac:dyDescent="0.25">
      <c r="A9" s="219">
        <v>385</v>
      </c>
      <c r="B9" s="73" t="s">
        <v>79</v>
      </c>
      <c r="C9" s="212" t="s">
        <v>152</v>
      </c>
      <c r="D9" s="204" t="s">
        <v>154</v>
      </c>
      <c r="E9" s="36" t="e">
        <f>HLOOKUP($D$2,'2018 Data'!$C$1:$CR$284,282,FALSE)</f>
        <v>#N/A</v>
      </c>
      <c r="F9" s="490"/>
      <c r="G9" s="79">
        <f>IF((F7+F8)&gt;F9,"Error: Please review cells (F7+F8)&gt;F9",)</f>
        <v>0</v>
      </c>
      <c r="H9" s="16"/>
      <c r="I9" s="360"/>
      <c r="J9" s="531" t="s">
        <v>553</v>
      </c>
      <c r="K9" s="365"/>
      <c r="N9" s="459"/>
      <c r="O9" s="391"/>
    </row>
    <row r="10" spans="1:15" s="4" customFormat="1" ht="105" customHeight="1" x14ac:dyDescent="0.25">
      <c r="A10" s="219">
        <v>575</v>
      </c>
      <c r="B10" s="177" t="s">
        <v>89</v>
      </c>
      <c r="C10" s="212" t="s">
        <v>152</v>
      </c>
      <c r="D10" s="372" t="s">
        <v>476</v>
      </c>
      <c r="E10" s="36" t="e">
        <f>HLOOKUP($D$2,'2018 Data'!$C$1:$CR$284,225,FALSE)</f>
        <v>#N/A</v>
      </c>
      <c r="F10" s="490"/>
      <c r="G10" s="79">
        <f>IF(F10&lt;0,"Note: Number is normally positive.",)</f>
        <v>0</v>
      </c>
      <c r="H10" s="223"/>
      <c r="I10" s="361"/>
      <c r="J10" s="527" t="s">
        <v>554</v>
      </c>
      <c r="K10" s="365"/>
      <c r="N10" s="390"/>
      <c r="O10" s="391"/>
    </row>
    <row r="11" spans="1:15" s="4" customFormat="1" ht="120" customHeight="1" x14ac:dyDescent="0.25">
      <c r="A11" s="219">
        <v>576</v>
      </c>
      <c r="B11" s="177" t="s">
        <v>89</v>
      </c>
      <c r="C11" s="212" t="s">
        <v>152</v>
      </c>
      <c r="D11" s="372" t="s">
        <v>482</v>
      </c>
      <c r="E11" s="36" t="e">
        <f>HLOOKUP($D$2,'2018 Data'!$C$1:$CR$284,226,FALSE)</f>
        <v>#N/A</v>
      </c>
      <c r="F11" s="490"/>
      <c r="G11" s="79">
        <f>IF(F11&lt;0,"Error: Enter as positive.",)</f>
        <v>0</v>
      </c>
      <c r="H11" s="223"/>
      <c r="I11" s="361"/>
      <c r="J11" s="527" t="s">
        <v>555</v>
      </c>
      <c r="K11" s="365"/>
      <c r="N11" s="459"/>
      <c r="O11" s="391"/>
    </row>
    <row r="12" spans="1:15" ht="190.5" customHeight="1" x14ac:dyDescent="0.25">
      <c r="A12" s="219">
        <v>336</v>
      </c>
      <c r="B12" s="73" t="s">
        <v>75</v>
      </c>
      <c r="C12" s="212" t="s">
        <v>152</v>
      </c>
      <c r="D12" s="412" t="s">
        <v>485</v>
      </c>
      <c r="E12" s="36" t="e">
        <f>HLOOKUP($D$2,'2018 Data'!$C$1:$CR$284,283,FALSE)</f>
        <v>#N/A</v>
      </c>
      <c r="F12" s="490"/>
      <c r="G12" s="79">
        <f>IF(F12&lt;0,"Error: Enter as positive.",)</f>
        <v>0</v>
      </c>
      <c r="H12" s="16"/>
      <c r="I12" s="360"/>
      <c r="J12" s="531" t="s">
        <v>556</v>
      </c>
      <c r="K12" s="365"/>
      <c r="N12" s="459"/>
      <c r="O12" s="391"/>
    </row>
    <row r="13" spans="1:15" ht="40.5" x14ac:dyDescent="0.25">
      <c r="A13" s="219">
        <v>338</v>
      </c>
      <c r="B13" s="73" t="s">
        <v>75</v>
      </c>
      <c r="C13" s="212" t="s">
        <v>152</v>
      </c>
      <c r="D13" s="204" t="s">
        <v>155</v>
      </c>
      <c r="E13" s="36" t="e">
        <f>HLOOKUP($D$2,'2018 Data'!$C$1:$CR$284,284,FALSE)</f>
        <v>#N/A</v>
      </c>
      <c r="F13" s="490"/>
      <c r="G13" s="8">
        <f>IF(F12&gt;F13,"Error: Please review accts 336 &gt; 338",)</f>
        <v>0</v>
      </c>
      <c r="H13" s="16"/>
      <c r="I13" s="360"/>
      <c r="J13" s="534" t="s">
        <v>557</v>
      </c>
      <c r="K13" s="365"/>
      <c r="N13" s="458"/>
      <c r="O13" s="391"/>
    </row>
    <row r="14" spans="1:15" ht="102.75" customHeight="1" x14ac:dyDescent="0.25">
      <c r="A14" s="219">
        <v>335</v>
      </c>
      <c r="B14" s="73" t="s">
        <v>75</v>
      </c>
      <c r="C14" s="212" t="s">
        <v>152</v>
      </c>
      <c r="D14" s="161" t="s">
        <v>444</v>
      </c>
      <c r="E14" s="36" t="e">
        <f>HLOOKUP($D$2,'2018 Data'!$C$1:$CR$284,101,FALSE)</f>
        <v>#N/A</v>
      </c>
      <c r="F14" s="490"/>
      <c r="G14" s="8">
        <f>IF(F14&lt;0,"Error: Enter as positive.",)</f>
        <v>0</v>
      </c>
      <c r="H14" s="16"/>
      <c r="I14" s="362"/>
      <c r="J14" s="529" t="s">
        <v>558</v>
      </c>
      <c r="K14" s="365"/>
      <c r="N14" s="458"/>
      <c r="O14" s="391"/>
    </row>
    <row r="15" spans="1:15" ht="40.5" x14ac:dyDescent="0.25">
      <c r="A15" s="219">
        <v>252</v>
      </c>
      <c r="B15" s="73" t="s">
        <v>75</v>
      </c>
      <c r="C15" s="212" t="s">
        <v>152</v>
      </c>
      <c r="D15" s="204" t="s">
        <v>156</v>
      </c>
      <c r="E15" s="36" t="e">
        <f>HLOOKUP($D$2,'2018 Data'!$C$1:$CR$284,78,FALSE)</f>
        <v>#N/A</v>
      </c>
      <c r="F15" s="490"/>
      <c r="G15" s="9"/>
      <c r="H15" s="16"/>
      <c r="I15" s="35"/>
      <c r="J15" s="534" t="s">
        <v>559</v>
      </c>
      <c r="K15" s="365"/>
      <c r="N15" s="458"/>
      <c r="O15" s="391"/>
    </row>
    <row r="16" spans="1:15" ht="40.5" x14ac:dyDescent="0.25">
      <c r="A16" s="219">
        <v>253</v>
      </c>
      <c r="B16" s="73" t="s">
        <v>75</v>
      </c>
      <c r="C16" s="212" t="s">
        <v>152</v>
      </c>
      <c r="D16" s="205" t="s">
        <v>157</v>
      </c>
      <c r="E16" s="36" t="e">
        <f>HLOOKUP($D$2,'2018 Data'!$C$1:$CR$284,79,FALSE)</f>
        <v>#N/A</v>
      </c>
      <c r="F16" s="490"/>
      <c r="G16" s="8"/>
      <c r="H16" s="16"/>
      <c r="I16" s="35"/>
      <c r="J16" s="534" t="s">
        <v>560</v>
      </c>
      <c r="K16" s="365"/>
      <c r="N16" s="458"/>
      <c r="O16" s="391"/>
    </row>
    <row r="17" spans="1:15" ht="100.5" customHeight="1" x14ac:dyDescent="0.25">
      <c r="A17" s="219">
        <v>254</v>
      </c>
      <c r="B17" s="73" t="s">
        <v>75</v>
      </c>
      <c r="C17" s="212" t="s">
        <v>152</v>
      </c>
      <c r="D17" s="205" t="s">
        <v>496</v>
      </c>
      <c r="E17" s="36" t="e">
        <f>HLOOKUP($D$2,'2018 Data'!$C$1:$CR$284,80,FALSE)</f>
        <v>#N/A</v>
      </c>
      <c r="F17" s="490"/>
      <c r="G17" s="79">
        <f>IF(F9-F13-F15-F16-F17=0,,"Error: Total assets and deferred outflows less total liabilities and deferred inflows do not equal total net position. Cells F9-F13-F15-F16-F17 = 0.  The amount the formula is off is located in the cell to the right")</f>
        <v>0</v>
      </c>
      <c r="H17" s="223">
        <f>F9-F13-F15-F16-F17</f>
        <v>0</v>
      </c>
      <c r="I17" s="35"/>
      <c r="J17" s="534" t="s">
        <v>561</v>
      </c>
      <c r="K17" s="365"/>
      <c r="N17" s="458"/>
      <c r="O17" s="391"/>
    </row>
    <row r="18" spans="1:15" x14ac:dyDescent="0.25">
      <c r="A18" s="219"/>
      <c r="B18" s="191" t="s">
        <v>158</v>
      </c>
      <c r="C18" s="190"/>
      <c r="D18" s="183"/>
      <c r="E18" s="164"/>
      <c r="F18" s="500"/>
      <c r="G18" s="140"/>
      <c r="H18" s="16"/>
      <c r="I18" s="35"/>
      <c r="J18" s="534" t="s">
        <v>562</v>
      </c>
      <c r="K18" s="365"/>
      <c r="N18" s="390"/>
      <c r="O18" s="391"/>
    </row>
    <row r="19" spans="1:15" ht="52.5" customHeight="1" x14ac:dyDescent="0.25">
      <c r="A19" s="219">
        <v>502</v>
      </c>
      <c r="B19" s="73" t="s">
        <v>74</v>
      </c>
      <c r="C19" s="212" t="s">
        <v>161</v>
      </c>
      <c r="D19" s="195" t="s">
        <v>159</v>
      </c>
      <c r="E19" s="36" t="e">
        <f>HLOOKUP($D$2,'2018 Data'!$C$1:$CR$284,152,FALSE)</f>
        <v>#N/A</v>
      </c>
      <c r="F19" s="490"/>
      <c r="G19" s="8">
        <f>IF(F19&lt;0,"Note: Number is normally positive.",)</f>
        <v>0</v>
      </c>
      <c r="H19" s="16"/>
      <c r="I19" s="35"/>
      <c r="J19" s="534" t="s">
        <v>563</v>
      </c>
      <c r="K19" s="365"/>
      <c r="N19" s="390"/>
      <c r="O19" s="391"/>
    </row>
    <row r="20" spans="1:15" ht="75" customHeight="1" x14ac:dyDescent="0.25">
      <c r="A20" s="219">
        <v>503</v>
      </c>
      <c r="B20" s="73" t="s">
        <v>74</v>
      </c>
      <c r="C20" s="212" t="s">
        <v>161</v>
      </c>
      <c r="D20" s="205" t="s">
        <v>160</v>
      </c>
      <c r="E20" s="36" t="e">
        <f>HLOOKUP($D$2,'2018 Data'!$C$1:$CR$284,153,FALSE)</f>
        <v>#N/A</v>
      </c>
      <c r="F20" s="490"/>
      <c r="G20" s="8">
        <f>IF(F20&lt;0,"Note: Number is normally positive.",)</f>
        <v>0</v>
      </c>
      <c r="H20" s="16"/>
      <c r="I20" s="35"/>
      <c r="J20" s="534" t="s">
        <v>564</v>
      </c>
      <c r="K20" s="365"/>
      <c r="N20" s="390"/>
      <c r="O20" s="391"/>
    </row>
    <row r="21" spans="1:15" ht="18.75" x14ac:dyDescent="0.25">
      <c r="A21" s="219"/>
      <c r="B21" s="191" t="s">
        <v>162</v>
      </c>
      <c r="C21" s="190"/>
      <c r="D21" s="141"/>
      <c r="E21" s="164"/>
      <c r="F21" s="489"/>
      <c r="G21" s="139"/>
      <c r="H21" s="16"/>
      <c r="I21" s="35"/>
      <c r="J21" s="534" t="s">
        <v>565</v>
      </c>
      <c r="K21" s="365"/>
      <c r="N21" s="390"/>
      <c r="O21" s="391"/>
    </row>
    <row r="22" spans="1:15" ht="49.5" customHeight="1" x14ac:dyDescent="0.25">
      <c r="A22" s="219">
        <v>344</v>
      </c>
      <c r="B22" s="73" t="s">
        <v>75</v>
      </c>
      <c r="C22" s="189" t="s">
        <v>170</v>
      </c>
      <c r="D22" s="205" t="s">
        <v>163</v>
      </c>
      <c r="E22" s="36" t="e">
        <f>HLOOKUP($D$2,'2018 Data'!$C$1:$CR$284,110,FALSE)</f>
        <v>#N/A</v>
      </c>
      <c r="F22" s="490"/>
      <c r="G22" s="8">
        <f t="shared" ref="G22:G30" si="0">IF(F22&lt;0,"Error: Enter as positive.",)</f>
        <v>0</v>
      </c>
      <c r="H22" s="16"/>
      <c r="I22" s="35"/>
      <c r="J22" s="534" t="s">
        <v>566</v>
      </c>
      <c r="K22" s="365"/>
      <c r="N22" s="390"/>
      <c r="O22" s="391"/>
    </row>
    <row r="23" spans="1:15" ht="49.5" customHeight="1" x14ac:dyDescent="0.25">
      <c r="A23" s="219">
        <v>388</v>
      </c>
      <c r="B23" s="73" t="s">
        <v>79</v>
      </c>
      <c r="C23" s="189" t="s">
        <v>170</v>
      </c>
      <c r="D23" s="205" t="s">
        <v>164</v>
      </c>
      <c r="E23" s="36" t="e">
        <f>HLOOKUP($D$2,'2018 Data'!$C$1:$CR$284,147,FALSE)</f>
        <v>#N/A</v>
      </c>
      <c r="F23" s="490"/>
      <c r="G23" s="8">
        <f t="shared" si="0"/>
        <v>0</v>
      </c>
      <c r="H23" s="16"/>
      <c r="I23" s="35"/>
      <c r="J23" s="534" t="s">
        <v>567</v>
      </c>
      <c r="K23" s="365"/>
      <c r="N23" s="458"/>
      <c r="O23" s="391"/>
    </row>
    <row r="24" spans="1:15" ht="51.75" customHeight="1" x14ac:dyDescent="0.25">
      <c r="A24" s="219">
        <v>339</v>
      </c>
      <c r="B24" s="73" t="s">
        <v>75</v>
      </c>
      <c r="C24" s="189" t="s">
        <v>170</v>
      </c>
      <c r="D24" s="205" t="s">
        <v>165</v>
      </c>
      <c r="E24" s="36" t="e">
        <f>HLOOKUP($D$2,'2018 Data'!$C$1:$CR$284,105,FALSE)</f>
        <v>#N/A</v>
      </c>
      <c r="F24" s="490"/>
      <c r="G24" s="8">
        <f t="shared" si="0"/>
        <v>0</v>
      </c>
      <c r="H24" s="16"/>
      <c r="I24" s="35"/>
      <c r="J24" s="534" t="s">
        <v>568</v>
      </c>
      <c r="K24" s="365"/>
      <c r="N24" s="458"/>
      <c r="O24" s="391"/>
    </row>
    <row r="25" spans="1:15" ht="50.25" customHeight="1" x14ac:dyDescent="0.25">
      <c r="A25" s="219">
        <v>504</v>
      </c>
      <c r="B25" s="73" t="s">
        <v>75</v>
      </c>
      <c r="C25" s="189" t="s">
        <v>170</v>
      </c>
      <c r="D25" s="205" t="s">
        <v>166</v>
      </c>
      <c r="E25" s="36" t="e">
        <f>HLOOKUP($D$2,'2018 Data'!$C$1:$CR$284,154,FALSE)</f>
        <v>#N/A</v>
      </c>
      <c r="F25" s="490"/>
      <c r="G25" s="8">
        <f t="shared" si="0"/>
        <v>0</v>
      </c>
      <c r="H25" s="16"/>
      <c r="I25" s="35"/>
      <c r="J25" s="534" t="s">
        <v>569</v>
      </c>
      <c r="K25" s="365"/>
      <c r="N25" s="458"/>
      <c r="O25" s="391"/>
    </row>
    <row r="26" spans="1:15" ht="60" customHeight="1" x14ac:dyDescent="0.25">
      <c r="A26" s="219">
        <v>505</v>
      </c>
      <c r="B26" s="73" t="s">
        <v>75</v>
      </c>
      <c r="C26" s="189" t="s">
        <v>170</v>
      </c>
      <c r="D26" s="143" t="s">
        <v>167</v>
      </c>
      <c r="E26" s="36" t="e">
        <f>HLOOKUP($D$2,'2018 Data'!$C$1:$CR$284,155,FALSE)</f>
        <v>#N/A</v>
      </c>
      <c r="F26" s="490"/>
      <c r="G26" s="8">
        <f t="shared" si="0"/>
        <v>0</v>
      </c>
      <c r="H26" s="16"/>
      <c r="I26" s="35"/>
      <c r="J26" s="534" t="s">
        <v>570</v>
      </c>
      <c r="K26" s="365"/>
      <c r="N26" s="458"/>
      <c r="O26" s="391"/>
    </row>
    <row r="27" spans="1:15" ht="67.900000000000006" customHeight="1" x14ac:dyDescent="0.25">
      <c r="A27" s="219">
        <v>341</v>
      </c>
      <c r="B27" s="73" t="s">
        <v>75</v>
      </c>
      <c r="C27" s="189" t="s">
        <v>170</v>
      </c>
      <c r="D27" s="142" t="s">
        <v>398</v>
      </c>
      <c r="E27" s="36" t="e">
        <f>HLOOKUP($D$2,'2018 Data'!$C$1:$CR$284,107,FALSE)</f>
        <v>#N/A</v>
      </c>
      <c r="F27" s="490"/>
      <c r="G27" s="8">
        <f t="shared" si="0"/>
        <v>0</v>
      </c>
      <c r="H27" s="16"/>
      <c r="I27" s="35"/>
      <c r="J27" s="534" t="s">
        <v>571</v>
      </c>
      <c r="K27" s="365"/>
      <c r="N27" s="458"/>
      <c r="O27" s="391"/>
    </row>
    <row r="28" spans="1:15" ht="44.25" customHeight="1" x14ac:dyDescent="0.25">
      <c r="A28" s="219">
        <v>386</v>
      </c>
      <c r="B28" s="73" t="s">
        <v>75</v>
      </c>
      <c r="C28" s="189" t="s">
        <v>170</v>
      </c>
      <c r="D28" s="205" t="s">
        <v>171</v>
      </c>
      <c r="E28" s="36" t="e">
        <f>HLOOKUP($D$2,'2018 Data'!$C$1:$CR$284,145,FALSE)</f>
        <v>#N/A</v>
      </c>
      <c r="F28" s="490"/>
      <c r="G28" s="8">
        <f t="shared" si="0"/>
        <v>0</v>
      </c>
      <c r="H28" s="16"/>
      <c r="I28" s="35"/>
      <c r="J28" s="534" t="s">
        <v>572</v>
      </c>
      <c r="K28" s="365"/>
      <c r="N28" s="390"/>
      <c r="O28" s="391"/>
    </row>
    <row r="29" spans="1:15" ht="48.75" customHeight="1" x14ac:dyDescent="0.25">
      <c r="A29" s="219">
        <v>387</v>
      </c>
      <c r="B29" s="73" t="s">
        <v>79</v>
      </c>
      <c r="C29" s="189" t="s">
        <v>170</v>
      </c>
      <c r="D29" s="205" t="s">
        <v>172</v>
      </c>
      <c r="E29" s="36" t="e">
        <f>HLOOKUP($D$2,'2018 Data'!$C$1:$CR$284,146,FALSE)</f>
        <v>#N/A</v>
      </c>
      <c r="F29" s="490"/>
      <c r="G29" s="8">
        <f t="shared" si="0"/>
        <v>0</v>
      </c>
      <c r="H29" s="16"/>
      <c r="I29" s="35"/>
      <c r="J29" s="534" t="s">
        <v>573</v>
      </c>
      <c r="K29" s="365"/>
      <c r="N29" s="390"/>
      <c r="O29" s="391"/>
    </row>
    <row r="30" spans="1:15" ht="75" customHeight="1" x14ac:dyDescent="0.25">
      <c r="A30" s="219">
        <v>389</v>
      </c>
      <c r="B30" s="73" t="s">
        <v>79</v>
      </c>
      <c r="C30" s="189" t="s">
        <v>170</v>
      </c>
      <c r="D30" s="195" t="s">
        <v>265</v>
      </c>
      <c r="E30" s="36" t="e">
        <f>HLOOKUP($D$2,'2018 Data'!$C$1:$CR$284,148,FALSE)</f>
        <v>#N/A</v>
      </c>
      <c r="F30" s="490"/>
      <c r="G30" s="8">
        <f t="shared" si="0"/>
        <v>0</v>
      </c>
      <c r="H30" s="16"/>
      <c r="I30" s="35"/>
      <c r="J30" s="534" t="s">
        <v>574</v>
      </c>
      <c r="K30" s="365"/>
      <c r="N30" s="458"/>
      <c r="O30" s="391"/>
    </row>
    <row r="31" spans="1:15" ht="84.75" customHeight="1" x14ac:dyDescent="0.25">
      <c r="A31" s="219">
        <v>255</v>
      </c>
      <c r="B31" s="73" t="s">
        <v>75</v>
      </c>
      <c r="C31" s="189" t="s">
        <v>170</v>
      </c>
      <c r="D31" s="195" t="s">
        <v>266</v>
      </c>
      <c r="E31" s="36" t="e">
        <f>HLOOKUP($D$2,'2018 Data'!$C$1:$CR$284,81,FALSE)</f>
        <v>#N/A</v>
      </c>
      <c r="F31" s="490"/>
      <c r="G31" s="79">
        <f>IF(F24+F25+F26+F27+F28-F29+F30-F23-F31=0,,"Error: Total revenues less total expenses do not equal total change in net position. Cells F24+F25+F26+F27+F28-F29+F30-F23-F31 = 0  The amount the formula is off is located in the cell to the right")</f>
        <v>0</v>
      </c>
      <c r="H31" s="223">
        <f>F24+F25+F26+F27+F28-F29+F30-F23-F31</f>
        <v>0</v>
      </c>
      <c r="I31" s="35"/>
      <c r="J31" s="534" t="s">
        <v>575</v>
      </c>
      <c r="K31" s="365"/>
      <c r="N31" s="458"/>
      <c r="O31" s="391"/>
    </row>
    <row r="32" spans="1:15" ht="102.75" customHeight="1" x14ac:dyDescent="0.25">
      <c r="A32" s="219">
        <v>376</v>
      </c>
      <c r="B32" s="73" t="s">
        <v>75</v>
      </c>
      <c r="C32" s="189" t="s">
        <v>170</v>
      </c>
      <c r="D32" s="161" t="s">
        <v>399</v>
      </c>
      <c r="E32" s="36" t="e">
        <f>HLOOKUP($D$2,'2018 Data'!$C$1:$CR$284,135,FALSE)</f>
        <v>#N/A</v>
      </c>
      <c r="F32" s="490"/>
      <c r="G32" s="347" t="e">
        <f>IF(F15+F16+F17-F31-F32-(E15+E16+E17)=0,,"Error: Beginning Balance does not agree with our records.  Cells F15+F16+F17-F31-F32-(E15+ E16+ E17)=0  The amount the formula is off is located in the cell to the right")</f>
        <v>#N/A</v>
      </c>
      <c r="H32" s="348" t="e">
        <f>F15+F16+F17-F31-F32-(E15+E16+E17)</f>
        <v>#N/A</v>
      </c>
      <c r="I32" s="35"/>
      <c r="J32" s="534" t="s">
        <v>576</v>
      </c>
      <c r="K32" s="365"/>
      <c r="N32" s="458"/>
      <c r="O32" s="391"/>
    </row>
    <row r="33" spans="1:17" s="4" customFormat="1" ht="105" x14ac:dyDescent="0.25">
      <c r="A33" s="219">
        <v>597</v>
      </c>
      <c r="B33" s="177" t="s">
        <v>463</v>
      </c>
      <c r="C33" s="177" t="s">
        <v>474</v>
      </c>
      <c r="D33" s="414" t="s">
        <v>475</v>
      </c>
      <c r="E33" s="36" t="e">
        <f>HLOOKUP($D$2,'2018 Data'!$C$1:$CR$284,256,FALSE)</f>
        <v>#N/A</v>
      </c>
      <c r="F33" s="490"/>
      <c r="G33" s="79">
        <f>IF(F33&lt;0,"Note: Number is normally positive.",)</f>
        <v>0</v>
      </c>
      <c r="H33" s="20"/>
      <c r="I33" s="359"/>
      <c r="J33" s="535" t="s">
        <v>577</v>
      </c>
      <c r="K33" s="365"/>
      <c r="N33" s="458"/>
      <c r="O33" s="391"/>
    </row>
    <row r="34" spans="1:17" s="268" customFormat="1" ht="18.75" x14ac:dyDescent="0.25">
      <c r="A34" s="219"/>
      <c r="B34" s="191" t="s">
        <v>462</v>
      </c>
      <c r="C34" s="190"/>
      <c r="D34" s="141"/>
      <c r="E34" s="164"/>
      <c r="F34" s="489"/>
      <c r="G34" s="181"/>
      <c r="H34" s="76"/>
      <c r="I34" s="35"/>
      <c r="J34" s="534" t="s">
        <v>578</v>
      </c>
      <c r="K34" s="365"/>
      <c r="N34" s="391"/>
      <c r="O34" s="391"/>
    </row>
    <row r="35" spans="1:17" s="4" customFormat="1" ht="73.5" customHeight="1" x14ac:dyDescent="0.25">
      <c r="A35" s="219">
        <v>592</v>
      </c>
      <c r="B35" s="415" t="s">
        <v>463</v>
      </c>
      <c r="C35" s="416" t="s">
        <v>464</v>
      </c>
      <c r="D35" s="154" t="s">
        <v>466</v>
      </c>
      <c r="E35" s="36" t="e">
        <f>HLOOKUP($D$2,'2018 Data'!$C$1:$CR$284,253,FALSE)</f>
        <v>#N/A</v>
      </c>
      <c r="F35" s="488"/>
      <c r="G35" s="79"/>
      <c r="H35" s="176"/>
      <c r="J35" s="534" t="s">
        <v>579</v>
      </c>
      <c r="K35" s="365"/>
      <c r="N35" s="458"/>
      <c r="O35" s="391"/>
    </row>
    <row r="36" spans="1:17" s="4" customFormat="1" ht="71.25" customHeight="1" x14ac:dyDescent="0.25">
      <c r="A36" s="219">
        <v>591</v>
      </c>
      <c r="B36" s="415" t="s">
        <v>463</v>
      </c>
      <c r="C36" s="416" t="s">
        <v>464</v>
      </c>
      <c r="D36" s="205" t="s">
        <v>465</v>
      </c>
      <c r="E36" s="36" t="e">
        <f>HLOOKUP($D$2,'2018 Data'!$C$1:$CR$284,252,FALSE)</f>
        <v>#N/A</v>
      </c>
      <c r="F36" s="488"/>
      <c r="G36" s="79">
        <f>IF(F36&lt;0,"Error: Enter as positive.",)</f>
        <v>0</v>
      </c>
      <c r="H36" s="176"/>
      <c r="J36" s="535" t="s">
        <v>580</v>
      </c>
      <c r="K36" s="365"/>
      <c r="N36" s="459"/>
      <c r="O36" s="391"/>
    </row>
    <row r="37" spans="1:17" ht="25.5" customHeight="1" x14ac:dyDescent="0.25">
      <c r="A37" s="220"/>
      <c r="B37" s="191" t="s">
        <v>173</v>
      </c>
      <c r="C37" s="190"/>
      <c r="D37" s="145"/>
      <c r="E37" s="164"/>
      <c r="F37" s="499"/>
      <c r="G37" s="146"/>
      <c r="H37" s="16"/>
      <c r="I37" s="35"/>
      <c r="J37" s="535" t="s">
        <v>581</v>
      </c>
      <c r="K37" s="365"/>
      <c r="N37" s="391"/>
      <c r="O37" s="391"/>
    </row>
    <row r="38" spans="1:17" s="4" customFormat="1" ht="55.5" customHeight="1" x14ac:dyDescent="0.25">
      <c r="A38" s="219">
        <v>506</v>
      </c>
      <c r="B38" s="74" t="s">
        <v>74</v>
      </c>
      <c r="C38" s="147" t="s">
        <v>177</v>
      </c>
      <c r="D38" s="205" t="s">
        <v>382</v>
      </c>
      <c r="E38" s="36" t="e">
        <f>HLOOKUP($D$2,'2018 Data'!$C$1:$CR$284,156,FALSE)</f>
        <v>#N/A</v>
      </c>
      <c r="F38" s="490"/>
      <c r="G38" s="79">
        <f>IF(F38&lt;0,"Note: Number is normally positive.",)</f>
        <v>0</v>
      </c>
      <c r="H38" s="20"/>
      <c r="I38" s="35"/>
      <c r="J38" s="534" t="s">
        <v>582</v>
      </c>
      <c r="K38" s="365"/>
      <c r="N38" s="458"/>
      <c r="O38" s="391"/>
    </row>
    <row r="39" spans="1:17" s="4" customFormat="1" ht="45.75" customHeight="1" x14ac:dyDescent="0.25">
      <c r="A39" s="219">
        <v>536</v>
      </c>
      <c r="B39" s="74" t="s">
        <v>74</v>
      </c>
      <c r="C39" s="147" t="s">
        <v>177</v>
      </c>
      <c r="D39" s="205" t="s">
        <v>174</v>
      </c>
      <c r="E39" s="36" t="e">
        <f>HLOOKUP($D$2,'2018 Data'!$C$1:$CR$284,186,FALSE)</f>
        <v>#N/A</v>
      </c>
      <c r="F39" s="490"/>
      <c r="G39" s="79">
        <f>IF(F39&lt;0,"Note: Number is normally positive.",)</f>
        <v>0</v>
      </c>
      <c r="H39" s="20"/>
      <c r="I39" s="359"/>
      <c r="J39" s="531" t="s">
        <v>583</v>
      </c>
      <c r="K39" s="365"/>
      <c r="N39" s="459"/>
      <c r="O39" s="391"/>
    </row>
    <row r="40" spans="1:17" s="4" customFormat="1" ht="51.75" customHeight="1" x14ac:dyDescent="0.25">
      <c r="A40" s="219">
        <v>586</v>
      </c>
      <c r="B40" s="74" t="s">
        <v>78</v>
      </c>
      <c r="C40" s="147" t="s">
        <v>177</v>
      </c>
      <c r="D40" s="374" t="s">
        <v>448</v>
      </c>
      <c r="E40" s="36" t="e">
        <f>HLOOKUP($D$2,'2018 Data'!$C$1:$CR$284,236,FALSE)</f>
        <v>#N/A</v>
      </c>
      <c r="F40" s="490"/>
      <c r="G40" s="79">
        <f>IF(F40&lt;0,"Note: Number is normally positive.",)</f>
        <v>0</v>
      </c>
      <c r="H40" s="176"/>
      <c r="I40" s="359"/>
      <c r="J40" s="534" t="s">
        <v>584</v>
      </c>
      <c r="K40" s="365"/>
      <c r="N40" s="391"/>
      <c r="O40" s="391"/>
    </row>
    <row r="41" spans="1:17" ht="37.5" customHeight="1" x14ac:dyDescent="0.25">
      <c r="A41" s="219">
        <v>379</v>
      </c>
      <c r="B41" s="74" t="s">
        <v>79</v>
      </c>
      <c r="C41" s="147" t="s">
        <v>177</v>
      </c>
      <c r="D41" s="204" t="s">
        <v>154</v>
      </c>
      <c r="E41" s="36" t="e">
        <f>HLOOKUP($D$2,'2018 Data'!$C$1:$CR$284,138,FALSE)</f>
        <v>#N/A</v>
      </c>
      <c r="F41" s="490"/>
      <c r="G41" s="79">
        <f>IF((F38+F39)&gt;F41,"Error: Please review cells (F38+F39)&gt;F41",)</f>
        <v>0</v>
      </c>
      <c r="H41" s="16"/>
      <c r="I41" s="35"/>
      <c r="J41" s="534" t="s">
        <v>585</v>
      </c>
      <c r="K41" s="365"/>
      <c r="N41" s="459"/>
      <c r="O41" s="391"/>
    </row>
    <row r="42" spans="1:17" ht="93" customHeight="1" x14ac:dyDescent="0.25">
      <c r="A42" s="219">
        <v>368</v>
      </c>
      <c r="B42" s="74" t="s">
        <v>88</v>
      </c>
      <c r="C42" s="147" t="s">
        <v>177</v>
      </c>
      <c r="D42" s="195" t="s">
        <v>400</v>
      </c>
      <c r="E42" s="36" t="e">
        <f>HLOOKUP($D$2,'2018 Data'!$C$1:$CR$284,129,FALSE)</f>
        <v>#N/A</v>
      </c>
      <c r="F42" s="490"/>
      <c r="G42" s="8">
        <f t="shared" ref="G42:G48" si="1">IF(F42&lt;0,"Error: Enter as positive.",)</f>
        <v>0</v>
      </c>
      <c r="H42" s="16"/>
      <c r="I42" s="176"/>
      <c r="J42" s="534" t="s">
        <v>586</v>
      </c>
      <c r="K42" s="365"/>
      <c r="L42" s="4"/>
      <c r="M42" s="4"/>
      <c r="N42" s="458"/>
      <c r="O42" s="391"/>
      <c r="P42" s="4"/>
      <c r="Q42" s="4"/>
    </row>
    <row r="43" spans="1:17" ht="99.75" customHeight="1" x14ac:dyDescent="0.25">
      <c r="A43" s="219">
        <v>4</v>
      </c>
      <c r="B43" s="74" t="s">
        <v>74</v>
      </c>
      <c r="C43" s="147" t="s">
        <v>177</v>
      </c>
      <c r="D43" s="161" t="s">
        <v>447</v>
      </c>
      <c r="E43" s="36" t="e">
        <f>HLOOKUP($D$2,'2018 Data'!$C$1:$CR$284,3,FALSE)</f>
        <v>#N/A</v>
      </c>
      <c r="F43" s="490"/>
      <c r="G43" s="8">
        <f t="shared" si="1"/>
        <v>0</v>
      </c>
      <c r="H43" s="16"/>
      <c r="I43" s="35"/>
      <c r="J43" s="534" t="s">
        <v>587</v>
      </c>
      <c r="K43" s="365"/>
      <c r="N43" s="459"/>
      <c r="O43" s="391"/>
    </row>
    <row r="44" spans="1:17" ht="117.75" customHeight="1" x14ac:dyDescent="0.25">
      <c r="A44" s="219">
        <v>5</v>
      </c>
      <c r="B44" s="74" t="s">
        <v>74</v>
      </c>
      <c r="C44" s="147" t="s">
        <v>177</v>
      </c>
      <c r="D44" s="134" t="s">
        <v>184</v>
      </c>
      <c r="E44" s="36" t="e">
        <f>HLOOKUP($D$2,'2018 Data'!$C$1:$CR$284,4,FALSE)</f>
        <v>#N/A</v>
      </c>
      <c r="F44" s="490"/>
      <c r="G44" s="8">
        <f t="shared" si="1"/>
        <v>0</v>
      </c>
      <c r="H44" s="16"/>
      <c r="I44" s="35"/>
      <c r="J44" s="534" t="s">
        <v>588</v>
      </c>
      <c r="K44" s="365"/>
      <c r="N44" s="458"/>
      <c r="O44" s="391"/>
    </row>
    <row r="45" spans="1:17" ht="93.75" customHeight="1" x14ac:dyDescent="0.25">
      <c r="A45" s="219">
        <v>380</v>
      </c>
      <c r="B45" s="74" t="s">
        <v>79</v>
      </c>
      <c r="C45" s="147" t="s">
        <v>177</v>
      </c>
      <c r="D45" s="134" t="s">
        <v>185</v>
      </c>
      <c r="E45" s="36" t="e">
        <f>HLOOKUP($D$2,'2018 Data'!$C$1:$CR$284,139,FALSE)</f>
        <v>#N/A</v>
      </c>
      <c r="F45" s="490"/>
      <c r="G45" s="8">
        <f t="shared" si="1"/>
        <v>0</v>
      </c>
      <c r="H45" s="16"/>
      <c r="I45" s="35"/>
      <c r="J45" s="534" t="s">
        <v>589</v>
      </c>
      <c r="K45" s="365"/>
      <c r="N45" s="458"/>
      <c r="O45" s="391"/>
    </row>
    <row r="46" spans="1:17" ht="48.75" customHeight="1" x14ac:dyDescent="0.25">
      <c r="A46" s="219">
        <v>391</v>
      </c>
      <c r="B46" s="74" t="s">
        <v>88</v>
      </c>
      <c r="C46" s="147" t="s">
        <v>177</v>
      </c>
      <c r="D46" s="205" t="s">
        <v>175</v>
      </c>
      <c r="E46" s="36" t="e">
        <f>HLOOKUP($D$2,'2018 Data'!$C$1:$CR$284,149,FALSE)</f>
        <v>#N/A</v>
      </c>
      <c r="F46" s="490"/>
      <c r="G46" s="8">
        <f t="shared" si="1"/>
        <v>0</v>
      </c>
      <c r="H46" s="16"/>
      <c r="I46" s="35"/>
      <c r="J46" s="534" t="s">
        <v>590</v>
      </c>
      <c r="K46" s="365"/>
      <c r="N46" s="458"/>
      <c r="O46" s="391"/>
    </row>
    <row r="47" spans="1:17" ht="51.75" customHeight="1" x14ac:dyDescent="0.25">
      <c r="A47" s="219">
        <v>7</v>
      </c>
      <c r="B47" s="74" t="s">
        <v>88</v>
      </c>
      <c r="C47" s="147" t="s">
        <v>177</v>
      </c>
      <c r="D47" s="205" t="s">
        <v>176</v>
      </c>
      <c r="E47" s="36" t="e">
        <f>HLOOKUP($D$2,'2018 Data'!$C$1:$CR$284,6,FALSE)</f>
        <v>#N/A</v>
      </c>
      <c r="F47" s="490"/>
      <c r="G47" s="8">
        <f t="shared" si="1"/>
        <v>0</v>
      </c>
      <c r="H47" s="16"/>
      <c r="I47" s="35"/>
      <c r="J47" s="535" t="s">
        <v>591</v>
      </c>
      <c r="K47" s="365"/>
      <c r="N47" s="458"/>
      <c r="O47" s="391"/>
    </row>
    <row r="48" spans="1:17" ht="78.75" customHeight="1" x14ac:dyDescent="0.25">
      <c r="A48" s="219">
        <v>11</v>
      </c>
      <c r="B48" s="74" t="s">
        <v>88</v>
      </c>
      <c r="C48" s="147" t="s">
        <v>177</v>
      </c>
      <c r="D48" s="195" t="s">
        <v>186</v>
      </c>
      <c r="E48" s="36" t="e">
        <f>HLOOKUP($D$2,'2018 Data'!$C$1:$CR$284,8,FALSE)</f>
        <v>#N/A</v>
      </c>
      <c r="F48" s="490"/>
      <c r="G48" s="8">
        <f t="shared" si="1"/>
        <v>0</v>
      </c>
      <c r="H48" s="16"/>
      <c r="I48" s="35"/>
      <c r="J48" s="534" t="s">
        <v>592</v>
      </c>
      <c r="K48" s="365"/>
      <c r="N48" s="458"/>
      <c r="O48" s="391"/>
    </row>
    <row r="49" spans="1:15" ht="69" customHeight="1" x14ac:dyDescent="0.25">
      <c r="A49" s="219">
        <v>9</v>
      </c>
      <c r="B49" s="74" t="s">
        <v>79</v>
      </c>
      <c r="C49" s="147" t="s">
        <v>177</v>
      </c>
      <c r="D49" s="195" t="s">
        <v>401</v>
      </c>
      <c r="E49" s="36" t="e">
        <f>HLOOKUP($D$2,'2018 Data'!$C$1:$CR$284,7,FALSE)</f>
        <v>#N/A</v>
      </c>
      <c r="F49" s="490"/>
      <c r="G49" s="79">
        <f>IF(F41-F43-F44-F45-F49=0,,"Error: Total assets less total liabilities do not equal total fund balance. Cells F41-F43-F44-F45-F49= 0  The amount of the formula is in the cell to the right")</f>
        <v>0</v>
      </c>
      <c r="H49" s="223">
        <f>F41-F43-F44-F45-F49</f>
        <v>0</v>
      </c>
      <c r="I49" s="35"/>
      <c r="J49" s="534" t="s">
        <v>593</v>
      </c>
      <c r="K49" s="365"/>
      <c r="N49" s="458"/>
      <c r="O49" s="391"/>
    </row>
    <row r="50" spans="1:15" s="4" customFormat="1" ht="57" customHeight="1" x14ac:dyDescent="0.25">
      <c r="A50" s="219">
        <v>540</v>
      </c>
      <c r="B50" s="177" t="s">
        <v>78</v>
      </c>
      <c r="C50" s="212" t="s">
        <v>240</v>
      </c>
      <c r="D50" s="205" t="s">
        <v>239</v>
      </c>
      <c r="E50" s="36" t="e">
        <f>HLOOKUP($D$2,'2018 Data'!$C$1:$CR$284,190,FALSE)</f>
        <v>#N/A</v>
      </c>
      <c r="F50" s="490"/>
      <c r="G50" s="79"/>
      <c r="H50" s="20"/>
      <c r="I50" s="359"/>
      <c r="J50" s="534" t="s">
        <v>594</v>
      </c>
      <c r="K50" s="365"/>
      <c r="N50" s="458"/>
      <c r="O50" s="391"/>
    </row>
    <row r="51" spans="1:15" x14ac:dyDescent="0.25">
      <c r="A51" s="220"/>
      <c r="B51" s="151" t="s">
        <v>182</v>
      </c>
      <c r="C51" s="155"/>
      <c r="D51" s="183"/>
      <c r="E51" s="164"/>
      <c r="F51" s="489"/>
      <c r="G51" s="150"/>
      <c r="H51" s="16"/>
      <c r="I51" s="35"/>
      <c r="J51" s="534" t="s">
        <v>595</v>
      </c>
      <c r="K51" s="365"/>
      <c r="N51" s="391"/>
      <c r="O51" s="391"/>
    </row>
    <row r="52" spans="1:15" ht="52.5" customHeight="1" x14ac:dyDescent="0.25">
      <c r="A52" s="219">
        <v>369</v>
      </c>
      <c r="B52" s="73" t="s">
        <v>75</v>
      </c>
      <c r="C52" s="189" t="s">
        <v>183</v>
      </c>
      <c r="D52" s="195" t="s">
        <v>178</v>
      </c>
      <c r="E52" s="36" t="e">
        <f>HLOOKUP($D$2,'2018 Data'!$C$1:$CR$284,130,FALSE)</f>
        <v>#N/A</v>
      </c>
      <c r="F52" s="490"/>
      <c r="G52" s="79"/>
      <c r="H52" s="16"/>
      <c r="I52" s="35"/>
      <c r="J52" s="534" t="s">
        <v>596</v>
      </c>
      <c r="K52" s="365"/>
      <c r="N52" s="458"/>
      <c r="O52" s="391"/>
    </row>
    <row r="53" spans="1:15" ht="57.75" customHeight="1" x14ac:dyDescent="0.25">
      <c r="A53" s="219">
        <v>16</v>
      </c>
      <c r="B53" s="73" t="s">
        <v>85</v>
      </c>
      <c r="C53" s="189" t="s">
        <v>183</v>
      </c>
      <c r="D53" s="205" t="s">
        <v>179</v>
      </c>
      <c r="E53" s="36" t="e">
        <f>HLOOKUP($D$2,'2018 Data'!$C$1:$CR$284,12,FALSE)</f>
        <v>#N/A</v>
      </c>
      <c r="F53" s="490"/>
      <c r="G53" s="79"/>
      <c r="H53" s="16"/>
      <c r="I53" s="35"/>
      <c r="J53" s="534" t="s">
        <v>597</v>
      </c>
      <c r="K53" s="365"/>
      <c r="N53" s="458"/>
      <c r="O53" s="391"/>
    </row>
    <row r="54" spans="1:15" ht="65.25" customHeight="1" x14ac:dyDescent="0.25">
      <c r="A54" s="219">
        <v>370</v>
      </c>
      <c r="B54" s="73" t="s">
        <v>75</v>
      </c>
      <c r="C54" s="189" t="s">
        <v>183</v>
      </c>
      <c r="D54" s="195" t="s">
        <v>392</v>
      </c>
      <c r="E54" s="36" t="e">
        <f>HLOOKUP($D$2,'2018 Data'!$C$1:$CR$284,131,FALSE)</f>
        <v>#N/A</v>
      </c>
      <c r="F54" s="490"/>
      <c r="G54" s="8">
        <f>IF(F54&lt;0,"Error: Enter as positive.",)</f>
        <v>0</v>
      </c>
      <c r="H54" s="16"/>
      <c r="I54" s="35"/>
      <c r="J54" s="534" t="s">
        <v>598</v>
      </c>
      <c r="K54" s="365"/>
      <c r="N54" s="458"/>
      <c r="O54" s="391"/>
    </row>
    <row r="55" spans="1:15" ht="69.75" customHeight="1" x14ac:dyDescent="0.25">
      <c r="A55" s="219">
        <v>532</v>
      </c>
      <c r="B55" s="73" t="s">
        <v>74</v>
      </c>
      <c r="C55" s="189" t="s">
        <v>183</v>
      </c>
      <c r="D55" s="148" t="s">
        <v>187</v>
      </c>
      <c r="E55" s="36" t="e">
        <f>HLOOKUP($D$2,'2018 Data'!$C$1:$CR$284,182,FALSE)</f>
        <v>#N/A</v>
      </c>
      <c r="F55" s="490"/>
      <c r="G55" s="8">
        <f>IF(F55&lt;0,"Error: Enter as positive.",)</f>
        <v>0</v>
      </c>
      <c r="H55" s="16"/>
      <c r="I55" s="35"/>
      <c r="J55" s="534" t="s">
        <v>599</v>
      </c>
      <c r="K55" s="365"/>
      <c r="N55" s="458"/>
      <c r="O55" s="391"/>
    </row>
    <row r="56" spans="1:15" ht="54" customHeight="1" x14ac:dyDescent="0.25">
      <c r="A56" s="219">
        <v>17</v>
      </c>
      <c r="B56" s="73" t="s">
        <v>79</v>
      </c>
      <c r="C56" s="189" t="s">
        <v>183</v>
      </c>
      <c r="D56" s="205" t="s">
        <v>383</v>
      </c>
      <c r="E56" s="36" t="e">
        <f>HLOOKUP($D$2,'2018 Data'!$C$1:$CR$284,13,FALSE)</f>
        <v>#N/A</v>
      </c>
      <c r="F56" s="490"/>
      <c r="G56" s="8"/>
      <c r="H56" s="16"/>
      <c r="I56" s="35"/>
      <c r="J56" s="535" t="s">
        <v>600</v>
      </c>
      <c r="K56" s="365"/>
      <c r="N56" s="390"/>
      <c r="O56" s="391"/>
    </row>
    <row r="57" spans="1:15" ht="58.5" customHeight="1" x14ac:dyDescent="0.25">
      <c r="A57" s="219">
        <v>20</v>
      </c>
      <c r="B57" s="73" t="s">
        <v>74</v>
      </c>
      <c r="C57" s="189" t="s">
        <v>183</v>
      </c>
      <c r="D57" s="205" t="s">
        <v>384</v>
      </c>
      <c r="E57" s="36" t="e">
        <f>HLOOKUP($D$2,'2018 Data'!$C$1:$CR$284,15,FALSE)</f>
        <v>#N/A</v>
      </c>
      <c r="F57" s="490"/>
      <c r="G57" s="8">
        <f>IF(F57&lt;0,"Error: Enter as positive.",)</f>
        <v>0</v>
      </c>
      <c r="H57" s="16"/>
      <c r="I57" s="35"/>
      <c r="J57" s="535" t="s">
        <v>601</v>
      </c>
      <c r="K57" s="365"/>
      <c r="N57" s="390"/>
      <c r="O57" s="391"/>
    </row>
    <row r="58" spans="1:15" ht="54" customHeight="1" x14ac:dyDescent="0.25">
      <c r="A58" s="219">
        <v>533</v>
      </c>
      <c r="B58" s="73" t="s">
        <v>74</v>
      </c>
      <c r="C58" s="189" t="s">
        <v>183</v>
      </c>
      <c r="D58" s="149" t="s">
        <v>180</v>
      </c>
      <c r="E58" s="36" t="e">
        <f>HLOOKUP($D$2,'2018 Data'!$C$1:$CR$284,183,FALSE)</f>
        <v>#N/A</v>
      </c>
      <c r="F58" s="490"/>
      <c r="G58" s="7"/>
      <c r="H58" s="16"/>
      <c r="I58" s="35"/>
      <c r="J58" s="534" t="s">
        <v>602</v>
      </c>
      <c r="K58" s="365"/>
      <c r="N58" s="390"/>
      <c r="O58" s="391"/>
    </row>
    <row r="59" spans="1:15" s="4" customFormat="1" ht="62.25" customHeight="1" x14ac:dyDescent="0.25">
      <c r="A59" s="219">
        <v>508</v>
      </c>
      <c r="B59" s="73" t="s">
        <v>74</v>
      </c>
      <c r="C59" s="189" t="s">
        <v>183</v>
      </c>
      <c r="D59" s="205" t="s">
        <v>413</v>
      </c>
      <c r="E59" s="36" t="e">
        <f>HLOOKUP($D$2,'2018 Data'!$C$1:$CR$284,158,FALSE)</f>
        <v>#N/A</v>
      </c>
      <c r="F59" s="490"/>
      <c r="G59" s="8"/>
      <c r="H59" s="20"/>
      <c r="I59" s="359"/>
      <c r="J59" s="534" t="s">
        <v>603</v>
      </c>
      <c r="K59" s="365"/>
      <c r="N59" s="390"/>
      <c r="O59" s="391"/>
    </row>
    <row r="60" spans="1:15" s="4" customFormat="1" ht="81.75" customHeight="1" x14ac:dyDescent="0.25">
      <c r="A60" s="219">
        <v>509</v>
      </c>
      <c r="B60" s="73" t="s">
        <v>74</v>
      </c>
      <c r="C60" s="189" t="s">
        <v>183</v>
      </c>
      <c r="D60" s="205" t="s">
        <v>411</v>
      </c>
      <c r="E60" s="36" t="e">
        <f>HLOOKUP($D$2,'2018 Data'!$C$1:$CR$284,159,FALSE)</f>
        <v>#N/A</v>
      </c>
      <c r="F60" s="490"/>
      <c r="G60" s="79">
        <f>IF(F60&lt;0,"Error: Enter as positive.",)</f>
        <v>0</v>
      </c>
      <c r="H60" s="20"/>
      <c r="I60" s="359"/>
      <c r="J60" s="534" t="s">
        <v>604</v>
      </c>
      <c r="K60" s="365"/>
      <c r="N60" s="391"/>
      <c r="O60" s="391"/>
    </row>
    <row r="61" spans="1:15" ht="61.5" customHeight="1" x14ac:dyDescent="0.25">
      <c r="A61" s="219">
        <v>22</v>
      </c>
      <c r="B61" s="73" t="s">
        <v>79</v>
      </c>
      <c r="C61" s="189" t="s">
        <v>183</v>
      </c>
      <c r="D61" s="205" t="s">
        <v>412</v>
      </c>
      <c r="E61" s="36" t="e">
        <f>HLOOKUP($D$2,'2018 Data'!$C$1:$CR$284,17,FALSE)</f>
        <v>#N/A</v>
      </c>
      <c r="F61" s="490"/>
      <c r="G61" s="7"/>
      <c r="H61" s="16"/>
      <c r="I61" s="35"/>
      <c r="J61" s="534" t="s">
        <v>605</v>
      </c>
      <c r="K61" s="365"/>
      <c r="N61" s="459"/>
      <c r="O61" s="391"/>
    </row>
    <row r="62" spans="1:15" ht="81.75" customHeight="1" x14ac:dyDescent="0.25">
      <c r="A62" s="219">
        <v>23</v>
      </c>
      <c r="B62" s="73" t="s">
        <v>79</v>
      </c>
      <c r="C62" s="189" t="s">
        <v>183</v>
      </c>
      <c r="D62" s="195" t="s">
        <v>181</v>
      </c>
      <c r="E62" s="36" t="e">
        <f>HLOOKUP($D$2,'2018 Data'!$C$1:$CR$284,18,FALSE)</f>
        <v>#N/A</v>
      </c>
      <c r="F62" s="490"/>
      <c r="G62" s="79">
        <f>IF(F53-F55+F56-F57+F58+F61+F59-F60-F62=0,,"Error: Total revenues less total expenditures do not equal total change in fund balance.  Cells F53-F55+F56-F57+F58+F61+F59-F60-F62=0  The amount of the formula is located in the cell to the right")</f>
        <v>0</v>
      </c>
      <c r="H62" s="223">
        <f>+F53-F55+F56-F57+F58+F61+F59-F60-F62</f>
        <v>0</v>
      </c>
      <c r="I62" s="35"/>
      <c r="J62" s="534" t="s">
        <v>606</v>
      </c>
      <c r="K62" s="365"/>
      <c r="N62" s="458"/>
      <c r="O62" s="391"/>
    </row>
    <row r="63" spans="1:15" s="268" customFormat="1" ht="140.25" customHeight="1" x14ac:dyDescent="0.25">
      <c r="A63" s="219">
        <v>590</v>
      </c>
      <c r="B63" s="73" t="s">
        <v>458</v>
      </c>
      <c r="C63" s="189"/>
      <c r="D63" s="195" t="s">
        <v>521</v>
      </c>
      <c r="E63" s="379"/>
      <c r="F63" s="503"/>
      <c r="G63" s="380"/>
      <c r="H63" s="223"/>
      <c r="I63" s="35"/>
      <c r="J63" s="534" t="s">
        <v>607</v>
      </c>
      <c r="K63" s="365"/>
      <c r="N63" s="390"/>
      <c r="O63" s="391"/>
    </row>
    <row r="64" spans="1:15" ht="115.5" customHeight="1" x14ac:dyDescent="0.25">
      <c r="A64" s="219">
        <v>507</v>
      </c>
      <c r="B64" s="73" t="s">
        <v>79</v>
      </c>
      <c r="C64" s="189" t="s">
        <v>183</v>
      </c>
      <c r="D64" s="413" t="s">
        <v>487</v>
      </c>
      <c r="E64" s="36" t="e">
        <f>HLOOKUP($D$2,'2018 Data'!$C$1:$CR$284,157,FALSE)</f>
        <v>#N/A</v>
      </c>
      <c r="F64" s="493"/>
      <c r="G64" s="79" t="e">
        <f>IF(F49-F62-F64=E49,,"Error: Beginning Balance does not agree with our records.  Cell F49-F62-F64=E49  The amount of the formula is in the cell to the right")</f>
        <v>#N/A</v>
      </c>
      <c r="H64" s="223" t="e">
        <f>+F49-F62-F64-E49</f>
        <v>#N/A</v>
      </c>
      <c r="I64" s="35"/>
      <c r="J64" s="534" t="s">
        <v>608</v>
      </c>
      <c r="K64" s="365"/>
      <c r="N64" s="390"/>
      <c r="O64" s="391"/>
    </row>
    <row r="65" spans="1:17" ht="18.75" x14ac:dyDescent="0.3">
      <c r="A65" s="220"/>
      <c r="B65" s="151" t="s">
        <v>14</v>
      </c>
      <c r="C65" s="155"/>
      <c r="D65" s="152"/>
      <c r="E65" s="152"/>
      <c r="F65" s="487"/>
      <c r="G65" s="153"/>
      <c r="H65" s="16"/>
      <c r="I65" s="35"/>
      <c r="J65" s="534" t="s">
        <v>609</v>
      </c>
      <c r="K65" s="365"/>
      <c r="N65" s="390"/>
      <c r="O65" s="391"/>
    </row>
    <row r="66" spans="1:17" s="26" customFormat="1" ht="63" customHeight="1" x14ac:dyDescent="0.25">
      <c r="A66" s="219">
        <v>171</v>
      </c>
      <c r="B66" s="73" t="s">
        <v>416</v>
      </c>
      <c r="C66" s="73" t="s">
        <v>415</v>
      </c>
      <c r="D66" s="154" t="s">
        <v>391</v>
      </c>
      <c r="E66" s="36" t="e">
        <f>HLOOKUP($D$2,'2018 Data'!$C$1:$CR$284,71,FALSE)</f>
        <v>#N/A</v>
      </c>
      <c r="F66" s="493"/>
      <c r="G66" s="79">
        <f>IF(F66&lt;0,"Error: Enter as positive.",)</f>
        <v>0</v>
      </c>
      <c r="H66" s="71"/>
      <c r="I66" s="363"/>
      <c r="J66" s="534" t="s">
        <v>610</v>
      </c>
      <c r="K66" s="365"/>
      <c r="N66" s="458"/>
      <c r="O66" s="391"/>
    </row>
    <row r="67" spans="1:17" ht="18.75" x14ac:dyDescent="0.3">
      <c r="A67" s="220"/>
      <c r="B67" s="155" t="s">
        <v>188</v>
      </c>
      <c r="C67" s="155"/>
      <c r="D67" s="184"/>
      <c r="E67" s="184"/>
      <c r="F67" s="497"/>
      <c r="G67" s="156"/>
      <c r="H67" s="16"/>
      <c r="I67" s="35"/>
      <c r="J67" s="534" t="s">
        <v>611</v>
      </c>
      <c r="K67" s="365"/>
      <c r="N67" s="26"/>
      <c r="O67" s="391"/>
    </row>
    <row r="68" spans="1:17" ht="18.75" x14ac:dyDescent="0.3">
      <c r="A68" s="220"/>
      <c r="B68" s="155" t="s">
        <v>29</v>
      </c>
      <c r="C68" s="155"/>
      <c r="D68" s="166"/>
      <c r="E68" s="167"/>
      <c r="F68" s="498"/>
      <c r="G68" s="157"/>
      <c r="H68" s="16"/>
      <c r="I68" s="35"/>
      <c r="J68" s="531" t="s">
        <v>612</v>
      </c>
      <c r="K68" s="365"/>
      <c r="N68" s="390"/>
      <c r="O68" s="391"/>
    </row>
    <row r="69" spans="1:17" ht="18.75" x14ac:dyDescent="0.3">
      <c r="A69" s="220"/>
      <c r="B69" s="155" t="s">
        <v>26</v>
      </c>
      <c r="C69" s="155"/>
      <c r="D69" s="166"/>
      <c r="E69" s="167"/>
      <c r="F69" s="498"/>
      <c r="G69" s="157"/>
      <c r="H69" s="61"/>
      <c r="I69" s="35"/>
      <c r="J69" s="534" t="s">
        <v>613</v>
      </c>
      <c r="K69" s="365"/>
      <c r="N69" s="390"/>
      <c r="O69" s="391"/>
    </row>
    <row r="70" spans="1:17" s="268" customFormat="1" ht="78" customHeight="1" x14ac:dyDescent="0.3">
      <c r="A70" s="219">
        <v>596</v>
      </c>
      <c r="B70" s="177" t="s">
        <v>76</v>
      </c>
      <c r="C70" s="417"/>
      <c r="D70" s="398" t="s">
        <v>470</v>
      </c>
      <c r="E70" s="36" t="e">
        <f>HLOOKUP($D$2,'2018 Data'!$C$1:$CR$284,255,FALSE)</f>
        <v>#N/A</v>
      </c>
      <c r="F70" s="490"/>
      <c r="G70" s="381"/>
      <c r="H70" s="61"/>
      <c r="I70" s="35"/>
      <c r="J70" s="534" t="s">
        <v>614</v>
      </c>
      <c r="K70" s="365"/>
      <c r="N70" s="390"/>
      <c r="O70" s="391"/>
    </row>
    <row r="71" spans="1:17" ht="79.5" customHeight="1" x14ac:dyDescent="0.25">
      <c r="A71" s="219">
        <v>80</v>
      </c>
      <c r="B71" s="73" t="s">
        <v>80</v>
      </c>
      <c r="C71" s="189" t="s">
        <v>202</v>
      </c>
      <c r="D71" s="195" t="s">
        <v>189</v>
      </c>
      <c r="E71" s="36" t="e">
        <f>HLOOKUP($D$2,'2018 Data'!$C$1:$CR$284,44,FALSE)</f>
        <v>#N/A</v>
      </c>
      <c r="F71" s="490"/>
      <c r="G71" s="36" t="e">
        <f>HLOOKUP($D$2,'2018 Data'!$C$1:$CR$256,249,FALSE)</f>
        <v>#N/A</v>
      </c>
      <c r="H71" s="70"/>
      <c r="I71" s="35"/>
      <c r="J71" s="534" t="s">
        <v>615</v>
      </c>
      <c r="K71" s="365"/>
      <c r="N71" s="390"/>
      <c r="O71" s="391"/>
    </row>
    <row r="72" spans="1:17" ht="53.25" customHeight="1" x14ac:dyDescent="0.25">
      <c r="A72" s="219">
        <v>81</v>
      </c>
      <c r="B72" s="73" t="s">
        <v>81</v>
      </c>
      <c r="C72" s="189" t="s">
        <v>202</v>
      </c>
      <c r="D72" s="195" t="s">
        <v>190</v>
      </c>
      <c r="E72" s="36" t="e">
        <f>HLOOKUP($D$2,'2018 Data'!$C$1:$CR$284,45,FALSE)</f>
        <v>#N/A</v>
      </c>
      <c r="F72" s="490"/>
      <c r="G72" s="7"/>
      <c r="H72" s="16"/>
      <c r="I72" s="35"/>
      <c r="J72" s="534" t="s">
        <v>616</v>
      </c>
      <c r="K72" s="365"/>
      <c r="N72" s="390"/>
      <c r="O72" s="391"/>
    </row>
    <row r="73" spans="1:17" s="268" customFormat="1" ht="84" customHeight="1" x14ac:dyDescent="0.25">
      <c r="A73" s="219">
        <v>579</v>
      </c>
      <c r="B73" s="74" t="s">
        <v>440</v>
      </c>
      <c r="C73" s="212" t="s">
        <v>202</v>
      </c>
      <c r="D73" s="378" t="s">
        <v>449</v>
      </c>
      <c r="E73" s="36" t="e">
        <f>HLOOKUP($D$2,'2018 Data'!$C$1:$CR$284,229,FALSE)</f>
        <v>#N/A</v>
      </c>
      <c r="F73" s="490"/>
      <c r="G73" s="79"/>
      <c r="H73" s="76"/>
      <c r="I73" s="176"/>
      <c r="J73" s="534" t="s">
        <v>617</v>
      </c>
      <c r="K73" s="365"/>
      <c r="L73" s="4"/>
      <c r="M73" s="4"/>
      <c r="N73" s="390"/>
      <c r="O73" s="391"/>
      <c r="P73" s="4"/>
      <c r="Q73" s="4"/>
    </row>
    <row r="74" spans="1:17" ht="48.75" customHeight="1" x14ac:dyDescent="0.25">
      <c r="A74" s="219">
        <v>510</v>
      </c>
      <c r="B74" s="73" t="s">
        <v>49</v>
      </c>
      <c r="C74" s="189" t="s">
        <v>202</v>
      </c>
      <c r="D74" s="205" t="s">
        <v>402</v>
      </c>
      <c r="E74" s="36" t="e">
        <f>HLOOKUP($D$2,'2018 Data'!$C$1:$CR$284,160,FALSE)</f>
        <v>#N/A</v>
      </c>
      <c r="F74" s="490"/>
      <c r="G74" s="7"/>
      <c r="H74" s="16"/>
      <c r="I74" s="35"/>
      <c r="J74" s="534" t="s">
        <v>618</v>
      </c>
      <c r="N74" s="391"/>
      <c r="O74" s="391"/>
    </row>
    <row r="75" spans="1:17" ht="80.25" customHeight="1" x14ac:dyDescent="0.25">
      <c r="A75" s="219">
        <v>44</v>
      </c>
      <c r="B75" s="73" t="s">
        <v>49</v>
      </c>
      <c r="C75" s="189" t="s">
        <v>202</v>
      </c>
      <c r="D75" s="162" t="s">
        <v>497</v>
      </c>
      <c r="E75" s="36" t="e">
        <f>HLOOKUP($D$2,'2018 Data'!$C$1:$CR$284,31,FALSE)</f>
        <v>#N/A</v>
      </c>
      <c r="F75" s="490"/>
      <c r="G75" s="8">
        <f>IF((F71+F72+F74)&gt;F75,"Error: Please review components of current assets above.  Cells (F71+F72+F74)&gt;F75",)</f>
        <v>0</v>
      </c>
      <c r="H75" s="16"/>
      <c r="I75" s="35"/>
      <c r="J75" s="534" t="s">
        <v>619</v>
      </c>
      <c r="N75" s="390"/>
      <c r="O75" s="391"/>
    </row>
    <row r="76" spans="1:17" ht="48" customHeight="1" x14ac:dyDescent="0.25">
      <c r="A76" s="219">
        <v>381</v>
      </c>
      <c r="B76" s="73" t="s">
        <v>49</v>
      </c>
      <c r="C76" s="189" t="s">
        <v>202</v>
      </c>
      <c r="D76" s="143" t="s">
        <v>154</v>
      </c>
      <c r="E76" s="36" t="e">
        <f>HLOOKUP($D$2,'2018 Data'!$C$1:$CR$284,140,FALSE)</f>
        <v>#N/A</v>
      </c>
      <c r="F76" s="490"/>
      <c r="G76" s="8">
        <f>IF(F75&gt;F76,"Error: Please review components of current assets above. Cells F75&gt;F76",)</f>
        <v>0</v>
      </c>
      <c r="H76" s="16"/>
      <c r="I76" s="35"/>
      <c r="J76" s="534" t="s">
        <v>620</v>
      </c>
      <c r="N76" s="390"/>
      <c r="O76" s="391"/>
    </row>
    <row r="77" spans="1:17" s="268" customFormat="1" ht="63" customHeight="1" x14ac:dyDescent="0.25">
      <c r="A77" s="219">
        <v>578</v>
      </c>
      <c r="B77" s="177" t="s">
        <v>78</v>
      </c>
      <c r="C77" s="212" t="s">
        <v>202</v>
      </c>
      <c r="D77" s="378" t="s">
        <v>450</v>
      </c>
      <c r="E77" s="36" t="e">
        <f>HLOOKUP($D$2,'2018 Data'!$C$1:$CR$284,228,FALSE)</f>
        <v>#N/A</v>
      </c>
      <c r="F77" s="490"/>
      <c r="G77" s="79"/>
      <c r="H77" s="76"/>
      <c r="I77" s="35"/>
      <c r="J77" s="534" t="s">
        <v>621</v>
      </c>
      <c r="N77" s="390"/>
      <c r="O77" s="391"/>
    </row>
    <row r="78" spans="1:17" ht="228" x14ac:dyDescent="0.25">
      <c r="A78" s="219">
        <v>45</v>
      </c>
      <c r="B78" s="73" t="s">
        <v>80</v>
      </c>
      <c r="C78" s="189" t="s">
        <v>202</v>
      </c>
      <c r="D78" s="349" t="s">
        <v>498</v>
      </c>
      <c r="E78" s="36" t="e">
        <f>HLOOKUP($D$2,'2018 Data'!$C$1:$CR$284,32,FALSE)</f>
        <v>#N/A</v>
      </c>
      <c r="F78" s="490"/>
      <c r="G78" s="8">
        <f>IF(F78&lt;0,"Error: Enter as positive.",)</f>
        <v>0</v>
      </c>
      <c r="H78" s="16"/>
      <c r="I78" s="35"/>
      <c r="J78" s="534" t="s">
        <v>622</v>
      </c>
      <c r="N78" s="390"/>
      <c r="O78" s="391"/>
    </row>
    <row r="79" spans="1:17" ht="57.75" customHeight="1" x14ac:dyDescent="0.25">
      <c r="A79" s="219">
        <v>383</v>
      </c>
      <c r="B79" s="73" t="s">
        <v>81</v>
      </c>
      <c r="C79" s="189" t="s">
        <v>202</v>
      </c>
      <c r="D79" s="205" t="s">
        <v>405</v>
      </c>
      <c r="E79" s="36" t="e">
        <f>HLOOKUP($D$2,'2018 Data'!$C$1:$CR$284,142,FALSE)</f>
        <v>#N/A</v>
      </c>
      <c r="F79" s="490"/>
      <c r="G79" s="8">
        <f>IF(F79&gt;F78,"Error: Please review. Cell F79 &gt; F78",)</f>
        <v>0</v>
      </c>
      <c r="H79" s="16"/>
      <c r="I79" s="35"/>
      <c r="J79" s="534" t="s">
        <v>623</v>
      </c>
      <c r="N79" s="390"/>
      <c r="O79" s="391"/>
    </row>
    <row r="80" spans="1:17" ht="52.5" customHeight="1" x14ac:dyDescent="0.25">
      <c r="A80" s="219">
        <v>349</v>
      </c>
      <c r="B80" s="73" t="s">
        <v>81</v>
      </c>
      <c r="C80" s="189" t="s">
        <v>202</v>
      </c>
      <c r="D80" s="204" t="s">
        <v>191</v>
      </c>
      <c r="E80" s="36" t="e">
        <f>HLOOKUP($D$2,'2018 Data'!$C$1:$CR$284,113,FALSE)</f>
        <v>#N/A</v>
      </c>
      <c r="F80" s="490"/>
      <c r="G80" s="8">
        <f>IF(F80&lt;0,"Error: Enter as positive.",)</f>
        <v>0</v>
      </c>
      <c r="H80" s="16"/>
      <c r="I80" s="35"/>
      <c r="J80" s="534" t="s">
        <v>624</v>
      </c>
      <c r="N80" s="390"/>
      <c r="O80" s="391"/>
    </row>
    <row r="81" spans="1:15" ht="57.75" customHeight="1" x14ac:dyDescent="0.25">
      <c r="A81" s="219">
        <v>375</v>
      </c>
      <c r="B81" s="73" t="s">
        <v>81</v>
      </c>
      <c r="C81" s="189" t="s">
        <v>202</v>
      </c>
      <c r="D81" s="161" t="s">
        <v>403</v>
      </c>
      <c r="E81" s="36" t="e">
        <f>HLOOKUP($D$2,'2018 Data'!$C$1:$CR$284,134,FALSE)</f>
        <v>#N/A</v>
      </c>
      <c r="F81" s="490"/>
      <c r="G81" s="7"/>
      <c r="H81" s="16"/>
      <c r="I81" s="35"/>
      <c r="J81" s="534" t="s">
        <v>625</v>
      </c>
      <c r="N81" s="390"/>
      <c r="O81" s="391"/>
    </row>
    <row r="82" spans="1:15" ht="77.25" customHeight="1" x14ac:dyDescent="0.25">
      <c r="A82" s="219">
        <v>83</v>
      </c>
      <c r="B82" s="73" t="s">
        <v>80</v>
      </c>
      <c r="C82" s="189" t="s">
        <v>202</v>
      </c>
      <c r="D82" s="204" t="s">
        <v>192</v>
      </c>
      <c r="E82" s="36" t="e">
        <f>HLOOKUP($D$2,'2018 Data'!$C$1:$CR$284,47,FALSE)</f>
        <v>#N/A</v>
      </c>
      <c r="F82" s="490"/>
      <c r="G82" s="79">
        <f>IF(F76-F80-F82=0,,"Error: Total assets less total liabilities do not equal total net assets.  Cell F76-F80-F82=0  The amount of the formula is in the cell to the right")</f>
        <v>0</v>
      </c>
      <c r="H82" s="223">
        <f>F76-F80-F82</f>
        <v>0</v>
      </c>
      <c r="I82" s="35"/>
      <c r="J82" s="534" t="s">
        <v>626</v>
      </c>
      <c r="N82" s="390"/>
      <c r="O82" s="391"/>
    </row>
    <row r="83" spans="1:15" ht="18.75" x14ac:dyDescent="0.3">
      <c r="A83" s="220"/>
      <c r="B83" s="191" t="s">
        <v>193</v>
      </c>
      <c r="C83" s="190"/>
      <c r="D83" s="184"/>
      <c r="E83" s="184"/>
      <c r="F83" s="497"/>
      <c r="G83" s="158"/>
      <c r="H83" s="61"/>
      <c r="I83" s="35"/>
      <c r="J83" s="534" t="s">
        <v>627</v>
      </c>
      <c r="N83" s="390"/>
      <c r="O83" s="391"/>
    </row>
    <row r="84" spans="1:15" ht="67.5" customHeight="1" x14ac:dyDescent="0.25">
      <c r="A84" s="219">
        <v>90</v>
      </c>
      <c r="B84" s="73" t="s">
        <v>82</v>
      </c>
      <c r="C84" s="189" t="s">
        <v>201</v>
      </c>
      <c r="D84" s="195" t="s">
        <v>194</v>
      </c>
      <c r="E84" s="36" t="e">
        <f>HLOOKUP($D$2,'2018 Data'!$C$1:$CR$284,52,FALSE)</f>
        <v>#N/A</v>
      </c>
      <c r="F84" s="490"/>
      <c r="G84" s="79">
        <f>IF(F84&lt;0,"Note: Number is normally positive.",)</f>
        <v>0</v>
      </c>
      <c r="H84" s="224"/>
      <c r="I84" s="35"/>
      <c r="J84" s="534" t="s">
        <v>628</v>
      </c>
      <c r="N84" s="390"/>
      <c r="O84" s="391"/>
    </row>
    <row r="85" spans="1:15" ht="60.75" customHeight="1" x14ac:dyDescent="0.25">
      <c r="A85" s="219">
        <v>91</v>
      </c>
      <c r="B85" s="73" t="s">
        <v>77</v>
      </c>
      <c r="C85" s="189" t="s">
        <v>201</v>
      </c>
      <c r="D85" s="195" t="s">
        <v>195</v>
      </c>
      <c r="E85" s="36" t="e">
        <f>HLOOKUP($D$2,'2018 Data'!$C$1:$CR$284,53,FALSE)</f>
        <v>#N/A</v>
      </c>
      <c r="F85" s="490"/>
      <c r="G85" s="79">
        <f>IF(F85&lt;0,"Note: Number is normally positive.",)</f>
        <v>0</v>
      </c>
      <c r="H85" s="16"/>
      <c r="I85" s="35"/>
      <c r="J85" s="534" t="s">
        <v>629</v>
      </c>
      <c r="N85" s="390"/>
      <c r="O85" s="391"/>
    </row>
    <row r="86" spans="1:15" s="268" customFormat="1" ht="71.25" customHeight="1" x14ac:dyDescent="0.25">
      <c r="A86" s="219">
        <v>581</v>
      </c>
      <c r="B86" s="177" t="s">
        <v>441</v>
      </c>
      <c r="C86" s="212" t="s">
        <v>201</v>
      </c>
      <c r="D86" s="378" t="s">
        <v>451</v>
      </c>
      <c r="E86" s="36" t="e">
        <f>HLOOKUP($D$2,'2018 Data'!$C$1:$CR$284,231,FALSE)</f>
        <v>#N/A</v>
      </c>
      <c r="F86" s="490"/>
      <c r="G86" s="79"/>
      <c r="H86" s="76"/>
      <c r="I86" s="35"/>
      <c r="J86" s="534" t="s">
        <v>630</v>
      </c>
      <c r="N86" s="390"/>
      <c r="O86" s="391"/>
    </row>
    <row r="87" spans="1:15" ht="48" customHeight="1" x14ac:dyDescent="0.25">
      <c r="A87" s="219">
        <v>511</v>
      </c>
      <c r="B87" s="73" t="s">
        <v>77</v>
      </c>
      <c r="C87" s="189" t="s">
        <v>201</v>
      </c>
      <c r="D87" s="159" t="s">
        <v>196</v>
      </c>
      <c r="E87" s="36" t="e">
        <f>HLOOKUP($D$2,'2018 Data'!$C$1:$CR$284,161,FALSE)</f>
        <v>#N/A</v>
      </c>
      <c r="F87" s="490"/>
      <c r="G87" s="79">
        <f>IF(F87&lt;0,"Note: Number is normally positive.",)</f>
        <v>0</v>
      </c>
      <c r="H87" s="16"/>
      <c r="I87" s="35"/>
      <c r="J87" s="534" t="s">
        <v>631</v>
      </c>
      <c r="N87" s="390"/>
      <c r="O87" s="391"/>
    </row>
    <row r="88" spans="1:15" ht="105" customHeight="1" x14ac:dyDescent="0.25">
      <c r="A88" s="219">
        <v>47</v>
      </c>
      <c r="B88" s="73" t="s">
        <v>77</v>
      </c>
      <c r="C88" s="189" t="s">
        <v>201</v>
      </c>
      <c r="D88" s="142" t="s">
        <v>443</v>
      </c>
      <c r="E88" s="36" t="e">
        <f>HLOOKUP($D$2,'2018 Data'!$C$1:$CR$284,34,FALSE)</f>
        <v>#N/A</v>
      </c>
      <c r="F88" s="490"/>
      <c r="G88" s="8">
        <f>IF((F84+F85+F87)&gt;F88,"Error: Please review components of current assets above. Cell F84+F85+F87&gt;F88",)</f>
        <v>0</v>
      </c>
      <c r="H88" s="16"/>
      <c r="I88" s="35"/>
      <c r="J88" s="534" t="s">
        <v>632</v>
      </c>
      <c r="N88" s="390"/>
      <c r="O88" s="391"/>
    </row>
    <row r="89" spans="1:15" ht="47.25" customHeight="1" x14ac:dyDescent="0.25">
      <c r="A89" s="219">
        <v>382</v>
      </c>
      <c r="B89" s="73" t="s">
        <v>79</v>
      </c>
      <c r="C89" s="189" t="s">
        <v>201</v>
      </c>
      <c r="D89" s="143" t="s">
        <v>154</v>
      </c>
      <c r="E89" s="36" t="e">
        <f>HLOOKUP($D$2,'2018 Data'!$C$1:$CR$284,141,FALSE)</f>
        <v>#N/A</v>
      </c>
      <c r="F89" s="490"/>
      <c r="G89" s="8">
        <f>IF(F88&gt;F89,"Error: Please review components of current assets above. Cell F88&gt;F89",)</f>
        <v>0</v>
      </c>
      <c r="H89" s="16"/>
      <c r="I89" s="35"/>
      <c r="J89" s="534" t="s">
        <v>633</v>
      </c>
      <c r="N89" s="390"/>
      <c r="O89" s="391"/>
    </row>
    <row r="90" spans="1:15" ht="54.75" customHeight="1" x14ac:dyDescent="0.25">
      <c r="A90" s="219">
        <v>360</v>
      </c>
      <c r="B90" s="73" t="s">
        <v>75</v>
      </c>
      <c r="C90" s="189" t="s">
        <v>201</v>
      </c>
      <c r="D90" s="204" t="s">
        <v>197</v>
      </c>
      <c r="E90" s="36" t="e">
        <f>HLOOKUP($D$2,'2018 Data'!$C$1:$CR$284,121,FALSE)</f>
        <v>#N/A</v>
      </c>
      <c r="F90" s="490"/>
      <c r="G90" s="8">
        <f>IF(F90&lt;0,"Error: Enter as positive.",)</f>
        <v>0</v>
      </c>
      <c r="H90" s="16"/>
      <c r="I90" s="35"/>
      <c r="J90" s="534" t="s">
        <v>634</v>
      </c>
      <c r="N90" s="390"/>
      <c r="O90" s="391"/>
    </row>
    <row r="91" spans="1:15" s="268" customFormat="1" ht="59.25" customHeight="1" x14ac:dyDescent="0.25">
      <c r="A91" s="219">
        <v>580</v>
      </c>
      <c r="B91" s="177" t="s">
        <v>441</v>
      </c>
      <c r="C91" s="212" t="s">
        <v>201</v>
      </c>
      <c r="D91" s="378" t="s">
        <v>452</v>
      </c>
      <c r="E91" s="36" t="e">
        <f>HLOOKUP($D$2,'2018 Data'!$C$1:$CR$284,230,FALSE)</f>
        <v>#N/A</v>
      </c>
      <c r="F91" s="490"/>
      <c r="G91" s="79"/>
      <c r="H91" s="76"/>
      <c r="I91" s="35"/>
      <c r="J91" s="534" t="s">
        <v>635</v>
      </c>
      <c r="N91" s="390"/>
      <c r="O91" s="391"/>
    </row>
    <row r="92" spans="1:15" ht="212.25" x14ac:dyDescent="0.25">
      <c r="A92" s="219">
        <v>48</v>
      </c>
      <c r="B92" s="73" t="s">
        <v>75</v>
      </c>
      <c r="C92" s="189" t="s">
        <v>201</v>
      </c>
      <c r="D92" s="349" t="s">
        <v>499</v>
      </c>
      <c r="E92" s="36" t="e">
        <f>HLOOKUP($D$2,'2018 Data'!$C$1:$CR$284,35,FALSE)</f>
        <v>#N/A</v>
      </c>
      <c r="F92" s="490"/>
      <c r="G92" s="8">
        <f>IF(F92&lt;0,"Error: Enter as positive.",)</f>
        <v>0</v>
      </c>
      <c r="H92" s="16"/>
      <c r="I92" s="35"/>
      <c r="J92" s="534" t="s">
        <v>636</v>
      </c>
      <c r="N92" s="390"/>
      <c r="O92" s="391"/>
    </row>
    <row r="93" spans="1:15" ht="66.75" customHeight="1" x14ac:dyDescent="0.25">
      <c r="A93" s="219">
        <v>384</v>
      </c>
      <c r="B93" s="73" t="s">
        <v>82</v>
      </c>
      <c r="C93" s="189" t="s">
        <v>201</v>
      </c>
      <c r="D93" s="205" t="s">
        <v>404</v>
      </c>
      <c r="E93" s="36" t="e">
        <f>HLOOKUP($D$2,'2018 Data'!$C$1:$CR$284,143,FALSE)</f>
        <v>#N/A</v>
      </c>
      <c r="F93" s="488"/>
      <c r="G93" s="8">
        <f>IF(F93&gt;F92,"Error: Please review. Cell F93&gt;F92",)</f>
        <v>0</v>
      </c>
      <c r="I93" s="35"/>
      <c r="J93" s="534" t="s">
        <v>637</v>
      </c>
      <c r="N93" s="390"/>
      <c r="O93" s="391"/>
    </row>
    <row r="94" spans="1:15" ht="87.75" customHeight="1" x14ac:dyDescent="0.25">
      <c r="A94" s="219">
        <v>361</v>
      </c>
      <c r="B94" s="73" t="s">
        <v>75</v>
      </c>
      <c r="C94" s="189" t="s">
        <v>201</v>
      </c>
      <c r="D94" s="161" t="s">
        <v>198</v>
      </c>
      <c r="E94" s="36" t="e">
        <f>HLOOKUP($D$2,'2018 Data'!$C$1:$CR$284,122,FALSE)</f>
        <v>#N/A</v>
      </c>
      <c r="F94" s="490"/>
      <c r="G94" s="7"/>
      <c r="H94" s="16"/>
      <c r="I94" s="35"/>
      <c r="J94" s="534" t="s">
        <v>638</v>
      </c>
      <c r="N94" s="390"/>
      <c r="O94" s="391"/>
    </row>
    <row r="95" spans="1:15" ht="81" customHeight="1" x14ac:dyDescent="0.25">
      <c r="A95" s="219">
        <v>362</v>
      </c>
      <c r="B95" s="73" t="s">
        <v>75</v>
      </c>
      <c r="C95" s="189" t="s">
        <v>201</v>
      </c>
      <c r="D95" s="204" t="s">
        <v>199</v>
      </c>
      <c r="E95" s="36" t="e">
        <f>HLOOKUP($D$2,'2018 Data'!$C$1:$CR$284,123,FALSE)</f>
        <v>#N/A</v>
      </c>
      <c r="F95" s="490"/>
      <c r="G95" s="79">
        <f>IF(F89-F90-F95=0,,"Error: Total assets less total liabilities do not equal total net position. Cell F89-F90-F95=0  The amount of the formula is in the cell to the right")</f>
        <v>0</v>
      </c>
      <c r="H95" s="223">
        <f>+F89-F90-F95</f>
        <v>0</v>
      </c>
      <c r="I95" s="35"/>
      <c r="J95" s="534" t="s">
        <v>639</v>
      </c>
      <c r="N95" s="390"/>
      <c r="O95" s="391"/>
    </row>
    <row r="96" spans="1:15" x14ac:dyDescent="0.25">
      <c r="A96" s="220"/>
      <c r="B96" s="136" t="s">
        <v>267</v>
      </c>
      <c r="C96" s="136"/>
      <c r="D96" s="145"/>
      <c r="E96" s="164"/>
      <c r="F96" s="499"/>
      <c r="G96" s="146"/>
      <c r="H96" s="16"/>
      <c r="I96" s="35"/>
      <c r="J96" s="534" t="s">
        <v>640</v>
      </c>
      <c r="N96" s="390"/>
      <c r="O96" s="391"/>
    </row>
    <row r="97" spans="1:15" ht="18.75" x14ac:dyDescent="0.3">
      <c r="A97" s="220"/>
      <c r="B97" s="190" t="s">
        <v>35</v>
      </c>
      <c r="C97" s="190"/>
      <c r="D97" s="184"/>
      <c r="E97" s="184"/>
      <c r="F97" s="497"/>
      <c r="G97" s="192"/>
      <c r="H97" s="16"/>
      <c r="I97" s="35"/>
      <c r="J97" s="534" t="s">
        <v>641</v>
      </c>
      <c r="N97" s="390"/>
      <c r="O97" s="391"/>
    </row>
    <row r="98" spans="1:15" ht="18.75" x14ac:dyDescent="0.3">
      <c r="A98" s="220"/>
      <c r="B98" s="190" t="s">
        <v>29</v>
      </c>
      <c r="C98" s="190"/>
      <c r="D98" s="166"/>
      <c r="E98" s="167"/>
      <c r="F98" s="498"/>
      <c r="G98" s="168"/>
      <c r="H98" s="16"/>
      <c r="I98" s="35"/>
      <c r="N98" s="390"/>
      <c r="O98" s="391"/>
    </row>
    <row r="99" spans="1:15" ht="18.75" x14ac:dyDescent="0.3">
      <c r="A99" s="220"/>
      <c r="B99" s="190" t="s">
        <v>27</v>
      </c>
      <c r="C99" s="190"/>
      <c r="D99" s="166"/>
      <c r="E99" s="167"/>
      <c r="F99" s="498"/>
      <c r="G99" s="168"/>
      <c r="H99" s="16"/>
      <c r="I99" s="35"/>
      <c r="N99" s="390"/>
      <c r="O99" s="391"/>
    </row>
    <row r="100" spans="1:15" ht="75" customHeight="1" x14ac:dyDescent="0.25">
      <c r="A100" s="219">
        <v>88</v>
      </c>
      <c r="B100" s="73" t="s">
        <v>80</v>
      </c>
      <c r="C100" s="189" t="s">
        <v>200</v>
      </c>
      <c r="D100" s="195" t="s">
        <v>421</v>
      </c>
      <c r="E100" s="36" t="e">
        <f>HLOOKUP($D$2,'2018 Data'!$C$1:$CR$284,50,FALSE)</f>
        <v>#N/A</v>
      </c>
      <c r="F100" s="490"/>
      <c r="G100" s="7"/>
      <c r="H100" s="16"/>
      <c r="I100" s="35"/>
      <c r="N100" s="390"/>
      <c r="O100" s="391"/>
    </row>
    <row r="101" spans="1:15" ht="77.25" customHeight="1" x14ac:dyDescent="0.25">
      <c r="A101" s="219">
        <v>84</v>
      </c>
      <c r="B101" s="73" t="s">
        <v>80</v>
      </c>
      <c r="C101" s="189" t="s">
        <v>200</v>
      </c>
      <c r="D101" s="205" t="s">
        <v>203</v>
      </c>
      <c r="E101" s="36" t="e">
        <f>HLOOKUP($D$2,'2018 Data'!$C$1:$CR$284,48,FALSE)</f>
        <v>#N/A</v>
      </c>
      <c r="F101" s="490"/>
      <c r="G101" s="8">
        <f>IF(F101&gt;=F100,,"Error: Charges for services exceed total operating revenues. Cell F101&lt;F100")</f>
        <v>0</v>
      </c>
      <c r="H101" s="16"/>
      <c r="I101" s="35"/>
      <c r="N101" s="390"/>
      <c r="O101" s="391"/>
    </row>
    <row r="102" spans="1:15" ht="72" customHeight="1" x14ac:dyDescent="0.25">
      <c r="A102" s="219">
        <v>49</v>
      </c>
      <c r="B102" s="73" t="s">
        <v>76</v>
      </c>
      <c r="C102" s="189" t="s">
        <v>200</v>
      </c>
      <c r="D102" s="205" t="s">
        <v>204</v>
      </c>
      <c r="E102" s="36" t="e">
        <f>HLOOKUP($D$2,'2018 Data'!$C$1:$CR$284,36,FALSE)</f>
        <v>#N/A</v>
      </c>
      <c r="F102" s="490"/>
      <c r="G102" s="8">
        <f>IF(F102&lt;0,"Error: Enter as positive.",)</f>
        <v>0</v>
      </c>
      <c r="H102" s="16"/>
      <c r="I102" s="35"/>
      <c r="N102" s="390"/>
      <c r="O102" s="391"/>
    </row>
    <row r="103" spans="1:15" ht="63.75" customHeight="1" x14ac:dyDescent="0.25">
      <c r="A103" s="219">
        <v>85</v>
      </c>
      <c r="B103" s="73" t="s">
        <v>87</v>
      </c>
      <c r="C103" s="189" t="s">
        <v>200</v>
      </c>
      <c r="D103" s="205" t="s">
        <v>205</v>
      </c>
      <c r="E103" s="36" t="e">
        <f>HLOOKUP($D$2,'2018 Data'!$C$1:$CR$284,49,FALSE)</f>
        <v>#N/A</v>
      </c>
      <c r="F103" s="490"/>
      <c r="G103" s="8">
        <f>IF(F103&lt;0,"Error: Enter as positive.",)</f>
        <v>0</v>
      </c>
      <c r="H103" s="16"/>
      <c r="I103" s="35"/>
      <c r="N103" s="390"/>
      <c r="O103" s="391"/>
    </row>
    <row r="104" spans="1:15" ht="66.75" customHeight="1" x14ac:dyDescent="0.25">
      <c r="A104" s="219">
        <v>89</v>
      </c>
      <c r="B104" s="73" t="s">
        <v>75</v>
      </c>
      <c r="C104" s="189" t="s">
        <v>200</v>
      </c>
      <c r="D104" s="205" t="s">
        <v>206</v>
      </c>
      <c r="E104" s="36" t="e">
        <f>HLOOKUP($D$2,'2018 Data'!$C$1:$CR$284,51,FALSE)</f>
        <v>#N/A</v>
      </c>
      <c r="F104" s="490"/>
      <c r="G104" s="8">
        <f>IF(F104&lt;0,"Error: Enter as positive.",)</f>
        <v>0</v>
      </c>
      <c r="H104" s="16"/>
      <c r="I104" s="35"/>
      <c r="J104" s="4"/>
      <c r="N104" s="390"/>
      <c r="O104" s="391"/>
    </row>
    <row r="105" spans="1:15" ht="66.75" customHeight="1" x14ac:dyDescent="0.25">
      <c r="A105" s="219">
        <v>350</v>
      </c>
      <c r="B105" s="73" t="s">
        <v>75</v>
      </c>
      <c r="C105" s="189" t="s">
        <v>200</v>
      </c>
      <c r="D105" s="195" t="s">
        <v>207</v>
      </c>
      <c r="E105" s="36" t="e">
        <f>HLOOKUP($D$2,'2018 Data'!$C$1:$CR$284,114,FALSE)</f>
        <v>#N/A</v>
      </c>
      <c r="F105" s="490"/>
      <c r="G105" s="7"/>
      <c r="H105" s="16"/>
      <c r="I105" s="35"/>
      <c r="J105" s="4"/>
      <c r="N105" s="390"/>
      <c r="O105" s="391"/>
    </row>
    <row r="106" spans="1:15" ht="67.5" customHeight="1" x14ac:dyDescent="0.25">
      <c r="A106" s="219">
        <v>351</v>
      </c>
      <c r="B106" s="73" t="s">
        <v>75</v>
      </c>
      <c r="C106" s="189" t="s">
        <v>200</v>
      </c>
      <c r="D106" s="195" t="s">
        <v>406</v>
      </c>
      <c r="E106" s="36" t="e">
        <f>HLOOKUP($D$2,'2018 Data'!$C$1:$CR$284,115,FALSE)</f>
        <v>#N/A</v>
      </c>
      <c r="F106" s="490"/>
      <c r="G106" s="8">
        <f>IF(F106&lt;0,"Error: Enter as positive.",)</f>
        <v>0</v>
      </c>
      <c r="H106" s="16"/>
      <c r="I106" s="35"/>
      <c r="N106" s="390"/>
      <c r="O106" s="391"/>
    </row>
    <row r="107" spans="1:15" ht="82.5" customHeight="1" x14ac:dyDescent="0.25">
      <c r="A107" s="219">
        <v>191</v>
      </c>
      <c r="B107" s="73" t="s">
        <v>76</v>
      </c>
      <c r="C107" s="189" t="s">
        <v>200</v>
      </c>
      <c r="D107" s="195" t="s">
        <v>208</v>
      </c>
      <c r="E107" s="36" t="e">
        <f>HLOOKUP($D$2,'2018 Data'!$C$1:$CR$284,72,FALSE)</f>
        <v>#N/A</v>
      </c>
      <c r="F107" s="490"/>
      <c r="G107" s="8">
        <f>IF(F107&lt;0,"Error: Enter as positive.",)</f>
        <v>0</v>
      </c>
      <c r="H107" s="16"/>
      <c r="I107" s="35"/>
      <c r="N107" s="390"/>
      <c r="O107" s="391"/>
    </row>
    <row r="108" spans="1:15" ht="73.5" customHeight="1" x14ac:dyDescent="0.25">
      <c r="A108" s="219">
        <v>352</v>
      </c>
      <c r="B108" s="73" t="s">
        <v>87</v>
      </c>
      <c r="C108" s="189" t="s">
        <v>200</v>
      </c>
      <c r="D108" s="205" t="s">
        <v>168</v>
      </c>
      <c r="E108" s="36" t="e">
        <f>HLOOKUP($D$2,'2018 Data'!$C$1:$CR$284,116,FALSE)</f>
        <v>#N/A</v>
      </c>
      <c r="F108" s="490"/>
      <c r="G108" s="8">
        <f>IF(F108&lt;0,"Error: Enter as positive.",)</f>
        <v>0</v>
      </c>
      <c r="H108" s="16"/>
      <c r="I108" s="35"/>
      <c r="N108" s="390"/>
      <c r="O108" s="391"/>
    </row>
    <row r="109" spans="1:15" ht="69.75" customHeight="1" x14ac:dyDescent="0.25">
      <c r="A109" s="219">
        <v>353</v>
      </c>
      <c r="B109" s="73" t="s">
        <v>87</v>
      </c>
      <c r="C109" s="189" t="s">
        <v>200</v>
      </c>
      <c r="D109" s="205" t="s">
        <v>169</v>
      </c>
      <c r="E109" s="36" t="e">
        <f>HLOOKUP($D$2,'2018 Data'!$C$1:$CR$284,117,FALSE)</f>
        <v>#N/A</v>
      </c>
      <c r="F109" s="490"/>
      <c r="G109" s="8">
        <f>IF(F109&lt;0,"Error: Enter as positive.",)</f>
        <v>0</v>
      </c>
      <c r="H109" s="16"/>
      <c r="I109" s="35"/>
      <c r="N109" s="390"/>
      <c r="O109" s="391"/>
    </row>
    <row r="110" spans="1:15" ht="90" customHeight="1" x14ac:dyDescent="0.25">
      <c r="A110" s="219">
        <v>50</v>
      </c>
      <c r="B110" s="73" t="s">
        <v>83</v>
      </c>
      <c r="C110" s="189" t="s">
        <v>200</v>
      </c>
      <c r="D110" s="161" t="s">
        <v>209</v>
      </c>
      <c r="E110" s="36" t="e">
        <f>HLOOKUP($D$2,'2018 Data'!$C$1:$CR$284,37,FALSE)</f>
        <v>#N/A</v>
      </c>
      <c r="F110" s="490"/>
      <c r="G110" s="79">
        <f>IF(F101-F103+F105-F106+F107+F108-F109-F110=0,,"Error: Total revenues less total expenses do not equal total change in net position. Cell F101-F103+F105-F106+F107+F108-F109-F110=0  The amount of the formula is in the cell to the right")</f>
        <v>0</v>
      </c>
      <c r="H110" s="223">
        <f>+F101-F103+F105-F106+F107+F108-F109-F110</f>
        <v>0</v>
      </c>
      <c r="I110" s="35"/>
      <c r="N110" s="390"/>
      <c r="O110" s="391"/>
    </row>
    <row r="111" spans="1:15" ht="106.5" customHeight="1" x14ac:dyDescent="0.25">
      <c r="A111" s="219">
        <v>377</v>
      </c>
      <c r="B111" s="73" t="s">
        <v>87</v>
      </c>
      <c r="C111" s="189" t="s">
        <v>200</v>
      </c>
      <c r="D111" s="161" t="s">
        <v>212</v>
      </c>
      <c r="E111" s="36" t="e">
        <f>HLOOKUP($D$2,'2018 Data'!$C$1:$CR$284,136,FALSE)</f>
        <v>#N/A</v>
      </c>
      <c r="F111" s="490"/>
      <c r="G111" s="79" t="e">
        <f>IF(F82-F110-F111=E82,,"Error: Beginning Balance does not agree with our records.  Cell F82-F110-F111=E82  The amount of the formula is in the cell to the right")</f>
        <v>#N/A</v>
      </c>
      <c r="H111" s="223" t="e">
        <f>+F82-F110-F111-E82</f>
        <v>#N/A</v>
      </c>
      <c r="I111" s="35"/>
      <c r="N111" s="390"/>
      <c r="O111" s="391"/>
    </row>
    <row r="112" spans="1:15" s="4" customFormat="1" ht="64.900000000000006" customHeight="1" x14ac:dyDescent="0.25">
      <c r="A112" s="219">
        <v>537</v>
      </c>
      <c r="B112" s="177" t="s">
        <v>78</v>
      </c>
      <c r="C112" s="212" t="s">
        <v>200</v>
      </c>
      <c r="D112" s="287" t="s">
        <v>210</v>
      </c>
      <c r="E112" s="293" t="e">
        <f>HLOOKUP($D$2,'2018 Data'!$C$1:$CR$284,250,FALSE)</f>
        <v>#N/A</v>
      </c>
      <c r="F112" s="490"/>
      <c r="G112" s="79"/>
      <c r="H112" s="20"/>
      <c r="I112" s="359"/>
      <c r="J112" s="268"/>
      <c r="N112" s="390"/>
      <c r="O112" s="391"/>
    </row>
    <row r="113" spans="1:15" s="4" customFormat="1" ht="68.45" customHeight="1" x14ac:dyDescent="0.25">
      <c r="A113" s="219">
        <v>538</v>
      </c>
      <c r="B113" s="177" t="s">
        <v>78</v>
      </c>
      <c r="C113" s="212" t="s">
        <v>200</v>
      </c>
      <c r="D113" s="287" t="s">
        <v>211</v>
      </c>
      <c r="E113" s="36" t="e">
        <f>HLOOKUP($D$2,'2018 Data'!$C$1:$CR$284,251,FALSE)</f>
        <v>#N/A</v>
      </c>
      <c r="F113" s="490"/>
      <c r="G113" s="79"/>
      <c r="H113" s="20"/>
      <c r="I113" s="359"/>
      <c r="J113" s="268"/>
      <c r="N113" s="391"/>
      <c r="O113" s="391"/>
    </row>
    <row r="114" spans="1:15" ht="18.75" x14ac:dyDescent="0.3">
      <c r="A114" s="220"/>
      <c r="B114" s="191" t="s">
        <v>7</v>
      </c>
      <c r="C114" s="190"/>
      <c r="D114" s="184"/>
      <c r="E114" s="184"/>
      <c r="F114" s="497"/>
      <c r="G114" s="160"/>
      <c r="H114" s="16"/>
      <c r="I114" s="35"/>
      <c r="N114" s="391"/>
      <c r="O114" s="391"/>
    </row>
    <row r="115" spans="1:15" ht="69.75" customHeight="1" x14ac:dyDescent="0.25">
      <c r="A115" s="219">
        <v>97</v>
      </c>
      <c r="B115" s="73" t="s">
        <v>87</v>
      </c>
      <c r="C115" s="189" t="s">
        <v>213</v>
      </c>
      <c r="D115" s="205" t="s">
        <v>214</v>
      </c>
      <c r="E115" s="36" t="e">
        <f>HLOOKUP($D$2,'2018 Data'!$C$1:$CR$284,57,FALSE)</f>
        <v>#N/A</v>
      </c>
      <c r="F115" s="494"/>
      <c r="G115" s="7"/>
      <c r="H115" s="16"/>
      <c r="I115" s="35"/>
      <c r="N115" s="390"/>
      <c r="O115" s="391"/>
    </row>
    <row r="116" spans="1:15" ht="68.25" customHeight="1" x14ac:dyDescent="0.25">
      <c r="A116" s="219">
        <v>93</v>
      </c>
      <c r="B116" s="73" t="s">
        <v>85</v>
      </c>
      <c r="C116" s="189" t="s">
        <v>213</v>
      </c>
      <c r="D116" s="205" t="s">
        <v>203</v>
      </c>
      <c r="E116" s="36" t="e">
        <f>HLOOKUP($D$2,'2018 Data'!$C$1:$CR$284,55,FALSE)</f>
        <v>#N/A</v>
      </c>
      <c r="F116" s="494"/>
      <c r="G116" s="79">
        <f>IF(F116&lt;F115,"Error: Charges for services exceed total operating revenues. Cell F116&lt;F115",)</f>
        <v>0</v>
      </c>
      <c r="H116" s="16"/>
      <c r="I116" s="35"/>
      <c r="N116" s="390"/>
      <c r="O116" s="391"/>
    </row>
    <row r="117" spans="1:15" ht="72" customHeight="1" x14ac:dyDescent="0.25">
      <c r="A117" s="219">
        <v>99</v>
      </c>
      <c r="B117" s="73" t="s">
        <v>77</v>
      </c>
      <c r="C117" s="189" t="s">
        <v>213</v>
      </c>
      <c r="D117" s="205" t="s">
        <v>215</v>
      </c>
      <c r="E117" s="36" t="e">
        <f>HLOOKUP($D$2,'2018 Data'!$C$1:$CR$284,59,FALSE)</f>
        <v>#N/A</v>
      </c>
      <c r="F117" s="494"/>
      <c r="G117" s="8">
        <f t="shared" ref="G117:G125" si="2">IF(F117&lt;0,"Error: Enter as positive.",)</f>
        <v>0</v>
      </c>
      <c r="H117" s="16"/>
      <c r="I117" s="35"/>
      <c r="N117" s="390"/>
      <c r="O117" s="391"/>
    </row>
    <row r="118" spans="1:15" ht="72" customHeight="1" x14ac:dyDescent="0.25">
      <c r="A118" s="219">
        <v>52</v>
      </c>
      <c r="B118" s="73" t="s">
        <v>77</v>
      </c>
      <c r="C118" s="189" t="s">
        <v>213</v>
      </c>
      <c r="D118" s="205" t="s">
        <v>204</v>
      </c>
      <c r="E118" s="36" t="e">
        <f>HLOOKUP($D$2,'2018 Data'!$C$1:$CR$284,39,FALSE)</f>
        <v>#N/A</v>
      </c>
      <c r="F118" s="494"/>
      <c r="G118" s="8">
        <f t="shared" si="2"/>
        <v>0</v>
      </c>
      <c r="H118" s="16"/>
      <c r="I118" s="35"/>
      <c r="N118" s="390"/>
      <c r="O118" s="391"/>
    </row>
    <row r="119" spans="1:15" ht="69.75" customHeight="1" x14ac:dyDescent="0.25">
      <c r="A119" s="219">
        <v>94</v>
      </c>
      <c r="B119" s="73" t="s">
        <v>85</v>
      </c>
      <c r="C119" s="189" t="s">
        <v>213</v>
      </c>
      <c r="D119" s="205" t="s">
        <v>205</v>
      </c>
      <c r="E119" s="36" t="e">
        <f>HLOOKUP($D$2,'2018 Data'!$C$1:$CR$284,56,FALSE)</f>
        <v>#N/A</v>
      </c>
      <c r="F119" s="494"/>
      <c r="G119" s="8">
        <f t="shared" si="2"/>
        <v>0</v>
      </c>
      <c r="H119" s="16"/>
      <c r="I119" s="35"/>
      <c r="N119" s="390"/>
      <c r="O119" s="391"/>
    </row>
    <row r="120" spans="1:15" ht="68.25" customHeight="1" x14ac:dyDescent="0.25">
      <c r="A120" s="219">
        <v>98</v>
      </c>
      <c r="B120" s="73" t="s">
        <v>85</v>
      </c>
      <c r="C120" s="189" t="s">
        <v>213</v>
      </c>
      <c r="D120" s="205" t="s">
        <v>206</v>
      </c>
      <c r="E120" s="36" t="e">
        <f>HLOOKUP($D$2,'2018 Data'!$C$1:$CR$284,58,FALSE)</f>
        <v>#N/A</v>
      </c>
      <c r="F120" s="494"/>
      <c r="G120" s="8">
        <f t="shared" si="2"/>
        <v>0</v>
      </c>
      <c r="H120" s="16"/>
      <c r="I120" s="35"/>
      <c r="N120" s="390"/>
      <c r="O120" s="391"/>
    </row>
    <row r="121" spans="1:15" ht="66" customHeight="1" x14ac:dyDescent="0.25">
      <c r="A121" s="219">
        <v>363</v>
      </c>
      <c r="B121" s="73" t="s">
        <v>75</v>
      </c>
      <c r="C121" s="189" t="s">
        <v>213</v>
      </c>
      <c r="D121" s="195" t="s">
        <v>385</v>
      </c>
      <c r="E121" s="36" t="e">
        <f>HLOOKUP($D$2,'2018 Data'!$C$1:$CR$284,124,FALSE)</f>
        <v>#N/A</v>
      </c>
      <c r="F121" s="494"/>
      <c r="G121" s="8">
        <f t="shared" si="2"/>
        <v>0</v>
      </c>
      <c r="H121" s="16"/>
      <c r="I121" s="35"/>
      <c r="N121" s="390"/>
      <c r="O121" s="391"/>
    </row>
    <row r="122" spans="1:15" ht="64.5" customHeight="1" x14ac:dyDescent="0.25">
      <c r="A122" s="219">
        <v>364</v>
      </c>
      <c r="B122" s="73" t="s">
        <v>75</v>
      </c>
      <c r="C122" s="189" t="s">
        <v>213</v>
      </c>
      <c r="D122" s="195" t="s">
        <v>407</v>
      </c>
      <c r="E122" s="36" t="e">
        <f>HLOOKUP($D$2,'2018 Data'!$C$1:$CR$284,125,FALSE)</f>
        <v>#N/A</v>
      </c>
      <c r="F122" s="494"/>
      <c r="G122" s="8">
        <f t="shared" si="2"/>
        <v>0</v>
      </c>
      <c r="H122" s="16"/>
      <c r="I122" s="35"/>
      <c r="N122" s="390"/>
      <c r="O122" s="391"/>
    </row>
    <row r="123" spans="1:15" ht="75" customHeight="1" x14ac:dyDescent="0.25">
      <c r="A123" s="219">
        <v>192</v>
      </c>
      <c r="B123" s="73" t="s">
        <v>77</v>
      </c>
      <c r="C123" s="189" t="s">
        <v>213</v>
      </c>
      <c r="D123" s="195" t="s">
        <v>216</v>
      </c>
      <c r="E123" s="36" t="e">
        <f>HLOOKUP($D$2,'2018 Data'!$C$1:$CR$284,73,FALSE)</f>
        <v>#N/A</v>
      </c>
      <c r="F123" s="494"/>
      <c r="G123" s="8">
        <f t="shared" si="2"/>
        <v>0</v>
      </c>
      <c r="H123" s="16"/>
      <c r="I123" s="35"/>
      <c r="N123" s="390"/>
      <c r="O123" s="391"/>
    </row>
    <row r="124" spans="1:15" ht="69" customHeight="1" x14ac:dyDescent="0.25">
      <c r="A124" s="219">
        <v>365</v>
      </c>
      <c r="B124" s="73" t="s">
        <v>85</v>
      </c>
      <c r="C124" s="189" t="s">
        <v>213</v>
      </c>
      <c r="D124" s="195" t="s">
        <v>218</v>
      </c>
      <c r="E124" s="36" t="e">
        <f>HLOOKUP($D$2,'2018 Data'!$C$1:$CR$284,126,FALSE)</f>
        <v>#N/A</v>
      </c>
      <c r="F124" s="494"/>
      <c r="G124" s="8">
        <f t="shared" si="2"/>
        <v>0</v>
      </c>
      <c r="H124" s="16"/>
      <c r="I124" s="35"/>
      <c r="N124" s="390"/>
      <c r="O124" s="391"/>
    </row>
    <row r="125" spans="1:15" ht="69" customHeight="1" x14ac:dyDescent="0.25">
      <c r="A125" s="219">
        <v>366</v>
      </c>
      <c r="B125" s="73" t="s">
        <v>85</v>
      </c>
      <c r="C125" s="189" t="s">
        <v>213</v>
      </c>
      <c r="D125" s="195" t="s">
        <v>219</v>
      </c>
      <c r="E125" s="36" t="e">
        <f>HLOOKUP($D$2,'2018 Data'!$C$1:$CR$284,127,FALSE)</f>
        <v>#N/A</v>
      </c>
      <c r="F125" s="494"/>
      <c r="G125" s="8">
        <f t="shared" si="2"/>
        <v>0</v>
      </c>
      <c r="H125" s="16"/>
      <c r="I125" s="35"/>
      <c r="N125" s="390"/>
      <c r="O125" s="391"/>
    </row>
    <row r="126" spans="1:15" ht="79.5" customHeight="1" x14ac:dyDescent="0.25">
      <c r="A126" s="219">
        <v>53</v>
      </c>
      <c r="B126" s="177" t="s">
        <v>85</v>
      </c>
      <c r="C126" s="212" t="s">
        <v>213</v>
      </c>
      <c r="D126" s="161" t="s">
        <v>217</v>
      </c>
      <c r="E126" s="36" t="e">
        <f>HLOOKUP($D$2,'2018 Data'!$C$1:$CR$284,40,FALSE)</f>
        <v>#N/A</v>
      </c>
      <c r="F126" s="494"/>
      <c r="G126" s="79">
        <f>IF(F116-F119+F121-F122+F123+F124-F125-F126=0,,"Error: Total revenues less total expenses do not equal total change in net position. Cell F116-F119+F121-F122+F123+F124-F125-F126=0  The amount of the formula is in the cell to the right")</f>
        <v>0</v>
      </c>
      <c r="H126" s="223">
        <f>+F116-F119+F121-F122+F123+F124-F125-F126</f>
        <v>0</v>
      </c>
      <c r="I126" s="35"/>
      <c r="N126" s="390"/>
      <c r="O126" s="391"/>
    </row>
    <row r="127" spans="1:15" ht="101.25" customHeight="1" x14ac:dyDescent="0.25">
      <c r="A127" s="219">
        <v>378</v>
      </c>
      <c r="B127" s="75" t="s">
        <v>75</v>
      </c>
      <c r="C127" s="189" t="s">
        <v>213</v>
      </c>
      <c r="D127" s="162" t="s">
        <v>220</v>
      </c>
      <c r="E127" s="36" t="e">
        <f>HLOOKUP($D$2,'2018 Data'!$C$1:$CR$284,137,FALSE)</f>
        <v>#N/A</v>
      </c>
      <c r="F127" s="494"/>
      <c r="G127" s="79" t="e">
        <f>IF(F95-F126-F127=E95,,"Error: Beginning Balance does not agree with our records.  Cell F95-F126-F127= E95  The amount of the formula is in the cell to the right")</f>
        <v>#N/A</v>
      </c>
      <c r="H127" s="223" t="e">
        <f>+F95-F126-F127-E95</f>
        <v>#N/A</v>
      </c>
      <c r="I127" s="35"/>
      <c r="N127" s="390"/>
      <c r="O127" s="391"/>
    </row>
    <row r="128" spans="1:15" x14ac:dyDescent="0.25">
      <c r="A128" s="220"/>
      <c r="B128" s="191" t="s">
        <v>2</v>
      </c>
      <c r="C128" s="190"/>
      <c r="D128" s="183"/>
      <c r="E128" s="164"/>
      <c r="F128" s="486"/>
      <c r="G128" s="163"/>
      <c r="H128" s="16"/>
      <c r="I128" s="35"/>
      <c r="N128" s="390"/>
      <c r="O128" s="391"/>
    </row>
    <row r="129" spans="1:15" ht="18.75" x14ac:dyDescent="0.3">
      <c r="A129" s="220"/>
      <c r="B129" s="190" t="s">
        <v>221</v>
      </c>
      <c r="C129" s="190"/>
      <c r="D129" s="184"/>
      <c r="E129" s="184"/>
      <c r="F129" s="485"/>
      <c r="G129" s="165"/>
      <c r="H129" s="16"/>
      <c r="I129" s="35"/>
      <c r="N129" s="390"/>
      <c r="O129" s="391"/>
    </row>
    <row r="130" spans="1:15" ht="18.75" x14ac:dyDescent="0.3">
      <c r="A130" s="220"/>
      <c r="B130" s="190" t="s">
        <v>222</v>
      </c>
      <c r="C130" s="190"/>
      <c r="D130" s="166"/>
      <c r="E130" s="167"/>
      <c r="F130" s="484"/>
      <c r="G130" s="168"/>
      <c r="H130" s="16"/>
      <c r="I130" s="35"/>
      <c r="N130" s="390"/>
      <c r="O130" s="391"/>
    </row>
    <row r="131" spans="1:15" ht="18.75" x14ac:dyDescent="0.3">
      <c r="A131" s="220"/>
      <c r="B131" s="190" t="s">
        <v>28</v>
      </c>
      <c r="C131" s="190"/>
      <c r="D131" s="166"/>
      <c r="E131" s="167"/>
      <c r="F131" s="484"/>
      <c r="G131" s="168"/>
      <c r="H131" s="16"/>
      <c r="I131" s="35"/>
      <c r="N131" s="390"/>
      <c r="O131" s="391"/>
    </row>
    <row r="132" spans="1:15" ht="82.5" customHeight="1" x14ac:dyDescent="0.25">
      <c r="A132" s="219">
        <v>51</v>
      </c>
      <c r="B132" s="73" t="s">
        <v>380</v>
      </c>
      <c r="C132" s="173" t="s">
        <v>223</v>
      </c>
      <c r="D132" s="195" t="s">
        <v>408</v>
      </c>
      <c r="E132" s="36" t="e">
        <f>HLOOKUP($D$2,'2018 Data'!$C$1:$CR$284,38,FALSE)</f>
        <v>#N/A</v>
      </c>
      <c r="F132" s="494"/>
      <c r="G132" s="7"/>
      <c r="H132" s="16"/>
      <c r="I132" s="35"/>
      <c r="N132" s="390"/>
      <c r="O132" s="391"/>
    </row>
    <row r="133" spans="1:15" ht="59.25" customHeight="1" x14ac:dyDescent="0.25">
      <c r="A133" s="219">
        <v>332</v>
      </c>
      <c r="B133" s="73" t="s">
        <v>49</v>
      </c>
      <c r="C133" s="173" t="s">
        <v>223</v>
      </c>
      <c r="D133" s="195" t="s">
        <v>224</v>
      </c>
      <c r="E133" s="36" t="e">
        <f>HLOOKUP($D$2,'2018 Data'!$C$1:$CR$284,98,FALSE)</f>
        <v>#N/A</v>
      </c>
      <c r="F133" s="494"/>
      <c r="G133" s="8">
        <f>IF(F133&lt;0,"Error: Enter as positive.",)</f>
        <v>0</v>
      </c>
      <c r="H133" s="16"/>
      <c r="I133" s="35"/>
      <c r="J133" s="4"/>
      <c r="N133" s="390"/>
      <c r="O133" s="391"/>
    </row>
    <row r="134" spans="1:15" ht="67.5" customHeight="1" x14ac:dyDescent="0.25">
      <c r="A134" s="219">
        <v>331</v>
      </c>
      <c r="B134" s="73" t="s">
        <v>380</v>
      </c>
      <c r="C134" s="173" t="s">
        <v>223</v>
      </c>
      <c r="D134" s="195" t="s">
        <v>225</v>
      </c>
      <c r="E134" s="36" t="e">
        <f>HLOOKUP($D$2,'2018 Data'!$C$1:$CR$284,97,FALSE)</f>
        <v>#N/A</v>
      </c>
      <c r="F134" s="494"/>
      <c r="G134" s="8">
        <f>IF(F134&lt;0,"Error: Enter as positive.",)</f>
        <v>0</v>
      </c>
      <c r="H134" s="16"/>
      <c r="I134" s="35"/>
      <c r="J134" s="4"/>
      <c r="N134" s="390"/>
      <c r="O134" s="391"/>
    </row>
    <row r="135" spans="1:15" ht="18.75" x14ac:dyDescent="0.25">
      <c r="A135" s="220"/>
      <c r="B135" s="191" t="s">
        <v>7</v>
      </c>
      <c r="C135" s="190"/>
      <c r="D135" s="190"/>
      <c r="E135" s="184"/>
      <c r="F135" s="485"/>
      <c r="G135" s="169"/>
      <c r="H135" s="16"/>
      <c r="I135" s="35"/>
      <c r="N135" s="390"/>
      <c r="O135" s="391"/>
    </row>
    <row r="136" spans="1:15" ht="73.5" customHeight="1" x14ac:dyDescent="0.25">
      <c r="A136" s="219">
        <v>55</v>
      </c>
      <c r="B136" s="189" t="s">
        <v>78</v>
      </c>
      <c r="C136" s="173" t="s">
        <v>226</v>
      </c>
      <c r="D136" s="195" t="s">
        <v>409</v>
      </c>
      <c r="E136" s="36" t="e">
        <f>HLOOKUP($D$2,'2018 Data'!$C$1:$CR$284,42,FALSE)</f>
        <v>#N/A</v>
      </c>
      <c r="F136" s="494"/>
      <c r="G136" s="7"/>
      <c r="H136" s="16"/>
      <c r="I136" s="35"/>
      <c r="N136" s="390"/>
      <c r="O136" s="391"/>
    </row>
    <row r="137" spans="1:15" ht="60.75" customHeight="1" x14ac:dyDescent="0.25">
      <c r="A137" s="219">
        <v>101</v>
      </c>
      <c r="B137" s="189" t="s">
        <v>84</v>
      </c>
      <c r="C137" s="173" t="s">
        <v>226</v>
      </c>
      <c r="D137" s="195" t="s">
        <v>227</v>
      </c>
      <c r="E137" s="36" t="e">
        <f>HLOOKUP($D$2,'2018 Data'!$C$1:$CR$284,61,FALSE)</f>
        <v>#N/A</v>
      </c>
      <c r="F137" s="494"/>
      <c r="G137" s="8">
        <f>IF(F137&lt;0,"Error: Enter as positive.",)</f>
        <v>0</v>
      </c>
      <c r="H137" s="16"/>
      <c r="I137" s="35"/>
      <c r="N137" s="390"/>
      <c r="O137" s="391"/>
    </row>
    <row r="138" spans="1:15" ht="53.25" customHeight="1" x14ac:dyDescent="0.25">
      <c r="A138" s="219">
        <v>100</v>
      </c>
      <c r="B138" s="189" t="s">
        <v>85</v>
      </c>
      <c r="C138" s="173" t="s">
        <v>226</v>
      </c>
      <c r="D138" s="195" t="s">
        <v>225</v>
      </c>
      <c r="E138" s="36" t="e">
        <f>HLOOKUP($D$2,'2018 Data'!$C$1:$CR$284,60,FALSE)</f>
        <v>#N/A</v>
      </c>
      <c r="F138" s="494"/>
      <c r="G138" s="8">
        <f>IF(F138&lt;0,"Error: Enter as positive.",)</f>
        <v>0</v>
      </c>
      <c r="H138" s="16"/>
      <c r="I138" s="35"/>
      <c r="N138" s="390"/>
      <c r="O138" s="391"/>
    </row>
    <row r="139" spans="1:15" ht="18.75" x14ac:dyDescent="0.25">
      <c r="A139" s="220"/>
      <c r="B139" s="151" t="s">
        <v>90</v>
      </c>
      <c r="C139" s="155"/>
      <c r="D139" s="184"/>
      <c r="E139" s="184"/>
      <c r="F139" s="483"/>
      <c r="G139" s="140"/>
      <c r="H139" s="76"/>
      <c r="I139" s="35"/>
      <c r="N139" s="390"/>
      <c r="O139" s="391"/>
    </row>
    <row r="140" spans="1:15" ht="60" x14ac:dyDescent="0.25">
      <c r="A140" s="219">
        <v>512</v>
      </c>
      <c r="B140" s="209"/>
      <c r="C140" s="173" t="s">
        <v>229</v>
      </c>
      <c r="D140" s="195" t="s">
        <v>228</v>
      </c>
      <c r="E140" s="36" t="e">
        <f>HLOOKUP($D$2,'2018 Data'!$C$1:$CR$284,162,FALSE)</f>
        <v>#N/A</v>
      </c>
      <c r="F140" s="494"/>
      <c r="G140" s="79">
        <f>IF(F140&lt;0,"Error: This number is normally positive.",)</f>
        <v>0</v>
      </c>
      <c r="H140" s="76"/>
      <c r="I140" s="35"/>
      <c r="N140" s="390"/>
      <c r="O140" s="391"/>
    </row>
    <row r="141" spans="1:15" s="4" customFormat="1" x14ac:dyDescent="0.25">
      <c r="A141" s="219"/>
      <c r="B141" s="191" t="s">
        <v>393</v>
      </c>
      <c r="C141" s="190"/>
      <c r="D141" s="183"/>
      <c r="E141" s="170"/>
      <c r="F141" s="483"/>
      <c r="G141" s="171"/>
      <c r="H141" s="20"/>
      <c r="I141" s="359"/>
      <c r="J141" s="268"/>
      <c r="N141" s="390"/>
      <c r="O141" s="391"/>
    </row>
    <row r="142" spans="1:15" s="4" customFormat="1" ht="96" customHeight="1" x14ac:dyDescent="0.25">
      <c r="A142" s="219">
        <v>535</v>
      </c>
      <c r="B142" s="212" t="s">
        <v>74</v>
      </c>
      <c r="C142" s="212" t="s">
        <v>230</v>
      </c>
      <c r="D142" s="154" t="s">
        <v>442</v>
      </c>
      <c r="E142" s="36" t="e">
        <f>HLOOKUP($D$2,'2018 Data'!$C$1:$CR$284,185,FALSE)</f>
        <v>#N/A</v>
      </c>
      <c r="F142" s="494"/>
      <c r="G142" s="79" t="str">
        <f>IF(F142&lt;1,"Reminder: Please make sure you have entered all cash and investments from bond/Debt proceeds, if applicable.",)</f>
        <v>Reminder: Please make sure you have entered all cash and investments from bond/Debt proceeds, if applicable.</v>
      </c>
      <c r="H142" s="20"/>
      <c r="I142" s="359"/>
      <c r="J142" s="268"/>
      <c r="N142" s="391"/>
      <c r="O142" s="391"/>
    </row>
    <row r="143" spans="1:15" ht="18.75" x14ac:dyDescent="0.3">
      <c r="A143" s="220"/>
      <c r="B143" s="191" t="s">
        <v>34</v>
      </c>
      <c r="C143" s="190"/>
      <c r="D143" s="192"/>
      <c r="E143" s="192"/>
      <c r="F143" s="485"/>
      <c r="G143" s="192"/>
      <c r="H143" s="16"/>
      <c r="I143" s="35"/>
      <c r="J143" s="4"/>
      <c r="N143" s="391"/>
      <c r="O143" s="391"/>
    </row>
    <row r="144" spans="1:15" ht="37.5" x14ac:dyDescent="0.3">
      <c r="A144" s="220"/>
      <c r="B144" s="209"/>
      <c r="C144" s="209"/>
      <c r="D144" s="196" t="s">
        <v>3</v>
      </c>
      <c r="E144" s="6"/>
      <c r="F144" s="482"/>
      <c r="G144" s="7"/>
      <c r="H144" s="16"/>
      <c r="I144" s="35"/>
      <c r="J144" s="4"/>
      <c r="N144" s="390"/>
      <c r="O144" s="391"/>
    </row>
    <row r="145" spans="1:15" ht="30" x14ac:dyDescent="0.25">
      <c r="A145" s="220"/>
      <c r="B145" s="209"/>
      <c r="C145" s="209"/>
      <c r="D145" s="193" t="s">
        <v>8</v>
      </c>
      <c r="E145" s="6"/>
      <c r="F145" s="482"/>
      <c r="G145" s="7"/>
      <c r="H145" s="16"/>
      <c r="I145" s="35"/>
      <c r="N145" s="390"/>
      <c r="O145" s="391"/>
    </row>
    <row r="146" spans="1:15" ht="30" x14ac:dyDescent="0.25">
      <c r="A146" s="219">
        <v>334</v>
      </c>
      <c r="B146" s="73" t="s">
        <v>75</v>
      </c>
      <c r="C146" s="194" t="s">
        <v>246</v>
      </c>
      <c r="D146" s="195" t="s">
        <v>244</v>
      </c>
      <c r="E146" s="36" t="e">
        <f>HLOOKUP($D$2,'2018 Data'!$C$1:$CR$284,100,FALSE)</f>
        <v>#N/A</v>
      </c>
      <c r="F146" s="494"/>
      <c r="G146" s="7"/>
      <c r="H146" s="16"/>
      <c r="I146" s="35"/>
      <c r="N146" s="458"/>
      <c r="O146" s="391"/>
    </row>
    <row r="147" spans="1:15" ht="25.5" x14ac:dyDescent="0.25">
      <c r="A147" s="219">
        <v>373</v>
      </c>
      <c r="B147" s="73" t="s">
        <v>75</v>
      </c>
      <c r="C147" s="194" t="s">
        <v>246</v>
      </c>
      <c r="D147" s="205" t="s">
        <v>245</v>
      </c>
      <c r="E147" s="36" t="e">
        <f>HLOOKUP($D$2,'2018 Data'!$C$1:$CR$284,133,FALSE)</f>
        <v>#N/A</v>
      </c>
      <c r="F147" s="494"/>
      <c r="G147" s="8">
        <f>IF(F147&lt;0,"Error: Enter as positive.",)</f>
        <v>0</v>
      </c>
      <c r="H147" s="16"/>
      <c r="I147" s="35"/>
      <c r="N147" s="458"/>
      <c r="O147" s="391"/>
    </row>
    <row r="148" spans="1:15" ht="18.75" x14ac:dyDescent="0.3">
      <c r="A148" s="220"/>
      <c r="B148" s="210"/>
      <c r="C148" s="210"/>
      <c r="D148" s="197"/>
      <c r="E148" s="11"/>
      <c r="F148" s="481"/>
      <c r="G148" s="7"/>
      <c r="H148" s="16"/>
      <c r="I148" s="35"/>
      <c r="N148" s="390"/>
      <c r="O148" s="391"/>
    </row>
    <row r="149" spans="1:15" ht="93" customHeight="1" x14ac:dyDescent="0.25">
      <c r="A149" s="220"/>
      <c r="B149" s="209"/>
      <c r="C149" s="215"/>
      <c r="D149" s="203" t="s">
        <v>263</v>
      </c>
      <c r="E149" s="6"/>
      <c r="F149" s="482"/>
      <c r="G149" s="7"/>
      <c r="H149" s="16"/>
      <c r="I149" s="35"/>
      <c r="N149" s="390"/>
      <c r="O149" s="391"/>
    </row>
    <row r="150" spans="1:15" ht="30" x14ac:dyDescent="0.25">
      <c r="A150" s="220"/>
      <c r="B150" s="209"/>
      <c r="C150" s="215"/>
      <c r="D150" s="195" t="s">
        <v>36</v>
      </c>
      <c r="E150" s="6"/>
      <c r="F150" s="482"/>
      <c r="G150" s="7"/>
      <c r="H150" s="16"/>
      <c r="I150" s="35"/>
      <c r="N150" s="390"/>
      <c r="O150" s="391"/>
    </row>
    <row r="151" spans="1:15" ht="45" x14ac:dyDescent="0.25">
      <c r="A151" s="219">
        <v>327</v>
      </c>
      <c r="B151" s="177" t="s">
        <v>49</v>
      </c>
      <c r="C151" s="214" t="s">
        <v>250</v>
      </c>
      <c r="D151" s="198" t="s">
        <v>247</v>
      </c>
      <c r="E151" s="36" t="e">
        <f>HLOOKUP($D$2,'2018 Data'!$C$1:$CR$284,94,FALSE)</f>
        <v>#N/A</v>
      </c>
      <c r="F151" s="494"/>
      <c r="G151" s="7"/>
      <c r="H151" s="16"/>
      <c r="I151" s="359"/>
      <c r="N151" s="390"/>
      <c r="O151" s="391"/>
    </row>
    <row r="152" spans="1:15" ht="25.5" x14ac:dyDescent="0.25">
      <c r="A152" s="219">
        <v>328</v>
      </c>
      <c r="B152" s="177" t="s">
        <v>49</v>
      </c>
      <c r="C152" s="214" t="s">
        <v>250</v>
      </c>
      <c r="D152" s="206" t="s">
        <v>9</v>
      </c>
      <c r="E152" s="36" t="e">
        <f>HLOOKUP($D$2,'2018 Data'!$C$1:$CR$284,95,FALSE)</f>
        <v>#N/A</v>
      </c>
      <c r="F152" s="494"/>
      <c r="G152" s="7"/>
      <c r="H152" s="16"/>
      <c r="I152" s="359"/>
      <c r="N152" s="390"/>
      <c r="O152" s="391"/>
    </row>
    <row r="153" spans="1:15" ht="39" customHeight="1" x14ac:dyDescent="0.25">
      <c r="A153" s="220"/>
      <c r="B153" s="209"/>
      <c r="C153" s="215"/>
      <c r="D153" s="207" t="s">
        <v>248</v>
      </c>
      <c r="E153" s="504" t="e">
        <f>SUM(E151:E152)</f>
        <v>#N/A</v>
      </c>
      <c r="F153" s="504">
        <f>SUM(F151:F152)</f>
        <v>0</v>
      </c>
      <c r="G153" s="7"/>
      <c r="H153" s="16"/>
      <c r="I153" s="35"/>
      <c r="N153" s="390"/>
      <c r="O153" s="391"/>
    </row>
    <row r="154" spans="1:15" ht="30" x14ac:dyDescent="0.25">
      <c r="A154" s="220"/>
      <c r="B154" s="209"/>
      <c r="C154" s="215"/>
      <c r="D154" s="195" t="s">
        <v>37</v>
      </c>
      <c r="E154" s="6"/>
      <c r="F154" s="482"/>
      <c r="G154" s="7"/>
      <c r="H154" s="16"/>
      <c r="I154" s="35"/>
      <c r="N154" s="390"/>
      <c r="O154" s="391"/>
    </row>
    <row r="155" spans="1:15" x14ac:dyDescent="0.25">
      <c r="A155" s="220"/>
      <c r="B155" s="209"/>
      <c r="C155" s="215"/>
      <c r="D155" s="202" t="s">
        <v>11</v>
      </c>
      <c r="E155" s="78"/>
      <c r="F155" s="480"/>
      <c r="G155" s="7"/>
      <c r="H155" s="16"/>
      <c r="I155" s="35"/>
      <c r="N155" s="390"/>
      <c r="O155" s="391"/>
    </row>
    <row r="156" spans="1:15" ht="38.25" x14ac:dyDescent="0.25">
      <c r="A156" s="219">
        <v>515</v>
      </c>
      <c r="B156" s="177" t="s">
        <v>379</v>
      </c>
      <c r="C156" s="214" t="s">
        <v>251</v>
      </c>
      <c r="D156" s="208" t="s">
        <v>4</v>
      </c>
      <c r="E156" s="36" t="e">
        <f>HLOOKUP($D$2,'2018 Data'!$C$1:$CR$284,165,FALSE)</f>
        <v>#N/A</v>
      </c>
      <c r="F156" s="494"/>
      <c r="G156" s="8"/>
      <c r="H156" s="16"/>
      <c r="I156" s="35"/>
      <c r="N156" s="390"/>
      <c r="O156" s="391"/>
    </row>
    <row r="157" spans="1:15" ht="38.25" x14ac:dyDescent="0.25">
      <c r="A157" s="219">
        <v>516</v>
      </c>
      <c r="B157" s="177" t="s">
        <v>379</v>
      </c>
      <c r="C157" s="214" t="s">
        <v>251</v>
      </c>
      <c r="D157" s="208" t="s">
        <v>5</v>
      </c>
      <c r="E157" s="36" t="e">
        <f>HLOOKUP($D$2,'2018 Data'!$C$1:$CR$284,166,FALSE)</f>
        <v>#N/A</v>
      </c>
      <c r="F157" s="494"/>
      <c r="G157" s="8"/>
      <c r="H157" s="16"/>
      <c r="I157" s="35"/>
      <c r="N157" s="390"/>
      <c r="O157" s="391"/>
    </row>
    <row r="158" spans="1:15" ht="38.25" x14ac:dyDescent="0.25">
      <c r="A158" s="219">
        <v>517</v>
      </c>
      <c r="B158" s="177" t="s">
        <v>379</v>
      </c>
      <c r="C158" s="214" t="s">
        <v>251</v>
      </c>
      <c r="D158" s="208" t="s">
        <v>6</v>
      </c>
      <c r="E158" s="36" t="e">
        <f>HLOOKUP($D$2,'2018 Data'!$C$1:$CR$284,167,FALSE)</f>
        <v>#N/A</v>
      </c>
      <c r="F158" s="494"/>
      <c r="G158" s="8"/>
      <c r="H158" s="16"/>
      <c r="I158" s="35"/>
      <c r="N158" s="390"/>
      <c r="O158" s="391"/>
    </row>
    <row r="159" spans="1:15" ht="38.25" x14ac:dyDescent="0.25">
      <c r="A159" s="219">
        <v>518</v>
      </c>
      <c r="B159" s="177" t="s">
        <v>379</v>
      </c>
      <c r="C159" s="214" t="s">
        <v>251</v>
      </c>
      <c r="D159" s="208" t="s">
        <v>56</v>
      </c>
      <c r="E159" s="36" t="e">
        <f>HLOOKUP($D$2,'2018 Data'!$C$1:$CR$284,168,FALSE)</f>
        <v>#N/A</v>
      </c>
      <c r="F159" s="494"/>
      <c r="G159" s="8"/>
      <c r="H159" s="16"/>
      <c r="I159" s="35"/>
      <c r="N159" s="390"/>
      <c r="O159" s="391"/>
    </row>
    <row r="160" spans="1:15" ht="36" customHeight="1" x14ac:dyDescent="0.25">
      <c r="A160"/>
      <c r="B160" s="209"/>
      <c r="C160" s="213"/>
      <c r="D160" s="201" t="s">
        <v>38</v>
      </c>
      <c r="E160" s="504" t="e">
        <f>SUM(E156:E159)</f>
        <v>#N/A</v>
      </c>
      <c r="F160" s="504">
        <f>SUM(F156:F159)</f>
        <v>0</v>
      </c>
      <c r="G160" s="7"/>
      <c r="H160" s="16"/>
      <c r="I160" s="35"/>
      <c r="N160" s="390"/>
      <c r="O160" s="391"/>
    </row>
    <row r="161" spans="1:15" x14ac:dyDescent="0.25">
      <c r="A161" s="220"/>
      <c r="B161" s="209"/>
      <c r="C161" s="213"/>
      <c r="D161" s="202" t="s">
        <v>67</v>
      </c>
      <c r="E161" s="6"/>
      <c r="F161" s="482"/>
      <c r="G161" s="7"/>
      <c r="H161" s="16"/>
      <c r="I161" s="35"/>
      <c r="N161" s="390"/>
      <c r="O161" s="391"/>
    </row>
    <row r="162" spans="1:15" ht="38.25" x14ac:dyDescent="0.25">
      <c r="A162" s="219">
        <v>519</v>
      </c>
      <c r="B162" s="177" t="s">
        <v>49</v>
      </c>
      <c r="C162" s="214" t="s">
        <v>252</v>
      </c>
      <c r="D162" s="208" t="s">
        <v>18</v>
      </c>
      <c r="E162" s="36" t="e">
        <f>HLOOKUP($D$2,'2018 Data'!$C$1:$CR$284,169,FALSE)</f>
        <v>#N/A</v>
      </c>
      <c r="F162" s="494"/>
      <c r="G162" s="8">
        <f>IF(F162&lt;0,"Error: Enter as positive.",)</f>
        <v>0</v>
      </c>
      <c r="H162" s="16"/>
      <c r="I162" s="35"/>
      <c r="N162" s="390"/>
      <c r="O162" s="391"/>
    </row>
    <row r="163" spans="1:15" ht="38.25" x14ac:dyDescent="0.25">
      <c r="A163" s="219">
        <v>520</v>
      </c>
      <c r="B163" s="177" t="s">
        <v>49</v>
      </c>
      <c r="C163" s="214" t="s">
        <v>252</v>
      </c>
      <c r="D163" s="208" t="s">
        <v>20</v>
      </c>
      <c r="E163" s="36" t="e">
        <f>HLOOKUP($D$2,'2018 Data'!$C$1:$CR$284,170,FALSE)</f>
        <v>#N/A</v>
      </c>
      <c r="F163" s="494"/>
      <c r="G163" s="8">
        <f>IF(F163&lt;0,"Error: Enter as positive.",)</f>
        <v>0</v>
      </c>
      <c r="H163" s="16"/>
      <c r="I163" s="35"/>
      <c r="N163" s="390"/>
      <c r="O163" s="391"/>
    </row>
    <row r="164" spans="1:15" ht="38.25" x14ac:dyDescent="0.25">
      <c r="A164" s="219">
        <v>521</v>
      </c>
      <c r="B164" s="177" t="s">
        <v>49</v>
      </c>
      <c r="C164" s="214" t="s">
        <v>252</v>
      </c>
      <c r="D164" s="208" t="s">
        <v>22</v>
      </c>
      <c r="E164" s="36" t="e">
        <f>HLOOKUP($D$2,'2018 Data'!$C$1:$CR$284,171,FALSE)</f>
        <v>#N/A</v>
      </c>
      <c r="F164" s="494"/>
      <c r="G164" s="8">
        <f>IF(F164&lt;0,"Error: Enter as positive.",)</f>
        <v>0</v>
      </c>
      <c r="H164" s="16"/>
      <c r="I164" s="35"/>
      <c r="N164" s="390"/>
      <c r="O164" s="391"/>
    </row>
    <row r="165" spans="1:15" ht="38.25" x14ac:dyDescent="0.25">
      <c r="A165" s="219">
        <v>522</v>
      </c>
      <c r="B165" s="177" t="s">
        <v>49</v>
      </c>
      <c r="C165" s="214" t="s">
        <v>252</v>
      </c>
      <c r="D165" s="208" t="s">
        <v>57</v>
      </c>
      <c r="E165" s="36" t="e">
        <f>HLOOKUP($D$2,'2018 Data'!$C$1:$CR$284,172,FALSE)</f>
        <v>#N/A</v>
      </c>
      <c r="F165" s="494"/>
      <c r="G165" s="8">
        <f>IF(F165&lt;0,"Error: Enter as positive.",)</f>
        <v>0</v>
      </c>
      <c r="H165" s="16"/>
      <c r="I165" s="35"/>
      <c r="N165" s="390"/>
      <c r="O165" s="391"/>
    </row>
    <row r="166" spans="1:15" x14ac:dyDescent="0.25">
      <c r="A166" s="29"/>
      <c r="B166" s="209"/>
      <c r="C166" s="213"/>
      <c r="D166" s="199" t="s">
        <v>43</v>
      </c>
      <c r="E166" s="504" t="e">
        <f>SUM(E162:E165)</f>
        <v>#N/A</v>
      </c>
      <c r="F166" s="504">
        <f>SUM(F162:F165)</f>
        <v>0</v>
      </c>
      <c r="G166" s="25"/>
      <c r="H166" s="16"/>
      <c r="I166" s="35"/>
      <c r="N166" s="390"/>
      <c r="O166" s="391"/>
    </row>
    <row r="167" spans="1:15" x14ac:dyDescent="0.25">
      <c r="A167" s="29"/>
      <c r="B167" s="209"/>
      <c r="C167" s="213"/>
      <c r="D167" s="202" t="s">
        <v>41</v>
      </c>
      <c r="E167" s="25"/>
      <c r="F167" s="479"/>
      <c r="G167" s="25"/>
      <c r="H167" s="16"/>
      <c r="I167" s="35"/>
      <c r="N167" s="390"/>
      <c r="O167" s="391"/>
    </row>
    <row r="168" spans="1:15" ht="51" x14ac:dyDescent="0.25">
      <c r="A168" s="219">
        <v>523</v>
      </c>
      <c r="B168" s="177" t="s">
        <v>379</v>
      </c>
      <c r="C168" s="214" t="s">
        <v>253</v>
      </c>
      <c r="D168" s="208" t="s">
        <v>19</v>
      </c>
      <c r="E168" s="36" t="e">
        <f>HLOOKUP($D$2,'2018 Data'!$C$1:$CR$284,173,FALSE)</f>
        <v>#N/A</v>
      </c>
      <c r="F168" s="494"/>
      <c r="G168" s="8">
        <f>IF(F168&lt;0,"Error: Enter as positive.",)</f>
        <v>0</v>
      </c>
      <c r="H168" s="16"/>
      <c r="I168" s="35"/>
      <c r="J168" s="4"/>
      <c r="N168" s="390"/>
      <c r="O168" s="391"/>
    </row>
    <row r="169" spans="1:15" ht="51" x14ac:dyDescent="0.25">
      <c r="A169" s="219">
        <v>524</v>
      </c>
      <c r="B169" s="177" t="s">
        <v>379</v>
      </c>
      <c r="C169" s="214" t="s">
        <v>253</v>
      </c>
      <c r="D169" s="208" t="s">
        <v>21</v>
      </c>
      <c r="E169" s="36" t="e">
        <f>HLOOKUP($D$2,'2018 Data'!$C$1:$CR$284,174,FALSE)</f>
        <v>#N/A</v>
      </c>
      <c r="F169" s="494"/>
      <c r="G169" s="8">
        <f>IF(F169&lt;0,"Error: Enter as positive.",)</f>
        <v>0</v>
      </c>
      <c r="H169" s="16"/>
      <c r="I169" s="35"/>
      <c r="J169" s="4"/>
      <c r="N169" s="390"/>
      <c r="O169" s="391"/>
    </row>
    <row r="170" spans="1:15" ht="51" x14ac:dyDescent="0.25">
      <c r="A170" s="219">
        <v>525</v>
      </c>
      <c r="B170" s="177" t="s">
        <v>379</v>
      </c>
      <c r="C170" s="214" t="s">
        <v>253</v>
      </c>
      <c r="D170" s="208" t="s">
        <v>23</v>
      </c>
      <c r="E170" s="36" t="e">
        <f>HLOOKUP($D$2,'2018 Data'!$C$1:$CR$284,175,FALSE)</f>
        <v>#N/A</v>
      </c>
      <c r="F170" s="494"/>
      <c r="G170" s="8">
        <f>IF(F170&lt;0,"Error: Enter as positive.",)</f>
        <v>0</v>
      </c>
      <c r="H170" s="16"/>
      <c r="I170" s="35"/>
      <c r="J170" s="4"/>
      <c r="N170" s="390"/>
      <c r="O170" s="391"/>
    </row>
    <row r="171" spans="1:15" ht="51" x14ac:dyDescent="0.25">
      <c r="A171" s="219">
        <v>526</v>
      </c>
      <c r="B171" s="177" t="s">
        <v>379</v>
      </c>
      <c r="C171" s="214" t="s">
        <v>253</v>
      </c>
      <c r="D171" s="208" t="s">
        <v>58</v>
      </c>
      <c r="E171" s="36" t="e">
        <f>HLOOKUP($D$2,'2018 Data'!$C$1:$CR$284,176,FALSE)</f>
        <v>#N/A</v>
      </c>
      <c r="F171" s="494"/>
      <c r="G171" s="8">
        <f>IF(F171&lt;0,"Error: Enter as positive.",)</f>
        <v>0</v>
      </c>
      <c r="H171" s="16"/>
      <c r="I171" s="35"/>
      <c r="N171" s="390"/>
      <c r="O171" s="391"/>
    </row>
    <row r="172" spans="1:15" x14ac:dyDescent="0.25">
      <c r="A172" s="219"/>
      <c r="B172" s="211"/>
      <c r="C172" s="211"/>
      <c r="D172" s="199" t="s">
        <v>42</v>
      </c>
      <c r="E172" s="504" t="e">
        <f>SUM(E168:E171)</f>
        <v>#N/A</v>
      </c>
      <c r="F172" s="504">
        <f>SUM(F168:F171)</f>
        <v>0</v>
      </c>
      <c r="G172" s="7"/>
      <c r="H172" s="16"/>
      <c r="I172" s="35"/>
      <c r="N172" s="390"/>
      <c r="O172" s="391"/>
    </row>
    <row r="173" spans="1:15" x14ac:dyDescent="0.25">
      <c r="A173" s="220"/>
      <c r="B173" s="211"/>
      <c r="C173" s="211"/>
      <c r="D173" s="200" t="s">
        <v>44</v>
      </c>
      <c r="E173" s="504" t="e">
        <f>E153+E160-E172</f>
        <v>#N/A</v>
      </c>
      <c r="F173" s="504">
        <f>F153+F160-F172</f>
        <v>0</v>
      </c>
      <c r="G173" s="7"/>
      <c r="H173" s="16"/>
      <c r="I173" s="35"/>
      <c r="N173" s="390"/>
      <c r="O173" s="391"/>
    </row>
    <row r="174" spans="1:15" ht="18.75" x14ac:dyDescent="0.3">
      <c r="A174" s="220"/>
      <c r="B174" s="210"/>
      <c r="C174" s="210"/>
      <c r="D174" s="197"/>
      <c r="E174" s="11"/>
      <c r="F174" s="481"/>
      <c r="G174" s="7"/>
      <c r="H174" s="16"/>
      <c r="I174" s="35"/>
      <c r="J174" s="18"/>
      <c r="N174" s="390"/>
      <c r="O174" s="391"/>
    </row>
    <row r="175" spans="1:15" ht="18.75" x14ac:dyDescent="0.25">
      <c r="A175" s="220"/>
      <c r="B175" s="209"/>
      <c r="C175" s="209"/>
      <c r="D175" s="203" t="s">
        <v>10</v>
      </c>
      <c r="E175" s="6"/>
      <c r="F175" s="482"/>
      <c r="G175" s="7"/>
      <c r="H175" s="16"/>
      <c r="I175" s="35"/>
      <c r="J175" s="18"/>
      <c r="N175" s="390"/>
      <c r="O175" s="391"/>
    </row>
    <row r="176" spans="1:15" ht="39.75" customHeight="1" x14ac:dyDescent="0.25">
      <c r="A176" s="219">
        <v>527</v>
      </c>
      <c r="B176" s="177" t="s">
        <v>77</v>
      </c>
      <c r="C176" s="212" t="s">
        <v>254</v>
      </c>
      <c r="D176" s="205" t="s">
        <v>249</v>
      </c>
      <c r="E176" s="36" t="e">
        <f>HLOOKUP($D$2,'2018 Data'!$C$1:$CR$284,177,FALSE)</f>
        <v>#N/A</v>
      </c>
      <c r="F176" s="494"/>
      <c r="G176" s="7"/>
      <c r="H176" s="16"/>
      <c r="I176" s="359"/>
      <c r="N176" s="390"/>
      <c r="O176" s="391"/>
    </row>
    <row r="177" spans="1:15" ht="39.75" customHeight="1" x14ac:dyDescent="0.25">
      <c r="A177" s="219">
        <v>356</v>
      </c>
      <c r="B177" s="177" t="s">
        <v>85</v>
      </c>
      <c r="C177" s="212" t="s">
        <v>254</v>
      </c>
      <c r="D177" s="204" t="s">
        <v>24</v>
      </c>
      <c r="E177" s="36" t="e">
        <f>HLOOKUP($D$2,'2018 Data'!$C$1:$CR$284,118,FALSE)</f>
        <v>#N/A</v>
      </c>
      <c r="F177" s="494"/>
      <c r="G177" s="7"/>
      <c r="H177" s="16"/>
      <c r="I177" s="359"/>
      <c r="J177" s="18"/>
      <c r="N177" s="390"/>
      <c r="O177" s="391"/>
    </row>
    <row r="178" spans="1:15" ht="40.5" x14ac:dyDescent="0.25">
      <c r="A178" s="219">
        <v>357</v>
      </c>
      <c r="B178" s="177" t="s">
        <v>75</v>
      </c>
      <c r="C178" s="212" t="s">
        <v>255</v>
      </c>
      <c r="D178" s="204" t="s">
        <v>25</v>
      </c>
      <c r="E178" s="36" t="e">
        <f>HLOOKUP($D$2,'2018 Data'!$C$1:$CR$284,119,FALSE)</f>
        <v>#N/A</v>
      </c>
      <c r="F178" s="494"/>
      <c r="G178" s="8">
        <f>IF(F178&lt;0,"Error: Enter as positive.",)</f>
        <v>0</v>
      </c>
      <c r="H178" s="16"/>
      <c r="I178" s="359"/>
      <c r="N178" s="390"/>
      <c r="O178" s="391"/>
    </row>
    <row r="179" spans="1:15" ht="18.75" x14ac:dyDescent="0.3">
      <c r="A179" s="220"/>
      <c r="B179" s="191" t="s">
        <v>12</v>
      </c>
      <c r="C179" s="190"/>
      <c r="D179" s="184"/>
      <c r="E179" s="192"/>
      <c r="F179" s="485"/>
      <c r="G179" s="172"/>
      <c r="H179" s="16"/>
      <c r="I179" s="35"/>
      <c r="N179" s="390"/>
      <c r="O179" s="391"/>
    </row>
    <row r="180" spans="1:15" ht="249" customHeight="1" x14ac:dyDescent="0.25">
      <c r="A180" s="219">
        <v>337</v>
      </c>
      <c r="B180" s="73" t="s">
        <v>75</v>
      </c>
      <c r="C180" s="189" t="s">
        <v>483</v>
      </c>
      <c r="D180" s="195" t="s">
        <v>387</v>
      </c>
      <c r="E180" s="36" t="e">
        <f>HLOOKUP($D$2,'2018 Data'!$C$1:$CR$284,103,FALSE)</f>
        <v>#N/A</v>
      </c>
      <c r="F180" s="494"/>
      <c r="G180" s="8">
        <f>IF(F180&lt;0,"Error: Enter as positive.",)</f>
        <v>0</v>
      </c>
      <c r="H180" s="16"/>
      <c r="I180" s="35"/>
      <c r="N180" s="458"/>
      <c r="O180" s="391"/>
    </row>
    <row r="181" spans="1:15" ht="54" x14ac:dyDescent="0.25">
      <c r="A181" s="219">
        <v>343</v>
      </c>
      <c r="B181" s="73" t="s">
        <v>75</v>
      </c>
      <c r="C181" s="189" t="s">
        <v>486</v>
      </c>
      <c r="D181" s="205" t="s">
        <v>231</v>
      </c>
      <c r="E181" s="36" t="e">
        <f>HLOOKUP($D$2,'2018 Data'!$C$1:$CR$284,109,FALSE)</f>
        <v>#N/A</v>
      </c>
      <c r="F181" s="494"/>
      <c r="G181" s="8">
        <f>IF(F181&lt;0,"Error: Enter as positive.",)</f>
        <v>0</v>
      </c>
      <c r="H181" s="16"/>
      <c r="I181" s="35"/>
      <c r="J181" s="390"/>
      <c r="N181" s="458"/>
      <c r="O181" s="391"/>
    </row>
    <row r="182" spans="1:15" ht="240" x14ac:dyDescent="0.25">
      <c r="A182" s="219">
        <v>82</v>
      </c>
      <c r="B182" s="73" t="s">
        <v>80</v>
      </c>
      <c r="C182" s="189" t="s">
        <v>377</v>
      </c>
      <c r="D182" s="195" t="s">
        <v>388</v>
      </c>
      <c r="E182" s="36" t="e">
        <f>HLOOKUP($D$2,'2018 Data'!$C$1:$CR$284,46,FALSE)</f>
        <v>#N/A</v>
      </c>
      <c r="F182" s="494"/>
      <c r="G182" s="8">
        <f>IF(F182&lt;0,"Error: Enter as positive.",)</f>
        <v>0</v>
      </c>
      <c r="H182" s="16"/>
      <c r="I182" s="18"/>
      <c r="J182" s="390"/>
      <c r="N182" s="390"/>
      <c r="O182" s="391"/>
    </row>
    <row r="183" spans="1:15" ht="240" x14ac:dyDescent="0.25">
      <c r="A183" s="219">
        <v>359</v>
      </c>
      <c r="B183" s="73" t="s">
        <v>75</v>
      </c>
      <c r="C183" s="189" t="s">
        <v>378</v>
      </c>
      <c r="D183" s="195" t="s">
        <v>386</v>
      </c>
      <c r="E183" s="36" t="e">
        <f>HLOOKUP($D$2,'2018 Data'!$C$1:$CR$284,120,FALSE)</f>
        <v>#N/A</v>
      </c>
      <c r="F183" s="494"/>
      <c r="G183" s="8">
        <f>IF(F183&lt;0,"Error: Enter as positive.",)</f>
        <v>0</v>
      </c>
      <c r="H183" s="16"/>
      <c r="I183" s="18"/>
      <c r="J183" s="390"/>
      <c r="N183" s="390"/>
      <c r="O183" s="391"/>
    </row>
    <row r="184" spans="1:15" s="390" customFormat="1" x14ac:dyDescent="0.25">
      <c r="A184" s="219"/>
      <c r="B184" s="191" t="s">
        <v>535</v>
      </c>
      <c r="C184" s="190"/>
      <c r="D184" s="183"/>
      <c r="E184" s="174"/>
      <c r="F184" s="486"/>
      <c r="G184" s="181"/>
      <c r="H184" s="76"/>
      <c r="I184" s="18"/>
      <c r="O184" s="391"/>
    </row>
    <row r="185" spans="1:15" s="390" customFormat="1" ht="164.25" customHeight="1" x14ac:dyDescent="0.25">
      <c r="A185" s="469">
        <v>622</v>
      </c>
      <c r="B185" s="464" t="s">
        <v>463</v>
      </c>
      <c r="C185" s="469" t="s">
        <v>534</v>
      </c>
      <c r="D185" s="468" t="s">
        <v>539</v>
      </c>
      <c r="E185" s="471" t="s">
        <v>540</v>
      </c>
      <c r="F185" s="494"/>
      <c r="G185" s="456"/>
      <c r="H185" s="76"/>
      <c r="I185" s="18"/>
      <c r="J185" s="4"/>
      <c r="O185" s="391"/>
    </row>
    <row r="186" spans="1:15" s="390" customFormat="1" ht="69" customHeight="1" x14ac:dyDescent="0.25">
      <c r="A186" s="469">
        <v>623</v>
      </c>
      <c r="B186" s="471" t="s">
        <v>542</v>
      </c>
      <c r="C186" s="469"/>
      <c r="D186" s="469" t="s">
        <v>546</v>
      </c>
      <c r="E186" s="471" t="s">
        <v>545</v>
      </c>
      <c r="F186" s="478"/>
      <c r="G186" s="456"/>
      <c r="H186" s="76"/>
      <c r="I186" s="18"/>
      <c r="J186" s="4"/>
      <c r="O186" s="391"/>
    </row>
    <row r="187" spans="1:15" s="390" customFormat="1" ht="180" x14ac:dyDescent="0.25">
      <c r="A187" s="219">
        <v>577</v>
      </c>
      <c r="B187" s="177"/>
      <c r="C187" s="177" t="s">
        <v>420</v>
      </c>
      <c r="D187" s="418" t="s">
        <v>477</v>
      </c>
      <c r="E187" s="375"/>
      <c r="F187" s="494"/>
      <c r="G187" s="373" t="str">
        <f>IF(F187="Yes","In this cell - Please include the name of the plan, a brief description of the benefit and the population group that received the benefits.
that received the benefit"," ")</f>
        <v xml:space="preserve"> </v>
      </c>
      <c r="H187" s="76"/>
      <c r="I187" s="18"/>
      <c r="J187" s="72"/>
      <c r="O187" s="391"/>
    </row>
    <row r="188" spans="1:15" s="78" customFormat="1" x14ac:dyDescent="0.25">
      <c r="A188" s="220"/>
      <c r="B188" s="191" t="s">
        <v>389</v>
      </c>
      <c r="C188" s="190"/>
      <c r="D188" s="183"/>
      <c r="E188" s="174"/>
      <c r="F188" s="486"/>
      <c r="G188" s="181"/>
      <c r="H188" s="76"/>
      <c r="I188" s="35"/>
      <c r="J188" s="268"/>
      <c r="N188" s="390"/>
      <c r="O188" s="391"/>
    </row>
    <row r="189" spans="1:15" s="78" customFormat="1" ht="70.5" customHeight="1" x14ac:dyDescent="0.25">
      <c r="A189" s="219">
        <v>598</v>
      </c>
      <c r="B189" s="177" t="s">
        <v>78</v>
      </c>
      <c r="C189" s="212" t="s">
        <v>390</v>
      </c>
      <c r="D189" s="276" t="s">
        <v>488</v>
      </c>
      <c r="E189" s="36" t="e">
        <f>HLOOKUP($D$2,'2018 Data'!$C$1:$CR$284,258,FALSE)</f>
        <v>#N/A</v>
      </c>
      <c r="F189" s="494"/>
      <c r="G189" s="79">
        <f>IF(F189&lt;0,"Error: Enter as positive.",)</f>
        <v>0</v>
      </c>
      <c r="H189" s="79"/>
      <c r="I189" s="18"/>
      <c r="J189" s="437"/>
      <c r="N189" s="390"/>
      <c r="O189" s="391"/>
    </row>
    <row r="190" spans="1:15" s="78" customFormat="1" ht="48.75" customHeight="1" x14ac:dyDescent="0.25">
      <c r="A190" s="219">
        <v>599</v>
      </c>
      <c r="B190" s="177" t="s">
        <v>78</v>
      </c>
      <c r="C190" s="177" t="s">
        <v>390</v>
      </c>
      <c r="D190" s="205" t="s">
        <v>489</v>
      </c>
      <c r="E190" s="36" t="e">
        <f>HLOOKUP($D$2,'2018 Data'!$C$1:$CR$284,259,FALSE)</f>
        <v>#N/A</v>
      </c>
      <c r="F190" s="494"/>
      <c r="G190" s="439" t="str">
        <f>IF(ISBLANK(F190),"Please do not leave blank","")</f>
        <v>Please do not leave blank</v>
      </c>
      <c r="H190" s="79">
        <f>IF(F190&lt;0,"Error: Enter as positive.",)</f>
        <v>0</v>
      </c>
      <c r="I190" s="35"/>
      <c r="J190" s="268"/>
      <c r="N190" s="458"/>
      <c r="O190" s="391"/>
    </row>
    <row r="191" spans="1:15" s="268" customFormat="1" ht="84.75" customHeight="1" x14ac:dyDescent="0.25">
      <c r="A191" s="219">
        <v>602</v>
      </c>
      <c r="B191" s="177" t="s">
        <v>78</v>
      </c>
      <c r="C191" s="177" t="s">
        <v>390</v>
      </c>
      <c r="D191" s="294" t="s">
        <v>500</v>
      </c>
      <c r="E191" s="36" t="e">
        <f>HLOOKUP($D$2,'2018 Data'!$C$1:$CR$284,262,FALSE)</f>
        <v>#N/A</v>
      </c>
      <c r="F191" s="494"/>
      <c r="G191" s="439" t="str">
        <f>IF(ISBLANK(F191),"Please do not leave blank","")</f>
        <v>Please do not leave blank</v>
      </c>
      <c r="H191" s="456">
        <f>IF(F191&lt;0,"Note: Number is normally positive.",)</f>
        <v>0</v>
      </c>
      <c r="I191" s="35"/>
      <c r="J191" s="391"/>
      <c r="N191" s="390"/>
      <c r="O191" s="391"/>
    </row>
    <row r="192" spans="1:15" s="390" customFormat="1" ht="84.75" customHeight="1" x14ac:dyDescent="0.25">
      <c r="A192" s="219">
        <v>619</v>
      </c>
      <c r="B192" s="177" t="s">
        <v>78</v>
      </c>
      <c r="C192" s="177" t="s">
        <v>520</v>
      </c>
      <c r="D192" s="463" t="s">
        <v>531</v>
      </c>
      <c r="E192" s="36" t="e">
        <f>HLOOKUP($D$2,'2018 Data'!$C$1:$CR$284,279,FALSE)</f>
        <v>#N/A</v>
      </c>
      <c r="F192" s="496"/>
      <c r="G192" s="439" t="str">
        <f>IF(ISBLANK(F192),"Please do not leave blank ",IF(F192=H192,"","Please review percentage"))</f>
        <v xml:space="preserve">Please do not leave blank </v>
      </c>
      <c r="H192" s="451">
        <f>ROUND(IFERROR((F191/F190)*100,0),1)</f>
        <v>0</v>
      </c>
      <c r="I192" s="392"/>
      <c r="J192" s="268"/>
      <c r="O192" s="391"/>
    </row>
    <row r="193" spans="1:17" x14ac:dyDescent="0.25">
      <c r="A193" s="220"/>
      <c r="B193" s="191" t="s">
        <v>30</v>
      </c>
      <c r="C193" s="190"/>
      <c r="D193" s="183"/>
      <c r="E193" s="174"/>
      <c r="F193" s="499"/>
      <c r="G193" s="175"/>
      <c r="H193" s="16"/>
      <c r="I193" s="35"/>
      <c r="N193" s="458"/>
      <c r="O193" s="391"/>
    </row>
    <row r="194" spans="1:17" s="391" customFormat="1" ht="108.75" customHeight="1" x14ac:dyDescent="0.25">
      <c r="A194" s="471">
        <v>621</v>
      </c>
      <c r="B194" s="471" t="s">
        <v>463</v>
      </c>
      <c r="C194" s="469" t="s">
        <v>541</v>
      </c>
      <c r="D194" s="469" t="s">
        <v>544</v>
      </c>
      <c r="E194" s="36" t="e">
        <f>HLOOKUP($D$2,'2018 Data'!$C$1:$CR$284,281,FALSE)</f>
        <v>#N/A</v>
      </c>
      <c r="F194" s="490"/>
      <c r="G194" s="452"/>
      <c r="H194" s="176"/>
      <c r="I194" s="359"/>
      <c r="J194" s="268"/>
      <c r="N194" s="459"/>
    </row>
    <row r="195" spans="1:17" s="4" customFormat="1" ht="144.75" customHeight="1" x14ac:dyDescent="0.25">
      <c r="A195" s="219">
        <v>547</v>
      </c>
      <c r="B195" s="177"/>
      <c r="C195" s="177" t="s">
        <v>232</v>
      </c>
      <c r="D195" s="287" t="s">
        <v>410</v>
      </c>
      <c r="E195" s="36" t="e">
        <f>HLOOKUP($D$2,'2018 Data'!$C$1:$CR$284,197,FALSE)</f>
        <v>#N/A</v>
      </c>
      <c r="F195" s="488"/>
      <c r="G195" s="227" t="str">
        <f>IF(F195&lt;1,"Please answer this question","")</f>
        <v>Please answer this question</v>
      </c>
      <c r="H195" s="176"/>
      <c r="I195" s="359"/>
      <c r="J195" s="390"/>
      <c r="N195" s="390"/>
      <c r="O195" s="391"/>
    </row>
    <row r="196" spans="1:17" s="72" customFormat="1" ht="42" customHeight="1" x14ac:dyDescent="0.25">
      <c r="A196" s="219">
        <v>607</v>
      </c>
      <c r="B196" s="177" t="s">
        <v>78</v>
      </c>
      <c r="C196" s="177" t="s">
        <v>511</v>
      </c>
      <c r="D196" s="462" t="s">
        <v>525</v>
      </c>
      <c r="E196" s="36" t="e">
        <f>HLOOKUP($D$2,'2018 Data'!$C$1:$CR$284,267,FALSE)</f>
        <v>#N/A</v>
      </c>
      <c r="F196" s="490"/>
      <c r="G196" s="452" t="str">
        <f>IF(ISBLANK(F196),"Please do not leave blank","")</f>
        <v>Please do not leave blank</v>
      </c>
      <c r="H196" s="456">
        <f>IF(F196&lt;0,"Error: Enter as positive.",)</f>
        <v>0</v>
      </c>
      <c r="I196" s="76"/>
      <c r="J196" s="268"/>
      <c r="N196" s="459"/>
      <c r="O196" s="391"/>
      <c r="Q196" s="454"/>
    </row>
    <row r="197" spans="1:17" ht="54.75" customHeight="1" x14ac:dyDescent="0.25">
      <c r="A197" s="219">
        <v>608</v>
      </c>
      <c r="B197" s="177" t="s">
        <v>78</v>
      </c>
      <c r="C197" s="177" t="s">
        <v>511</v>
      </c>
      <c r="D197" s="462" t="s">
        <v>526</v>
      </c>
      <c r="E197" s="36" t="e">
        <f>HLOOKUP($D$2,'2018 Data'!$C$1:$CR$284,268,FALSE)</f>
        <v>#N/A</v>
      </c>
      <c r="F197" s="490"/>
      <c r="G197" s="452" t="str">
        <f>IF(ISBLANK(F197),"Please do not leave blank","")</f>
        <v>Please do not leave blank</v>
      </c>
      <c r="H197" s="456">
        <f>IF(F197&lt;0,"Note: Number is normally positive.",)</f>
        <v>0</v>
      </c>
      <c r="I197" s="76"/>
      <c r="N197" s="452"/>
      <c r="O197" s="391"/>
    </row>
    <row r="198" spans="1:17" s="390" customFormat="1" ht="93" customHeight="1" x14ac:dyDescent="0.25">
      <c r="A198" s="219">
        <v>609</v>
      </c>
      <c r="B198" s="177" t="s">
        <v>78</v>
      </c>
      <c r="C198" s="177" t="s">
        <v>519</v>
      </c>
      <c r="D198" s="463" t="s">
        <v>516</v>
      </c>
      <c r="E198" s="36" t="e">
        <f>HLOOKUP($D$2,'2018 Data'!$C$1:$CR$284,269,FALSE)</f>
        <v>#N/A</v>
      </c>
      <c r="F198" s="496"/>
      <c r="G198" s="452" t="str">
        <f>IF(ISBLANK(F198),"Please do not leave blank ",IF(F198=H198,"","Please review percentage"))</f>
        <v xml:space="preserve">Please do not leave blank </v>
      </c>
      <c r="H198" s="453">
        <f>ROUND(IFERROR((F197/F196)*100,0),1)</f>
        <v>0</v>
      </c>
      <c r="I198" s="453"/>
      <c r="N198" s="458"/>
      <c r="O198" s="391"/>
      <c r="P198" s="452" t="str">
        <f>IF(ISBLANK(O196),"",IF(ISBLANK(O197),"",IF(O198=Q198,"","Please review percentage")))</f>
        <v/>
      </c>
    </row>
    <row r="199" spans="1:17" ht="59.25" customHeight="1" x14ac:dyDescent="0.25">
      <c r="A199" s="219">
        <v>610</v>
      </c>
      <c r="B199" s="177" t="s">
        <v>78</v>
      </c>
      <c r="C199" s="177" t="s">
        <v>511</v>
      </c>
      <c r="D199" s="462" t="s">
        <v>503</v>
      </c>
      <c r="E199" s="36" t="e">
        <f>HLOOKUP($D$2,'2018 Data'!$C$1:$CR$284,270,FALSE)</f>
        <v>#N/A</v>
      </c>
      <c r="F199" s="490"/>
      <c r="G199" s="452" t="str">
        <f>IF(ISBLANK(F199),"Please do not leave blank","")</f>
        <v>Please do not leave blank</v>
      </c>
      <c r="H199" s="456">
        <f>IF(F199&lt;0,"Error: Enter as positive.",)</f>
        <v>0</v>
      </c>
      <c r="I199" s="76"/>
      <c r="N199" s="390"/>
      <c r="O199" s="391"/>
    </row>
    <row r="200" spans="1:17" ht="33.75" customHeight="1" x14ac:dyDescent="0.25">
      <c r="A200" s="219">
        <v>611</v>
      </c>
      <c r="B200" s="177" t="s">
        <v>78</v>
      </c>
      <c r="C200" s="177" t="s">
        <v>511</v>
      </c>
      <c r="D200" s="462" t="s">
        <v>504</v>
      </c>
      <c r="E200" s="36" t="e">
        <f>HLOOKUP($D$2,'2018 Data'!$C$1:$CR$284,271,FALSE)</f>
        <v>#N/A</v>
      </c>
      <c r="F200" s="490"/>
      <c r="G200" s="452" t="str">
        <f>IF(ISBLANK(F200),"Please do not leave blank","")</f>
        <v>Please do not leave blank</v>
      </c>
      <c r="H200" s="456">
        <f>IF(F200&lt;0,"Note: Number is normally positive.",)</f>
        <v>0</v>
      </c>
      <c r="I200" s="76"/>
      <c r="J200" s="4"/>
      <c r="N200" s="458"/>
      <c r="O200" s="391"/>
    </row>
    <row r="201" spans="1:17" s="390" customFormat="1" ht="92.25" customHeight="1" x14ac:dyDescent="0.25">
      <c r="A201" s="219">
        <v>612</v>
      </c>
      <c r="B201" s="177" t="s">
        <v>78</v>
      </c>
      <c r="C201" s="177" t="s">
        <v>519</v>
      </c>
      <c r="D201" s="463" t="s">
        <v>513</v>
      </c>
      <c r="E201" s="36" t="e">
        <f>HLOOKUP($D$2,'2018 Data'!$C$1:$CR$284,272,FALSE)</f>
        <v>#N/A</v>
      </c>
      <c r="F201" s="496"/>
      <c r="G201" s="452" t="str">
        <f>IF(ISBLANK(F201),"Please do not leave blank ",IF(F201=H201,"","Please review percentage"))</f>
        <v xml:space="preserve">Please do not leave blank </v>
      </c>
      <c r="H201" s="453">
        <f>ROUND(IFERROR((F200/F199)*100,0),1)</f>
        <v>0</v>
      </c>
      <c r="I201" s="438"/>
      <c r="J201" s="391"/>
      <c r="O201" s="391"/>
    </row>
    <row r="202" spans="1:17" ht="50.25" customHeight="1" x14ac:dyDescent="0.25">
      <c r="A202" s="219">
        <v>613</v>
      </c>
      <c r="B202" s="177" t="s">
        <v>78</v>
      </c>
      <c r="C202" s="177" t="s">
        <v>511</v>
      </c>
      <c r="D202" s="462" t="s">
        <v>517</v>
      </c>
      <c r="E202" s="36" t="e">
        <f>HLOOKUP($D$2,'2018 Data'!$C$1:$CR$284,273,FALSE)</f>
        <v>#N/A</v>
      </c>
      <c r="F202" s="490"/>
      <c r="G202" s="452" t="str">
        <f>IF(ISBLANK(F202),"Please do not leave blank","")</f>
        <v>Please do not leave blank</v>
      </c>
      <c r="H202" s="456">
        <f>IF(F202&lt;0,"Error: Enter as positive.",)</f>
        <v>0</v>
      </c>
      <c r="I202" s="76"/>
      <c r="J202" s="391"/>
      <c r="N202" s="390"/>
      <c r="O202" s="391"/>
    </row>
    <row r="203" spans="1:17" ht="53.25" customHeight="1" x14ac:dyDescent="0.25">
      <c r="A203" s="219">
        <v>614</v>
      </c>
      <c r="B203" s="177" t="s">
        <v>78</v>
      </c>
      <c r="C203" s="177" t="s">
        <v>511</v>
      </c>
      <c r="D203" s="462" t="s">
        <v>505</v>
      </c>
      <c r="E203" s="36" t="e">
        <f>HLOOKUP($D$2,'2018 Data'!$C$1:$CR$284,274,FALSE)</f>
        <v>#N/A</v>
      </c>
      <c r="F203" s="490"/>
      <c r="G203" s="452" t="str">
        <f>IF(ISBLANK(F203),"Please do not leave blank","")</f>
        <v>Please do not leave blank</v>
      </c>
      <c r="H203" s="456">
        <f>IF(F203&lt;0,"Note: Number is normally positive.",)</f>
        <v>0</v>
      </c>
      <c r="I203" s="76"/>
      <c r="J203" s="391"/>
      <c r="N203" s="390"/>
      <c r="O203" s="391"/>
    </row>
    <row r="204" spans="1:17" s="390" customFormat="1" ht="81.75" customHeight="1" x14ac:dyDescent="0.25">
      <c r="A204" s="219">
        <v>615</v>
      </c>
      <c r="B204" s="177" t="s">
        <v>78</v>
      </c>
      <c r="C204" s="177" t="s">
        <v>519</v>
      </c>
      <c r="D204" s="463" t="s">
        <v>514</v>
      </c>
      <c r="E204" s="36" t="e">
        <f>HLOOKUP($D$2,'2018 Data'!$C$1:$CR$284,275,FALSE)</f>
        <v>#N/A</v>
      </c>
      <c r="F204" s="496"/>
      <c r="G204" s="452" t="str">
        <f>IF(ISBLANK(F204),"Please do not leave blank ",IF(F204=H204,"","Please review percentage"))</f>
        <v xml:space="preserve">Please do not leave blank </v>
      </c>
      <c r="H204" s="453">
        <f>ROUND(IFERROR((F203/F202)*100,0),1)</f>
        <v>0</v>
      </c>
      <c r="I204" s="438"/>
      <c r="J204" s="391"/>
      <c r="O204" s="391"/>
    </row>
    <row r="205" spans="1:17" s="390" customFormat="1" ht="53.25" customHeight="1" x14ac:dyDescent="0.25">
      <c r="A205" s="219">
        <v>616</v>
      </c>
      <c r="B205" s="177" t="s">
        <v>78</v>
      </c>
      <c r="C205" s="177" t="s">
        <v>511</v>
      </c>
      <c r="D205" s="462" t="s">
        <v>506</v>
      </c>
      <c r="E205" s="36" t="e">
        <f>HLOOKUP($D$2,'2018 Data'!$C$1:$CR$284,276,FALSE)</f>
        <v>#N/A</v>
      </c>
      <c r="F205" s="490"/>
      <c r="G205" s="452" t="str">
        <f>IF(ISBLANK(F205),"Please do not leave blank","")</f>
        <v>Please do not leave blank</v>
      </c>
      <c r="H205" s="456">
        <f>IF(F205&lt;0,"Error: Enter as positive.",)</f>
        <v>0</v>
      </c>
      <c r="I205" s="76"/>
      <c r="J205" s="391"/>
      <c r="O205" s="391"/>
    </row>
    <row r="206" spans="1:17" s="390" customFormat="1" ht="53.25" customHeight="1" x14ac:dyDescent="0.25">
      <c r="A206" s="219">
        <v>617</v>
      </c>
      <c r="B206" s="177" t="s">
        <v>78</v>
      </c>
      <c r="C206" s="177" t="s">
        <v>511</v>
      </c>
      <c r="D206" s="462" t="s">
        <v>507</v>
      </c>
      <c r="E206" s="36" t="e">
        <f>HLOOKUP($D$2,'2018 Data'!$C$1:$CR$284,277,FALSE)</f>
        <v>#N/A</v>
      </c>
      <c r="F206" s="490"/>
      <c r="G206" s="452" t="str">
        <f>IF(ISBLANK(F206),"Please do not leave blank","")</f>
        <v>Please do not leave blank</v>
      </c>
      <c r="H206" s="456">
        <f>IF(F206&lt;0,"Note: Number is normally positive.",)</f>
        <v>0</v>
      </c>
      <c r="I206" s="76"/>
      <c r="J206" s="268"/>
      <c r="O206" s="391"/>
    </row>
    <row r="207" spans="1:17" s="390" customFormat="1" ht="95.25" customHeight="1" x14ac:dyDescent="0.25">
      <c r="A207" s="219">
        <v>618</v>
      </c>
      <c r="B207" s="177" t="s">
        <v>78</v>
      </c>
      <c r="C207" s="177" t="s">
        <v>519</v>
      </c>
      <c r="D207" s="462" t="s">
        <v>515</v>
      </c>
      <c r="E207" s="36" t="e">
        <f>HLOOKUP($D$2,'2018 Data'!$C$1:$CR$284,278,FALSE)</f>
        <v>#N/A</v>
      </c>
      <c r="F207" s="496"/>
      <c r="G207" s="452" t="str">
        <f>IF(ISBLANK(F207),"Please do not leave blank ",IF(F207=H207,"","Please review percentage"))</f>
        <v xml:space="preserve">Please do not leave blank </v>
      </c>
      <c r="H207" s="453">
        <f>ROUND(IFERROR((F206/F205)*100,0),1)</f>
        <v>0</v>
      </c>
      <c r="I207" s="438"/>
      <c r="J207" s="4"/>
      <c r="O207" s="391"/>
    </row>
    <row r="208" spans="1:17" s="390" customFormat="1" ht="77.25" customHeight="1" x14ac:dyDescent="0.25">
      <c r="A208" s="220"/>
      <c r="B208" s="177"/>
      <c r="C208" s="177"/>
      <c r="D208" s="178" t="s">
        <v>31</v>
      </c>
      <c r="E208" s="58"/>
      <c r="F208" s="495"/>
      <c r="G208" s="452"/>
      <c r="H208" s="453"/>
      <c r="I208" s="438"/>
      <c r="J208" s="4"/>
      <c r="O208" s="391"/>
    </row>
    <row r="209" spans="1:15" x14ac:dyDescent="0.25">
      <c r="A209" s="220"/>
      <c r="B209" s="191" t="s">
        <v>32</v>
      </c>
      <c r="C209" s="190"/>
      <c r="D209" s="183"/>
      <c r="E209" s="174"/>
      <c r="F209" s="499"/>
      <c r="G209" s="179"/>
      <c r="H209" s="16"/>
      <c r="I209" s="35"/>
      <c r="J209" s="4"/>
      <c r="N209" s="390"/>
      <c r="O209" s="391"/>
    </row>
    <row r="210" spans="1:15" ht="51.75" customHeight="1" x14ac:dyDescent="0.25">
      <c r="A210" s="221">
        <v>371</v>
      </c>
      <c r="B210" s="73" t="s">
        <v>75</v>
      </c>
      <c r="C210" s="189" t="s">
        <v>235</v>
      </c>
      <c r="D210" s="195" t="s">
        <v>233</v>
      </c>
      <c r="E210" s="36" t="e">
        <f>HLOOKUP($D$2,'2018 Data'!$C$1:$CR$284,132,FALSE)</f>
        <v>#N/A</v>
      </c>
      <c r="F210" s="490"/>
      <c r="G210" s="8">
        <f>IF(F210&lt;0,"Error: Enter as positive.",)</f>
        <v>0</v>
      </c>
      <c r="H210" s="16"/>
      <c r="I210" s="35"/>
      <c r="J210" s="4"/>
      <c r="N210" s="390"/>
      <c r="O210" s="391"/>
    </row>
    <row r="211" spans="1:15" s="4" customFormat="1" ht="54.75" customHeight="1" x14ac:dyDescent="0.25">
      <c r="A211" s="219">
        <v>513</v>
      </c>
      <c r="B211" s="74" t="s">
        <v>77</v>
      </c>
      <c r="C211" s="189" t="s">
        <v>235</v>
      </c>
      <c r="D211" s="195" t="s">
        <v>234</v>
      </c>
      <c r="E211" s="36" t="e">
        <f>HLOOKUP($D$2,'2018 Data'!$C$1:$CR$284,163,FALSE)</f>
        <v>#N/A</v>
      </c>
      <c r="F211" s="490"/>
      <c r="G211" s="8">
        <f>IF(F211&lt;0,"Error: Enter as positive.",)</f>
        <v>0</v>
      </c>
      <c r="H211" s="20"/>
      <c r="I211" s="359"/>
      <c r="J211" s="268"/>
      <c r="N211" s="390"/>
      <c r="O211" s="391"/>
    </row>
    <row r="212" spans="1:15" ht="65.25" customHeight="1" x14ac:dyDescent="0.25">
      <c r="A212" s="219">
        <v>514</v>
      </c>
      <c r="B212" s="74" t="s">
        <v>77</v>
      </c>
      <c r="C212" s="189" t="s">
        <v>235</v>
      </c>
      <c r="D212" s="195" t="s">
        <v>419</v>
      </c>
      <c r="E212" s="36" t="e">
        <f>HLOOKUP($D$2,'2018 Data'!$C$1:$CR$284,164,FALSE)</f>
        <v>#N/A</v>
      </c>
      <c r="F212" s="490"/>
      <c r="G212" s="8">
        <f>IF(F212&lt;0,"Error: Enter as positive.",)</f>
        <v>0</v>
      </c>
      <c r="H212" s="16"/>
      <c r="I212" s="359"/>
      <c r="N212" s="391"/>
      <c r="O212" s="391"/>
    </row>
    <row r="213" spans="1:15" x14ac:dyDescent="0.25">
      <c r="A213" s="219"/>
      <c r="B213" s="191" t="s">
        <v>33</v>
      </c>
      <c r="C213" s="190"/>
      <c r="D213" s="183"/>
      <c r="E213" s="174"/>
      <c r="F213" s="489"/>
      <c r="G213" s="181"/>
      <c r="H213" s="16"/>
      <c r="I213" s="35"/>
      <c r="N213" s="391"/>
      <c r="O213" s="391"/>
    </row>
    <row r="214" spans="1:15" ht="53.25" customHeight="1" x14ac:dyDescent="0.25">
      <c r="A214" s="219">
        <v>6</v>
      </c>
      <c r="B214" s="73" t="s">
        <v>74</v>
      </c>
      <c r="C214" s="189" t="s">
        <v>237</v>
      </c>
      <c r="D214" s="195" t="s">
        <v>236</v>
      </c>
      <c r="E214" s="36" t="e">
        <f>HLOOKUP($D$2,'2018 Data'!$C$1:$CR$284,5,FALSE)</f>
        <v>#N/A</v>
      </c>
      <c r="F214" s="490"/>
      <c r="G214" s="8">
        <f>IF(F214&lt;0,"Error: Enter as positive.",)</f>
        <v>0</v>
      </c>
      <c r="H214" s="16"/>
      <c r="I214" s="35"/>
      <c r="N214" s="391"/>
      <c r="O214" s="391"/>
    </row>
    <row r="215" spans="1:15" s="4" customFormat="1" x14ac:dyDescent="0.25">
      <c r="A215" s="219"/>
      <c r="B215" s="191" t="s">
        <v>256</v>
      </c>
      <c r="C215" s="190"/>
      <c r="D215" s="183"/>
      <c r="E215" s="180"/>
      <c r="F215" s="477"/>
      <c r="G215" s="182"/>
      <c r="H215" s="20"/>
      <c r="I215" s="359"/>
      <c r="J215" s="268"/>
      <c r="N215" s="391"/>
      <c r="O215" s="391"/>
    </row>
    <row r="216" spans="1:15" s="4" customFormat="1" ht="135" x14ac:dyDescent="0.25">
      <c r="A216" s="219">
        <v>541</v>
      </c>
      <c r="B216" s="177" t="s">
        <v>78</v>
      </c>
      <c r="C216" s="212" t="s">
        <v>241</v>
      </c>
      <c r="D216" s="295" t="s">
        <v>538</v>
      </c>
      <c r="E216" s="36" t="e">
        <f>HLOOKUP($D$2,'2018 Data'!$C$1:$CR$284,191,FALSE)</f>
        <v>#N/A</v>
      </c>
      <c r="F216" s="490"/>
      <c r="G216" s="79"/>
      <c r="H216" s="20"/>
      <c r="I216" s="359"/>
      <c r="J216" s="268"/>
      <c r="N216" s="391"/>
      <c r="O216" s="391"/>
    </row>
    <row r="217" spans="1:15" s="4" customFormat="1" x14ac:dyDescent="0.25">
      <c r="A217" s="219"/>
      <c r="B217" s="190" t="s">
        <v>69</v>
      </c>
      <c r="C217" s="190"/>
      <c r="D217" s="442"/>
      <c r="E217" s="180"/>
      <c r="F217" s="489"/>
      <c r="G217" s="443"/>
      <c r="H217" s="20"/>
      <c r="I217" s="359"/>
      <c r="J217" s="268"/>
      <c r="N217" s="391"/>
      <c r="O217" s="391"/>
    </row>
    <row r="218" spans="1:15" s="4" customFormat="1" ht="54" customHeight="1" x14ac:dyDescent="0.25">
      <c r="A218" s="219">
        <v>542</v>
      </c>
      <c r="B218" s="177" t="s">
        <v>78</v>
      </c>
      <c r="C218" s="212" t="s">
        <v>241</v>
      </c>
      <c r="D218" s="205" t="s">
        <v>238</v>
      </c>
      <c r="E218" s="36" t="e">
        <f>HLOOKUP($D$2,'2018 Data'!$C$1:$CR$284,192,FALSE)</f>
        <v>#N/A</v>
      </c>
      <c r="F218" s="490"/>
      <c r="G218" s="79"/>
      <c r="H218" s="20"/>
      <c r="I218" s="359"/>
      <c r="J218" s="268"/>
      <c r="N218" s="391"/>
      <c r="O218" s="391"/>
    </row>
    <row r="219" spans="1:15" ht="18.75" x14ac:dyDescent="0.3">
      <c r="A219" s="220"/>
      <c r="B219" s="191" t="s">
        <v>242</v>
      </c>
      <c r="C219" s="191"/>
      <c r="D219" s="184"/>
      <c r="E219" s="192"/>
      <c r="F219" s="497"/>
      <c r="G219" s="185"/>
      <c r="H219" s="16"/>
      <c r="I219" s="35"/>
      <c r="N219" s="390"/>
      <c r="O219" s="391"/>
    </row>
    <row r="220" spans="1:15" ht="18.75" x14ac:dyDescent="0.3">
      <c r="A220" s="220"/>
      <c r="B220" s="186" t="s">
        <v>16</v>
      </c>
      <c r="C220" s="186"/>
      <c r="D220" s="184"/>
      <c r="E220" s="192"/>
      <c r="F220" s="497"/>
      <c r="G220" s="185"/>
      <c r="H220" s="16"/>
      <c r="I220" s="35"/>
      <c r="N220" s="390"/>
      <c r="O220" s="391"/>
    </row>
    <row r="221" spans="1:15" ht="53.25" customHeight="1" x14ac:dyDescent="0.25">
      <c r="A221" s="222">
        <v>528</v>
      </c>
      <c r="B221" s="177" t="s">
        <v>74</v>
      </c>
      <c r="C221" s="189" t="s">
        <v>243</v>
      </c>
      <c r="D221" s="187" t="s">
        <v>257</v>
      </c>
      <c r="E221" s="36" t="e">
        <f>HLOOKUP($D$2,'2018 Data'!$C$1:$CR$284,178,FALSE)</f>
        <v>#N/A</v>
      </c>
      <c r="F221" s="494"/>
      <c r="G221" s="79" t="str">
        <f t="shared" ref="G221:G229" si="3">IF(F221="","Error: Unit must enter this information if they levy taxes.",)</f>
        <v>Error: Unit must enter this information if they levy taxes.</v>
      </c>
      <c r="H221" s="127"/>
      <c r="I221" s="35"/>
      <c r="N221" s="458"/>
      <c r="O221" s="391"/>
    </row>
    <row r="222" spans="1:15" ht="75.75" customHeight="1" x14ac:dyDescent="0.25">
      <c r="A222" s="222">
        <v>529</v>
      </c>
      <c r="B222" s="177" t="s">
        <v>74</v>
      </c>
      <c r="C222" s="189" t="s">
        <v>243</v>
      </c>
      <c r="D222" s="187" t="s">
        <v>258</v>
      </c>
      <c r="E222" s="36" t="e">
        <f>HLOOKUP($D$2,'2018 Data'!$C$1:$CR$284,179,FALSE)</f>
        <v>#N/A</v>
      </c>
      <c r="F222" s="494"/>
      <c r="G222" s="79" t="str">
        <f t="shared" si="3"/>
        <v>Error: Unit must enter this information if they levy taxes.</v>
      </c>
      <c r="H222" s="16"/>
      <c r="I222" s="35"/>
      <c r="N222" s="459"/>
      <c r="O222" s="391"/>
    </row>
    <row r="223" spans="1:15" ht="57.75" customHeight="1" x14ac:dyDescent="0.25">
      <c r="A223" s="222">
        <v>530</v>
      </c>
      <c r="B223" s="177" t="s">
        <v>74</v>
      </c>
      <c r="C223" s="189" t="s">
        <v>243</v>
      </c>
      <c r="D223" s="188" t="s">
        <v>259</v>
      </c>
      <c r="E223" s="36" t="e">
        <f>HLOOKUP($D$2,'2018 Data'!$C$1:$CR$284,180,FALSE)</f>
        <v>#N/A</v>
      </c>
      <c r="F223" s="494"/>
      <c r="G223" s="79" t="str">
        <f t="shared" si="3"/>
        <v>Error: Unit must enter this information if they levy taxes.</v>
      </c>
      <c r="H223" s="16"/>
      <c r="I223" s="35"/>
      <c r="N223" s="459"/>
      <c r="O223" s="391"/>
    </row>
    <row r="224" spans="1:15" ht="47.25" customHeight="1" x14ac:dyDescent="0.25">
      <c r="A224" s="222">
        <v>531</v>
      </c>
      <c r="B224" s="177" t="s">
        <v>74</v>
      </c>
      <c r="C224" s="189" t="s">
        <v>243</v>
      </c>
      <c r="D224" s="188" t="s">
        <v>260</v>
      </c>
      <c r="E224" s="36" t="e">
        <f>HLOOKUP($D$2,'2018 Data'!$C$1:$CR$284,181,FALSE)</f>
        <v>#N/A</v>
      </c>
      <c r="F224" s="494"/>
      <c r="G224" s="79" t="str">
        <f t="shared" si="3"/>
        <v>Error: Unit must enter this information if they levy taxes.</v>
      </c>
      <c r="H224" s="16"/>
      <c r="I224" s="35"/>
      <c r="N224" s="391"/>
      <c r="O224" s="391"/>
    </row>
    <row r="225" spans="1:15" ht="73.5" customHeight="1" x14ac:dyDescent="0.25">
      <c r="A225" s="219">
        <v>61</v>
      </c>
      <c r="B225" s="73" t="s">
        <v>78</v>
      </c>
      <c r="C225" s="189" t="s">
        <v>243</v>
      </c>
      <c r="D225" s="205" t="s">
        <v>424</v>
      </c>
      <c r="E225" s="225" t="e">
        <f>HLOOKUP($D$2,'2018 Data'!$C$1:$CR$284,43,FALSE)</f>
        <v>#N/A</v>
      </c>
      <c r="F225" s="493"/>
      <c r="G225" s="79" t="str">
        <f t="shared" si="3"/>
        <v>Error: Unit must enter this information if they levy taxes.</v>
      </c>
      <c r="H225" s="16"/>
      <c r="I225" s="35"/>
      <c r="J225" s="177"/>
      <c r="N225" s="391"/>
      <c r="O225" s="391"/>
    </row>
    <row r="226" spans="1:15" ht="89.25" customHeight="1" x14ac:dyDescent="0.25">
      <c r="A226" s="219">
        <v>102</v>
      </c>
      <c r="B226" s="73" t="s">
        <v>78</v>
      </c>
      <c r="C226" s="189" t="s">
        <v>243</v>
      </c>
      <c r="D226" s="298" t="s">
        <v>425</v>
      </c>
      <c r="E226" s="225" t="e">
        <f>HLOOKUP($D$2,'2018 Data'!$C$1:$CR$284,62,FALSE)</f>
        <v>#N/A</v>
      </c>
      <c r="F226" s="493"/>
      <c r="G226" s="79" t="str">
        <f t="shared" si="3"/>
        <v>Error: Unit must enter this information if they levy taxes.</v>
      </c>
      <c r="H226" s="16"/>
      <c r="I226" s="35"/>
      <c r="J226" s="177"/>
      <c r="N226" s="390"/>
      <c r="O226" s="391"/>
    </row>
    <row r="227" spans="1:15" ht="80.25" customHeight="1" x14ac:dyDescent="0.25">
      <c r="A227" s="219">
        <v>103</v>
      </c>
      <c r="B227" s="73" t="s">
        <v>78</v>
      </c>
      <c r="C227" s="189" t="s">
        <v>243</v>
      </c>
      <c r="D227" s="205" t="s">
        <v>426</v>
      </c>
      <c r="E227" s="225" t="e">
        <f>HLOOKUP($D$2,'2018 Data'!$C$1:$CR$284,63,FALSE)</f>
        <v>#N/A</v>
      </c>
      <c r="F227" s="493"/>
      <c r="G227" s="79" t="str">
        <f t="shared" si="3"/>
        <v>Error: Unit must enter this information if they levy taxes.</v>
      </c>
      <c r="H227" s="16"/>
      <c r="I227" s="35"/>
      <c r="J227" s="177"/>
      <c r="N227" s="390"/>
      <c r="O227" s="391"/>
    </row>
    <row r="228" spans="1:15" ht="69.75" customHeight="1" x14ac:dyDescent="0.25">
      <c r="A228" s="219">
        <v>544</v>
      </c>
      <c r="B228" s="177" t="s">
        <v>78</v>
      </c>
      <c r="C228" s="212" t="s">
        <v>243</v>
      </c>
      <c r="D228" s="195" t="s">
        <v>261</v>
      </c>
      <c r="E228" s="226" t="e">
        <f>HLOOKUP($D$2,'2018 Data'!$C$1:$CR$284,194,FALSE)</f>
        <v>#N/A</v>
      </c>
      <c r="F228" s="476"/>
      <c r="G228" s="79" t="str">
        <f t="shared" si="3"/>
        <v>Error: Unit must enter this information if they levy taxes.</v>
      </c>
      <c r="H228" s="16"/>
      <c r="I228" s="219"/>
      <c r="J228" s="177"/>
      <c r="K228" s="212"/>
      <c r="L228" s="195"/>
      <c r="N228" s="437"/>
      <c r="O228" s="391"/>
    </row>
    <row r="229" spans="1:15" ht="68.25" customHeight="1" x14ac:dyDescent="0.25">
      <c r="A229" s="219">
        <v>545</v>
      </c>
      <c r="B229" s="177" t="s">
        <v>78</v>
      </c>
      <c r="C229" s="212" t="s">
        <v>243</v>
      </c>
      <c r="D229" s="195" t="s">
        <v>262</v>
      </c>
      <c r="E229" s="226" t="e">
        <f>HLOOKUP($D$2,'2018 Data'!$C$1:$CR$284,195,FALSE)</f>
        <v>#N/A</v>
      </c>
      <c r="F229" s="476"/>
      <c r="G229" s="79" t="str">
        <f t="shared" si="3"/>
        <v>Error: Unit must enter this information if they levy taxes.</v>
      </c>
      <c r="H229" s="16"/>
      <c r="I229" s="219"/>
      <c r="J229" s="177"/>
      <c r="K229" s="212"/>
      <c r="L229" s="195"/>
      <c r="N229" s="390"/>
      <c r="O229" s="391"/>
    </row>
    <row r="230" spans="1:15" s="533" customFormat="1" ht="68.25" customHeight="1" x14ac:dyDescent="0.25">
      <c r="A230" s="537">
        <v>624</v>
      </c>
      <c r="B230" s="537" t="s">
        <v>549</v>
      </c>
      <c r="C230" s="538"/>
      <c r="D230" s="538" t="s">
        <v>543</v>
      </c>
      <c r="E230" s="539"/>
      <c r="F230" s="540"/>
      <c r="G230" s="690" t="str">
        <f>IF(F230&lt;1,"Please answer this question","")</f>
        <v>Please answer this question</v>
      </c>
      <c r="H230" s="76"/>
      <c r="I230" s="219"/>
      <c r="J230" s="177"/>
      <c r="K230" s="212"/>
      <c r="L230" s="413"/>
      <c r="O230" s="391"/>
    </row>
    <row r="231" spans="1:15" s="390" customFormat="1" ht="19.5" customHeight="1" x14ac:dyDescent="0.25">
      <c r="A231" s="219"/>
      <c r="B231" s="191" t="s">
        <v>524</v>
      </c>
      <c r="C231" s="191"/>
      <c r="D231" s="191"/>
      <c r="E231" s="191"/>
      <c r="F231" s="492"/>
      <c r="G231" s="191"/>
      <c r="H231" s="76"/>
      <c r="I231" s="219"/>
      <c r="J231" s="177"/>
      <c r="K231" s="212"/>
      <c r="L231" s="413"/>
      <c r="N231" s="1"/>
      <c r="O231" s="391"/>
    </row>
    <row r="232" spans="1:15" s="390" customFormat="1" ht="68.25" customHeight="1" x14ac:dyDescent="0.25">
      <c r="A232" s="219">
        <v>620</v>
      </c>
      <c r="B232" s="177" t="s">
        <v>78</v>
      </c>
      <c r="C232" s="212"/>
      <c r="D232" s="413" t="s">
        <v>523</v>
      </c>
      <c r="E232" s="36" t="e">
        <f>HLOOKUP($D$2,'2018 Data'!$C$1:$CR$284,280,FALSE)</f>
        <v>#N/A</v>
      </c>
      <c r="F232" s="491"/>
      <c r="G232" s="227" t="str">
        <f>IF(F232&lt;1,"Please answer this question","")</f>
        <v>Please answer this question</v>
      </c>
      <c r="H232" s="76"/>
      <c r="I232" s="219"/>
      <c r="J232" s="177"/>
      <c r="K232" s="212"/>
      <c r="L232" s="413"/>
      <c r="N232" s="1"/>
      <c r="O232" s="391"/>
    </row>
    <row r="233" spans="1:15" ht="59.25" x14ac:dyDescent="0.25">
      <c r="A233" s="220"/>
      <c r="B233" s="50" t="s">
        <v>59</v>
      </c>
      <c r="C233" s="50"/>
      <c r="D233" s="60" t="s">
        <v>65</v>
      </c>
      <c r="E233" s="59"/>
      <c r="F233" s="59"/>
      <c r="G233" s="59"/>
      <c r="H233" s="63"/>
      <c r="I233" s="219"/>
      <c r="J233" s="73"/>
      <c r="K233" s="212"/>
      <c r="L233" s="204"/>
      <c r="O233" s="391"/>
    </row>
    <row r="234" spans="1:15" x14ac:dyDescent="0.25">
      <c r="A234" s="28"/>
      <c r="B234" s="49"/>
      <c r="C234" s="49"/>
      <c r="D234" s="2"/>
      <c r="E234" s="4"/>
      <c r="F234" s="4"/>
      <c r="G234" s="7"/>
      <c r="H234" s="16"/>
      <c r="I234" s="219"/>
      <c r="J234" s="73"/>
      <c r="K234" s="212"/>
      <c r="L234" s="372"/>
      <c r="O234" s="391"/>
    </row>
    <row r="235" spans="1:15" x14ac:dyDescent="0.25">
      <c r="A235" s="28"/>
      <c r="B235" s="22"/>
      <c r="C235" s="80"/>
      <c r="D235" s="2"/>
      <c r="E235" s="4"/>
      <c r="F235" s="4"/>
      <c r="G235" s="7"/>
      <c r="H235" s="16"/>
      <c r="I235" s="219"/>
      <c r="J235"/>
      <c r="K235" s="212"/>
      <c r="L235" s="372"/>
      <c r="O235" s="391"/>
    </row>
    <row r="236" spans="1:15" x14ac:dyDescent="0.25">
      <c r="A236" s="28"/>
      <c r="B236" s="22"/>
      <c r="C236" s="80"/>
      <c r="D236"/>
      <c r="E236"/>
      <c r="F236"/>
      <c r="G236" s="7"/>
      <c r="H236" s="16"/>
      <c r="I236" s="219"/>
      <c r="J236"/>
      <c r="K236" s="212"/>
      <c r="L236" s="383"/>
      <c r="O236" s="391"/>
    </row>
    <row r="237" spans="1:15" x14ac:dyDescent="0.25">
      <c r="A237" s="28"/>
      <c r="B237" s="22"/>
      <c r="C237" s="80"/>
      <c r="D237"/>
      <c r="E237"/>
      <c r="F237"/>
      <c r="G237" s="7"/>
      <c r="H237" s="16"/>
      <c r="I237" s="219"/>
      <c r="J237"/>
      <c r="K237" s="212"/>
      <c r="L237" s="204"/>
      <c r="O237" s="391"/>
    </row>
    <row r="238" spans="1:15" x14ac:dyDescent="0.25">
      <c r="A238" s="28"/>
      <c r="B238" s="22"/>
      <c r="C238" s="80"/>
      <c r="D238"/>
      <c r="E238"/>
      <c r="F238"/>
      <c r="G238" s="7"/>
      <c r="H238" s="16"/>
      <c r="I238" s="219"/>
      <c r="J238"/>
      <c r="K238"/>
      <c r="L238"/>
      <c r="N238"/>
      <c r="O238" s="391"/>
    </row>
    <row r="239" spans="1:15" x14ac:dyDescent="0.25">
      <c r="A239" s="28"/>
      <c r="B239" s="22"/>
      <c r="C239" s="80"/>
      <c r="D239"/>
      <c r="E239"/>
      <c r="F239"/>
      <c r="G239" s="7"/>
      <c r="H239" s="16"/>
      <c r="I239" s="219"/>
      <c r="J239"/>
      <c r="K239"/>
      <c r="L239"/>
      <c r="N239" s="390"/>
      <c r="O239" s="391"/>
    </row>
    <row r="240" spans="1:15" x14ac:dyDescent="0.25">
      <c r="D240"/>
      <c r="E240"/>
      <c r="F240"/>
      <c r="H240" s="16"/>
      <c r="I240" s="219"/>
      <c r="J240"/>
      <c r="K240"/>
      <c r="L240"/>
      <c r="O240" s="391"/>
    </row>
    <row r="241" spans="4:15" x14ac:dyDescent="0.25">
      <c r="D241"/>
      <c r="E241"/>
      <c r="F241"/>
      <c r="H241" s="16"/>
      <c r="I241" s="219"/>
      <c r="J241"/>
      <c r="K241"/>
      <c r="L241"/>
      <c r="O241" s="391"/>
    </row>
    <row r="242" spans="4:15" x14ac:dyDescent="0.25">
      <c r="D242"/>
      <c r="E242"/>
      <c r="F242"/>
      <c r="H242" s="16"/>
      <c r="I242" s="219"/>
      <c r="J242"/>
      <c r="K242"/>
      <c r="L242"/>
      <c r="O242" s="391"/>
    </row>
    <row r="243" spans="4:15" x14ac:dyDescent="0.25">
      <c r="D243"/>
      <c r="E243"/>
      <c r="F243"/>
      <c r="H243" s="16"/>
      <c r="I243" s="219"/>
      <c r="J243"/>
      <c r="K243"/>
      <c r="L243"/>
      <c r="O243" s="391"/>
    </row>
    <row r="244" spans="4:15" x14ac:dyDescent="0.25">
      <c r="D244"/>
      <c r="E244"/>
      <c r="F244"/>
      <c r="I244" s="219"/>
      <c r="J244"/>
      <c r="K244"/>
      <c r="L244"/>
      <c r="O244" s="391"/>
    </row>
    <row r="245" spans="4:15" x14ac:dyDescent="0.25">
      <c r="D245"/>
      <c r="E245"/>
      <c r="F245"/>
      <c r="G245" s="508"/>
      <c r="I245" s="219"/>
      <c r="J245"/>
      <c r="K245"/>
      <c r="L245"/>
      <c r="O245" s="391"/>
    </row>
    <row r="246" spans="4:15" x14ac:dyDescent="0.25">
      <c r="D246"/>
      <c r="E246"/>
      <c r="F246"/>
      <c r="I246" s="219"/>
      <c r="J246"/>
      <c r="K246"/>
      <c r="L246"/>
      <c r="O246" s="391"/>
    </row>
    <row r="247" spans="4:15" x14ac:dyDescent="0.25">
      <c r="I247" s="219"/>
      <c r="J247"/>
      <c r="K247"/>
      <c r="L247"/>
      <c r="O247" s="391"/>
    </row>
    <row r="248" spans="4:15" x14ac:dyDescent="0.25">
      <c r="I248" s="219"/>
      <c r="J248"/>
      <c r="K248"/>
      <c r="L248"/>
      <c r="O248" s="391"/>
    </row>
    <row r="249" spans="4:15" x14ac:dyDescent="0.25">
      <c r="I249" s="219"/>
      <c r="J249"/>
      <c r="K249"/>
      <c r="L249"/>
      <c r="O249" s="391"/>
    </row>
    <row r="250" spans="4:15" x14ac:dyDescent="0.25">
      <c r="I250" s="219"/>
      <c r="J250"/>
      <c r="K250"/>
      <c r="L250"/>
      <c r="O250" s="391"/>
    </row>
    <row r="251" spans="4:15" x14ac:dyDescent="0.25">
      <c r="I251" s="219"/>
      <c r="J251"/>
      <c r="K251"/>
      <c r="L251"/>
      <c r="O251" s="391"/>
    </row>
    <row r="252" spans="4:15" x14ac:dyDescent="0.25">
      <c r="I252" s="219"/>
      <c r="J252"/>
      <c r="K252"/>
      <c r="L252"/>
      <c r="O252" s="391"/>
    </row>
    <row r="253" spans="4:15" x14ac:dyDescent="0.25">
      <c r="I253" s="219"/>
      <c r="J253"/>
      <c r="K253"/>
      <c r="L253"/>
      <c r="O253" s="391"/>
    </row>
    <row r="254" spans="4:15" x14ac:dyDescent="0.25">
      <c r="I254" s="219"/>
      <c r="J254"/>
      <c r="K254"/>
      <c r="L254"/>
      <c r="O254" s="391"/>
    </row>
    <row r="255" spans="4:15" x14ac:dyDescent="0.25">
      <c r="I255" s="219"/>
      <c r="J255"/>
      <c r="K255"/>
      <c r="L255"/>
      <c r="O255" s="391"/>
    </row>
    <row r="256" spans="4:15" x14ac:dyDescent="0.25">
      <c r="I256"/>
      <c r="J256"/>
      <c r="K256"/>
      <c r="L256"/>
      <c r="O256" s="391"/>
    </row>
    <row r="257" spans="9:16" x14ac:dyDescent="0.25">
      <c r="I257"/>
      <c r="J257"/>
      <c r="K257"/>
      <c r="L257"/>
      <c r="O257" s="391"/>
    </row>
    <row r="258" spans="9:16" x14ac:dyDescent="0.25">
      <c r="I258"/>
      <c r="J258"/>
      <c r="K258"/>
      <c r="L258"/>
      <c r="O258" s="391"/>
    </row>
    <row r="259" spans="9:16" x14ac:dyDescent="0.25">
      <c r="I259"/>
      <c r="J259"/>
      <c r="K259"/>
      <c r="L259"/>
      <c r="O259" s="391"/>
    </row>
    <row r="260" spans="9:16" x14ac:dyDescent="0.25">
      <c r="I260"/>
      <c r="J260"/>
      <c r="K260"/>
      <c r="L260"/>
      <c r="O260" s="391"/>
    </row>
    <row r="261" spans="9:16" x14ac:dyDescent="0.25">
      <c r="I261"/>
      <c r="J261" s="74"/>
      <c r="K261"/>
      <c r="L261"/>
      <c r="O261" s="391"/>
    </row>
    <row r="262" spans="9:16" x14ac:dyDescent="0.25">
      <c r="I262"/>
      <c r="J262" s="74"/>
      <c r="K262"/>
      <c r="L262"/>
      <c r="O262" s="391"/>
    </row>
    <row r="263" spans="9:16" x14ac:dyDescent="0.25">
      <c r="I263" s="219"/>
      <c r="J263" s="74"/>
      <c r="K263"/>
      <c r="L263"/>
      <c r="O263" s="391"/>
    </row>
    <row r="264" spans="9:16" x14ac:dyDescent="0.25">
      <c r="I264" s="219"/>
      <c r="J264" s="74"/>
      <c r="K264" s="147"/>
      <c r="L264" s="374"/>
      <c r="O264" s="391"/>
    </row>
    <row r="265" spans="9:16" x14ac:dyDescent="0.25">
      <c r="I265" s="219"/>
      <c r="J265" s="74"/>
      <c r="K265" s="147"/>
      <c r="L265" s="204"/>
      <c r="O265" s="391"/>
    </row>
    <row r="266" spans="9:16" x14ac:dyDescent="0.25">
      <c r="I266" s="219"/>
      <c r="J266" s="74"/>
      <c r="K266" s="147"/>
      <c r="L266" s="195"/>
      <c r="O266" s="391"/>
    </row>
    <row r="267" spans="9:16" x14ac:dyDescent="0.25">
      <c r="I267" s="219"/>
      <c r="J267" s="74"/>
      <c r="K267" s="147"/>
      <c r="L267" s="161"/>
      <c r="O267" s="391"/>
    </row>
    <row r="268" spans="9:16" x14ac:dyDescent="0.25">
      <c r="I268" s="219"/>
      <c r="J268" s="74"/>
      <c r="K268" s="147"/>
      <c r="L268" s="134"/>
      <c r="O268" s="391"/>
    </row>
    <row r="269" spans="9:16" x14ac:dyDescent="0.25">
      <c r="I269" s="219"/>
      <c r="J269"/>
      <c r="K269" s="147"/>
      <c r="L269" s="134"/>
      <c r="O269" s="391"/>
    </row>
    <row r="270" spans="9:16" x14ac:dyDescent="0.25">
      <c r="I270" s="219"/>
      <c r="J270"/>
      <c r="K270" s="147"/>
      <c r="L270" s="205"/>
      <c r="O270" s="391"/>
    </row>
    <row r="271" spans="9:16" x14ac:dyDescent="0.25">
      <c r="I271" s="219"/>
      <c r="J271"/>
      <c r="K271" s="147"/>
      <c r="L271" s="205"/>
      <c r="O271" s="391"/>
    </row>
    <row r="272" spans="9:16" x14ac:dyDescent="0.25">
      <c r="I272"/>
      <c r="J272"/>
      <c r="K272"/>
      <c r="L272"/>
      <c r="M272"/>
      <c r="N272"/>
      <c r="O272"/>
      <c r="P272"/>
    </row>
    <row r="273" spans="9:16" x14ac:dyDescent="0.25">
      <c r="I273"/>
      <c r="J273"/>
      <c r="K273"/>
      <c r="L273"/>
      <c r="M273"/>
      <c r="N273"/>
      <c r="O273"/>
      <c r="P273"/>
    </row>
    <row r="274" spans="9:16" x14ac:dyDescent="0.25">
      <c r="I274"/>
      <c r="J274"/>
      <c r="K274"/>
      <c r="L274"/>
      <c r="M274"/>
      <c r="N274"/>
      <c r="O274"/>
      <c r="P274"/>
    </row>
    <row r="275" spans="9:16" x14ac:dyDescent="0.25">
      <c r="I275"/>
      <c r="J275"/>
      <c r="K275"/>
      <c r="L275"/>
      <c r="M275"/>
      <c r="N275"/>
      <c r="O275"/>
      <c r="P275"/>
    </row>
    <row r="276" spans="9:16" x14ac:dyDescent="0.25">
      <c r="I276"/>
      <c r="J276"/>
      <c r="K276"/>
      <c r="L276"/>
      <c r="M276"/>
      <c r="N276"/>
      <c r="O276"/>
      <c r="P276"/>
    </row>
    <row r="277" spans="9:16" x14ac:dyDescent="0.25">
      <c r="I277"/>
      <c r="J277"/>
      <c r="K277"/>
      <c r="L277"/>
      <c r="M277"/>
      <c r="N277"/>
      <c r="O277"/>
      <c r="P277"/>
    </row>
    <row r="278" spans="9:16" x14ac:dyDescent="0.25">
      <c r="I278"/>
      <c r="J278"/>
      <c r="K278"/>
      <c r="L278"/>
      <c r="M278"/>
      <c r="N278"/>
      <c r="O278"/>
      <c r="P278"/>
    </row>
    <row r="279" spans="9:16" x14ac:dyDescent="0.25">
      <c r="I279"/>
      <c r="J279"/>
      <c r="K279"/>
      <c r="L279"/>
      <c r="M279"/>
      <c r="N279"/>
      <c r="O279"/>
      <c r="P279"/>
    </row>
    <row r="280" spans="9:16" x14ac:dyDescent="0.25">
      <c r="I280"/>
      <c r="J280"/>
      <c r="K280"/>
      <c r="L280"/>
      <c r="M280"/>
      <c r="N280"/>
      <c r="O280"/>
      <c r="P280"/>
    </row>
    <row r="281" spans="9:16" x14ac:dyDescent="0.25">
      <c r="I281"/>
      <c r="J281"/>
      <c r="K281"/>
      <c r="L281"/>
      <c r="M281"/>
      <c r="N281"/>
      <c r="O281"/>
      <c r="P281"/>
    </row>
    <row r="282" spans="9:16" x14ac:dyDescent="0.25">
      <c r="I282"/>
      <c r="J282"/>
      <c r="K282"/>
      <c r="L282"/>
      <c r="M282"/>
      <c r="N282"/>
      <c r="O282"/>
      <c r="P282"/>
    </row>
    <row r="283" spans="9:16" x14ac:dyDescent="0.25">
      <c r="I283"/>
      <c r="J283"/>
      <c r="K283"/>
      <c r="L283"/>
      <c r="M283"/>
      <c r="N283"/>
      <c r="O283"/>
      <c r="P283"/>
    </row>
    <row r="284" spans="9:16" x14ac:dyDescent="0.25">
      <c r="I284"/>
      <c r="J284"/>
      <c r="K284"/>
      <c r="L284"/>
      <c r="M284"/>
      <c r="N284"/>
      <c r="O284"/>
      <c r="P284"/>
    </row>
    <row r="285" spans="9:16" x14ac:dyDescent="0.25">
      <c r="I285"/>
      <c r="J285"/>
      <c r="K285"/>
      <c r="L285"/>
      <c r="M285"/>
      <c r="N285"/>
      <c r="O285"/>
      <c r="P285"/>
    </row>
    <row r="286" spans="9:16" x14ac:dyDescent="0.25">
      <c r="I286"/>
      <c r="J286"/>
      <c r="K286"/>
      <c r="L286"/>
      <c r="M286"/>
      <c r="N286"/>
      <c r="O286"/>
      <c r="P286"/>
    </row>
    <row r="287" spans="9:16" x14ac:dyDescent="0.25">
      <c r="I287"/>
      <c r="J287"/>
      <c r="K287"/>
      <c r="L287"/>
      <c r="M287"/>
      <c r="N287"/>
      <c r="O287"/>
      <c r="P287"/>
    </row>
    <row r="288" spans="9:16" x14ac:dyDescent="0.25">
      <c r="I288"/>
      <c r="J288"/>
      <c r="K288"/>
      <c r="L288"/>
      <c r="M288"/>
      <c r="N288"/>
      <c r="O288"/>
      <c r="P288"/>
    </row>
    <row r="289" spans="9:16" x14ac:dyDescent="0.25">
      <c r="I289"/>
      <c r="J289"/>
      <c r="K289"/>
      <c r="L289"/>
      <c r="M289"/>
      <c r="N289"/>
      <c r="O289"/>
      <c r="P289"/>
    </row>
    <row r="290" spans="9:16" x14ac:dyDescent="0.25">
      <c r="I290"/>
      <c r="J290"/>
      <c r="K290"/>
      <c r="L290"/>
      <c r="M290"/>
      <c r="N290"/>
      <c r="O290"/>
      <c r="P290"/>
    </row>
    <row r="291" spans="9:16" x14ac:dyDescent="0.25">
      <c r="I291"/>
      <c r="J291"/>
      <c r="K291"/>
      <c r="L291"/>
      <c r="M291"/>
      <c r="N291"/>
      <c r="O291"/>
      <c r="P291"/>
    </row>
    <row r="292" spans="9:16" x14ac:dyDescent="0.25">
      <c r="I292"/>
      <c r="J292"/>
      <c r="K292"/>
      <c r="L292"/>
      <c r="M292"/>
      <c r="N292"/>
      <c r="O292"/>
      <c r="P292"/>
    </row>
    <row r="293" spans="9:16" x14ac:dyDescent="0.25">
      <c r="I293"/>
      <c r="J293"/>
      <c r="K293"/>
      <c r="L293"/>
      <c r="M293"/>
      <c r="N293"/>
      <c r="O293"/>
      <c r="P293"/>
    </row>
    <row r="294" spans="9:16" x14ac:dyDescent="0.25">
      <c r="I294"/>
      <c r="J294"/>
      <c r="K294"/>
      <c r="L294"/>
      <c r="M294"/>
      <c r="N294"/>
      <c r="O294"/>
      <c r="P294"/>
    </row>
    <row r="295" spans="9:16" x14ac:dyDescent="0.25">
      <c r="I295"/>
      <c r="J295"/>
      <c r="K295"/>
      <c r="L295"/>
      <c r="M295"/>
      <c r="N295"/>
      <c r="O295"/>
      <c r="P295"/>
    </row>
    <row r="296" spans="9:16" x14ac:dyDescent="0.25">
      <c r="I296"/>
      <c r="J296"/>
      <c r="K296"/>
      <c r="L296"/>
      <c r="M296"/>
      <c r="N296"/>
      <c r="O296"/>
      <c r="P296"/>
    </row>
    <row r="297" spans="9:16" x14ac:dyDescent="0.25">
      <c r="I297"/>
      <c r="J297"/>
      <c r="K297"/>
      <c r="L297"/>
      <c r="M297"/>
      <c r="N297"/>
      <c r="O297"/>
      <c r="P297"/>
    </row>
    <row r="298" spans="9:16" x14ac:dyDescent="0.25">
      <c r="I298"/>
      <c r="J298"/>
      <c r="K298"/>
      <c r="L298"/>
      <c r="M298"/>
      <c r="N298"/>
      <c r="O298"/>
      <c r="P298"/>
    </row>
    <row r="299" spans="9:16" x14ac:dyDescent="0.25">
      <c r="I299"/>
      <c r="J299"/>
      <c r="K299"/>
      <c r="L299"/>
      <c r="M299"/>
      <c r="N299"/>
      <c r="O299"/>
      <c r="P299"/>
    </row>
    <row r="300" spans="9:16" x14ac:dyDescent="0.25">
      <c r="I300"/>
      <c r="J300"/>
      <c r="K300"/>
      <c r="L300"/>
      <c r="M300"/>
      <c r="N300"/>
      <c r="O300"/>
      <c r="P300"/>
    </row>
    <row r="301" spans="9:16" x14ac:dyDescent="0.25">
      <c r="I301"/>
      <c r="J301"/>
      <c r="K301"/>
      <c r="L301"/>
      <c r="M301"/>
      <c r="N301"/>
      <c r="O301"/>
      <c r="P301"/>
    </row>
    <row r="302" spans="9:16" x14ac:dyDescent="0.25">
      <c r="I302"/>
      <c r="J302"/>
      <c r="K302"/>
      <c r="L302"/>
      <c r="M302"/>
      <c r="N302"/>
      <c r="O302"/>
      <c r="P302"/>
    </row>
    <row r="303" spans="9:16" x14ac:dyDescent="0.25">
      <c r="I303"/>
      <c r="J303"/>
      <c r="K303"/>
      <c r="L303"/>
      <c r="M303"/>
      <c r="N303"/>
      <c r="O303"/>
      <c r="P303"/>
    </row>
    <row r="304" spans="9:16" x14ac:dyDescent="0.25">
      <c r="I304"/>
      <c r="J304"/>
      <c r="K304"/>
      <c r="L304"/>
      <c r="M304"/>
      <c r="N304"/>
      <c r="O304"/>
      <c r="P304"/>
    </row>
    <row r="305" spans="9:16" x14ac:dyDescent="0.25">
      <c r="I305"/>
      <c r="J305"/>
      <c r="K305"/>
      <c r="L305"/>
      <c r="M305"/>
      <c r="N305"/>
      <c r="O305"/>
      <c r="P305"/>
    </row>
    <row r="306" spans="9:16" x14ac:dyDescent="0.25">
      <c r="I306"/>
      <c r="J306"/>
      <c r="K306"/>
      <c r="L306"/>
      <c r="M306"/>
      <c r="N306"/>
      <c r="O306"/>
      <c r="P306"/>
    </row>
    <row r="307" spans="9:16" x14ac:dyDescent="0.25">
      <c r="I307"/>
      <c r="J307"/>
      <c r="K307"/>
      <c r="L307"/>
      <c r="M307"/>
      <c r="N307"/>
      <c r="O307"/>
      <c r="P307"/>
    </row>
    <row r="308" spans="9:16" x14ac:dyDescent="0.25">
      <c r="I308"/>
      <c r="J308"/>
      <c r="K308"/>
      <c r="L308"/>
      <c r="M308"/>
      <c r="N308"/>
      <c r="O308"/>
      <c r="P308"/>
    </row>
    <row r="309" spans="9:16" x14ac:dyDescent="0.25">
      <c r="I309"/>
      <c r="J309"/>
      <c r="K309"/>
      <c r="L309"/>
      <c r="M309"/>
      <c r="N309"/>
      <c r="O309"/>
      <c r="P309"/>
    </row>
    <row r="310" spans="9:16" x14ac:dyDescent="0.25">
      <c r="I310"/>
      <c r="J310"/>
      <c r="K310"/>
      <c r="L310"/>
      <c r="M310"/>
      <c r="N310"/>
      <c r="O310"/>
      <c r="P310"/>
    </row>
    <row r="311" spans="9:16" x14ac:dyDescent="0.25">
      <c r="I311"/>
      <c r="J311"/>
      <c r="K311"/>
      <c r="L311"/>
      <c r="M311"/>
      <c r="N311"/>
      <c r="O311"/>
      <c r="P311"/>
    </row>
    <row r="312" spans="9:16" x14ac:dyDescent="0.25">
      <c r="I312"/>
      <c r="J312"/>
      <c r="K312"/>
      <c r="L312"/>
      <c r="M312"/>
      <c r="N312"/>
      <c r="O312"/>
      <c r="P312"/>
    </row>
    <row r="313" spans="9:16" x14ac:dyDescent="0.25">
      <c r="I313"/>
      <c r="J313"/>
      <c r="K313"/>
      <c r="L313"/>
      <c r="M313"/>
      <c r="N313"/>
      <c r="O313"/>
      <c r="P313"/>
    </row>
    <row r="314" spans="9:16" x14ac:dyDescent="0.25">
      <c r="I314"/>
      <c r="J314"/>
      <c r="K314"/>
      <c r="L314"/>
      <c r="M314"/>
      <c r="N314"/>
      <c r="O314"/>
      <c r="P314"/>
    </row>
    <row r="315" spans="9:16" x14ac:dyDescent="0.25">
      <c r="I315"/>
      <c r="J315"/>
      <c r="K315"/>
      <c r="L315"/>
      <c r="M315"/>
      <c r="N315"/>
      <c r="O315"/>
      <c r="P315"/>
    </row>
    <row r="316" spans="9:16" x14ac:dyDescent="0.25">
      <c r="I316"/>
      <c r="J316"/>
      <c r="K316"/>
      <c r="L316"/>
      <c r="M316"/>
      <c r="N316"/>
      <c r="O316"/>
      <c r="P316"/>
    </row>
    <row r="317" spans="9:16" x14ac:dyDescent="0.25">
      <c r="I317"/>
      <c r="J317"/>
      <c r="K317"/>
      <c r="L317"/>
      <c r="M317"/>
      <c r="N317"/>
      <c r="O317"/>
      <c r="P317"/>
    </row>
    <row r="318" spans="9:16" x14ac:dyDescent="0.25">
      <c r="I318"/>
      <c r="J318"/>
      <c r="K318"/>
      <c r="L318"/>
      <c r="M318"/>
      <c r="N318"/>
      <c r="O318"/>
      <c r="P318"/>
    </row>
    <row r="319" spans="9:16" x14ac:dyDescent="0.25">
      <c r="I319"/>
      <c r="J319"/>
      <c r="K319"/>
      <c r="L319"/>
      <c r="M319"/>
      <c r="N319"/>
      <c r="O319"/>
      <c r="P319"/>
    </row>
    <row r="320" spans="9:16" x14ac:dyDescent="0.25">
      <c r="I320"/>
      <c r="J320"/>
      <c r="K320"/>
      <c r="L320"/>
      <c r="M320"/>
      <c r="N320"/>
      <c r="O320"/>
      <c r="P320"/>
    </row>
    <row r="321" spans="9:16" x14ac:dyDescent="0.25">
      <c r="I321"/>
      <c r="J321"/>
      <c r="K321"/>
      <c r="L321"/>
      <c r="M321"/>
      <c r="N321"/>
      <c r="O321"/>
      <c r="P321"/>
    </row>
    <row r="322" spans="9:16" x14ac:dyDescent="0.25">
      <c r="I322"/>
      <c r="J322"/>
      <c r="K322"/>
      <c r="L322"/>
      <c r="M322"/>
      <c r="N322"/>
      <c r="O322"/>
      <c r="P322"/>
    </row>
    <row r="323" spans="9:16" x14ac:dyDescent="0.25">
      <c r="I323"/>
      <c r="J323"/>
      <c r="K323"/>
      <c r="L323"/>
      <c r="M323"/>
      <c r="N323"/>
      <c r="O323"/>
      <c r="P323"/>
    </row>
    <row r="324" spans="9:16" x14ac:dyDescent="0.25">
      <c r="I324"/>
      <c r="J324"/>
      <c r="K324"/>
      <c r="L324"/>
      <c r="M324"/>
      <c r="N324"/>
      <c r="O324"/>
      <c r="P324"/>
    </row>
    <row r="325" spans="9:16" x14ac:dyDescent="0.25">
      <c r="I325"/>
      <c r="J325"/>
      <c r="K325"/>
      <c r="L325"/>
      <c r="M325"/>
      <c r="N325"/>
      <c r="O325"/>
      <c r="P325"/>
    </row>
    <row r="326" spans="9:16" x14ac:dyDescent="0.25">
      <c r="I326"/>
      <c r="J326"/>
      <c r="K326"/>
      <c r="L326"/>
      <c r="M326"/>
      <c r="N326"/>
      <c r="O326"/>
      <c r="P326"/>
    </row>
    <row r="327" spans="9:16" x14ac:dyDescent="0.25">
      <c r="I327"/>
      <c r="J327"/>
      <c r="K327"/>
      <c r="L327"/>
      <c r="M327"/>
      <c r="N327"/>
      <c r="O327"/>
      <c r="P327"/>
    </row>
    <row r="328" spans="9:16" x14ac:dyDescent="0.25">
      <c r="I328"/>
      <c r="J328"/>
      <c r="K328"/>
      <c r="L328"/>
      <c r="M328"/>
      <c r="N328"/>
      <c r="O328"/>
      <c r="P328"/>
    </row>
    <row r="329" spans="9:16" x14ac:dyDescent="0.25">
      <c r="I329"/>
      <c r="J329"/>
      <c r="K329"/>
      <c r="L329"/>
      <c r="M329"/>
      <c r="N329"/>
      <c r="O329"/>
      <c r="P329"/>
    </row>
    <row r="330" spans="9:16" x14ac:dyDescent="0.25">
      <c r="I330"/>
      <c r="J330"/>
      <c r="K330"/>
      <c r="L330"/>
      <c r="M330"/>
      <c r="N330"/>
      <c r="O330"/>
      <c r="P330"/>
    </row>
    <row r="331" spans="9:16" x14ac:dyDescent="0.25">
      <c r="I331"/>
      <c r="J331"/>
      <c r="K331"/>
      <c r="L331"/>
      <c r="M331"/>
      <c r="N331"/>
      <c r="O331"/>
      <c r="P331"/>
    </row>
    <row r="332" spans="9:16" x14ac:dyDescent="0.25">
      <c r="I332"/>
      <c r="J332"/>
      <c r="K332"/>
      <c r="L332"/>
      <c r="M332"/>
      <c r="N332"/>
      <c r="O332"/>
      <c r="P332"/>
    </row>
    <row r="333" spans="9:16" x14ac:dyDescent="0.25">
      <c r="I333"/>
      <c r="J333"/>
      <c r="K333"/>
      <c r="L333"/>
      <c r="M333"/>
      <c r="N333"/>
      <c r="O333"/>
      <c r="P333"/>
    </row>
    <row r="334" spans="9:16" x14ac:dyDescent="0.25">
      <c r="I334"/>
      <c r="J334"/>
      <c r="K334"/>
      <c r="L334"/>
      <c r="M334"/>
      <c r="N334"/>
      <c r="O334"/>
      <c r="P334"/>
    </row>
    <row r="335" spans="9:16" x14ac:dyDescent="0.25">
      <c r="I335"/>
      <c r="J335"/>
      <c r="K335"/>
      <c r="L335"/>
      <c r="M335"/>
      <c r="N335"/>
      <c r="O335"/>
      <c r="P335"/>
    </row>
    <row r="336" spans="9:16" x14ac:dyDescent="0.25">
      <c r="I336"/>
      <c r="J336"/>
      <c r="K336"/>
      <c r="L336"/>
      <c r="M336"/>
      <c r="N336"/>
      <c r="O336"/>
      <c r="P336"/>
    </row>
    <row r="337" spans="9:16" x14ac:dyDescent="0.25">
      <c r="I337"/>
      <c r="J337"/>
      <c r="K337"/>
      <c r="L337"/>
      <c r="M337"/>
      <c r="N337"/>
      <c r="O337"/>
      <c r="P337"/>
    </row>
    <row r="338" spans="9:16" x14ac:dyDescent="0.25">
      <c r="I338"/>
      <c r="J338" s="73"/>
      <c r="K338"/>
      <c r="L338"/>
      <c r="M338"/>
      <c r="N338"/>
      <c r="O338"/>
      <c r="P338"/>
    </row>
    <row r="339" spans="9:16" x14ac:dyDescent="0.25">
      <c r="I339"/>
      <c r="J339" s="73"/>
      <c r="K339"/>
      <c r="L339"/>
      <c r="M339"/>
      <c r="N339"/>
      <c r="O339"/>
      <c r="P339"/>
    </row>
    <row r="340" spans="9:16" x14ac:dyDescent="0.25">
      <c r="I340"/>
      <c r="J340" s="73"/>
      <c r="K340"/>
      <c r="L340"/>
      <c r="M340"/>
      <c r="N340"/>
      <c r="O340"/>
      <c r="P340"/>
    </row>
    <row r="341" spans="9:16" x14ac:dyDescent="0.25">
      <c r="I341" s="219"/>
      <c r="J341" s="73"/>
      <c r="K341" s="189"/>
      <c r="L341" s="205"/>
      <c r="O341" s="391"/>
    </row>
    <row r="342" spans="9:16" x14ac:dyDescent="0.25">
      <c r="I342" s="219"/>
      <c r="J342" s="73"/>
      <c r="K342" s="189"/>
      <c r="L342" s="205"/>
      <c r="O342" s="391"/>
    </row>
    <row r="343" spans="9:16" x14ac:dyDescent="0.25">
      <c r="I343" s="219"/>
      <c r="J343" s="73"/>
      <c r="K343" s="189"/>
      <c r="L343" s="205"/>
      <c r="O343" s="391"/>
    </row>
    <row r="344" spans="9:16" x14ac:dyDescent="0.25">
      <c r="I344" s="219"/>
      <c r="J344" s="73"/>
      <c r="K344" s="189"/>
      <c r="L344" s="205"/>
      <c r="O344" s="391"/>
    </row>
    <row r="345" spans="9:16" x14ac:dyDescent="0.25">
      <c r="I345" s="219"/>
      <c r="J345" s="73"/>
      <c r="K345" s="189"/>
      <c r="L345" s="195"/>
      <c r="O345" s="391"/>
    </row>
    <row r="346" spans="9:16" x14ac:dyDescent="0.25">
      <c r="I346" s="219"/>
      <c r="J346" s="73"/>
      <c r="K346" s="189"/>
      <c r="L346" s="195"/>
      <c r="O346" s="391"/>
    </row>
    <row r="347" spans="9:16" x14ac:dyDescent="0.25">
      <c r="I347" s="219"/>
      <c r="J347" s="177"/>
      <c r="K347" s="189"/>
      <c r="L347" s="195"/>
      <c r="O347" s="391"/>
    </row>
    <row r="348" spans="9:16" x14ac:dyDescent="0.25">
      <c r="I348" s="219"/>
      <c r="J348" s="75"/>
      <c r="K348" s="189"/>
      <c r="L348" s="195"/>
      <c r="O348" s="391"/>
    </row>
    <row r="349" spans="9:16" x14ac:dyDescent="0.25">
      <c r="I349" s="219"/>
      <c r="J349" s="191"/>
      <c r="K349" s="189"/>
      <c r="L349" s="195"/>
      <c r="O349" s="391"/>
    </row>
    <row r="350" spans="9:16" x14ac:dyDescent="0.25">
      <c r="I350" s="219"/>
      <c r="J350" s="190"/>
      <c r="K350" s="212"/>
      <c r="L350" s="161"/>
      <c r="O350" s="391"/>
    </row>
    <row r="351" spans="9:16" x14ac:dyDescent="0.25">
      <c r="I351" s="219"/>
      <c r="J351" s="190"/>
      <c r="K351" s="189"/>
      <c r="L351" s="162"/>
      <c r="O351" s="391"/>
    </row>
    <row r="352" spans="9:16" x14ac:dyDescent="0.25">
      <c r="I352" s="220"/>
      <c r="J352" s="190"/>
      <c r="K352" s="190"/>
      <c r="L352" s="183"/>
      <c r="O352" s="391"/>
    </row>
    <row r="353" spans="9:15" ht="18.75" x14ac:dyDescent="0.25">
      <c r="I353" s="220"/>
      <c r="J353" s="73"/>
      <c r="K353" s="190"/>
      <c r="L353" s="184"/>
      <c r="O353" s="391"/>
    </row>
    <row r="354" spans="9:15" x14ac:dyDescent="0.25">
      <c r="I354" s="220"/>
      <c r="J354" s="73"/>
      <c r="K354" s="190"/>
      <c r="L354" s="166"/>
      <c r="O354" s="391"/>
    </row>
    <row r="355" spans="9:15" x14ac:dyDescent="0.25">
      <c r="I355" s="220"/>
      <c r="J355" s="73"/>
      <c r="K355" s="190"/>
      <c r="L355" s="166"/>
      <c r="O355" s="391"/>
    </row>
    <row r="356" spans="9:15" x14ac:dyDescent="0.25">
      <c r="I356" s="219"/>
      <c r="J356" s="191"/>
      <c r="K356" s="173"/>
      <c r="L356" s="195"/>
      <c r="O356" s="391"/>
    </row>
    <row r="357" spans="9:15" x14ac:dyDescent="0.25">
      <c r="I357" s="219"/>
      <c r="J357" s="189"/>
      <c r="K357" s="173"/>
      <c r="L357" s="195"/>
      <c r="O357" s="391"/>
    </row>
    <row r="358" spans="9:15" x14ac:dyDescent="0.25">
      <c r="I358" s="219"/>
      <c r="J358" s="189"/>
      <c r="K358" s="173"/>
      <c r="L358" s="195"/>
      <c r="O358" s="391"/>
    </row>
    <row r="359" spans="9:15" x14ac:dyDescent="0.25">
      <c r="I359" s="220"/>
      <c r="J359" s="189"/>
      <c r="K359" s="190"/>
      <c r="L359" s="190"/>
      <c r="O359" s="391"/>
    </row>
    <row r="360" spans="9:15" x14ac:dyDescent="0.25">
      <c r="I360" s="219"/>
      <c r="J360" s="151"/>
      <c r="K360" s="173"/>
      <c r="L360" s="195"/>
      <c r="O360" s="391"/>
    </row>
    <row r="361" spans="9:15" x14ac:dyDescent="0.25">
      <c r="I361" s="219"/>
      <c r="J361" s="209"/>
      <c r="K361" s="173"/>
      <c r="L361" s="195"/>
      <c r="O361" s="391"/>
    </row>
    <row r="362" spans="9:15" x14ac:dyDescent="0.25">
      <c r="I362" s="219"/>
      <c r="J362" s="191"/>
      <c r="K362" s="173"/>
      <c r="L362" s="195"/>
      <c r="O362" s="391"/>
    </row>
    <row r="363" spans="9:15" ht="18.75" x14ac:dyDescent="0.25">
      <c r="I363" s="220"/>
      <c r="J363" s="212"/>
      <c r="K363" s="155"/>
      <c r="L363" s="184"/>
      <c r="O363" s="391"/>
    </row>
    <row r="364" spans="9:15" x14ac:dyDescent="0.25">
      <c r="I364" s="219"/>
      <c r="J364" s="191"/>
      <c r="K364" s="173"/>
      <c r="L364" s="195"/>
      <c r="O364" s="391"/>
    </row>
    <row r="365" spans="9:15" x14ac:dyDescent="0.25">
      <c r="I365" s="219"/>
      <c r="J365" s="209"/>
      <c r="K365" s="190"/>
      <c r="L365" s="183"/>
      <c r="O365" s="391"/>
    </row>
    <row r="366" spans="9:15" x14ac:dyDescent="0.25">
      <c r="I366" s="219"/>
      <c r="J366" s="209"/>
      <c r="K366" s="212"/>
      <c r="L366" s="154"/>
      <c r="O366" s="391"/>
    </row>
    <row r="367" spans="9:15" ht="18.75" x14ac:dyDescent="0.3">
      <c r="I367" s="220"/>
      <c r="J367" s="73"/>
      <c r="K367" s="190"/>
      <c r="L367" s="192"/>
      <c r="O367" s="391"/>
    </row>
    <row r="368" spans="9:15" ht="18.75" x14ac:dyDescent="0.3">
      <c r="I368" s="220"/>
      <c r="J368" s="73"/>
      <c r="K368" s="209"/>
      <c r="L368" s="196"/>
      <c r="O368" s="391"/>
    </row>
    <row r="369" spans="9:15" x14ac:dyDescent="0.25">
      <c r="I369" s="220"/>
      <c r="J369" s="210"/>
      <c r="K369" s="209"/>
      <c r="L369" s="193"/>
      <c r="O369" s="391"/>
    </row>
    <row r="370" spans="9:15" x14ac:dyDescent="0.25">
      <c r="I370" s="219"/>
      <c r="J370" s="209"/>
      <c r="K370" s="194"/>
      <c r="L370" s="195"/>
      <c r="O370" s="391"/>
    </row>
    <row r="371" spans="9:15" x14ac:dyDescent="0.25">
      <c r="I371" s="219"/>
      <c r="J371" s="209"/>
      <c r="K371" s="194"/>
      <c r="L371" s="205"/>
      <c r="O371" s="391"/>
    </row>
    <row r="372" spans="9:15" ht="18.75" x14ac:dyDescent="0.3">
      <c r="I372" s="220"/>
      <c r="J372" s="177"/>
      <c r="K372" s="210"/>
      <c r="L372" s="197"/>
      <c r="O372" s="391"/>
    </row>
    <row r="373" spans="9:15" ht="18.75" x14ac:dyDescent="0.25">
      <c r="I373" s="220"/>
      <c r="J373" s="177"/>
      <c r="K373" s="215"/>
      <c r="L373" s="203"/>
      <c r="O373" s="391"/>
    </row>
    <row r="374" spans="9:15" x14ac:dyDescent="0.25">
      <c r="I374" s="220"/>
      <c r="J374" s="209"/>
      <c r="K374" s="215"/>
      <c r="L374" s="195"/>
      <c r="O374" s="391"/>
    </row>
    <row r="375" spans="9:15" x14ac:dyDescent="0.25">
      <c r="I375" s="219"/>
      <c r="J375" s="209"/>
      <c r="K375" s="214"/>
      <c r="L375" s="198"/>
      <c r="O375" s="391"/>
    </row>
    <row r="376" spans="9:15" x14ac:dyDescent="0.25">
      <c r="I376" s="219"/>
      <c r="J376" s="209"/>
      <c r="K376" s="214"/>
      <c r="L376" s="206"/>
      <c r="O376" s="391"/>
    </row>
    <row r="377" spans="9:15" x14ac:dyDescent="0.25">
      <c r="I377" s="220"/>
      <c r="J377" s="177"/>
      <c r="K377" s="215"/>
      <c r="L377" s="207"/>
      <c r="O377" s="391"/>
    </row>
    <row r="378" spans="9:15" x14ac:dyDescent="0.25">
      <c r="I378" s="220"/>
      <c r="J378" s="177"/>
      <c r="K378" s="215"/>
      <c r="L378" s="195"/>
      <c r="O378" s="391"/>
    </row>
    <row r="379" spans="9:15" x14ac:dyDescent="0.25">
      <c r="I379" s="220"/>
      <c r="J379" s="177"/>
      <c r="K379" s="215"/>
      <c r="L379" s="202"/>
      <c r="O379" s="391"/>
    </row>
    <row r="380" spans="9:15" x14ac:dyDescent="0.25">
      <c r="I380" s="219"/>
      <c r="J380" s="177"/>
      <c r="K380" s="214"/>
      <c r="L380" s="208"/>
      <c r="O380" s="391"/>
    </row>
    <row r="381" spans="9:15" x14ac:dyDescent="0.25">
      <c r="I381" s="219"/>
      <c r="J381" s="209"/>
      <c r="K381" s="214"/>
      <c r="L381" s="208"/>
      <c r="O381" s="391"/>
    </row>
    <row r="382" spans="9:15" x14ac:dyDescent="0.25">
      <c r="I382" s="219"/>
      <c r="J382" s="209"/>
      <c r="K382" s="214"/>
      <c r="L382" s="208"/>
      <c r="O382" s="391"/>
    </row>
    <row r="383" spans="9:15" x14ac:dyDescent="0.25">
      <c r="I383" s="219"/>
      <c r="J383" s="177"/>
      <c r="K383" s="214"/>
      <c r="L383" s="208"/>
      <c r="O383" s="391"/>
    </row>
    <row r="384" spans="9:15" x14ac:dyDescent="0.25">
      <c r="I384" s="365"/>
      <c r="J384" s="177"/>
      <c r="K384" s="213"/>
      <c r="L384" s="201"/>
      <c r="O384" s="391"/>
    </row>
    <row r="385" spans="9:15" x14ac:dyDescent="0.25">
      <c r="I385" s="220"/>
      <c r="J385" s="177"/>
      <c r="K385" s="213"/>
      <c r="L385" s="202"/>
      <c r="O385" s="391"/>
    </row>
    <row r="386" spans="9:15" x14ac:dyDescent="0.25">
      <c r="I386" s="219"/>
      <c r="J386" s="177"/>
      <c r="K386" s="214"/>
      <c r="L386" s="208"/>
      <c r="O386" s="391"/>
    </row>
    <row r="387" spans="9:15" x14ac:dyDescent="0.25">
      <c r="I387" s="219"/>
      <c r="J387" s="209"/>
      <c r="K387" s="214"/>
      <c r="L387" s="208"/>
      <c r="O387" s="391"/>
    </row>
    <row r="388" spans="9:15" x14ac:dyDescent="0.25">
      <c r="I388" s="219"/>
      <c r="J388" s="209"/>
      <c r="K388" s="214"/>
      <c r="L388" s="208"/>
      <c r="O388" s="391"/>
    </row>
    <row r="389" spans="9:15" x14ac:dyDescent="0.25">
      <c r="I389" s="219"/>
      <c r="J389" s="177"/>
      <c r="K389" s="214"/>
      <c r="L389" s="208"/>
      <c r="O389" s="391"/>
    </row>
    <row r="390" spans="9:15" x14ac:dyDescent="0.25">
      <c r="I390" s="29"/>
      <c r="J390" s="177"/>
      <c r="K390" s="213"/>
      <c r="L390" s="199"/>
      <c r="O390" s="391"/>
    </row>
    <row r="391" spans="9:15" x14ac:dyDescent="0.25">
      <c r="I391" s="29"/>
      <c r="J391" s="177"/>
      <c r="K391" s="213"/>
      <c r="L391" s="202"/>
      <c r="O391" s="391"/>
    </row>
    <row r="392" spans="9:15" x14ac:dyDescent="0.25">
      <c r="I392" s="219"/>
      <c r="J392" s="177"/>
      <c r="K392" s="214"/>
      <c r="L392" s="208"/>
      <c r="O392" s="391"/>
    </row>
    <row r="393" spans="9:15" x14ac:dyDescent="0.25">
      <c r="I393" s="219"/>
      <c r="J393" s="211"/>
      <c r="K393" s="214"/>
      <c r="L393" s="208"/>
      <c r="O393" s="391"/>
    </row>
    <row r="394" spans="9:15" x14ac:dyDescent="0.25">
      <c r="I394" s="219"/>
      <c r="J394" s="211"/>
      <c r="K394" s="214"/>
      <c r="L394" s="208"/>
      <c r="O394" s="391"/>
    </row>
    <row r="395" spans="9:15" x14ac:dyDescent="0.25">
      <c r="I395" s="219"/>
      <c r="J395" s="210"/>
      <c r="K395" s="214"/>
      <c r="L395" s="208"/>
      <c r="O395" s="391"/>
    </row>
    <row r="396" spans="9:15" x14ac:dyDescent="0.25">
      <c r="I396" s="219"/>
      <c r="J396" s="209"/>
      <c r="K396" s="211"/>
      <c r="L396" s="199"/>
      <c r="O396" s="391"/>
    </row>
    <row r="397" spans="9:15" x14ac:dyDescent="0.25">
      <c r="I397" s="220"/>
      <c r="J397" s="177"/>
      <c r="K397" s="211"/>
      <c r="L397" s="200"/>
      <c r="O397" s="391"/>
    </row>
    <row r="398" spans="9:15" ht="18.75" x14ac:dyDescent="0.3">
      <c r="I398" s="220"/>
      <c r="J398" s="177"/>
      <c r="K398" s="210"/>
      <c r="L398" s="197"/>
      <c r="O398" s="391"/>
    </row>
    <row r="399" spans="9:15" ht="18.75" x14ac:dyDescent="0.25">
      <c r="I399" s="220"/>
      <c r="J399" s="177"/>
      <c r="K399" s="209"/>
      <c r="L399" s="203"/>
      <c r="O399" s="391"/>
    </row>
    <row r="400" spans="9:15" x14ac:dyDescent="0.25">
      <c r="I400" s="219"/>
      <c r="J400" s="191"/>
      <c r="K400" s="212"/>
      <c r="L400" s="205"/>
      <c r="O400" s="391"/>
    </row>
    <row r="401" spans="9:15" x14ac:dyDescent="0.25">
      <c r="I401" s="219"/>
      <c r="J401" s="73"/>
      <c r="K401" s="212"/>
      <c r="L401" s="204"/>
      <c r="O401" s="391"/>
    </row>
    <row r="402" spans="9:15" x14ac:dyDescent="0.25">
      <c r="I402" s="219"/>
      <c r="J402" s="73"/>
      <c r="K402" s="212"/>
      <c r="L402" s="204"/>
      <c r="O402" s="391"/>
    </row>
    <row r="403" spans="9:15" ht="18.75" x14ac:dyDescent="0.25">
      <c r="I403" s="220"/>
      <c r="J403" s="73"/>
      <c r="K403" s="190"/>
      <c r="L403" s="184"/>
    </row>
    <row r="404" spans="9:15" x14ac:dyDescent="0.25">
      <c r="I404" s="219"/>
      <c r="J404" s="73"/>
      <c r="K404" s="189"/>
      <c r="L404" s="195"/>
    </row>
    <row r="405" spans="9:15" x14ac:dyDescent="0.25">
      <c r="I405" s="219"/>
      <c r="J405" s="191"/>
      <c r="K405" s="189"/>
      <c r="L405" s="205"/>
    </row>
    <row r="406" spans="9:15" x14ac:dyDescent="0.25">
      <c r="I406" s="219"/>
      <c r="J406" s="177"/>
      <c r="K406" s="189"/>
      <c r="L406" s="195"/>
    </row>
    <row r="407" spans="9:15" x14ac:dyDescent="0.25">
      <c r="I407" s="219"/>
      <c r="J407" s="177"/>
      <c r="K407" s="189"/>
      <c r="L407" s="195"/>
    </row>
    <row r="408" spans="9:15" x14ac:dyDescent="0.25">
      <c r="I408" s="220"/>
      <c r="J408" s="177"/>
      <c r="K408" s="190"/>
      <c r="L408" s="183"/>
    </row>
    <row r="409" spans="9:15" x14ac:dyDescent="0.25">
      <c r="I409" s="219"/>
      <c r="J409" s="191"/>
      <c r="K409" s="212"/>
      <c r="L409" s="276"/>
    </row>
    <row r="410" spans="9:15" x14ac:dyDescent="0.25">
      <c r="I410" s="219"/>
      <c r="J410" s="177"/>
      <c r="K410" s="177"/>
      <c r="L410" s="205"/>
    </row>
    <row r="411" spans="9:15" x14ac:dyDescent="0.25">
      <c r="I411" s="219"/>
      <c r="J411" s="177"/>
      <c r="K411" s="177"/>
      <c r="L411" s="294"/>
    </row>
    <row r="412" spans="9:15" x14ac:dyDescent="0.25">
      <c r="I412" s="220"/>
      <c r="J412" s="177"/>
      <c r="K412" s="190"/>
      <c r="L412" s="183"/>
    </row>
    <row r="413" spans="9:15" x14ac:dyDescent="0.25">
      <c r="I413" s="219"/>
      <c r="J413" s="73"/>
      <c r="K413" s="177"/>
      <c r="L413" s="287"/>
    </row>
    <row r="414" spans="9:15" x14ac:dyDescent="0.25">
      <c r="I414" s="219"/>
      <c r="J414" s="177"/>
      <c r="K414" s="177"/>
      <c r="L414" s="287"/>
    </row>
    <row r="415" spans="9:15" x14ac:dyDescent="0.25">
      <c r="I415" s="219"/>
      <c r="J415" s="73"/>
      <c r="K415" s="177"/>
      <c r="L415" s="205"/>
    </row>
    <row r="416" spans="9:15" x14ac:dyDescent="0.25">
      <c r="I416" s="219"/>
      <c r="J416" s="177"/>
      <c r="K416" s="177"/>
      <c r="L416" s="205"/>
    </row>
    <row r="417" spans="9:12" x14ac:dyDescent="0.25">
      <c r="I417" s="219"/>
      <c r="J417" s="73"/>
      <c r="K417" s="177"/>
      <c r="L417" s="195"/>
    </row>
    <row r="418" spans="9:12" x14ac:dyDescent="0.25">
      <c r="I418" s="219"/>
      <c r="J418" s="352"/>
      <c r="K418" s="177"/>
      <c r="L418" s="205"/>
    </row>
    <row r="419" spans="9:12" x14ac:dyDescent="0.25">
      <c r="I419" s="219"/>
      <c r="J419" s="177"/>
      <c r="K419" s="177"/>
      <c r="L419" s="205"/>
    </row>
    <row r="420" spans="9:12" x14ac:dyDescent="0.25">
      <c r="I420" s="219"/>
      <c r="J420" s="191"/>
      <c r="K420" s="177"/>
      <c r="L420" s="205"/>
    </row>
    <row r="421" spans="9:12" x14ac:dyDescent="0.25">
      <c r="I421" s="351"/>
      <c r="J421" s="73"/>
      <c r="K421" s="352"/>
      <c r="L421" s="382"/>
    </row>
    <row r="422" spans="9:12" x14ac:dyDescent="0.25">
      <c r="I422" s="220"/>
      <c r="J422" s="74"/>
      <c r="K422" s="177"/>
      <c r="L422" s="178"/>
    </row>
    <row r="423" spans="9:12" x14ac:dyDescent="0.25">
      <c r="I423" s="220"/>
      <c r="J423" s="74"/>
      <c r="K423" s="190"/>
      <c r="L423" s="183"/>
    </row>
    <row r="424" spans="9:12" x14ac:dyDescent="0.25">
      <c r="I424" s="221"/>
      <c r="J424" s="191"/>
      <c r="K424" s="189"/>
      <c r="L424" s="195"/>
    </row>
    <row r="425" spans="9:12" x14ac:dyDescent="0.25">
      <c r="I425" s="219"/>
      <c r="J425" s="73"/>
      <c r="K425" s="189"/>
      <c r="L425" s="195"/>
    </row>
    <row r="426" spans="9:12" x14ac:dyDescent="0.25">
      <c r="I426" s="219"/>
      <c r="J426" s="191"/>
      <c r="K426" s="189"/>
      <c r="L426" s="195"/>
    </row>
    <row r="427" spans="9:12" x14ac:dyDescent="0.25">
      <c r="I427" s="219"/>
      <c r="J427" s="177"/>
      <c r="K427" s="190"/>
      <c r="L427" s="183"/>
    </row>
    <row r="428" spans="9:12" x14ac:dyDescent="0.25">
      <c r="I428" s="219"/>
      <c r="J428" s="191"/>
      <c r="K428" s="189"/>
      <c r="L428" s="195"/>
    </row>
    <row r="429" spans="9:12" x14ac:dyDescent="0.25">
      <c r="I429" s="219"/>
      <c r="J429" s="177"/>
      <c r="K429" s="190"/>
      <c r="L429" s="183"/>
    </row>
    <row r="430" spans="9:12" x14ac:dyDescent="0.25">
      <c r="I430" s="219"/>
      <c r="J430" s="191"/>
      <c r="K430" s="212"/>
      <c r="L430" s="295"/>
    </row>
    <row r="431" spans="9:12" x14ac:dyDescent="0.25">
      <c r="I431" s="219"/>
      <c r="J431" s="186"/>
      <c r="K431" s="190"/>
      <c r="L431" s="183"/>
    </row>
    <row r="432" spans="9:12" x14ac:dyDescent="0.25">
      <c r="I432" s="219"/>
      <c r="J432" s="177"/>
      <c r="K432" s="212"/>
      <c r="L432" s="205"/>
    </row>
    <row r="433" spans="9:12" ht="18.75" x14ac:dyDescent="0.25">
      <c r="I433" s="220"/>
      <c r="J433" s="177"/>
      <c r="K433" s="191"/>
      <c r="L433" s="184"/>
    </row>
    <row r="434" spans="9:12" ht="18.75" x14ac:dyDescent="0.25">
      <c r="I434" s="220"/>
      <c r="J434" s="177"/>
      <c r="K434" s="186"/>
      <c r="L434" s="184"/>
    </row>
    <row r="435" spans="9:12" x14ac:dyDescent="0.25">
      <c r="I435" s="222"/>
      <c r="J435" s="177"/>
      <c r="K435" s="189"/>
      <c r="L435" s="187"/>
    </row>
    <row r="436" spans="9:12" x14ac:dyDescent="0.25">
      <c r="I436" s="222"/>
      <c r="J436" s="73"/>
      <c r="K436" s="189"/>
      <c r="L436" s="187"/>
    </row>
    <row r="437" spans="9:12" x14ac:dyDescent="0.25">
      <c r="I437" s="222"/>
      <c r="J437" s="73"/>
      <c r="K437" s="189"/>
      <c r="L437" s="188"/>
    </row>
    <row r="438" spans="9:12" x14ac:dyDescent="0.25">
      <c r="I438" s="222"/>
      <c r="J438" s="73"/>
      <c r="K438" s="189"/>
      <c r="L438" s="188"/>
    </row>
    <row r="439" spans="9:12" x14ac:dyDescent="0.25">
      <c r="I439" s="219"/>
      <c r="J439" s="177"/>
      <c r="K439" s="189"/>
      <c r="L439" s="205"/>
    </row>
    <row r="440" spans="9:12" x14ac:dyDescent="0.25">
      <c r="I440" s="219"/>
      <c r="J440" s="177"/>
      <c r="K440" s="189"/>
      <c r="L440" s="298"/>
    </row>
    <row r="441" spans="9:12" x14ac:dyDescent="0.25">
      <c r="I441" s="219"/>
      <c r="K441" s="189"/>
      <c r="L441" s="205"/>
    </row>
    <row r="442" spans="9:12" x14ac:dyDescent="0.25">
      <c r="I442" s="219"/>
      <c r="K442" s="212"/>
      <c r="L442" s="195"/>
    </row>
    <row r="443" spans="9:12" x14ac:dyDescent="0.25">
      <c r="I443" s="219"/>
      <c r="K443" s="212"/>
      <c r="L443" s="195"/>
    </row>
  </sheetData>
  <sheetProtection algorithmName="SHA-512" hashValue="r0B2p3kGFdC8oGIWPr8oPatg9lls4fAOrHJnVYX56fk+3bUqJO0rnZMLU4NGz5pnwtlBHFtiratNn4N1gOlQHg==" saltValue="osgrtpuDd8H79OOhXHaUoQ==" spinCount="100000" sheet="1" formatCells="0" formatColumns="0" formatRows="0"/>
  <dataConsolidate/>
  <mergeCells count="2">
    <mergeCell ref="E2:G2"/>
    <mergeCell ref="B2:C2"/>
  </mergeCells>
  <conditionalFormatting sqref="H126">
    <cfRule type="cellIs" dxfId="85" priority="103" stopIfTrue="1" operator="notEqual">
      <formula>0</formula>
    </cfRule>
  </conditionalFormatting>
  <conditionalFormatting sqref="H127">
    <cfRule type="cellIs" dxfId="84" priority="101" stopIfTrue="1" operator="notEqual">
      <formula>0</formula>
    </cfRule>
  </conditionalFormatting>
  <conditionalFormatting sqref="G221:G227">
    <cfRule type="cellIs" dxfId="83" priority="100" stopIfTrue="1" operator="notEqual">
      <formula>0</formula>
    </cfRule>
  </conditionalFormatting>
  <conditionalFormatting sqref="H17">
    <cfRule type="cellIs" dxfId="82" priority="99" stopIfTrue="1" operator="notEqual">
      <formula>0</formula>
    </cfRule>
  </conditionalFormatting>
  <conditionalFormatting sqref="H31:H32">
    <cfRule type="cellIs" dxfId="81" priority="98" stopIfTrue="1" operator="notEqual">
      <formula>0</formula>
    </cfRule>
  </conditionalFormatting>
  <conditionalFormatting sqref="H49">
    <cfRule type="cellIs" dxfId="80" priority="97" stopIfTrue="1" operator="notEqual">
      <formula>0</formula>
    </cfRule>
  </conditionalFormatting>
  <conditionalFormatting sqref="H62:H64">
    <cfRule type="cellIs" dxfId="79" priority="96" stopIfTrue="1" operator="notEqual">
      <formula>0</formula>
    </cfRule>
  </conditionalFormatting>
  <conditionalFormatting sqref="H82">
    <cfRule type="cellIs" dxfId="78" priority="95" stopIfTrue="1" operator="notEqual">
      <formula>0</formula>
    </cfRule>
  </conditionalFormatting>
  <conditionalFormatting sqref="H95">
    <cfRule type="cellIs" dxfId="77" priority="94" stopIfTrue="1" operator="notEqual">
      <formula>0</formula>
    </cfRule>
  </conditionalFormatting>
  <conditionalFormatting sqref="H110">
    <cfRule type="cellIs" dxfId="76" priority="93" stopIfTrue="1" operator="notEqual">
      <formula>0</formula>
    </cfRule>
  </conditionalFormatting>
  <conditionalFormatting sqref="H111">
    <cfRule type="cellIs" dxfId="75" priority="92" stopIfTrue="1" operator="notEqual">
      <formula>0</formula>
    </cfRule>
  </conditionalFormatting>
  <conditionalFormatting sqref="P198 G207:G208">
    <cfRule type="cellIs" priority="64" stopIfTrue="1" operator="equal">
      <formula>";;;"</formula>
    </cfRule>
  </conditionalFormatting>
  <conditionalFormatting sqref="P198 G207:G208">
    <cfRule type="cellIs" dxfId="74" priority="63" stopIfTrue="1" operator="equal">
      <formula>0</formula>
    </cfRule>
  </conditionalFormatting>
  <conditionalFormatting sqref="P198">
    <cfRule type="cellIs" dxfId="73" priority="62" stopIfTrue="1" operator="equal">
      <formula>0</formula>
    </cfRule>
  </conditionalFormatting>
  <conditionalFormatting sqref="G198">
    <cfRule type="cellIs" priority="61" stopIfTrue="1" operator="equal">
      <formula>";;;"</formula>
    </cfRule>
  </conditionalFormatting>
  <conditionalFormatting sqref="G198">
    <cfRule type="cellIs" dxfId="72" priority="60" stopIfTrue="1" operator="equal">
      <formula>0</formula>
    </cfRule>
  </conditionalFormatting>
  <conditionalFormatting sqref="G198">
    <cfRule type="cellIs" dxfId="71" priority="59" stopIfTrue="1" operator="equal">
      <formula>0</formula>
    </cfRule>
  </conditionalFormatting>
  <conditionalFormatting sqref="G196">
    <cfRule type="cellIs" priority="55" stopIfTrue="1" operator="equal">
      <formula>";;;"</formula>
    </cfRule>
  </conditionalFormatting>
  <conditionalFormatting sqref="G196">
    <cfRule type="cellIs" dxfId="70" priority="54" stopIfTrue="1" operator="equal">
      <formula>0</formula>
    </cfRule>
  </conditionalFormatting>
  <conditionalFormatting sqref="G196">
    <cfRule type="cellIs" dxfId="69" priority="53" stopIfTrue="1" operator="equal">
      <formula>0</formula>
    </cfRule>
  </conditionalFormatting>
  <conditionalFormatting sqref="G197">
    <cfRule type="cellIs" priority="49" stopIfTrue="1" operator="equal">
      <formula>";;;"</formula>
    </cfRule>
  </conditionalFormatting>
  <conditionalFormatting sqref="G197">
    <cfRule type="cellIs" dxfId="68" priority="48" stopIfTrue="1" operator="equal">
      <formula>0</formula>
    </cfRule>
  </conditionalFormatting>
  <conditionalFormatting sqref="G197">
    <cfRule type="cellIs" dxfId="67" priority="47" stopIfTrue="1" operator="equal">
      <formula>0</formula>
    </cfRule>
  </conditionalFormatting>
  <conditionalFormatting sqref="N197">
    <cfRule type="cellIs" priority="46" stopIfTrue="1" operator="equal">
      <formula>";;;"</formula>
    </cfRule>
  </conditionalFormatting>
  <conditionalFormatting sqref="N197">
    <cfRule type="cellIs" dxfId="66" priority="45" stopIfTrue="1" operator="equal">
      <formula>0</formula>
    </cfRule>
  </conditionalFormatting>
  <conditionalFormatting sqref="N197">
    <cfRule type="cellIs" dxfId="65" priority="44" stopIfTrue="1" operator="equal">
      <formula>0</formula>
    </cfRule>
  </conditionalFormatting>
  <conditionalFormatting sqref="G201">
    <cfRule type="cellIs" priority="43" stopIfTrue="1" operator="equal">
      <formula>";;;"</formula>
    </cfRule>
  </conditionalFormatting>
  <conditionalFormatting sqref="G201">
    <cfRule type="cellIs" dxfId="64" priority="42" stopIfTrue="1" operator="equal">
      <formula>0</formula>
    </cfRule>
  </conditionalFormatting>
  <conditionalFormatting sqref="G201">
    <cfRule type="cellIs" dxfId="63" priority="41" stopIfTrue="1" operator="equal">
      <formula>0</formula>
    </cfRule>
  </conditionalFormatting>
  <conditionalFormatting sqref="G199">
    <cfRule type="cellIs" priority="40" stopIfTrue="1" operator="equal">
      <formula>";;;"</formula>
    </cfRule>
  </conditionalFormatting>
  <conditionalFormatting sqref="G199">
    <cfRule type="cellIs" dxfId="62" priority="39" stopIfTrue="1" operator="equal">
      <formula>0</formula>
    </cfRule>
  </conditionalFormatting>
  <conditionalFormatting sqref="G199">
    <cfRule type="cellIs" dxfId="61" priority="38" stopIfTrue="1" operator="equal">
      <formula>0</formula>
    </cfRule>
  </conditionalFormatting>
  <conditionalFormatting sqref="G200">
    <cfRule type="cellIs" priority="37" stopIfTrue="1" operator="equal">
      <formula>";;;"</formula>
    </cfRule>
  </conditionalFormatting>
  <conditionalFormatting sqref="G200">
    <cfRule type="cellIs" dxfId="60" priority="36" stopIfTrue="1" operator="equal">
      <formula>0</formula>
    </cfRule>
  </conditionalFormatting>
  <conditionalFormatting sqref="G200">
    <cfRule type="cellIs" dxfId="59" priority="35" stopIfTrue="1" operator="equal">
      <formula>0</formula>
    </cfRule>
  </conditionalFormatting>
  <conditionalFormatting sqref="G204">
    <cfRule type="cellIs" priority="34" stopIfTrue="1" operator="equal">
      <formula>";;;"</formula>
    </cfRule>
  </conditionalFormatting>
  <conditionalFormatting sqref="G204">
    <cfRule type="cellIs" dxfId="58" priority="33" stopIfTrue="1" operator="equal">
      <formula>0</formula>
    </cfRule>
  </conditionalFormatting>
  <conditionalFormatting sqref="G204">
    <cfRule type="cellIs" dxfId="57" priority="32" stopIfTrue="1" operator="equal">
      <formula>0</formula>
    </cfRule>
  </conditionalFormatting>
  <conditionalFormatting sqref="G202">
    <cfRule type="cellIs" priority="31" stopIfTrue="1" operator="equal">
      <formula>";;;"</formula>
    </cfRule>
  </conditionalFormatting>
  <conditionalFormatting sqref="G202">
    <cfRule type="cellIs" dxfId="56" priority="30" stopIfTrue="1" operator="equal">
      <formula>0</formula>
    </cfRule>
  </conditionalFormatting>
  <conditionalFormatting sqref="G202">
    <cfRule type="cellIs" dxfId="55" priority="29" stopIfTrue="1" operator="equal">
      <formula>0</formula>
    </cfRule>
  </conditionalFormatting>
  <conditionalFormatting sqref="G203">
    <cfRule type="cellIs" priority="28" stopIfTrue="1" operator="equal">
      <formula>";;;"</formula>
    </cfRule>
  </conditionalFormatting>
  <conditionalFormatting sqref="G203">
    <cfRule type="cellIs" dxfId="54" priority="27" stopIfTrue="1" operator="equal">
      <formula>0</formula>
    </cfRule>
  </conditionalFormatting>
  <conditionalFormatting sqref="G203">
    <cfRule type="cellIs" dxfId="53" priority="26" stopIfTrue="1" operator="equal">
      <formula>0</formula>
    </cfRule>
  </conditionalFormatting>
  <conditionalFormatting sqref="G205">
    <cfRule type="cellIs" priority="22" stopIfTrue="1" operator="equal">
      <formula>";;;"</formula>
    </cfRule>
  </conditionalFormatting>
  <conditionalFormatting sqref="G205">
    <cfRule type="cellIs" dxfId="52" priority="21" stopIfTrue="1" operator="equal">
      <formula>0</formula>
    </cfRule>
  </conditionalFormatting>
  <conditionalFormatting sqref="G205">
    <cfRule type="cellIs" dxfId="51" priority="20" stopIfTrue="1" operator="equal">
      <formula>0</formula>
    </cfRule>
  </conditionalFormatting>
  <conditionalFormatting sqref="G206">
    <cfRule type="cellIs" priority="19" stopIfTrue="1" operator="equal">
      <formula>";;;"</formula>
    </cfRule>
  </conditionalFormatting>
  <conditionalFormatting sqref="G206">
    <cfRule type="cellIs" dxfId="50" priority="18" stopIfTrue="1" operator="equal">
      <formula>0</formula>
    </cfRule>
  </conditionalFormatting>
  <conditionalFormatting sqref="G206">
    <cfRule type="cellIs" dxfId="49" priority="17" stopIfTrue="1" operator="equal">
      <formula>0</formula>
    </cfRule>
  </conditionalFormatting>
  <conditionalFormatting sqref="G192">
    <cfRule type="cellIs" priority="16" stopIfTrue="1" operator="equal">
      <formula>";;;"</formula>
    </cfRule>
  </conditionalFormatting>
  <conditionalFormatting sqref="G192">
    <cfRule type="cellIs" dxfId="48" priority="15" stopIfTrue="1" operator="equal">
      <formula>0</formula>
    </cfRule>
  </conditionalFormatting>
  <conditionalFormatting sqref="G192">
    <cfRule type="cellIs" dxfId="47" priority="14" stopIfTrue="1" operator="equal">
      <formula>0</formula>
    </cfRule>
  </conditionalFormatting>
  <conditionalFormatting sqref="G190">
    <cfRule type="cellIs" priority="13" stopIfTrue="1" operator="equal">
      <formula>";;;"</formula>
    </cfRule>
  </conditionalFormatting>
  <conditionalFormatting sqref="G190">
    <cfRule type="cellIs" dxfId="46" priority="12" stopIfTrue="1" operator="equal">
      <formula>0</formula>
    </cfRule>
  </conditionalFormatting>
  <conditionalFormatting sqref="G190">
    <cfRule type="cellIs" dxfId="45" priority="11" stopIfTrue="1" operator="equal">
      <formula>0</formula>
    </cfRule>
  </conditionalFormatting>
  <conditionalFormatting sqref="G191">
    <cfRule type="cellIs" priority="10" stopIfTrue="1" operator="equal">
      <formula>";;;"</formula>
    </cfRule>
  </conditionalFormatting>
  <conditionalFormatting sqref="G191">
    <cfRule type="cellIs" dxfId="44" priority="9" stopIfTrue="1" operator="equal">
      <formula>0</formula>
    </cfRule>
  </conditionalFormatting>
  <conditionalFormatting sqref="G191">
    <cfRule type="cellIs" dxfId="43" priority="8" stopIfTrue="1" operator="equal">
      <formula>0</formula>
    </cfRule>
  </conditionalFormatting>
  <conditionalFormatting sqref="G194">
    <cfRule type="cellIs" priority="7" stopIfTrue="1" operator="equal">
      <formula>";;;"</formula>
    </cfRule>
  </conditionalFormatting>
  <conditionalFormatting sqref="G194">
    <cfRule type="cellIs" dxfId="42" priority="6" stopIfTrue="1" operator="equal">
      <formula>0</formula>
    </cfRule>
  </conditionalFormatting>
  <conditionalFormatting sqref="G194">
    <cfRule type="cellIs" dxfId="41" priority="5" stopIfTrue="1" operator="equal">
      <formula>0</formula>
    </cfRule>
  </conditionalFormatting>
  <dataValidations xWindow="854" yWindow="655" count="8">
    <dataValidation type="list" allowBlank="1" showInputMessage="1" showErrorMessage="1" promptTitle="Please Select from the drop down" prompt="Please select Yes if you have increased rates" sqref="F112:F113" xr:uid="{00000000-0002-0000-0100-000000000000}">
      <formula1>$K$1:$K$2</formula1>
    </dataValidation>
    <dataValidation type="list" allowBlank="1" showInputMessage="1" showErrorMessage="1" error="Please select from the drop down list" prompt="Please select from the drop down list" sqref="F195" xr:uid="{00000000-0002-0000-0100-000001000000}">
      <formula1>$M$2:$M$5</formula1>
    </dataValidation>
    <dataValidation type="list" allowBlank="1" showInputMessage="1" showErrorMessage="1" prompt="Please select Yes or No from the drop down list" sqref="F187" xr:uid="{00000000-0002-0000-0100-000002000000}">
      <formula1>$K$1:$K$2</formula1>
    </dataValidation>
    <dataValidation type="list" allowBlank="1" showInputMessage="1" showErrorMessage="1" prompt="Please select from the drop down box the most appropriate answer" sqref="F63" xr:uid="{00000000-0002-0000-0100-000003000000}">
      <formula1>$K$4:$K$5</formula1>
    </dataValidation>
    <dataValidation type="list" allowBlank="1" showInputMessage="1" showErrorMessage="1" prompt="Please select the appropriate number value from the drop-down box." sqref="F70" xr:uid="{00000000-0002-0000-0100-000005000000}">
      <formula1>$L$2:$L$4</formula1>
    </dataValidation>
    <dataValidation type="list" allowBlank="1" showInputMessage="1" showErrorMessage="1" prompt="Please select from the drop down box the most appropriate answer" sqref="F232" xr:uid="{00000000-0002-0000-0100-000006000000}">
      <formula1>$M$2:$M$3</formula1>
    </dataValidation>
    <dataValidation type="list" allowBlank="1" showInputMessage="1" showErrorMessage="1" prompt="Please select &quot;1&quot; for Yes or &quot;2&quot;  for No from drop down box." sqref="F230" xr:uid="{CD42375A-F259-475D-BB86-AB0C18F74654}">
      <formula1>$M$2:$M$3</formula1>
    </dataValidation>
    <dataValidation type="list" allowBlank="1" showInputMessage="1" showErrorMessage="1" prompt="Click on cell D2 and select the unit name from the drop down list" sqref="D2" xr:uid="{00000000-0002-0000-0100-000004000000}">
      <formula1>$J$6:$J$98</formula1>
    </dataValidation>
  </dataValidations>
  <printOptions headings="1" gridLines="1"/>
  <pageMargins left="0.25" right="0.25" top="0.25" bottom="0.75" header="0.3" footer="0.3"/>
  <pageSetup fitToHeight="0" orientation="portrait" r:id="rId1"/>
  <headerFooter>
    <oddFooter>&amp;LPage &amp;P&amp;R&amp;Z&amp;F</oddFooter>
  </headerFooter>
  <ignoredErrors>
    <ignoredError sqref="G9 H198 H201 G204" formula="1"/>
    <ignoredError sqref="H95 H82 H126:H127 H11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36"/>
  <sheetViews>
    <sheetView zoomScaleNormal="100" workbookViewId="0">
      <pane xSplit="3" ySplit="3" topLeftCell="D4" activePane="bottomRight" state="frozen"/>
      <selection activeCell="A2" sqref="A2"/>
      <selection pane="topRight" activeCell="A2" sqref="A2"/>
      <selection pane="bottomLeft" activeCell="A2" sqref="A2"/>
      <selection pane="bottomRight" activeCell="D5" sqref="D5"/>
    </sheetView>
  </sheetViews>
  <sheetFormatPr defaultRowHeight="15" x14ac:dyDescent="0.25"/>
  <cols>
    <col min="1" max="1" width="10.85546875" style="1" customWidth="1"/>
    <col min="2" max="2" width="11.28515625" style="277" customWidth="1"/>
    <col min="3" max="3" width="41.5703125" style="271" customWidth="1"/>
    <col min="4" max="4" width="18.140625" style="1" customWidth="1"/>
    <col min="5" max="5" width="15.85546875" style="1" customWidth="1"/>
    <col min="6" max="6" width="23.7109375" style="1" customWidth="1"/>
    <col min="7" max="7" width="20.85546875" style="334" customWidth="1"/>
    <col min="8" max="8" width="11.5703125" style="1" customWidth="1"/>
    <col min="9" max="9" width="1" style="232" customWidth="1"/>
    <col min="10" max="10" width="15.28515625" style="272" customWidth="1"/>
    <col min="11" max="11" width="30.42578125" style="53" customWidth="1"/>
    <col min="12" max="12" width="17.5703125" style="317" customWidth="1"/>
    <col min="13" max="13" width="1.42578125" style="1" customWidth="1"/>
    <col min="14" max="14" width="13.42578125" style="1" customWidth="1"/>
    <col min="15" max="15" width="16.140625" style="1" customWidth="1"/>
    <col min="16" max="16" width="6.42578125" style="1" customWidth="1"/>
    <col min="17" max="17" width="11.7109375" style="400" customWidth="1"/>
    <col min="18" max="18" width="9.140625" style="1"/>
    <col min="19" max="20" width="9.140625" style="1" hidden="1" customWidth="1"/>
    <col min="21" max="21" width="7.5703125" style="1" hidden="1" customWidth="1"/>
    <col min="22" max="23" width="9.140625" style="1" hidden="1" customWidth="1"/>
    <col min="24" max="16384" width="9.140625" style="1"/>
  </cols>
  <sheetData>
    <row r="1" spans="1:24" ht="18.75" x14ac:dyDescent="0.25">
      <c r="C1" s="273" t="s">
        <v>55</v>
      </c>
      <c r="D1" s="62">
        <f>L43-(L32+L33-L37-L38-L164)-L41</f>
        <v>0</v>
      </c>
      <c r="J1" s="285" t="s">
        <v>446</v>
      </c>
      <c r="K1" s="52"/>
      <c r="L1" s="318"/>
      <c r="M1" s="47"/>
      <c r="S1" s="1">
        <v>100</v>
      </c>
      <c r="T1" s="1">
        <v>1</v>
      </c>
    </row>
    <row r="2" spans="1:24" ht="18.75" x14ac:dyDescent="0.25">
      <c r="C2" s="345">
        <f>'Collection Worksheet'!D2</f>
        <v>0</v>
      </c>
      <c r="D2" s="56">
        <f>'Collection Worksheet'!F1</f>
        <v>2019</v>
      </c>
      <c r="E2" s="56">
        <f>D2</f>
        <v>2019</v>
      </c>
      <c r="F2" s="56"/>
      <c r="G2" s="335"/>
      <c r="H2" s="56"/>
      <c r="J2" s="264"/>
      <c r="K2" s="67" t="s">
        <v>66</v>
      </c>
      <c r="L2" s="304"/>
      <c r="S2" s="1">
        <v>200</v>
      </c>
      <c r="T2" s="1">
        <v>2</v>
      </c>
    </row>
    <row r="3" spans="1:24" ht="47.25" x14ac:dyDescent="0.25">
      <c r="A3" s="21" t="s">
        <v>61</v>
      </c>
      <c r="B3" s="278"/>
      <c r="C3" s="260" t="s">
        <v>1</v>
      </c>
      <c r="D3" s="68" t="s">
        <v>62</v>
      </c>
      <c r="E3" s="68" t="s">
        <v>63</v>
      </c>
      <c r="F3" s="69" t="s">
        <v>68</v>
      </c>
      <c r="G3" s="350" t="s">
        <v>438</v>
      </c>
      <c r="H3" s="69" t="s">
        <v>518</v>
      </c>
      <c r="J3" s="240" t="s">
        <v>61</v>
      </c>
      <c r="K3" s="51" t="s">
        <v>60</v>
      </c>
      <c r="L3" s="311" t="s">
        <v>39</v>
      </c>
      <c r="O3" s="1" t="s">
        <v>375</v>
      </c>
      <c r="Q3" s="393" t="s">
        <v>439</v>
      </c>
      <c r="S3" s="1">
        <v>300</v>
      </c>
      <c r="T3" s="1">
        <v>3</v>
      </c>
    </row>
    <row r="4" spans="1:24" ht="18.75" x14ac:dyDescent="0.3">
      <c r="A4" s="38"/>
      <c r="B4" s="279"/>
      <c r="C4" s="274"/>
      <c r="D4" s="39"/>
      <c r="E4" s="39"/>
      <c r="F4" s="39"/>
      <c r="G4" s="336"/>
      <c r="H4" s="39"/>
      <c r="J4" s="257"/>
      <c r="K4" s="55"/>
      <c r="L4" s="313"/>
      <c r="S4" s="1">
        <v>400</v>
      </c>
      <c r="T4" s="390">
        <v>4</v>
      </c>
    </row>
    <row r="5" spans="1:24" ht="57" customHeight="1" x14ac:dyDescent="0.25">
      <c r="A5" s="263">
        <f>'Collection Worksheet'!A7</f>
        <v>333</v>
      </c>
      <c r="B5" s="284" t="str">
        <f>'Collection Worksheet'!C7</f>
        <v>Net Position-Governmental Activities</v>
      </c>
      <c r="C5" s="255" t="str">
        <f>'Collection Worksheet'!D7</f>
        <v xml:space="preserve"> All unrestricted Cash and investments.  
Exclude: restricted cash 
                   cash held by a third party. </v>
      </c>
      <c r="D5" s="270"/>
      <c r="E5" s="261">
        <f>'Collection Worksheet'!F7</f>
        <v>0</v>
      </c>
      <c r="F5" s="253">
        <f>IF(L5&lt;0,"Error: Number is normally positive.",)</f>
        <v>0</v>
      </c>
      <c r="G5" s="337"/>
      <c r="H5" s="244">
        <f>'Collection Worksheet'!I7</f>
        <v>0</v>
      </c>
      <c r="I5" s="231"/>
      <c r="J5" s="239">
        <v>333</v>
      </c>
      <c r="K5" s="275" t="s">
        <v>269</v>
      </c>
      <c r="L5" s="315">
        <f>IF(D5="",E5,D5)</f>
        <v>0</v>
      </c>
      <c r="R5" s="390" t="b">
        <f>EXACT(A5,J5)</f>
        <v>1</v>
      </c>
      <c r="S5" s="1">
        <v>500</v>
      </c>
      <c r="T5" s="390">
        <v>5</v>
      </c>
      <c r="W5" s="1" t="b">
        <f>EXACT(A5,J5)</f>
        <v>1</v>
      </c>
      <c r="X5" s="691">
        <f>E5-L5</f>
        <v>0</v>
      </c>
    </row>
    <row r="6" spans="1:24" ht="39.75" customHeight="1" x14ac:dyDescent="0.25">
      <c r="A6" s="269">
        <f>'Collection Worksheet'!A8</f>
        <v>500</v>
      </c>
      <c r="B6" s="280" t="str">
        <f>'Collection Worksheet'!C8</f>
        <v>Net Position-Governmental Activities</v>
      </c>
      <c r="C6" s="267" t="str">
        <f>'Collection Worksheet'!D8</f>
        <v xml:space="preserve"> All restricted Cash and investments</v>
      </c>
      <c r="D6" s="397"/>
      <c r="E6" s="253">
        <f>'Collection Worksheet'!F8</f>
        <v>0</v>
      </c>
      <c r="F6" s="253">
        <f>IF(L6&lt;0,"Error: Number is normally positive.",)</f>
        <v>0</v>
      </c>
      <c r="G6" s="338"/>
      <c r="H6" s="244">
        <f>'Collection Worksheet'!I8</f>
        <v>0</v>
      </c>
      <c r="I6" s="231"/>
      <c r="J6" s="238">
        <v>500</v>
      </c>
      <c r="K6" s="228" t="s">
        <v>268</v>
      </c>
      <c r="L6" s="315">
        <f>IF(D6="",E6,D6)</f>
        <v>0</v>
      </c>
      <c r="P6" s="390"/>
      <c r="R6" s="545" t="b">
        <f t="shared" ref="R6:R69" si="0">EXACT(A6,J6)</f>
        <v>1</v>
      </c>
      <c r="T6" s="390">
        <v>6</v>
      </c>
      <c r="W6" s="390" t="b">
        <f t="shared" ref="W6:W69" si="1">EXACT(A6,J6)</f>
        <v>1</v>
      </c>
      <c r="X6" s="691">
        <f t="shared" ref="X6:X69" si="2">E6-L6</f>
        <v>0</v>
      </c>
    </row>
    <row r="7" spans="1:24" ht="43.5" customHeight="1" x14ac:dyDescent="0.25">
      <c r="A7" s="269">
        <f>'Collection Worksheet'!A9</f>
        <v>385</v>
      </c>
      <c r="B7" s="280" t="str">
        <f>'Collection Worksheet'!C9</f>
        <v>Net Position-Governmental Activities</v>
      </c>
      <c r="C7" s="267" t="str">
        <f>'Collection Worksheet'!D9</f>
        <v>Total Assets and deferred outflows</v>
      </c>
      <c r="D7" s="397"/>
      <c r="E7" s="253">
        <f>'Collection Worksheet'!F9</f>
        <v>0</v>
      </c>
      <c r="F7" s="389">
        <f>IF((L5+L6)&gt;L7,"Error: Please review accts (333 + 500) &gt; 385",)</f>
        <v>0</v>
      </c>
      <c r="G7" s="367" t="str">
        <f>IF(Q7=1," Included in error count"," ")</f>
        <v xml:space="preserve"> </v>
      </c>
      <c r="H7" s="244">
        <f>'Collection Worksheet'!I9</f>
        <v>0</v>
      </c>
      <c r="I7" s="231"/>
      <c r="J7" s="354">
        <v>385</v>
      </c>
      <c r="K7" s="355" t="s">
        <v>134</v>
      </c>
      <c r="L7" s="356">
        <f>IF(D7="",E7,D7)+IF(D9="",E9,D9)</f>
        <v>0</v>
      </c>
      <c r="N7" s="357" t="s">
        <v>422</v>
      </c>
      <c r="P7" s="390"/>
      <c r="R7" s="545" t="b">
        <f t="shared" si="0"/>
        <v>1</v>
      </c>
      <c r="T7" s="390">
        <v>7</v>
      </c>
      <c r="W7" s="390" t="b">
        <f t="shared" si="1"/>
        <v>1</v>
      </c>
      <c r="X7" s="691">
        <f t="shared" si="2"/>
        <v>0</v>
      </c>
    </row>
    <row r="8" spans="1:24" s="268" customFormat="1" ht="90.75" customHeight="1" x14ac:dyDescent="0.25">
      <c r="A8" s="269">
        <f>'Collection Worksheet'!A10</f>
        <v>575</v>
      </c>
      <c r="B8" s="280" t="str">
        <f>'Collection Worksheet'!C10</f>
        <v>Net Position-Governmental Activities</v>
      </c>
      <c r="C8" s="288" t="str">
        <f>'Collection Worksheet'!D10</f>
        <v xml:space="preserve">Record any positive Internal balances on the net position statements that appear in the Asset Section of the Net Position Statement
</v>
      </c>
      <c r="D8" s="397"/>
      <c r="E8" s="253">
        <f>'Collection Worksheet'!F10</f>
        <v>0</v>
      </c>
      <c r="F8" s="253">
        <f>IF(L8&lt;0,"Error: Number is normally positive.",)</f>
        <v>0</v>
      </c>
      <c r="G8" s="338"/>
      <c r="H8" s="244">
        <f>'Collection Worksheet'!I10</f>
        <v>0</v>
      </c>
      <c r="I8" s="231"/>
      <c r="J8" s="238">
        <v>575</v>
      </c>
      <c r="K8" s="376" t="s">
        <v>428</v>
      </c>
      <c r="L8" s="377">
        <f>IF(D8="",E8,D8)</f>
        <v>0</v>
      </c>
      <c r="N8" s="306"/>
      <c r="P8" s="390"/>
      <c r="Q8" s="400"/>
      <c r="R8" s="545" t="b">
        <f t="shared" si="0"/>
        <v>1</v>
      </c>
      <c r="W8" s="390" t="b">
        <f t="shared" si="1"/>
        <v>1</v>
      </c>
      <c r="X8" s="691">
        <f t="shared" si="2"/>
        <v>0</v>
      </c>
    </row>
    <row r="9" spans="1:24" s="268" customFormat="1" ht="103.5" customHeight="1" x14ac:dyDescent="0.25">
      <c r="A9" s="269">
        <f>'Collection Worksheet'!A11</f>
        <v>576</v>
      </c>
      <c r="B9" s="280" t="str">
        <f>'Collection Worksheet'!C11</f>
        <v>Net Position-Governmental Activities</v>
      </c>
      <c r="C9" s="288" t="str">
        <f>'Collection Worksheet'!D11</f>
        <v xml:space="preserve">Record any negative Internal balances on the net position statements that appear in the Asset Section of the Net Position Statement.
Enter as a positive
</v>
      </c>
      <c r="D9" s="397"/>
      <c r="E9" s="253">
        <f>'Collection Worksheet'!F11</f>
        <v>0</v>
      </c>
      <c r="F9" s="79">
        <f>IF(E9&lt;0,"Error: Enter as positive.",)</f>
        <v>0</v>
      </c>
      <c r="G9" s="338"/>
      <c r="H9" s="244">
        <f>'Collection Worksheet'!I11</f>
        <v>0</v>
      </c>
      <c r="I9" s="231"/>
      <c r="J9" s="238">
        <v>576</v>
      </c>
      <c r="K9" s="376" t="s">
        <v>429</v>
      </c>
      <c r="L9" s="377">
        <f>IF(D9="",E9,D9)</f>
        <v>0</v>
      </c>
      <c r="N9" s="306"/>
      <c r="P9" s="390"/>
      <c r="Q9" s="400"/>
      <c r="R9" s="545" t="b">
        <f t="shared" si="0"/>
        <v>1</v>
      </c>
      <c r="W9" s="390" t="b">
        <f t="shared" si="1"/>
        <v>1</v>
      </c>
      <c r="X9" s="691">
        <f t="shared" si="2"/>
        <v>0</v>
      </c>
    </row>
    <row r="10" spans="1:24" ht="183" customHeight="1" x14ac:dyDescent="0.25">
      <c r="A10" s="269">
        <f>'Collection Worksheet'!A12</f>
        <v>336</v>
      </c>
      <c r="B10" s="280" t="str">
        <f>'Collection Worksheet'!C12</f>
        <v>Net Position-Governmental Activities</v>
      </c>
      <c r="C10" s="383" t="str">
        <f>'Collection Worksheet'!D12</f>
        <v xml:space="preserve">Current liabilities
Include:   Current liabilities and current portion of long-term debt. 
Exclude:   Bond Anticipation Notes
                  Compensated  Absences
                  Pension liabilities
                  Liabilities payable from restricted assets
                  Other post employment liabilities (OPEB)
                  Deferred inflows.
</v>
      </c>
      <c r="D10" s="397"/>
      <c r="E10" s="253">
        <f>'Collection Worksheet'!F12</f>
        <v>0</v>
      </c>
      <c r="F10" s="253">
        <f>IF(L10&lt;0,"Error: Enter as a positive.",)</f>
        <v>0</v>
      </c>
      <c r="G10" s="338"/>
      <c r="H10" s="244">
        <f>'Collection Worksheet'!I12</f>
        <v>0</v>
      </c>
      <c r="I10" s="231"/>
      <c r="J10" s="354">
        <v>336</v>
      </c>
      <c r="K10" s="355" t="s">
        <v>270</v>
      </c>
      <c r="L10" s="356">
        <f>IF(D10="",E10,D10)+IF(D9="",E9,D9)</f>
        <v>0</v>
      </c>
      <c r="N10" s="357" t="s">
        <v>422</v>
      </c>
      <c r="P10" s="390"/>
      <c r="R10" s="545" t="b">
        <f t="shared" si="0"/>
        <v>1</v>
      </c>
      <c r="W10" s="390" t="b">
        <f t="shared" si="1"/>
        <v>1</v>
      </c>
      <c r="X10" s="691">
        <f t="shared" si="2"/>
        <v>0</v>
      </c>
    </row>
    <row r="11" spans="1:24" ht="45" x14ac:dyDescent="0.25">
      <c r="A11" s="269">
        <f>'Collection Worksheet'!A13</f>
        <v>338</v>
      </c>
      <c r="B11" s="280" t="str">
        <f>'Collection Worksheet'!C13</f>
        <v>Net Position-Governmental Activities</v>
      </c>
      <c r="C11" s="267" t="str">
        <f>'Collection Worksheet'!D13</f>
        <v>Total Liabilities and total deferred inflows</v>
      </c>
      <c r="D11" s="397"/>
      <c r="E11" s="253">
        <f>'Collection Worksheet'!F13</f>
        <v>0</v>
      </c>
      <c r="F11" s="389">
        <f>IF(L10&gt;L11,"Error: Please review accts 336 &gt; 338",)</f>
        <v>0</v>
      </c>
      <c r="G11" s="338"/>
      <c r="H11" s="244">
        <f>'Collection Worksheet'!I13</f>
        <v>0</v>
      </c>
      <c r="I11" s="231"/>
      <c r="J11" s="354">
        <v>338</v>
      </c>
      <c r="K11" s="355" t="s">
        <v>135</v>
      </c>
      <c r="L11" s="356">
        <f>IF(D11="",E11,D11)+IF(D9="",E9,D9)</f>
        <v>0</v>
      </c>
      <c r="N11" s="357" t="s">
        <v>422</v>
      </c>
      <c r="P11" s="390"/>
      <c r="R11" s="545" t="b">
        <f t="shared" si="0"/>
        <v>1</v>
      </c>
      <c r="W11" s="390" t="b">
        <f t="shared" si="1"/>
        <v>1</v>
      </c>
      <c r="X11" s="691">
        <f t="shared" si="2"/>
        <v>0</v>
      </c>
    </row>
    <row r="12" spans="1:24" ht="100.5" customHeight="1" x14ac:dyDescent="0.25">
      <c r="A12" s="269">
        <f>'Collection Worksheet'!A14</f>
        <v>335</v>
      </c>
      <c r="B12" s="280" t="str">
        <f>'Collection Worksheet'!C14</f>
        <v>Net Position-Governmental Activities</v>
      </c>
      <c r="C12" s="267" t="str">
        <f>'Collection Worksheet'!D14</f>
        <v>Unearned revenues that were included in current liabilities in your audit report or entered in acct # 336 above. 
Exclude - unearned revenues that are listed in deferred inflows.</v>
      </c>
      <c r="D12" s="397"/>
      <c r="E12" s="253">
        <f>'Collection Worksheet'!F14</f>
        <v>0</v>
      </c>
      <c r="F12" s="253">
        <f>IF(L12&lt;0,"Error: Enter as a positive.",)</f>
        <v>0</v>
      </c>
      <c r="G12" s="338"/>
      <c r="H12" s="244">
        <f>'Collection Worksheet'!I14</f>
        <v>0</v>
      </c>
      <c r="I12" s="231"/>
      <c r="J12" s="238">
        <v>335</v>
      </c>
      <c r="K12" s="228" t="s">
        <v>136</v>
      </c>
      <c r="L12" s="315">
        <f t="shared" ref="L12:L44" si="3">IF(D12="",E12,D12)</f>
        <v>0</v>
      </c>
      <c r="P12" s="390"/>
      <c r="R12" s="545" t="b">
        <f t="shared" si="0"/>
        <v>1</v>
      </c>
      <c r="W12" s="390" t="b">
        <f t="shared" si="1"/>
        <v>1</v>
      </c>
      <c r="X12" s="691">
        <f t="shared" si="2"/>
        <v>0</v>
      </c>
    </row>
    <row r="13" spans="1:24" ht="33.75" x14ac:dyDescent="0.25">
      <c r="A13" s="269">
        <f>'Collection Worksheet'!A15</f>
        <v>252</v>
      </c>
      <c r="B13" s="280" t="str">
        <f>'Collection Worksheet'!C15</f>
        <v>Net Position-Governmental Activities</v>
      </c>
      <c r="C13" s="267" t="str">
        <f>'Collection Worksheet'!D15</f>
        <v xml:space="preserve"> Total Net investment in capital assets</v>
      </c>
      <c r="D13" s="397"/>
      <c r="E13" s="253">
        <f>'Collection Worksheet'!F15</f>
        <v>0</v>
      </c>
      <c r="F13" s="253"/>
      <c r="G13" s="338"/>
      <c r="H13" s="244">
        <f>'Collection Worksheet'!I15</f>
        <v>0</v>
      </c>
      <c r="I13" s="231"/>
      <c r="J13" s="238">
        <v>252</v>
      </c>
      <c r="K13" s="228" t="s">
        <v>122</v>
      </c>
      <c r="L13" s="315">
        <f t="shared" si="3"/>
        <v>0</v>
      </c>
      <c r="O13" s="217" t="e">
        <f>'Collection Worksheet'!E15</f>
        <v>#N/A</v>
      </c>
      <c r="P13" s="390"/>
      <c r="R13" s="545" t="b">
        <f t="shared" si="0"/>
        <v>1</v>
      </c>
      <c r="W13" s="390" t="b">
        <f t="shared" si="1"/>
        <v>1</v>
      </c>
      <c r="X13" s="691">
        <f t="shared" si="2"/>
        <v>0</v>
      </c>
    </row>
    <row r="14" spans="1:24" ht="33.75" x14ac:dyDescent="0.25">
      <c r="A14" s="269">
        <f>'Collection Worksheet'!A16</f>
        <v>253</v>
      </c>
      <c r="B14" s="280" t="str">
        <f>'Collection Worksheet'!C16</f>
        <v>Net Position-Governmental Activities</v>
      </c>
      <c r="C14" s="267" t="str">
        <f>'Collection Worksheet'!D16</f>
        <v xml:space="preserve"> Total Net Position, Restricted</v>
      </c>
      <c r="D14" s="397"/>
      <c r="E14" s="253">
        <f>'Collection Worksheet'!F16</f>
        <v>0</v>
      </c>
      <c r="F14" s="253"/>
      <c r="G14" s="338"/>
      <c r="H14" s="244">
        <f>'Collection Worksheet'!I16</f>
        <v>0</v>
      </c>
      <c r="I14" s="231"/>
      <c r="J14" s="238">
        <v>253</v>
      </c>
      <c r="K14" s="228" t="s">
        <v>123</v>
      </c>
      <c r="L14" s="315">
        <f t="shared" si="3"/>
        <v>0</v>
      </c>
      <c r="O14" s="217" t="e">
        <f>'Collection Worksheet'!E16</f>
        <v>#N/A</v>
      </c>
      <c r="P14" s="390"/>
      <c r="R14" s="545" t="b">
        <f t="shared" si="0"/>
        <v>1</v>
      </c>
      <c r="W14" s="390" t="b">
        <f t="shared" si="1"/>
        <v>1</v>
      </c>
      <c r="X14" s="691">
        <f t="shared" si="2"/>
        <v>0</v>
      </c>
    </row>
    <row r="15" spans="1:24" ht="73.5" customHeight="1" x14ac:dyDescent="0.25">
      <c r="A15" s="269">
        <f>'Collection Worksheet'!A17</f>
        <v>254</v>
      </c>
      <c r="B15" s="280" t="str">
        <f>'Collection Worksheet'!C17</f>
        <v>Net Position-Governmental Activities</v>
      </c>
      <c r="C15" s="267" t="str">
        <f>'Collection Worksheet'!D17</f>
        <v>Total Net Position, Unrestricted - enter negative unrestricted net position as a negative)</v>
      </c>
      <c r="D15" s="397"/>
      <c r="E15" s="253">
        <f>'Collection Worksheet'!F17</f>
        <v>0</v>
      </c>
      <c r="F15" s="253">
        <f>IF((L7-L11-L13-L14-L15)=0,,"Error: Total assets and deferred outflows less total liabilities and deferred inflows do not equal total net position accts 385-338-252-253-254")</f>
        <v>0</v>
      </c>
      <c r="G15" s="421">
        <f>+L7-L11-L13-L14-L15</f>
        <v>0</v>
      </c>
      <c r="H15" s="244">
        <f>'Collection Worksheet'!I17</f>
        <v>0</v>
      </c>
      <c r="I15" s="231"/>
      <c r="J15" s="238">
        <v>254</v>
      </c>
      <c r="K15" s="228" t="s">
        <v>124</v>
      </c>
      <c r="L15" s="315">
        <f t="shared" si="3"/>
        <v>0</v>
      </c>
      <c r="O15" s="217" t="e">
        <f>'Collection Worksheet'!E17</f>
        <v>#N/A</v>
      </c>
      <c r="P15" s="390"/>
      <c r="Q15" s="400">
        <f>IF(G15&lt;&gt;0,1,)</f>
        <v>0</v>
      </c>
      <c r="R15" s="545" t="b">
        <f t="shared" si="0"/>
        <v>1</v>
      </c>
      <c r="W15" s="390" t="b">
        <f t="shared" si="1"/>
        <v>1</v>
      </c>
      <c r="X15" s="691">
        <f t="shared" si="2"/>
        <v>0</v>
      </c>
    </row>
    <row r="16" spans="1:24" ht="45" x14ac:dyDescent="0.25">
      <c r="A16" s="269">
        <f>'Collection Worksheet'!A19</f>
        <v>502</v>
      </c>
      <c r="B16" s="280" t="str">
        <f>'Collection Worksheet'!C19</f>
        <v>Net Position-Business Activities</v>
      </c>
      <c r="C16" s="267" t="str">
        <f>'Collection Worksheet'!D19</f>
        <v xml:space="preserve">All unrestricted Cash and investments. 
Exclude restricted cash and cash held by a third party. </v>
      </c>
      <c r="D16" s="397"/>
      <c r="E16" s="253">
        <f>'Collection Worksheet'!F19</f>
        <v>0</v>
      </c>
      <c r="F16" s="253">
        <f>IF(L16&lt;0,"Error: Number is normally positive.",)</f>
        <v>0</v>
      </c>
      <c r="G16" s="338"/>
      <c r="H16" s="244">
        <f>'Collection Worksheet'!I19</f>
        <v>0</v>
      </c>
      <c r="I16" s="231"/>
      <c r="J16" s="238">
        <v>502</v>
      </c>
      <c r="K16" s="228" t="s">
        <v>271</v>
      </c>
      <c r="L16" s="316">
        <f t="shared" si="3"/>
        <v>0</v>
      </c>
      <c r="P16" s="390"/>
      <c r="R16" s="545" t="b">
        <f t="shared" si="0"/>
        <v>1</v>
      </c>
      <c r="W16" s="390" t="b">
        <f t="shared" si="1"/>
        <v>1</v>
      </c>
      <c r="X16" s="691">
        <f t="shared" si="2"/>
        <v>0</v>
      </c>
    </row>
    <row r="17" spans="1:24" ht="40.5" customHeight="1" x14ac:dyDescent="0.25">
      <c r="A17" s="269">
        <f>'Collection Worksheet'!A20</f>
        <v>503</v>
      </c>
      <c r="B17" s="280" t="str">
        <f>'Collection Worksheet'!C20</f>
        <v>Net Position-Business Activities</v>
      </c>
      <c r="C17" s="267" t="str">
        <f>'Collection Worksheet'!D20</f>
        <v>All restricted Cash and investments</v>
      </c>
      <c r="D17" s="397"/>
      <c r="E17" s="253">
        <f>'Collection Worksheet'!F20</f>
        <v>0</v>
      </c>
      <c r="F17" s="253">
        <f>IF(L17&lt;0,"Error: Number is normally positive.",)</f>
        <v>0</v>
      </c>
      <c r="G17" s="338"/>
      <c r="H17" s="244">
        <f>'Collection Worksheet'!I20</f>
        <v>0</v>
      </c>
      <c r="I17" s="231"/>
      <c r="J17" s="238">
        <v>503</v>
      </c>
      <c r="K17" s="228" t="s">
        <v>272</v>
      </c>
      <c r="L17" s="316">
        <f t="shared" si="3"/>
        <v>0</v>
      </c>
      <c r="P17" s="390"/>
      <c r="R17" s="545" t="b">
        <f t="shared" si="0"/>
        <v>1</v>
      </c>
      <c r="W17" s="390" t="b">
        <f t="shared" si="1"/>
        <v>1</v>
      </c>
      <c r="X17" s="691">
        <f t="shared" si="2"/>
        <v>0</v>
      </c>
    </row>
    <row r="18" spans="1:24" ht="33.75" x14ac:dyDescent="0.25">
      <c r="A18" s="269">
        <f>'Collection Worksheet'!A22</f>
        <v>344</v>
      </c>
      <c r="B18" s="280" t="str">
        <f>'Collection Worksheet'!C22</f>
        <v>Statement of Activities - Governmental</v>
      </c>
      <c r="C18" s="267" t="str">
        <f>'Collection Worksheet'!D22</f>
        <v xml:space="preserve">Total Interest expense on Long-Term Debt </v>
      </c>
      <c r="D18" s="397"/>
      <c r="E18" s="253">
        <f>'Collection Worksheet'!F22</f>
        <v>0</v>
      </c>
      <c r="F18" s="253">
        <f>IF(L18&lt;0,"Error: Enter as a positive.",)</f>
        <v>0</v>
      </c>
      <c r="G18" s="338"/>
      <c r="H18" s="244">
        <f>'Collection Worksheet'!I22</f>
        <v>0</v>
      </c>
      <c r="I18" s="231"/>
      <c r="J18" s="238">
        <v>344</v>
      </c>
      <c r="K18" s="228" t="s">
        <v>273</v>
      </c>
      <c r="L18" s="316">
        <f t="shared" si="3"/>
        <v>0</v>
      </c>
      <c r="P18" s="390"/>
      <c r="R18" s="545" t="b">
        <f t="shared" si="0"/>
        <v>1</v>
      </c>
      <c r="W18" s="390" t="b">
        <f t="shared" si="1"/>
        <v>1</v>
      </c>
      <c r="X18" s="691">
        <f t="shared" si="2"/>
        <v>0</v>
      </c>
    </row>
    <row r="19" spans="1:24" ht="30.75" customHeight="1" x14ac:dyDescent="0.25">
      <c r="A19" s="269">
        <f>'Collection Worksheet'!A23</f>
        <v>388</v>
      </c>
      <c r="B19" s="280" t="str">
        <f>'Collection Worksheet'!C23</f>
        <v>Statement of Activities - Governmental</v>
      </c>
      <c r="C19" s="267" t="str">
        <f>'Collection Worksheet'!D23</f>
        <v>Total Expenses</v>
      </c>
      <c r="D19" s="397"/>
      <c r="E19" s="253">
        <f>'Collection Worksheet'!F23</f>
        <v>0</v>
      </c>
      <c r="F19" s="253">
        <f t="shared" ref="F19:F24" si="4">IF(L19&lt;0,"Error: Number is normally positive.",)</f>
        <v>0</v>
      </c>
      <c r="G19" s="338"/>
      <c r="H19" s="244">
        <f>'Collection Worksheet'!I23</f>
        <v>0</v>
      </c>
      <c r="I19" s="231"/>
      <c r="J19" s="238">
        <v>388</v>
      </c>
      <c r="K19" s="228" t="s">
        <v>274</v>
      </c>
      <c r="L19" s="316">
        <f t="shared" si="3"/>
        <v>0</v>
      </c>
      <c r="P19" s="390"/>
      <c r="R19" s="545" t="b">
        <f t="shared" si="0"/>
        <v>1</v>
      </c>
      <c r="W19" s="390" t="b">
        <f t="shared" si="1"/>
        <v>1</v>
      </c>
      <c r="X19" s="691">
        <f t="shared" si="2"/>
        <v>0</v>
      </c>
    </row>
    <row r="20" spans="1:24" ht="29.25" customHeight="1" x14ac:dyDescent="0.25">
      <c r="A20" s="269">
        <f>'Collection Worksheet'!A24</f>
        <v>339</v>
      </c>
      <c r="B20" s="280" t="str">
        <f>'Collection Worksheet'!C24</f>
        <v>Statement of Activities - Governmental</v>
      </c>
      <c r="C20" s="267" t="str">
        <f>'Collection Worksheet'!D24</f>
        <v xml:space="preserve">Charges for services </v>
      </c>
      <c r="D20" s="397"/>
      <c r="E20" s="253">
        <f>'Collection Worksheet'!F24</f>
        <v>0</v>
      </c>
      <c r="F20" s="253">
        <f t="shared" si="4"/>
        <v>0</v>
      </c>
      <c r="G20" s="338"/>
      <c r="H20" s="244">
        <f>'Collection Worksheet'!I24</f>
        <v>0</v>
      </c>
      <c r="I20" s="231"/>
      <c r="J20" s="238">
        <v>339</v>
      </c>
      <c r="K20" s="228" t="s">
        <v>275</v>
      </c>
      <c r="L20" s="316">
        <f t="shared" si="3"/>
        <v>0</v>
      </c>
      <c r="P20" s="390"/>
      <c r="R20" s="545" t="b">
        <f t="shared" si="0"/>
        <v>1</v>
      </c>
      <c r="W20" s="390" t="b">
        <f t="shared" si="1"/>
        <v>1</v>
      </c>
      <c r="X20" s="691">
        <f t="shared" si="2"/>
        <v>0</v>
      </c>
    </row>
    <row r="21" spans="1:24" ht="33.75" x14ac:dyDescent="0.25">
      <c r="A21" s="269">
        <f>'Collection Worksheet'!A25</f>
        <v>504</v>
      </c>
      <c r="B21" s="280" t="str">
        <f>'Collection Worksheet'!C25</f>
        <v>Statement of Activities - Governmental</v>
      </c>
      <c r="C21" s="267" t="str">
        <f>'Collection Worksheet'!D25</f>
        <v>Operating grants and contributions</v>
      </c>
      <c r="D21" s="397"/>
      <c r="E21" s="253">
        <f>'Collection Worksheet'!F25</f>
        <v>0</v>
      </c>
      <c r="F21" s="253">
        <f t="shared" si="4"/>
        <v>0</v>
      </c>
      <c r="G21" s="338"/>
      <c r="H21" s="244">
        <f>'Collection Worksheet'!I25</f>
        <v>0</v>
      </c>
      <c r="I21" s="231"/>
      <c r="J21" s="238">
        <v>504</v>
      </c>
      <c r="K21" s="228" t="s">
        <v>276</v>
      </c>
      <c r="L21" s="316">
        <f t="shared" si="3"/>
        <v>0</v>
      </c>
      <c r="P21" s="390"/>
      <c r="R21" s="545" t="b">
        <f t="shared" si="0"/>
        <v>1</v>
      </c>
      <c r="W21" s="390" t="b">
        <f t="shared" si="1"/>
        <v>1</v>
      </c>
      <c r="X21" s="691">
        <f t="shared" si="2"/>
        <v>0</v>
      </c>
    </row>
    <row r="22" spans="1:24" ht="33.75" x14ac:dyDescent="0.25">
      <c r="A22" s="269">
        <f>'Collection Worksheet'!A26</f>
        <v>505</v>
      </c>
      <c r="B22" s="280" t="str">
        <f>'Collection Worksheet'!C26</f>
        <v>Statement of Activities - Governmental</v>
      </c>
      <c r="C22" s="267" t="str">
        <f>'Collection Worksheet'!D26</f>
        <v>Capital grants and contributions</v>
      </c>
      <c r="D22" s="397"/>
      <c r="E22" s="253">
        <f>'Collection Worksheet'!F26</f>
        <v>0</v>
      </c>
      <c r="F22" s="253">
        <f t="shared" si="4"/>
        <v>0</v>
      </c>
      <c r="G22" s="338"/>
      <c r="H22" s="244">
        <f>'Collection Worksheet'!I26</f>
        <v>0</v>
      </c>
      <c r="I22" s="231"/>
      <c r="J22" s="238">
        <v>505</v>
      </c>
      <c r="K22" s="228" t="s">
        <v>277</v>
      </c>
      <c r="L22" s="316">
        <f t="shared" si="3"/>
        <v>0</v>
      </c>
      <c r="P22" s="390"/>
      <c r="R22" s="545" t="b">
        <f t="shared" si="0"/>
        <v>1</v>
      </c>
      <c r="W22" s="390" t="b">
        <f t="shared" si="1"/>
        <v>1</v>
      </c>
      <c r="X22" s="691">
        <f t="shared" si="2"/>
        <v>0</v>
      </c>
    </row>
    <row r="23" spans="1:24" ht="72" customHeight="1" x14ac:dyDescent="0.25">
      <c r="A23" s="269">
        <f>'Collection Worksheet'!A27</f>
        <v>341</v>
      </c>
      <c r="B23" s="280" t="str">
        <f>'Collection Worksheet'!C27</f>
        <v>Statement of Activities - Governmental</v>
      </c>
      <c r="C23" s="267" t="str">
        <f>'Collection Worksheet'!D27</f>
        <v>Total General revenues
Exclude: transfers-in or out,
                 special items,
                 extraordinary amounts</v>
      </c>
      <c r="D23" s="397"/>
      <c r="E23" s="253">
        <f>'Collection Worksheet'!F27</f>
        <v>0</v>
      </c>
      <c r="F23" s="253">
        <f t="shared" si="4"/>
        <v>0</v>
      </c>
      <c r="G23" s="338"/>
      <c r="H23" s="244">
        <f>'Collection Worksheet'!I27</f>
        <v>0</v>
      </c>
      <c r="I23" s="231"/>
      <c r="J23" s="238">
        <v>341</v>
      </c>
      <c r="K23" s="228" t="s">
        <v>278</v>
      </c>
      <c r="L23" s="316">
        <f t="shared" si="3"/>
        <v>0</v>
      </c>
      <c r="P23" s="390"/>
      <c r="R23" s="545" t="b">
        <f t="shared" si="0"/>
        <v>1</v>
      </c>
      <c r="W23" s="390" t="b">
        <f t="shared" si="1"/>
        <v>1</v>
      </c>
      <c r="X23" s="691">
        <f t="shared" si="2"/>
        <v>0</v>
      </c>
    </row>
    <row r="24" spans="1:24" ht="45" x14ac:dyDescent="0.25">
      <c r="A24" s="269">
        <f>'Collection Worksheet'!A28</f>
        <v>386</v>
      </c>
      <c r="B24" s="280" t="str">
        <f>'Collection Worksheet'!C28</f>
        <v>Statement of Activities - Governmental</v>
      </c>
      <c r="C24" s="267" t="str">
        <f>'Collection Worksheet'!D28</f>
        <v>Total Transfers in    (Preference is that transfers-in  are not netted against transfers-out)</v>
      </c>
      <c r="D24" s="397"/>
      <c r="E24" s="253">
        <f>'Collection Worksheet'!F28</f>
        <v>0</v>
      </c>
      <c r="F24" s="253">
        <f t="shared" si="4"/>
        <v>0</v>
      </c>
      <c r="G24" s="338"/>
      <c r="H24" s="244">
        <f>'Collection Worksheet'!I28</f>
        <v>0</v>
      </c>
      <c r="I24" s="231"/>
      <c r="J24" s="238">
        <v>386</v>
      </c>
      <c r="K24" s="228" t="s">
        <v>279</v>
      </c>
      <c r="L24" s="316">
        <f t="shared" si="3"/>
        <v>0</v>
      </c>
      <c r="P24" s="390"/>
      <c r="R24" s="545" t="b">
        <f t="shared" si="0"/>
        <v>1</v>
      </c>
      <c r="W24" s="390" t="b">
        <f t="shared" si="1"/>
        <v>1</v>
      </c>
      <c r="X24" s="691">
        <f t="shared" si="2"/>
        <v>0</v>
      </c>
    </row>
    <row r="25" spans="1:24" ht="45" x14ac:dyDescent="0.25">
      <c r="A25" s="269">
        <f>'Collection Worksheet'!A29</f>
        <v>387</v>
      </c>
      <c r="B25" s="280" t="str">
        <f>'Collection Worksheet'!C29</f>
        <v>Statement of Activities - Governmental</v>
      </c>
      <c r="C25" s="267" t="str">
        <f>'Collection Worksheet'!D29</f>
        <v>Total Transfers out    (Preference is that transfers-in  are not netted against transfers-out)</v>
      </c>
      <c r="D25" s="397"/>
      <c r="E25" s="253">
        <f>'Collection Worksheet'!F29</f>
        <v>0</v>
      </c>
      <c r="F25" s="253">
        <f>IF(L25&lt;0,"Error: Enter as a positive.",)</f>
        <v>0</v>
      </c>
      <c r="G25" s="338"/>
      <c r="H25" s="244">
        <f>'Collection Worksheet'!I29</f>
        <v>0</v>
      </c>
      <c r="I25" s="231"/>
      <c r="J25" s="238">
        <v>387</v>
      </c>
      <c r="K25" s="228" t="s">
        <v>280</v>
      </c>
      <c r="L25" s="316">
        <f t="shared" si="3"/>
        <v>0</v>
      </c>
      <c r="P25" s="390"/>
      <c r="R25" s="545" t="b">
        <f t="shared" si="0"/>
        <v>1</v>
      </c>
      <c r="W25" s="390" t="b">
        <f t="shared" si="1"/>
        <v>1</v>
      </c>
      <c r="X25" s="691">
        <f t="shared" si="2"/>
        <v>0</v>
      </c>
    </row>
    <row r="26" spans="1:24" ht="88.5" customHeight="1" x14ac:dyDescent="0.25">
      <c r="A26" s="269">
        <f>'Collection Worksheet'!A30</f>
        <v>389</v>
      </c>
      <c r="B26" s="280" t="str">
        <f>'Collection Worksheet'!C30</f>
        <v>Statement of Activities - Governmental</v>
      </c>
      <c r="C26" s="267" t="str">
        <f>'Collection Worksheet'!D30</f>
        <v>Total Special and Extraordinary items.    (Amounts that increase net position are recorded as positive and amounts that decrease net position are recorded as negative)</v>
      </c>
      <c r="D26" s="397"/>
      <c r="E26" s="253">
        <f>'Collection Worksheet'!F30</f>
        <v>0</v>
      </c>
      <c r="F26" s="253"/>
      <c r="G26" s="367"/>
      <c r="H26" s="244">
        <f>'Collection Worksheet'!I30</f>
        <v>0</v>
      </c>
      <c r="I26" s="231"/>
      <c r="J26" s="238">
        <v>389</v>
      </c>
      <c r="K26" s="228" t="s">
        <v>281</v>
      </c>
      <c r="L26" s="316">
        <f t="shared" si="3"/>
        <v>0</v>
      </c>
      <c r="P26" s="390"/>
      <c r="R26" s="545" t="b">
        <f t="shared" si="0"/>
        <v>1</v>
      </c>
      <c r="W26" s="390" t="b">
        <f t="shared" si="1"/>
        <v>1</v>
      </c>
      <c r="X26" s="691">
        <f t="shared" si="2"/>
        <v>0</v>
      </c>
    </row>
    <row r="27" spans="1:24" ht="79.5" customHeight="1" x14ac:dyDescent="0.25">
      <c r="A27" s="269">
        <f>'Collection Worksheet'!A31</f>
        <v>255</v>
      </c>
      <c r="B27" s="280" t="str">
        <f>'Collection Worksheet'!C31</f>
        <v>Statement of Activities - Governmental</v>
      </c>
      <c r="C27" s="267" t="str">
        <f>'Collection Worksheet'!D31</f>
        <v>Total Change in net position - (Increase in net position is recorded as a positive and a decrease in net position is recorded as a negative)</v>
      </c>
      <c r="D27" s="397"/>
      <c r="E27" s="253">
        <f>'Collection Worksheet'!F31</f>
        <v>0</v>
      </c>
      <c r="F27" s="253">
        <f>IF((L20+L21+L22+L23+L24-L25+L26-L19-L27)=0,,"Total revenues less total expenses do not equal total change in net position. Acct 339+504+505+341+386-387+389-388-255=0")</f>
        <v>0</v>
      </c>
      <c r="G27" s="422">
        <f>L20+L21+L22+L23+L24-L25+L26-L19-L27</f>
        <v>0</v>
      </c>
      <c r="H27" s="244">
        <f>'Collection Worksheet'!I31</f>
        <v>0</v>
      </c>
      <c r="I27" s="231"/>
      <c r="J27" s="238">
        <v>255</v>
      </c>
      <c r="K27" s="228" t="s">
        <v>282</v>
      </c>
      <c r="L27" s="316">
        <f t="shared" si="3"/>
        <v>0</v>
      </c>
      <c r="O27" s="217" t="e">
        <f>'Collection Worksheet'!E31</f>
        <v>#N/A</v>
      </c>
      <c r="P27" s="390"/>
      <c r="Q27" s="400">
        <f>IF(G27&lt;&gt;0,1,)</f>
        <v>0</v>
      </c>
      <c r="R27" s="545" t="b">
        <f t="shared" si="0"/>
        <v>1</v>
      </c>
      <c r="W27" s="390" t="b">
        <f t="shared" si="1"/>
        <v>1</v>
      </c>
      <c r="X27" s="691">
        <f t="shared" si="2"/>
        <v>0</v>
      </c>
    </row>
    <row r="28" spans="1:24" ht="89.25" customHeight="1" x14ac:dyDescent="0.25">
      <c r="A28" s="269">
        <f>'Collection Worksheet'!A32</f>
        <v>376</v>
      </c>
      <c r="B28" s="280" t="str">
        <f>'Collection Worksheet'!C32</f>
        <v>Statement of Activities - Governmental</v>
      </c>
      <c r="C28" s="267" t="str">
        <f>'Collection Worksheet'!D32</f>
        <v>Any adjustment to beginning net position including rounding, prior period adjustments and restatements.   (Increases to net position are positive; decreases to net position are negative)</v>
      </c>
      <c r="D28" s="397"/>
      <c r="E28" s="253">
        <f>'Collection Worksheet'!F32</f>
        <v>0</v>
      </c>
      <c r="F28" s="252" t="e">
        <f>IF(L13+L14+L15-L27-L28=O13+O14+O15,,"Beginning Balance does not agree with our records acct (252+253+254-255-376=252+253+254)")</f>
        <v>#N/A</v>
      </c>
      <c r="G28" s="423" t="e">
        <f>L13+L14+L15-L27-L28-(O13+O14+O15)</f>
        <v>#N/A</v>
      </c>
      <c r="H28" s="244">
        <f>'Collection Worksheet'!I32</f>
        <v>0</v>
      </c>
      <c r="I28" s="231"/>
      <c r="J28" s="238">
        <v>376</v>
      </c>
      <c r="K28" s="228" t="s">
        <v>127</v>
      </c>
      <c r="L28" s="316">
        <f t="shared" si="3"/>
        <v>0</v>
      </c>
      <c r="O28" s="217" t="e">
        <f>'Collection Worksheet'!E32</f>
        <v>#N/A</v>
      </c>
      <c r="P28" s="390"/>
      <c r="Q28" s="400" t="e">
        <f>IF(G28&lt;&gt;0,1,)</f>
        <v>#N/A</v>
      </c>
      <c r="R28" s="545" t="b">
        <f t="shared" si="0"/>
        <v>1</v>
      </c>
      <c r="W28" s="390" t="b">
        <f t="shared" si="1"/>
        <v>1</v>
      </c>
      <c r="X28" s="691">
        <f t="shared" si="2"/>
        <v>0</v>
      </c>
    </row>
    <row r="29" spans="1:24" s="268" customFormat="1" ht="193.5" customHeight="1" x14ac:dyDescent="0.25">
      <c r="A29" s="408">
        <f>'Collection Worksheet'!A33</f>
        <v>597</v>
      </c>
      <c r="B29" s="409" t="str">
        <f>'Collection Worksheet'!C33</f>
        <v>Statement of Activities                               (all governmental and business funds)</v>
      </c>
      <c r="C29" s="407" t="str">
        <f>'Collection Worksheet'!D33</f>
        <v>Amount of interest income and investment income recognized as revenue in your audit report for all governmental and proprietary funds.  In the past we have asked you to adjust this number, but this year we would like the number as it appears on your Statement of Activities without adjustment.</v>
      </c>
      <c r="D29" s="397"/>
      <c r="E29" s="253">
        <f>'Collection Worksheet'!F33</f>
        <v>0</v>
      </c>
      <c r="F29" s="253">
        <f>IF(L29&lt;0,"Error: Number is normally positive.",)</f>
        <v>0</v>
      </c>
      <c r="G29" s="338"/>
      <c r="H29" s="244">
        <f>'Collection Worksheet'!I33</f>
        <v>0</v>
      </c>
      <c r="I29" s="231"/>
      <c r="J29" s="405">
        <v>597</v>
      </c>
      <c r="K29" s="404" t="s">
        <v>484</v>
      </c>
      <c r="L29" s="316">
        <f t="shared" si="3"/>
        <v>0</v>
      </c>
      <c r="O29" s="217"/>
      <c r="P29" s="390"/>
      <c r="Q29" s="400"/>
      <c r="R29" s="545" t="b">
        <f t="shared" si="0"/>
        <v>1</v>
      </c>
      <c r="W29" s="390" t="b">
        <f t="shared" si="1"/>
        <v>1</v>
      </c>
      <c r="X29" s="691">
        <f t="shared" si="2"/>
        <v>0</v>
      </c>
    </row>
    <row r="30" spans="1:24" s="268" customFormat="1" ht="90" customHeight="1" x14ac:dyDescent="0.25">
      <c r="A30" s="408">
        <f>'Collection Worksheet'!A35</f>
        <v>592</v>
      </c>
      <c r="B30" s="409" t="str">
        <f>'Collection Worksheet'!C35</f>
        <v>Statement of Activities - Business Activities</v>
      </c>
      <c r="C30" s="407" t="str">
        <f>'Collection Worksheet'!D35</f>
        <v>Total Change in net position Business Type 
(Increase in net position is recorded as a positive and a decrease in net position is recorded as a negative)</v>
      </c>
      <c r="D30" s="397"/>
      <c r="E30" s="358">
        <f>'Collection Worksheet'!F35</f>
        <v>0</v>
      </c>
      <c r="F30" s="358"/>
      <c r="G30" s="367"/>
      <c r="H30" s="244">
        <f>'Collection Worksheet'!I35</f>
        <v>0</v>
      </c>
      <c r="I30" s="231"/>
      <c r="J30" s="405">
        <v>592</v>
      </c>
      <c r="K30" s="404" t="s">
        <v>468</v>
      </c>
      <c r="L30" s="316">
        <f t="shared" si="3"/>
        <v>0</v>
      </c>
      <c r="O30" s="217"/>
      <c r="P30" s="390"/>
      <c r="Q30" s="400"/>
      <c r="R30" s="545" t="b">
        <f t="shared" si="0"/>
        <v>1</v>
      </c>
      <c r="W30" s="390" t="b">
        <f t="shared" si="1"/>
        <v>1</v>
      </c>
      <c r="X30" s="691">
        <f t="shared" si="2"/>
        <v>0</v>
      </c>
    </row>
    <row r="31" spans="1:24" s="268" customFormat="1" ht="102" customHeight="1" x14ac:dyDescent="0.25">
      <c r="A31" s="408">
        <f>'Collection Worksheet'!A36</f>
        <v>591</v>
      </c>
      <c r="B31" s="409" t="str">
        <f>'Collection Worksheet'!C36</f>
        <v>Statement of Activities - Business Activities</v>
      </c>
      <c r="C31" s="407" t="str">
        <f>'Collection Worksheet'!D36</f>
        <v>Total Expenses - Exclude Transfers</v>
      </c>
      <c r="D31" s="397"/>
      <c r="E31" s="358">
        <f>'Collection Worksheet'!F36</f>
        <v>0</v>
      </c>
      <c r="F31" s="403">
        <f>IF(L31&lt;0,"Error: Enter as a positive.",)</f>
        <v>0</v>
      </c>
      <c r="G31" s="367"/>
      <c r="H31" s="244">
        <f>'Collection Worksheet'!I36</f>
        <v>0</v>
      </c>
      <c r="I31" s="231"/>
      <c r="J31" s="405">
        <v>591</v>
      </c>
      <c r="K31" s="404" t="s">
        <v>467</v>
      </c>
      <c r="L31" s="316">
        <f t="shared" si="3"/>
        <v>0</v>
      </c>
      <c r="O31" s="217"/>
      <c r="P31" s="390"/>
      <c r="Q31" s="400"/>
      <c r="R31" s="545" t="b">
        <f t="shared" si="0"/>
        <v>1</v>
      </c>
      <c r="W31" s="390" t="b">
        <f t="shared" si="1"/>
        <v>1</v>
      </c>
      <c r="X31" s="691">
        <f t="shared" si="2"/>
        <v>0</v>
      </c>
    </row>
    <row r="32" spans="1:24" ht="54" customHeight="1" x14ac:dyDescent="0.25">
      <c r="A32" s="269">
        <f>'Collection Worksheet'!A38</f>
        <v>506</v>
      </c>
      <c r="B32" s="281" t="str">
        <f>'Collection Worksheet'!C38</f>
        <v>General Fund-Balance Sheet</v>
      </c>
      <c r="C32" s="259" t="str">
        <f>'Collection Worksheet'!D38</f>
        <v xml:space="preserve">All unrestricted cash and investments.  
Exclude restricted cash and cash held by a third party. </v>
      </c>
      <c r="D32" s="397"/>
      <c r="E32" s="229">
        <f>'Collection Worksheet'!F38</f>
        <v>0</v>
      </c>
      <c r="F32" s="229">
        <f>IF(L32&lt;0,"Error: Number is normally positive.",)</f>
        <v>0</v>
      </c>
      <c r="G32" s="339"/>
      <c r="H32" s="244">
        <f>'Collection Worksheet'!I38</f>
        <v>0</v>
      </c>
      <c r="I32" s="231"/>
      <c r="J32" s="237">
        <v>506</v>
      </c>
      <c r="K32" s="228" t="s">
        <v>283</v>
      </c>
      <c r="L32" s="314">
        <f t="shared" si="3"/>
        <v>0</v>
      </c>
      <c r="P32" s="390"/>
      <c r="R32" s="545" t="b">
        <f t="shared" si="0"/>
        <v>1</v>
      </c>
      <c r="W32" s="390" t="b">
        <f t="shared" si="1"/>
        <v>1</v>
      </c>
      <c r="X32" s="691">
        <f t="shared" si="2"/>
        <v>0</v>
      </c>
    </row>
    <row r="33" spans="1:24" ht="45.75" customHeight="1" x14ac:dyDescent="0.25">
      <c r="A33" s="269">
        <f>'Collection Worksheet'!A39</f>
        <v>536</v>
      </c>
      <c r="B33" s="281" t="str">
        <f>'Collection Worksheet'!C39</f>
        <v>General Fund-Balance Sheet</v>
      </c>
      <c r="C33" s="259" t="str">
        <f>'Collection Worksheet'!D39</f>
        <v>All restricted cash and investments</v>
      </c>
      <c r="D33" s="397"/>
      <c r="E33" s="229">
        <f>'Collection Worksheet'!F39</f>
        <v>0</v>
      </c>
      <c r="F33" s="229">
        <f>IF(L33&lt;0,"Error: Number is normally positive.",)</f>
        <v>0</v>
      </c>
      <c r="G33" s="339"/>
      <c r="H33" s="244">
        <f>'Collection Worksheet'!I39</f>
        <v>0</v>
      </c>
      <c r="I33" s="231"/>
      <c r="J33" s="237">
        <v>536</v>
      </c>
      <c r="K33" s="228" t="s">
        <v>284</v>
      </c>
      <c r="L33" s="314">
        <f t="shared" si="3"/>
        <v>0</v>
      </c>
      <c r="P33" s="390"/>
      <c r="R33" s="545" t="b">
        <f t="shared" si="0"/>
        <v>1</v>
      </c>
      <c r="W33" s="390" t="b">
        <f t="shared" si="1"/>
        <v>1</v>
      </c>
      <c r="X33" s="691">
        <f t="shared" si="2"/>
        <v>0</v>
      </c>
    </row>
    <row r="34" spans="1:24" s="268" customFormat="1" ht="45.75" customHeight="1" x14ac:dyDescent="0.25">
      <c r="A34" s="269">
        <f>'Collection Worksheet'!A40</f>
        <v>586</v>
      </c>
      <c r="B34" s="280" t="str">
        <f>'Collection Worksheet'!C40</f>
        <v>General Fund-Balance Sheet</v>
      </c>
      <c r="C34" s="288" t="str">
        <f>'Collection Worksheet'!D40</f>
        <v>Advance To: Interfund loan receivable-portion of repayment plan longer than 12 months</v>
      </c>
      <c r="D34" s="397"/>
      <c r="E34" s="253">
        <f>'Collection Worksheet'!F40</f>
        <v>0</v>
      </c>
      <c r="F34" s="253"/>
      <c r="G34" s="338"/>
      <c r="H34" s="244"/>
      <c r="I34" s="231"/>
      <c r="J34" s="238">
        <v>586</v>
      </c>
      <c r="K34" s="288" t="s">
        <v>453</v>
      </c>
      <c r="L34" s="305">
        <f t="shared" si="3"/>
        <v>0</v>
      </c>
      <c r="P34" s="390"/>
      <c r="Q34" s="400"/>
      <c r="R34" s="545" t="b">
        <f t="shared" si="0"/>
        <v>1</v>
      </c>
      <c r="W34" s="390" t="b">
        <f t="shared" si="1"/>
        <v>1</v>
      </c>
      <c r="X34" s="691">
        <f t="shared" si="2"/>
        <v>0</v>
      </c>
    </row>
    <row r="35" spans="1:24" ht="30" x14ac:dyDescent="0.25">
      <c r="A35" s="269">
        <f>'Collection Worksheet'!A41</f>
        <v>379</v>
      </c>
      <c r="B35" s="280" t="str">
        <f>'Collection Worksheet'!C41</f>
        <v>General Fund-Balance Sheet</v>
      </c>
      <c r="C35" s="267" t="str">
        <f>'Collection Worksheet'!D41</f>
        <v>Total Assets and deferred outflows</v>
      </c>
      <c r="D35" s="397"/>
      <c r="E35" s="253">
        <f>'Collection Worksheet'!F41</f>
        <v>0</v>
      </c>
      <c r="F35" s="386">
        <f>IF((L32+L33)&gt;L35,"Error: Please review accts (506+536)&gt;379",)</f>
        <v>0</v>
      </c>
      <c r="G35" s="367" t="str">
        <f>IF(Q35=1," Included in error count"," ")</f>
        <v xml:space="preserve"> </v>
      </c>
      <c r="H35" s="244">
        <f>'Collection Worksheet'!I41</f>
        <v>0</v>
      </c>
      <c r="I35" s="231"/>
      <c r="J35" s="238">
        <v>379</v>
      </c>
      <c r="K35" s="228" t="s">
        <v>137</v>
      </c>
      <c r="L35" s="316">
        <f t="shared" si="3"/>
        <v>0</v>
      </c>
      <c r="P35" s="390"/>
      <c r="Q35" s="400">
        <f>IF(L32+L33&gt;L35,1,)</f>
        <v>0</v>
      </c>
      <c r="R35" s="545" t="b">
        <f t="shared" si="0"/>
        <v>1</v>
      </c>
      <c r="W35" s="390" t="b">
        <f t="shared" si="1"/>
        <v>1</v>
      </c>
      <c r="X35" s="691">
        <f t="shared" si="2"/>
        <v>0</v>
      </c>
    </row>
    <row r="36" spans="1:24" ht="97.5" customHeight="1" x14ac:dyDescent="0.25">
      <c r="A36" s="269">
        <f>'Collection Worksheet'!A42</f>
        <v>368</v>
      </c>
      <c r="B36" s="280" t="str">
        <f>'Collection Worksheet'!C42</f>
        <v>General Fund-Balance Sheet</v>
      </c>
      <c r="C36" s="267" t="str">
        <f>'Collection Worksheet'!D42</f>
        <v>Total Liabilities payable from restricted assets (only complete if this is listed in your financial statements for the general fund and the auditor has listed the cash to be used to pay the liabilities as restricted)</v>
      </c>
      <c r="D36" s="397"/>
      <c r="E36" s="253">
        <f>'Collection Worksheet'!F42</f>
        <v>0</v>
      </c>
      <c r="F36" s="253">
        <f>IF(L36&lt;0,"Error: Enter as a positive.",)</f>
        <v>0</v>
      </c>
      <c r="G36" s="338"/>
      <c r="H36" s="244">
        <f>'Collection Worksheet'!I42</f>
        <v>0</v>
      </c>
      <c r="I36" s="231"/>
      <c r="J36" s="238">
        <v>368</v>
      </c>
      <c r="K36" s="228" t="s">
        <v>285</v>
      </c>
      <c r="L36" s="316">
        <f t="shared" si="3"/>
        <v>0</v>
      </c>
      <c r="P36" s="390"/>
      <c r="R36" s="545" t="b">
        <f t="shared" si="0"/>
        <v>1</v>
      </c>
      <c r="W36" s="390" t="b">
        <f t="shared" si="1"/>
        <v>1</v>
      </c>
      <c r="X36" s="691">
        <f t="shared" si="2"/>
        <v>0</v>
      </c>
    </row>
    <row r="37" spans="1:24" ht="70.5" customHeight="1" x14ac:dyDescent="0.25">
      <c r="A37" s="269">
        <f>'Collection Worksheet'!A43</f>
        <v>4</v>
      </c>
      <c r="B37" s="281" t="str">
        <f>'Collection Worksheet'!C43</f>
        <v>General Fund-Balance Sheet</v>
      </c>
      <c r="C37" s="259" t="str">
        <f>'Collection Worksheet'!D43</f>
        <v>Current Liabilities 
Exclude all deferred inflows. 
Include advance from(long-term portion of interfund loans)</v>
      </c>
      <c r="D37" s="397"/>
      <c r="E37" s="229">
        <f>'Collection Worksheet'!F43</f>
        <v>0</v>
      </c>
      <c r="F37" s="229">
        <f t="shared" ref="F37:F44" si="5">IF(L37&lt;0,"Error: Enter as a positive.",)</f>
        <v>0</v>
      </c>
      <c r="G37" s="339"/>
      <c r="H37" s="244">
        <f>'Collection Worksheet'!I43</f>
        <v>0</v>
      </c>
      <c r="I37" s="231"/>
      <c r="J37" s="237">
        <v>4</v>
      </c>
      <c r="K37" s="228" t="s">
        <v>138</v>
      </c>
      <c r="L37" s="314">
        <f t="shared" si="3"/>
        <v>0</v>
      </c>
      <c r="P37" s="390"/>
      <c r="R37" s="545" t="b">
        <f t="shared" si="0"/>
        <v>1</v>
      </c>
      <c r="W37" s="390" t="b">
        <f t="shared" si="1"/>
        <v>1</v>
      </c>
      <c r="X37" s="691">
        <f t="shared" si="2"/>
        <v>0</v>
      </c>
    </row>
    <row r="38" spans="1:24" ht="131.25" customHeight="1" x14ac:dyDescent="0.25">
      <c r="A38" s="269">
        <f>'Collection Worksheet'!A44</f>
        <v>5</v>
      </c>
      <c r="B38" s="281" t="str">
        <f>'Collection Worksheet'!C44</f>
        <v>General Fund-Balance Sheet</v>
      </c>
      <c r="C38" s="259" t="str">
        <f>'Collection Worksheet'!D44</f>
        <v>General fund deferred inflows derived from cash receipts. 
 Prepaid taxes is a common item listed.  Deferred inflows on the face of the statements can include cash and non-cash.  You may have to refer to the note disclosure where the cash and non-cash is broken out.</v>
      </c>
      <c r="D38" s="397"/>
      <c r="E38" s="229">
        <f>'Collection Worksheet'!F44</f>
        <v>0</v>
      </c>
      <c r="F38" s="229">
        <f t="shared" si="5"/>
        <v>0</v>
      </c>
      <c r="G38" s="339"/>
      <c r="H38" s="244">
        <f>'Collection Worksheet'!I44</f>
        <v>0</v>
      </c>
      <c r="I38" s="231"/>
      <c r="J38" s="237">
        <v>5</v>
      </c>
      <c r="K38" s="228" t="s">
        <v>139</v>
      </c>
      <c r="L38" s="314">
        <f t="shared" si="3"/>
        <v>0</v>
      </c>
      <c r="P38" s="390"/>
      <c r="R38" s="545" t="b">
        <f t="shared" si="0"/>
        <v>1</v>
      </c>
      <c r="W38" s="390" t="b">
        <f t="shared" si="1"/>
        <v>1</v>
      </c>
      <c r="X38" s="691">
        <f t="shared" si="2"/>
        <v>0</v>
      </c>
    </row>
    <row r="39" spans="1:24" ht="104.25" customHeight="1" x14ac:dyDescent="0.25">
      <c r="A39" s="269">
        <f>'Collection Worksheet'!A45</f>
        <v>380</v>
      </c>
      <c r="B39" s="280" t="str">
        <f>'Collection Worksheet'!C45</f>
        <v>General Fund-Balance Sheet</v>
      </c>
      <c r="C39" s="267" t="str">
        <f>'Collection Worksheet'!D45</f>
        <v>Total Deferred inflows not derived from cash receipts.  Deferred inflows on the face of the statements can include cash and non-cash.  You may have to refer to the note disclosure where the cash and non-cash is broken out.</v>
      </c>
      <c r="D39" s="397"/>
      <c r="E39" s="253">
        <f>'Collection Worksheet'!F45</f>
        <v>0</v>
      </c>
      <c r="F39" s="253">
        <f t="shared" si="5"/>
        <v>0</v>
      </c>
      <c r="G39" s="338"/>
      <c r="H39" s="244">
        <f>'Collection Worksheet'!I45</f>
        <v>0</v>
      </c>
      <c r="I39" s="231"/>
      <c r="J39" s="238">
        <v>380</v>
      </c>
      <c r="K39" s="228" t="s">
        <v>140</v>
      </c>
      <c r="L39" s="316">
        <f t="shared" si="3"/>
        <v>0</v>
      </c>
      <c r="P39" s="390"/>
      <c r="R39" s="545" t="b">
        <f t="shared" si="0"/>
        <v>1</v>
      </c>
      <c r="W39" s="390" t="b">
        <f t="shared" si="1"/>
        <v>1</v>
      </c>
      <c r="X39" s="691">
        <f t="shared" si="2"/>
        <v>0</v>
      </c>
    </row>
    <row r="40" spans="1:24" ht="30" x14ac:dyDescent="0.25">
      <c r="A40" s="269">
        <f>'Collection Worksheet'!A46</f>
        <v>391</v>
      </c>
      <c r="B40" s="280" t="str">
        <f>'Collection Worksheet'!C46</f>
        <v>General Fund-Balance Sheet</v>
      </c>
      <c r="C40" s="267" t="str">
        <f>'Collection Worksheet'!D46</f>
        <v xml:space="preserve">Fund balance, Restricted for Stabilization by State Statute </v>
      </c>
      <c r="D40" s="397"/>
      <c r="E40" s="253">
        <f>'Collection Worksheet'!F46</f>
        <v>0</v>
      </c>
      <c r="F40" s="253">
        <f t="shared" si="5"/>
        <v>0</v>
      </c>
      <c r="G40" s="338"/>
      <c r="H40" s="244">
        <f>'Collection Worksheet'!I46</f>
        <v>0</v>
      </c>
      <c r="I40" s="231"/>
      <c r="J40" s="238">
        <v>391</v>
      </c>
      <c r="K40" s="228" t="s">
        <v>286</v>
      </c>
      <c r="L40" s="316">
        <f t="shared" si="3"/>
        <v>0</v>
      </c>
      <c r="P40" s="390"/>
      <c r="R40" s="545" t="b">
        <f t="shared" si="0"/>
        <v>1</v>
      </c>
      <c r="W40" s="390" t="b">
        <f t="shared" si="1"/>
        <v>1</v>
      </c>
      <c r="X40" s="691">
        <f t="shared" si="2"/>
        <v>0</v>
      </c>
    </row>
    <row r="41" spans="1:24" ht="30" x14ac:dyDescent="0.25">
      <c r="A41" s="269">
        <f>'Collection Worksheet'!A47</f>
        <v>7</v>
      </c>
      <c r="B41" s="281" t="str">
        <f>'Collection Worksheet'!C47</f>
        <v>General Fund-Balance Sheet</v>
      </c>
      <c r="C41" s="259" t="str">
        <f>'Collection Worksheet'!D47</f>
        <v>Fund balance, Nonspendable-  inventory/prepaids/etc.</v>
      </c>
      <c r="D41" s="397"/>
      <c r="E41" s="229">
        <f>'Collection Worksheet'!F47</f>
        <v>0</v>
      </c>
      <c r="F41" s="229">
        <f t="shared" si="5"/>
        <v>0</v>
      </c>
      <c r="G41" s="339"/>
      <c r="H41" s="244">
        <f>'Collection Worksheet'!I47</f>
        <v>0</v>
      </c>
      <c r="I41" s="231"/>
      <c r="J41" s="237">
        <v>7</v>
      </c>
      <c r="K41" s="228" t="s">
        <v>287</v>
      </c>
      <c r="L41" s="314">
        <f t="shared" si="3"/>
        <v>0</v>
      </c>
      <c r="P41" s="390"/>
      <c r="R41" s="545" t="b">
        <f t="shared" si="0"/>
        <v>1</v>
      </c>
      <c r="W41" s="390" t="b">
        <f t="shared" si="1"/>
        <v>1</v>
      </c>
      <c r="X41" s="691">
        <f t="shared" si="2"/>
        <v>0</v>
      </c>
    </row>
    <row r="42" spans="1:24" ht="89.25" customHeight="1" x14ac:dyDescent="0.25">
      <c r="A42" s="269">
        <f>'Collection Worksheet'!A48</f>
        <v>11</v>
      </c>
      <c r="B42" s="280" t="str">
        <f>'Collection Worksheet'!C48</f>
        <v>General Fund-Balance Sheet</v>
      </c>
      <c r="C42" s="267" t="str">
        <f>'Collection Worksheet'!D48</f>
        <v>Fund balance, Restricted for Streets (unspent Powell Bill balance).  You may have to refer to the note disclosure where restricted fund balance is described.</v>
      </c>
      <c r="D42" s="397"/>
      <c r="E42" s="253">
        <f>'Collection Worksheet'!F48</f>
        <v>0</v>
      </c>
      <c r="F42" s="253">
        <f t="shared" si="5"/>
        <v>0</v>
      </c>
      <c r="G42" s="338"/>
      <c r="H42" s="244">
        <f>'Collection Worksheet'!I48</f>
        <v>0</v>
      </c>
      <c r="I42" s="231"/>
      <c r="J42" s="238">
        <v>11</v>
      </c>
      <c r="K42" s="228" t="s">
        <v>288</v>
      </c>
      <c r="L42" s="316">
        <f t="shared" si="3"/>
        <v>0</v>
      </c>
      <c r="P42" s="390"/>
      <c r="R42" s="545" t="b">
        <f t="shared" si="0"/>
        <v>1</v>
      </c>
      <c r="W42" s="390" t="b">
        <f t="shared" si="1"/>
        <v>1</v>
      </c>
      <c r="X42" s="691">
        <f t="shared" si="2"/>
        <v>0</v>
      </c>
    </row>
    <row r="43" spans="1:24" ht="55.5" customHeight="1" x14ac:dyDescent="0.25">
      <c r="A43" s="269">
        <f>'Collection Worksheet'!A49</f>
        <v>9</v>
      </c>
      <c r="B43" s="281" t="str">
        <f>'Collection Worksheet'!C49</f>
        <v>General Fund-Balance Sheet</v>
      </c>
      <c r="C43" s="259" t="str">
        <f>'Collection Worksheet'!D49</f>
        <v>Total Fund balance (enter fund deficits as negative)</v>
      </c>
      <c r="D43" s="397"/>
      <c r="E43" s="229">
        <f>'Collection Worksheet'!F49</f>
        <v>0</v>
      </c>
      <c r="F43" s="266">
        <f>IF(L35-L37-L38-L39-L43=0,,"Error: Total assets less total liabilities do not equal Acct +379-4-5-380-9=0")</f>
        <v>0</v>
      </c>
      <c r="G43" s="424">
        <f>L35-L37-L38-L39-L43</f>
        <v>0</v>
      </c>
      <c r="H43" s="244">
        <f>'Collection Worksheet'!I49</f>
        <v>0</v>
      </c>
      <c r="I43" s="231"/>
      <c r="J43" s="237">
        <v>9</v>
      </c>
      <c r="K43" s="228" t="s">
        <v>289</v>
      </c>
      <c r="L43" s="314">
        <f t="shared" si="3"/>
        <v>0</v>
      </c>
      <c r="O43" s="217" t="e">
        <f>'Collection Worksheet'!E49</f>
        <v>#N/A</v>
      </c>
      <c r="P43" s="390"/>
      <c r="Q43" s="400">
        <f>IF(G43&lt;&gt;0,1,)</f>
        <v>0</v>
      </c>
      <c r="R43" s="545" t="b">
        <f t="shared" si="0"/>
        <v>1</v>
      </c>
      <c r="W43" s="390" t="b">
        <f t="shared" si="1"/>
        <v>1</v>
      </c>
      <c r="X43" s="691">
        <f t="shared" si="2"/>
        <v>0</v>
      </c>
    </row>
    <row r="44" spans="1:24" s="4" customFormat="1" ht="33.75" x14ac:dyDescent="0.25">
      <c r="A44" s="269">
        <f>'Collection Worksheet'!A50</f>
        <v>540</v>
      </c>
      <c r="B44" s="280" t="str">
        <f>'Collection Worksheet'!C50</f>
        <v>General Fund - Budget Actual Statement</v>
      </c>
      <c r="C44" s="288" t="str">
        <f>'Collection Worksheet'!D50</f>
        <v>Amount of the General Fund Balance appropriated in next year's budget.</v>
      </c>
      <c r="D44" s="397"/>
      <c r="E44" s="253">
        <f>'Collection Worksheet'!F50</f>
        <v>0</v>
      </c>
      <c r="F44" s="253">
        <f t="shared" si="5"/>
        <v>0</v>
      </c>
      <c r="G44" s="338"/>
      <c r="H44" s="244">
        <f>'Collection Worksheet'!I50</f>
        <v>0</v>
      </c>
      <c r="I44" s="231"/>
      <c r="J44" s="238">
        <v>540</v>
      </c>
      <c r="K44" s="228" t="s">
        <v>347</v>
      </c>
      <c r="L44" s="305">
        <f t="shared" si="3"/>
        <v>0</v>
      </c>
      <c r="P44" s="390"/>
      <c r="Q44" s="400"/>
      <c r="R44" s="545" t="b">
        <f t="shared" si="0"/>
        <v>1</v>
      </c>
      <c r="W44" s="390" t="b">
        <f t="shared" si="1"/>
        <v>1</v>
      </c>
      <c r="X44" s="691">
        <f t="shared" si="2"/>
        <v>0</v>
      </c>
    </row>
    <row r="45" spans="1:24" ht="45" x14ac:dyDescent="0.25">
      <c r="A45" s="269">
        <f>'Collection Worksheet'!A52</f>
        <v>369</v>
      </c>
      <c r="B45" s="280" t="str">
        <f>'Collection Worksheet'!C52</f>
        <v>General Fund-Rev, Exp. Change in Fund Balance</v>
      </c>
      <c r="C45" s="267" t="str">
        <f>'Collection Worksheet'!D52</f>
        <v>Total Intergovernmental revenue 
Include restricted and unrestricted revenues</v>
      </c>
      <c r="D45" s="397"/>
      <c r="E45" s="253">
        <f>'Collection Worksheet'!F52</f>
        <v>0</v>
      </c>
      <c r="F45" s="358"/>
      <c r="G45" s="338"/>
      <c r="H45" s="244">
        <f>'Collection Worksheet'!I52</f>
        <v>0</v>
      </c>
      <c r="I45" s="231"/>
      <c r="J45" s="238">
        <v>369</v>
      </c>
      <c r="K45" s="228" t="s">
        <v>290</v>
      </c>
      <c r="L45" s="305">
        <f t="shared" ref="L45:L94" si="6">IF(D45="",E45,D45)</f>
        <v>0</v>
      </c>
      <c r="P45" s="390"/>
      <c r="R45" s="545" t="b">
        <f t="shared" si="0"/>
        <v>1</v>
      </c>
      <c r="W45" s="390" t="b">
        <f t="shared" si="1"/>
        <v>1</v>
      </c>
      <c r="X45" s="691">
        <f t="shared" si="2"/>
        <v>0</v>
      </c>
    </row>
    <row r="46" spans="1:24" ht="45" x14ac:dyDescent="0.25">
      <c r="A46" s="269">
        <f>'Collection Worksheet'!A53</f>
        <v>16</v>
      </c>
      <c r="B46" s="280" t="str">
        <f>'Collection Worksheet'!C53</f>
        <v>General Fund-Rev, Exp. Change in Fund Balance</v>
      </c>
      <c r="C46" s="267" t="str">
        <f>'Collection Worksheet'!D53</f>
        <v>Total revenues</v>
      </c>
      <c r="D46" s="397"/>
      <c r="E46" s="253">
        <f>'Collection Worksheet'!F53</f>
        <v>0</v>
      </c>
      <c r="F46" s="358"/>
      <c r="G46" s="338"/>
      <c r="H46" s="244">
        <f>'Collection Worksheet'!I53</f>
        <v>0</v>
      </c>
      <c r="I46" s="231"/>
      <c r="J46" s="238">
        <v>16</v>
      </c>
      <c r="K46" s="228" t="s">
        <v>291</v>
      </c>
      <c r="L46" s="305">
        <f t="shared" si="6"/>
        <v>0</v>
      </c>
      <c r="P46" s="390"/>
      <c r="R46" s="545" t="b">
        <f t="shared" si="0"/>
        <v>1</v>
      </c>
      <c r="W46" s="390" t="b">
        <f t="shared" si="1"/>
        <v>1</v>
      </c>
      <c r="X46" s="691">
        <f t="shared" si="2"/>
        <v>0</v>
      </c>
    </row>
    <row r="47" spans="1:24" ht="45" x14ac:dyDescent="0.25">
      <c r="A47" s="269">
        <f>'Collection Worksheet'!A54</f>
        <v>370</v>
      </c>
      <c r="B47" s="280" t="str">
        <f>'Collection Worksheet'!C54</f>
        <v>General Fund-Rev, Exp. Change in Fund Balance</v>
      </c>
      <c r="C47" s="267" t="str">
        <f>'Collection Worksheet'!D54</f>
        <v>Debt service expenditures. 
Include principal, interest paid, and bond/debt issuance costs on long-term debt</v>
      </c>
      <c r="D47" s="397"/>
      <c r="E47" s="253">
        <f>'Collection Worksheet'!F54</f>
        <v>0</v>
      </c>
      <c r="F47" s="253">
        <f t="shared" ref="F47:F53" si="7">IF(L47&lt;0,"Error: Enter as a positive.",)</f>
        <v>0</v>
      </c>
      <c r="G47" s="338"/>
      <c r="H47" s="244">
        <f>'Collection Worksheet'!I54</f>
        <v>0</v>
      </c>
      <c r="I47" s="231"/>
      <c r="J47" s="238">
        <v>370</v>
      </c>
      <c r="K47" s="228" t="s">
        <v>292</v>
      </c>
      <c r="L47" s="305">
        <f t="shared" si="6"/>
        <v>0</v>
      </c>
      <c r="P47" s="390"/>
      <c r="R47" s="545" t="b">
        <f t="shared" si="0"/>
        <v>1</v>
      </c>
      <c r="W47" s="390" t="b">
        <f t="shared" si="1"/>
        <v>1</v>
      </c>
      <c r="X47" s="691">
        <f t="shared" si="2"/>
        <v>0</v>
      </c>
    </row>
    <row r="48" spans="1:24" ht="60" x14ac:dyDescent="0.25">
      <c r="A48" s="269">
        <f>'Collection Worksheet'!A55</f>
        <v>532</v>
      </c>
      <c r="B48" s="280" t="str">
        <f>'Collection Worksheet'!C55</f>
        <v>General Fund-Rev, Exp. Change in Fund Balance</v>
      </c>
      <c r="C48" s="267" t="str">
        <f>'Collection Worksheet'!D55</f>
        <v xml:space="preserve">Total expenditures  
Exclude expenditures in the "other financing sources (uses)" section.
</v>
      </c>
      <c r="D48" s="397"/>
      <c r="E48" s="253">
        <f>'Collection Worksheet'!F55</f>
        <v>0</v>
      </c>
      <c r="F48" s="253">
        <f t="shared" si="7"/>
        <v>0</v>
      </c>
      <c r="G48" s="338"/>
      <c r="H48" s="244">
        <f>'Collection Worksheet'!I55</f>
        <v>0</v>
      </c>
      <c r="I48" s="231"/>
      <c r="J48" s="238">
        <v>532</v>
      </c>
      <c r="K48" s="251" t="s">
        <v>293</v>
      </c>
      <c r="L48" s="305">
        <f t="shared" si="6"/>
        <v>0</v>
      </c>
      <c r="P48" s="390"/>
      <c r="R48" s="545" t="b">
        <f t="shared" si="0"/>
        <v>1</v>
      </c>
      <c r="W48" s="390" t="b">
        <f t="shared" si="1"/>
        <v>1</v>
      </c>
      <c r="X48" s="691">
        <f t="shared" si="2"/>
        <v>0</v>
      </c>
    </row>
    <row r="49" spans="1:24" ht="45" x14ac:dyDescent="0.25">
      <c r="A49" s="269">
        <f>'Collection Worksheet'!A56</f>
        <v>17</v>
      </c>
      <c r="B49" s="280" t="str">
        <f>'Collection Worksheet'!C56</f>
        <v>General Fund-Rev, Exp. Change in Fund Balance</v>
      </c>
      <c r="C49" s="267" t="str">
        <f>'Collection Worksheet'!D56</f>
        <v>Total Transfers in    (Preference is that transfers-in  are not netted against transfers-out)</v>
      </c>
      <c r="D49" s="397"/>
      <c r="E49" s="253">
        <f>'Collection Worksheet'!F56</f>
        <v>0</v>
      </c>
      <c r="F49" s="253">
        <f t="shared" si="7"/>
        <v>0</v>
      </c>
      <c r="G49" s="338"/>
      <c r="H49" s="244">
        <f>'Collection Worksheet'!I56</f>
        <v>0</v>
      </c>
      <c r="I49" s="231"/>
      <c r="J49" s="238">
        <v>17</v>
      </c>
      <c r="K49" s="228" t="s">
        <v>294</v>
      </c>
      <c r="L49" s="305">
        <f t="shared" si="6"/>
        <v>0</v>
      </c>
      <c r="P49" s="390"/>
      <c r="R49" s="545" t="b">
        <f t="shared" si="0"/>
        <v>1</v>
      </c>
      <c r="W49" s="390" t="b">
        <f t="shared" si="1"/>
        <v>1</v>
      </c>
      <c r="X49" s="691">
        <f t="shared" si="2"/>
        <v>0</v>
      </c>
    </row>
    <row r="50" spans="1:24" ht="45" x14ac:dyDescent="0.25">
      <c r="A50" s="269">
        <f>'Collection Worksheet'!A57</f>
        <v>20</v>
      </c>
      <c r="B50" s="280" t="str">
        <f>'Collection Worksheet'!C57</f>
        <v>General Fund-Rev, Exp. Change in Fund Balance</v>
      </c>
      <c r="C50" s="267" t="str">
        <f>'Collection Worksheet'!D57</f>
        <v>Total Transfers out    (Preference is that transfers-in  are not netted against transfers-out)</v>
      </c>
      <c r="D50" s="397"/>
      <c r="E50" s="253">
        <f>'Collection Worksheet'!F57</f>
        <v>0</v>
      </c>
      <c r="F50" s="253">
        <f t="shared" si="7"/>
        <v>0</v>
      </c>
      <c r="G50" s="338"/>
      <c r="H50" s="244">
        <f>'Collection Worksheet'!I57</f>
        <v>0</v>
      </c>
      <c r="I50" s="231"/>
      <c r="J50" s="238">
        <v>20</v>
      </c>
      <c r="K50" s="228" t="s">
        <v>295</v>
      </c>
      <c r="L50" s="305">
        <f t="shared" si="6"/>
        <v>0</v>
      </c>
      <c r="P50" s="390"/>
      <c r="R50" s="545" t="b">
        <f t="shared" si="0"/>
        <v>1</v>
      </c>
      <c r="W50" s="390" t="b">
        <f t="shared" si="1"/>
        <v>1</v>
      </c>
      <c r="X50" s="691">
        <f t="shared" si="2"/>
        <v>0</v>
      </c>
    </row>
    <row r="51" spans="1:24" ht="45" x14ac:dyDescent="0.25">
      <c r="A51" s="269">
        <f>'Collection Worksheet'!A58</f>
        <v>533</v>
      </c>
      <c r="B51" s="280" t="str">
        <f>'Collection Worksheet'!C58</f>
        <v>General Fund-Rev, Exp. Change in Fund Balance</v>
      </c>
      <c r="C51" s="267" t="str">
        <f>'Collection Worksheet'!D58</f>
        <v>Total Proceeds from all long-term debt issuances 
Exclude proceeds from refundings</v>
      </c>
      <c r="D51" s="397"/>
      <c r="E51" s="253">
        <f>'Collection Worksheet'!F58</f>
        <v>0</v>
      </c>
      <c r="F51" s="253">
        <f t="shared" si="7"/>
        <v>0</v>
      </c>
      <c r="G51" s="338"/>
      <c r="H51" s="244">
        <f>'Collection Worksheet'!I58</f>
        <v>0</v>
      </c>
      <c r="I51" s="231"/>
      <c r="J51" s="238">
        <v>533</v>
      </c>
      <c r="K51" s="251" t="s">
        <v>296</v>
      </c>
      <c r="L51" s="305">
        <f t="shared" si="6"/>
        <v>0</v>
      </c>
      <c r="P51" s="390"/>
      <c r="R51" s="545" t="b">
        <f t="shared" si="0"/>
        <v>1</v>
      </c>
      <c r="W51" s="390" t="b">
        <f t="shared" si="1"/>
        <v>1</v>
      </c>
      <c r="X51" s="691">
        <f t="shared" si="2"/>
        <v>0</v>
      </c>
    </row>
    <row r="52" spans="1:24" ht="45" x14ac:dyDescent="0.25">
      <c r="A52" s="269">
        <f>'Collection Worksheet'!A59</f>
        <v>508</v>
      </c>
      <c r="B52" s="280" t="str">
        <f>'Collection Worksheet'!C59</f>
        <v>General Fund-Rev, Exp. Change in Fund Balance</v>
      </c>
      <c r="C52" s="267" t="str">
        <f>'Collection Worksheet'!D59</f>
        <v>Debt Refunding - Net refunding proceeds against debt payoff and if positive place results on this line.</v>
      </c>
      <c r="D52" s="397"/>
      <c r="E52" s="253">
        <f>'Collection Worksheet'!F59</f>
        <v>0</v>
      </c>
      <c r="F52" s="253">
        <f t="shared" si="7"/>
        <v>0</v>
      </c>
      <c r="G52" s="338"/>
      <c r="H52" s="244">
        <f>'Collection Worksheet'!I59</f>
        <v>0</v>
      </c>
      <c r="I52" s="231"/>
      <c r="J52" s="238">
        <v>508</v>
      </c>
      <c r="K52" s="228" t="s">
        <v>298</v>
      </c>
      <c r="L52" s="305">
        <f t="shared" si="6"/>
        <v>0</v>
      </c>
      <c r="P52" s="390"/>
      <c r="R52" s="545" t="b">
        <f t="shared" si="0"/>
        <v>1</v>
      </c>
      <c r="W52" s="390" t="b">
        <f t="shared" si="1"/>
        <v>1</v>
      </c>
      <c r="X52" s="691">
        <f t="shared" si="2"/>
        <v>0</v>
      </c>
    </row>
    <row r="53" spans="1:24" ht="45" x14ac:dyDescent="0.25">
      <c r="A53" s="269">
        <f>'Collection Worksheet'!A60</f>
        <v>509</v>
      </c>
      <c r="B53" s="280" t="str">
        <f>'Collection Worksheet'!C60</f>
        <v>General Fund-Rev, Exp. Change in Fund Balance</v>
      </c>
      <c r="C53" s="267" t="str">
        <f>'Collection Worksheet'!D60</f>
        <v>Debt Refunding - Net refunding proceeds against debt payoff and if negative place results on this line.</v>
      </c>
      <c r="D53" s="397"/>
      <c r="E53" s="253">
        <f>'Collection Worksheet'!F60</f>
        <v>0</v>
      </c>
      <c r="F53" s="253">
        <f t="shared" si="7"/>
        <v>0</v>
      </c>
      <c r="G53" s="338"/>
      <c r="H53" s="244">
        <f>'Collection Worksheet'!I60</f>
        <v>0</v>
      </c>
      <c r="I53" s="231"/>
      <c r="J53" s="238">
        <v>509</v>
      </c>
      <c r="K53" s="228" t="s">
        <v>299</v>
      </c>
      <c r="L53" s="305">
        <f t="shared" si="6"/>
        <v>0</v>
      </c>
      <c r="P53" s="390"/>
      <c r="R53" s="545" t="b">
        <f t="shared" si="0"/>
        <v>1</v>
      </c>
      <c r="W53" s="390" t="b">
        <f t="shared" si="1"/>
        <v>1</v>
      </c>
      <c r="X53" s="691">
        <f t="shared" si="2"/>
        <v>0</v>
      </c>
    </row>
    <row r="54" spans="1:24" ht="60" x14ac:dyDescent="0.25">
      <c r="A54" s="269">
        <f>'Collection Worksheet'!A61</f>
        <v>22</v>
      </c>
      <c r="B54" s="280" t="str">
        <f>'Collection Worksheet'!C61</f>
        <v>General Fund-Rev, Exp. Change in Fund Balance</v>
      </c>
      <c r="C54" s="267" t="str">
        <f>'Collection Worksheet'!D61</f>
        <v xml:space="preserve">All other items on this statement that were not included in total revenues, total expenditures, transfers in or out, or proceeds from long-term debt above.  </v>
      </c>
      <c r="D54" s="397"/>
      <c r="E54" s="253">
        <f>'Collection Worksheet'!F61</f>
        <v>0</v>
      </c>
      <c r="F54" s="253"/>
      <c r="G54" s="338"/>
      <c r="H54" s="244">
        <f>'Collection Worksheet'!I61</f>
        <v>0</v>
      </c>
      <c r="I54" s="231"/>
      <c r="J54" s="238">
        <v>22</v>
      </c>
      <c r="K54" s="228" t="s">
        <v>297</v>
      </c>
      <c r="L54" s="305">
        <f t="shared" si="6"/>
        <v>0</v>
      </c>
      <c r="P54" s="390"/>
      <c r="R54" s="545" t="b">
        <f t="shared" si="0"/>
        <v>1</v>
      </c>
      <c r="W54" s="390" t="b">
        <f t="shared" si="1"/>
        <v>1</v>
      </c>
      <c r="X54" s="691">
        <f t="shared" si="2"/>
        <v>0</v>
      </c>
    </row>
    <row r="55" spans="1:24" ht="66.75" customHeight="1" x14ac:dyDescent="0.25">
      <c r="A55" s="269">
        <f>'Collection Worksheet'!A62</f>
        <v>23</v>
      </c>
      <c r="B55" s="280" t="str">
        <f>'Collection Worksheet'!C62</f>
        <v>General Fund-Rev, Exp. Change in Fund Balance</v>
      </c>
      <c r="C55" s="267" t="str">
        <f>'Collection Worksheet'!D62</f>
        <v>Change in fund balance - (Increase in Fund balance is recorded as a positive and a decrease in fund balance is recorded as a negative)</v>
      </c>
      <c r="D55" s="397"/>
      <c r="E55" s="253">
        <f>'Collection Worksheet'!F62</f>
        <v>0</v>
      </c>
      <c r="F55" s="253">
        <f>IF(+L46-L48+L49-L50+L51+L52-L53+L54-L55=0,,"Error:Total revenues less toal Expenditures do not equal change in fund balance")</f>
        <v>0</v>
      </c>
      <c r="G55" s="422">
        <f>+L46-L48+L49-L50+L51+L54+L52-L53-L55</f>
        <v>0</v>
      </c>
      <c r="H55" s="244">
        <f>'Collection Worksheet'!I62</f>
        <v>0</v>
      </c>
      <c r="I55" s="231"/>
      <c r="J55" s="238">
        <v>23</v>
      </c>
      <c r="K55" s="228" t="s">
        <v>300</v>
      </c>
      <c r="L55" s="305">
        <f t="shared" si="6"/>
        <v>0</v>
      </c>
      <c r="P55" s="390"/>
      <c r="Q55" s="400">
        <f>IF(G55&lt;&gt;0,1,)</f>
        <v>0</v>
      </c>
      <c r="R55" s="545" t="b">
        <f t="shared" si="0"/>
        <v>1</v>
      </c>
      <c r="W55" s="390" t="b">
        <f t="shared" si="1"/>
        <v>1</v>
      </c>
      <c r="X55" s="691">
        <f t="shared" si="2"/>
        <v>0</v>
      </c>
    </row>
    <row r="56" spans="1:24" ht="111.75" customHeight="1" x14ac:dyDescent="0.25">
      <c r="A56" s="269">
        <f>'Collection Worksheet'!A64</f>
        <v>507</v>
      </c>
      <c r="B56" s="280" t="str">
        <f>'Collection Worksheet'!C64</f>
        <v>General Fund-Rev, Exp. Change in Fund Balance</v>
      </c>
      <c r="C56" s="267" t="str">
        <f>'Collection Worksheet'!D64</f>
        <v>Any adjustment to beginning fund balance including rounding, prior period adjustments and restatements.   (Amounts that increase fund balance are recorded as positive and amounts that decrease fund balance are recorded as negative)</v>
      </c>
      <c r="D56" s="397"/>
      <c r="E56" s="253">
        <f>'Collection Worksheet'!F64</f>
        <v>0</v>
      </c>
      <c r="F56" s="253" t="e">
        <f>IF(+L43-L55-L56=O43,,"Error: Beginning Fund Bal does not equal our records Accts 9-23-507= prior year 9")</f>
        <v>#N/A</v>
      </c>
      <c r="G56" s="422" t="e">
        <f>L43-L55-L56-O43</f>
        <v>#N/A</v>
      </c>
      <c r="H56" s="244">
        <f>'Collection Worksheet'!I64</f>
        <v>0</v>
      </c>
      <c r="I56" s="231"/>
      <c r="J56" s="238">
        <v>507</v>
      </c>
      <c r="K56" s="228" t="s">
        <v>301</v>
      </c>
      <c r="L56" s="305">
        <f t="shared" si="6"/>
        <v>0</v>
      </c>
      <c r="O56" s="217"/>
      <c r="P56" s="390"/>
      <c r="Q56" s="400" t="e">
        <f>IF(G56&lt;&gt;0,1,)</f>
        <v>#N/A</v>
      </c>
      <c r="R56" s="545" t="b">
        <f t="shared" si="0"/>
        <v>1</v>
      </c>
      <c r="W56" s="390" t="b">
        <f t="shared" si="1"/>
        <v>1</v>
      </c>
      <c r="X56" s="691">
        <f t="shared" si="2"/>
        <v>0</v>
      </c>
    </row>
    <row r="57" spans="1:24" ht="60" customHeight="1" x14ac:dyDescent="0.25">
      <c r="A57" s="269">
        <f>'Collection Worksheet'!A66</f>
        <v>171</v>
      </c>
      <c r="B57" s="280" t="str">
        <f>'Collection Worksheet'!C66</f>
        <v>Fund Statements - all Governmental Funds</v>
      </c>
      <c r="C57" s="267" t="str">
        <f>'Collection Worksheet'!D66</f>
        <v>Debt service expenditures from all governmental funds.  Include principal, interest paid, and debt issuance costs on long-term debt.</v>
      </c>
      <c r="D57" s="397"/>
      <c r="E57" s="253">
        <f>'Collection Worksheet'!F66</f>
        <v>0</v>
      </c>
      <c r="F57" s="253">
        <f>IF(L57&lt;0,"Error: Enter as a positive.",)</f>
        <v>0</v>
      </c>
      <c r="G57" s="338"/>
      <c r="H57" s="244">
        <f>'Collection Worksheet'!I66</f>
        <v>0</v>
      </c>
      <c r="I57" s="231"/>
      <c r="J57" s="238">
        <v>171</v>
      </c>
      <c r="K57" s="228" t="s">
        <v>302</v>
      </c>
      <c r="L57" s="305">
        <f t="shared" si="6"/>
        <v>0</v>
      </c>
      <c r="P57" s="390"/>
      <c r="R57" s="545" t="b">
        <f t="shared" si="0"/>
        <v>1</v>
      </c>
      <c r="W57" s="390" t="b">
        <f t="shared" si="1"/>
        <v>1</v>
      </c>
      <c r="X57" s="691">
        <f t="shared" si="2"/>
        <v>0</v>
      </c>
    </row>
    <row r="58" spans="1:24" s="268" customFormat="1" ht="60" customHeight="1" x14ac:dyDescent="0.25">
      <c r="A58" s="269">
        <f>'Collection Worksheet'!A70</f>
        <v>596</v>
      </c>
      <c r="B58" s="280"/>
      <c r="C58" s="288" t="str">
        <f>'Collection Worksheet'!D70</f>
        <v>Indicate if your water/sewer system:
50 - Became Operational
51 - Ceased Operations
52 - No Change</v>
      </c>
      <c r="D58" s="397"/>
      <c r="E58" s="358">
        <f>'Collection Worksheet'!F70</f>
        <v>0</v>
      </c>
      <c r="F58" s="358"/>
      <c r="G58" s="358"/>
      <c r="H58" s="244">
        <f>'Collection Worksheet'!I70</f>
        <v>0</v>
      </c>
      <c r="I58" s="231"/>
      <c r="J58" s="238">
        <v>596</v>
      </c>
      <c r="K58" s="228" t="s">
        <v>473</v>
      </c>
      <c r="L58" s="305">
        <f t="shared" si="6"/>
        <v>0</v>
      </c>
      <c r="P58" s="390"/>
      <c r="Q58" s="400"/>
      <c r="R58" s="545" t="b">
        <f t="shared" si="0"/>
        <v>1</v>
      </c>
      <c r="W58" s="390" t="b">
        <f t="shared" si="1"/>
        <v>1</v>
      </c>
      <c r="X58" s="691">
        <f t="shared" si="2"/>
        <v>0</v>
      </c>
    </row>
    <row r="59" spans="1:24" ht="45" x14ac:dyDescent="0.25">
      <c r="A59" s="269">
        <f>'Collection Worksheet'!A71</f>
        <v>80</v>
      </c>
      <c r="B59" s="280" t="str">
        <f>'Collection Worksheet'!C71</f>
        <v>Water Sewer Net Position Statement</v>
      </c>
      <c r="C59" s="267" t="str">
        <f>'Collection Worksheet'!D71</f>
        <v>Unrestricted Cash and investments 
Exclude restricted cash and/or restricted investments.</v>
      </c>
      <c r="D59" s="397"/>
      <c r="E59" s="253">
        <f>'Collection Worksheet'!F71</f>
        <v>0</v>
      </c>
      <c r="F59" s="253">
        <f>IF(L59&lt;0,"Error: Number is normally positive.",)</f>
        <v>0</v>
      </c>
      <c r="G59" s="253" t="e">
        <f>'Collection Worksheet'!G71</f>
        <v>#N/A</v>
      </c>
      <c r="H59" s="244">
        <f>'Collection Worksheet'!I71</f>
        <v>0</v>
      </c>
      <c r="I59" s="231"/>
      <c r="J59" s="238">
        <v>80</v>
      </c>
      <c r="K59" s="228" t="s">
        <v>303</v>
      </c>
      <c r="L59" s="305">
        <f t="shared" si="6"/>
        <v>0</v>
      </c>
      <c r="P59" s="390"/>
      <c r="R59" s="545" t="b">
        <f t="shared" si="0"/>
        <v>1</v>
      </c>
      <c r="W59" s="390" t="b">
        <f t="shared" si="1"/>
        <v>1</v>
      </c>
      <c r="X59" s="691">
        <f t="shared" si="2"/>
        <v>0</v>
      </c>
    </row>
    <row r="60" spans="1:24" ht="45" x14ac:dyDescent="0.25">
      <c r="A60" s="269">
        <f>'Collection Worksheet'!A72</f>
        <v>81</v>
      </c>
      <c r="B60" s="280" t="str">
        <f>'Collection Worksheet'!C72</f>
        <v>Water Sewer Net Position Statement</v>
      </c>
      <c r="C60" s="267" t="str">
        <f>'Collection Worksheet'!D72</f>
        <v>Customer accounts receivable (net of allowance accounts). 
Include both billed and unbilled amounts.</v>
      </c>
      <c r="D60" s="397"/>
      <c r="E60" s="253">
        <f>'Collection Worksheet'!F72</f>
        <v>0</v>
      </c>
      <c r="F60" s="253">
        <f>IF(L60&lt;0,"Error: Number is normally positive.",)</f>
        <v>0</v>
      </c>
      <c r="G60" s="338"/>
      <c r="H60" s="244">
        <f>'Collection Worksheet'!I72</f>
        <v>0</v>
      </c>
      <c r="I60" s="231"/>
      <c r="J60" s="238">
        <v>81</v>
      </c>
      <c r="K60" s="228" t="s">
        <v>304</v>
      </c>
      <c r="L60" s="305">
        <f t="shared" si="6"/>
        <v>0</v>
      </c>
      <c r="P60" s="390"/>
      <c r="R60" s="545" t="b">
        <f t="shared" si="0"/>
        <v>1</v>
      </c>
      <c r="W60" s="390" t="b">
        <f t="shared" si="1"/>
        <v>1</v>
      </c>
      <c r="X60" s="691">
        <f t="shared" si="2"/>
        <v>0</v>
      </c>
    </row>
    <row r="61" spans="1:24" s="268" customFormat="1" ht="68.25" customHeight="1" x14ac:dyDescent="0.25">
      <c r="A61" s="408">
        <f>'Collection Worksheet'!A73</f>
        <v>579</v>
      </c>
      <c r="B61" s="409" t="str">
        <f>'Collection Worksheet'!C73</f>
        <v>Water Sewer Net Position Statement</v>
      </c>
      <c r="C61" s="407" t="str">
        <f>'Collection Worksheet'!D73</f>
        <v>Water Sewer - Advance To:
Interfund loan receivable-portion of repayment plan longer than 12 months</v>
      </c>
      <c r="D61" s="397"/>
      <c r="E61" s="253">
        <f>'Collection Worksheet'!F73</f>
        <v>0</v>
      </c>
      <c r="F61" s="253"/>
      <c r="G61" s="338"/>
      <c r="H61" s="244"/>
      <c r="I61" s="231"/>
      <c r="J61" s="405">
        <v>579</v>
      </c>
      <c r="K61" s="404" t="s">
        <v>454</v>
      </c>
      <c r="L61" s="406">
        <f t="shared" si="6"/>
        <v>0</v>
      </c>
      <c r="N61" s="3" t="s">
        <v>478</v>
      </c>
      <c r="P61" s="390"/>
      <c r="Q61" s="400"/>
      <c r="R61" s="545" t="b">
        <f t="shared" si="0"/>
        <v>1</v>
      </c>
      <c r="W61" s="390" t="b">
        <f t="shared" si="1"/>
        <v>1</v>
      </c>
      <c r="X61" s="691">
        <f t="shared" si="2"/>
        <v>0</v>
      </c>
    </row>
    <row r="62" spans="1:24" ht="47.25" customHeight="1" x14ac:dyDescent="0.25">
      <c r="A62" s="269">
        <f>'Collection Worksheet'!A74</f>
        <v>510</v>
      </c>
      <c r="B62" s="280" t="str">
        <f>'Collection Worksheet'!C74</f>
        <v>Water Sewer Net Position Statement</v>
      </c>
      <c r="C62" s="267" t="str">
        <f>'Collection Worksheet'!D74</f>
        <v>Amount of Inventories and Prepaid expenses in current assets</v>
      </c>
      <c r="D62" s="397"/>
      <c r="E62" s="253">
        <f>'Collection Worksheet'!F74</f>
        <v>0</v>
      </c>
      <c r="F62" s="253"/>
      <c r="G62" s="338"/>
      <c r="H62" s="244">
        <f>'Collection Worksheet'!I74</f>
        <v>0</v>
      </c>
      <c r="I62" s="231"/>
      <c r="J62" s="238">
        <v>510</v>
      </c>
      <c r="K62" s="228" t="s">
        <v>305</v>
      </c>
      <c r="L62" s="305">
        <f t="shared" si="6"/>
        <v>0</v>
      </c>
      <c r="P62" s="390"/>
      <c r="R62" s="545" t="b">
        <f t="shared" si="0"/>
        <v>1</v>
      </c>
      <c r="W62" s="390" t="b">
        <f t="shared" si="1"/>
        <v>1</v>
      </c>
      <c r="X62" s="691">
        <f t="shared" si="2"/>
        <v>0</v>
      </c>
    </row>
    <row r="63" spans="1:24" ht="75" x14ac:dyDescent="0.25">
      <c r="A63" s="269">
        <f>'Collection Worksheet'!A75</f>
        <v>44</v>
      </c>
      <c r="B63" s="280" t="str">
        <f>'Collection Worksheet'!C75</f>
        <v>Water Sewer Net Position Statement</v>
      </c>
      <c r="C63" s="267" t="str">
        <f>'Collection Worksheet'!D75</f>
        <v>Total Current assets.  
Exclude any current assets identified as restricted.
Exclude "Advance To": portion of interfund loan with repayment longer than 12 months.</v>
      </c>
      <c r="D63" s="397"/>
      <c r="E63" s="253">
        <f>'Collection Worksheet'!F75</f>
        <v>0</v>
      </c>
      <c r="F63" s="253">
        <f>IF((+L59+L60+L62)&gt;L63,"Please review components of current assets above Acct. (80+81+510&gt;44",)</f>
        <v>0</v>
      </c>
      <c r="G63" s="399" t="str">
        <f>IF(Q63=1," Included in error count"," ")</f>
        <v xml:space="preserve"> </v>
      </c>
      <c r="H63" s="244">
        <f>'Collection Worksheet'!I75</f>
        <v>0</v>
      </c>
      <c r="I63" s="231"/>
      <c r="J63" s="238">
        <v>44</v>
      </c>
      <c r="K63" s="228" t="s">
        <v>141</v>
      </c>
      <c r="L63" s="305">
        <f t="shared" si="6"/>
        <v>0</v>
      </c>
      <c r="P63" s="390"/>
      <c r="Q63" s="400">
        <f>IF((+L59+L60+L62)&gt;L63,1,)</f>
        <v>0</v>
      </c>
      <c r="R63" s="545" t="b">
        <f t="shared" si="0"/>
        <v>1</v>
      </c>
      <c r="W63" s="390" t="b">
        <f t="shared" si="1"/>
        <v>1</v>
      </c>
      <c r="X63" s="691">
        <f t="shared" si="2"/>
        <v>0</v>
      </c>
    </row>
    <row r="64" spans="1:24" ht="42.75" customHeight="1" x14ac:dyDescent="0.25">
      <c r="A64" s="269">
        <f>'Collection Worksheet'!A76</f>
        <v>381</v>
      </c>
      <c r="B64" s="280" t="str">
        <f>'Collection Worksheet'!C76</f>
        <v>Water Sewer Net Position Statement</v>
      </c>
      <c r="C64" s="267" t="str">
        <f>'Collection Worksheet'!D76</f>
        <v>Total Assets and deferred outflows</v>
      </c>
      <c r="D64" s="397"/>
      <c r="E64" s="253">
        <f>'Collection Worksheet'!F76</f>
        <v>0</v>
      </c>
      <c r="F64" s="253" t="str">
        <f>IF(L64&lt;L63,"Please review components of current assets above acct. 381&lt;44"," ")</f>
        <v xml:space="preserve"> </v>
      </c>
      <c r="G64" s="399" t="str">
        <f>IF(Q64=1," Included in error count"," ")</f>
        <v xml:space="preserve"> </v>
      </c>
      <c r="H64" s="244">
        <f>'Collection Worksheet'!I76</f>
        <v>0</v>
      </c>
      <c r="I64" s="231"/>
      <c r="J64" s="238">
        <v>381</v>
      </c>
      <c r="K64" s="228" t="s">
        <v>132</v>
      </c>
      <c r="L64" s="305">
        <f t="shared" si="6"/>
        <v>0</v>
      </c>
      <c r="P64" s="390"/>
      <c r="Q64" s="400">
        <f>IF(L64&lt;L63,1,0)</f>
        <v>0</v>
      </c>
      <c r="R64" s="545" t="b">
        <f t="shared" si="0"/>
        <v>1</v>
      </c>
      <c r="W64" s="390" t="b">
        <f t="shared" si="1"/>
        <v>1</v>
      </c>
      <c r="X64" s="691">
        <f t="shared" si="2"/>
        <v>0</v>
      </c>
    </row>
    <row r="65" spans="1:24" s="268" customFormat="1" ht="60.75" customHeight="1" x14ac:dyDescent="0.25">
      <c r="A65" s="408">
        <f>'Collection Worksheet'!A77</f>
        <v>578</v>
      </c>
      <c r="B65" s="409" t="str">
        <f>'Collection Worksheet'!C77</f>
        <v>Water Sewer Net Position Statement</v>
      </c>
      <c r="C65" s="407" t="str">
        <f>'Collection Worksheet'!D77</f>
        <v>Water Sewer - Advance From: 
Interfund loan Payable-portion of repayment plan longer than 12 months</v>
      </c>
      <c r="D65" s="397"/>
      <c r="E65" s="253">
        <f>'Collection Worksheet'!F77</f>
        <v>0</v>
      </c>
      <c r="F65" s="253"/>
      <c r="G65" s="338"/>
      <c r="H65" s="244"/>
      <c r="I65" s="231"/>
      <c r="J65" s="405">
        <v>578</v>
      </c>
      <c r="K65" s="404" t="s">
        <v>455</v>
      </c>
      <c r="L65" s="406">
        <f t="shared" si="6"/>
        <v>0</v>
      </c>
      <c r="P65" s="390"/>
      <c r="Q65" s="401"/>
      <c r="R65" s="545" t="b">
        <f t="shared" si="0"/>
        <v>1</v>
      </c>
      <c r="W65" s="390" t="b">
        <f t="shared" si="1"/>
        <v>1</v>
      </c>
      <c r="X65" s="691">
        <f t="shared" si="2"/>
        <v>0</v>
      </c>
    </row>
    <row r="66" spans="1:24" ht="225" x14ac:dyDescent="0.25">
      <c r="A66" s="269">
        <f>'Collection Worksheet'!A78</f>
        <v>45</v>
      </c>
      <c r="B66" s="280" t="str">
        <f>'Collection Worksheet'!C78</f>
        <v>Water Sewer Net Position Statement</v>
      </c>
      <c r="C66" s="267" t="str">
        <f>'Collection Worksheet'!D78</f>
        <v>Current liabilities.  
Include:   Current liabilities and current portions of long-term debt
Exclude:  "Advance From"-portion of interfund loans with repayment longer than 12 months,
                   Bond anticipation notes, 
                   Compensated absences, 
                   Pension liabilities, 
                   Other post-employment liabilities (OPEB), 
                   Closure/postclosure liabilities, 
                   Payables from restricted assets
                   Deferred inflows.</v>
      </c>
      <c r="D66" s="397"/>
      <c r="E66" s="253">
        <f>'Collection Worksheet'!F78</f>
        <v>0</v>
      </c>
      <c r="F66" s="253">
        <f>IF(L66&lt;0,"Error: Enter as a positive.",)</f>
        <v>0</v>
      </c>
      <c r="G66" s="338"/>
      <c r="H66" s="244">
        <f>'Collection Worksheet'!I78</f>
        <v>0</v>
      </c>
      <c r="I66" s="231"/>
      <c r="J66" s="238">
        <v>45</v>
      </c>
      <c r="K66" s="228" t="s">
        <v>142</v>
      </c>
      <c r="L66" s="305">
        <f t="shared" si="6"/>
        <v>0</v>
      </c>
      <c r="P66" s="390"/>
      <c r="R66" s="545" t="b">
        <f t="shared" si="0"/>
        <v>1</v>
      </c>
      <c r="W66" s="390" t="b">
        <f t="shared" si="1"/>
        <v>1</v>
      </c>
      <c r="X66" s="691">
        <f t="shared" si="2"/>
        <v>0</v>
      </c>
    </row>
    <row r="67" spans="1:24" ht="76.5" customHeight="1" x14ac:dyDescent="0.25">
      <c r="A67" s="269">
        <f>'Collection Worksheet'!A79</f>
        <v>383</v>
      </c>
      <c r="B67" s="280" t="str">
        <f>'Collection Worksheet'!C79</f>
        <v>Water Sewer Net Position Statement</v>
      </c>
      <c r="C67" s="267" t="str">
        <f>'Collection Worksheet'!D79</f>
        <v>Unearned revenue (arising from cash receipts) that were included in Current Liabilities in the question above</v>
      </c>
      <c r="D67" s="397"/>
      <c r="E67" s="253">
        <f>'Collection Worksheet'!F79</f>
        <v>0</v>
      </c>
      <c r="F67" s="395">
        <f>IF(L67&lt;0,"Error: Enter as a positive.",)</f>
        <v>0</v>
      </c>
      <c r="G67" s="338"/>
      <c r="H67" s="244">
        <f>'Collection Worksheet'!I79</f>
        <v>0</v>
      </c>
      <c r="I67" s="231"/>
      <c r="J67" s="238">
        <v>383</v>
      </c>
      <c r="K67" s="228" t="s">
        <v>306</v>
      </c>
      <c r="L67" s="305">
        <f t="shared" si="6"/>
        <v>0</v>
      </c>
      <c r="P67" s="390"/>
      <c r="R67" s="545" t="b">
        <f t="shared" si="0"/>
        <v>1</v>
      </c>
      <c r="W67" s="390" t="b">
        <f t="shared" si="1"/>
        <v>1</v>
      </c>
      <c r="X67" s="691">
        <f t="shared" si="2"/>
        <v>0</v>
      </c>
    </row>
    <row r="68" spans="1:24" ht="54" customHeight="1" x14ac:dyDescent="0.25">
      <c r="A68" s="269">
        <f>'Collection Worksheet'!A80</f>
        <v>349</v>
      </c>
      <c r="B68" s="280" t="str">
        <f>'Collection Worksheet'!C80</f>
        <v>Water Sewer Net Position Statement</v>
      </c>
      <c r="C68" s="267" t="str">
        <f>'Collection Worksheet'!D80</f>
        <v>Total Liabilities and deferred inflows</v>
      </c>
      <c r="D68" s="397"/>
      <c r="E68" s="253">
        <f>'Collection Worksheet'!F80</f>
        <v>0</v>
      </c>
      <c r="F68" s="395">
        <f>IF(L66&gt;L68,"Error: Please review accts 45&gt;349",)</f>
        <v>0</v>
      </c>
      <c r="G68" s="399" t="str">
        <f>IF(Q68=1," Included in error count"," ")</f>
        <v xml:space="preserve"> </v>
      </c>
      <c r="H68" s="244">
        <f>'Collection Worksheet'!I80</f>
        <v>0</v>
      </c>
      <c r="I68" s="231"/>
      <c r="J68" s="238">
        <v>349</v>
      </c>
      <c r="K68" s="228" t="s">
        <v>143</v>
      </c>
      <c r="L68" s="305">
        <f t="shared" si="6"/>
        <v>0</v>
      </c>
      <c r="P68" s="390"/>
      <c r="Q68" s="400">
        <f>IF(L66&gt;L68,1,0)</f>
        <v>0</v>
      </c>
      <c r="R68" s="545" t="b">
        <f t="shared" si="0"/>
        <v>1</v>
      </c>
      <c r="W68" s="390" t="b">
        <f t="shared" si="1"/>
        <v>1</v>
      </c>
      <c r="X68" s="691">
        <f t="shared" si="2"/>
        <v>0</v>
      </c>
    </row>
    <row r="69" spans="1:24" ht="45" x14ac:dyDescent="0.25">
      <c r="A69" s="269">
        <f>'Collection Worksheet'!A81</f>
        <v>375</v>
      </c>
      <c r="B69" s="280" t="str">
        <f>'Collection Worksheet'!C81</f>
        <v>Water Sewer Net Position Statement</v>
      </c>
      <c r="C69" s="267" t="str">
        <f>'Collection Worksheet'!D81</f>
        <v>Total Net position, Unrestricted - enter negative unrestricted net position as a negative</v>
      </c>
      <c r="D69" s="397"/>
      <c r="E69" s="253">
        <f>'Collection Worksheet'!F81</f>
        <v>0</v>
      </c>
      <c r="F69" s="253"/>
      <c r="G69" s="338"/>
      <c r="H69" s="244">
        <f>'Collection Worksheet'!I81</f>
        <v>0</v>
      </c>
      <c r="I69" s="231"/>
      <c r="J69" s="238">
        <v>375</v>
      </c>
      <c r="K69" s="228" t="s">
        <v>307</v>
      </c>
      <c r="L69" s="305">
        <f t="shared" si="6"/>
        <v>0</v>
      </c>
      <c r="P69" s="390"/>
      <c r="R69" s="545" t="b">
        <f t="shared" si="0"/>
        <v>1</v>
      </c>
      <c r="W69" s="390" t="b">
        <f t="shared" si="1"/>
        <v>1</v>
      </c>
      <c r="X69" s="691">
        <f t="shared" si="2"/>
        <v>0</v>
      </c>
    </row>
    <row r="70" spans="1:24" ht="39.75" customHeight="1" x14ac:dyDescent="0.25">
      <c r="A70" s="269">
        <f>'Collection Worksheet'!A82</f>
        <v>83</v>
      </c>
      <c r="B70" s="280" t="str">
        <f>'Collection Worksheet'!C82</f>
        <v>Water Sewer Net Position Statement</v>
      </c>
      <c r="C70" s="267" t="str">
        <f>'Collection Worksheet'!D82</f>
        <v>Total Net position</v>
      </c>
      <c r="D70" s="397"/>
      <c r="E70" s="253">
        <f>'Collection Worksheet'!F82</f>
        <v>0</v>
      </c>
      <c r="F70" s="253">
        <f>IF(+L64-L68-L70=0,,"Error: Total assets less total liabilities do not equal net position acct 381-349-83=0")</f>
        <v>0</v>
      </c>
      <c r="G70" s="422">
        <f>L64-L68-L70</f>
        <v>0</v>
      </c>
      <c r="H70" s="244">
        <f>'Collection Worksheet'!I82</f>
        <v>0</v>
      </c>
      <c r="I70" s="231"/>
      <c r="J70" s="238">
        <v>83</v>
      </c>
      <c r="K70" s="228" t="s">
        <v>121</v>
      </c>
      <c r="L70" s="305">
        <f t="shared" si="6"/>
        <v>0</v>
      </c>
      <c r="O70" s="217" t="e">
        <f>'Collection Worksheet'!E82</f>
        <v>#N/A</v>
      </c>
      <c r="P70" s="390"/>
      <c r="Q70" s="400">
        <f>IF(G70&lt;&gt;0,1,)</f>
        <v>0</v>
      </c>
      <c r="R70" s="545" t="b">
        <f t="shared" ref="R70:R133" si="8">EXACT(A70,J70)</f>
        <v>1</v>
      </c>
      <c r="W70" s="390" t="b">
        <f t="shared" ref="W70:W133" si="9">EXACT(A70,J70)</f>
        <v>1</v>
      </c>
      <c r="X70" s="691">
        <f t="shared" ref="X70:X133" si="10">E70-L70</f>
        <v>0</v>
      </c>
    </row>
    <row r="71" spans="1:24" ht="33.75" x14ac:dyDescent="0.25">
      <c r="A71" s="269">
        <f>'Collection Worksheet'!A84</f>
        <v>90</v>
      </c>
      <c r="B71" s="280" t="str">
        <f>'Collection Worksheet'!C84</f>
        <v>Electric Fund Net Position Statement</v>
      </c>
      <c r="C71" s="267" t="str">
        <f>'Collection Worksheet'!D84</f>
        <v>All Unrestricted Cash and Investments.  
Exclude any restricted cash and investments.</v>
      </c>
      <c r="D71" s="397"/>
      <c r="E71" s="253">
        <f>'Collection Worksheet'!F84</f>
        <v>0</v>
      </c>
      <c r="F71" s="253">
        <f>IF(L71&lt;0,"Error: Number is normally positive.",)</f>
        <v>0</v>
      </c>
      <c r="G71" s="338"/>
      <c r="H71" s="244">
        <f>'Collection Worksheet'!I84</f>
        <v>0</v>
      </c>
      <c r="I71" s="231"/>
      <c r="J71" s="238">
        <v>90</v>
      </c>
      <c r="K71" s="228" t="s">
        <v>308</v>
      </c>
      <c r="L71" s="305">
        <f t="shared" si="6"/>
        <v>0</v>
      </c>
      <c r="P71" s="390"/>
      <c r="R71" s="545" t="b">
        <f t="shared" si="8"/>
        <v>1</v>
      </c>
      <c r="W71" s="390" t="b">
        <f t="shared" si="9"/>
        <v>1</v>
      </c>
      <c r="X71" s="691">
        <f t="shared" si="10"/>
        <v>0</v>
      </c>
    </row>
    <row r="72" spans="1:24" ht="45" x14ac:dyDescent="0.25">
      <c r="A72" s="269">
        <f>'Collection Worksheet'!A85</f>
        <v>91</v>
      </c>
      <c r="B72" s="280" t="str">
        <f>'Collection Worksheet'!C85</f>
        <v>Electric Fund Net Position Statement</v>
      </c>
      <c r="C72" s="267" t="str">
        <f>'Collection Worksheet'!D85</f>
        <v xml:space="preserve">Customer accounts receivable (net of allowance accounts)
Include billed and unbilled amounts </v>
      </c>
      <c r="D72" s="397"/>
      <c r="E72" s="253">
        <f>'Collection Worksheet'!F85</f>
        <v>0</v>
      </c>
      <c r="F72" s="253">
        <f>IF(L72&lt;0,"Error: Number is normally positive.",)</f>
        <v>0</v>
      </c>
      <c r="G72" s="338"/>
      <c r="H72" s="244">
        <f>'Collection Worksheet'!I85</f>
        <v>0</v>
      </c>
      <c r="I72" s="231"/>
      <c r="J72" s="238">
        <v>91</v>
      </c>
      <c r="K72" s="228" t="s">
        <v>309</v>
      </c>
      <c r="L72" s="305">
        <f t="shared" si="6"/>
        <v>0</v>
      </c>
      <c r="P72" s="390"/>
      <c r="R72" s="545" t="b">
        <f t="shared" si="8"/>
        <v>1</v>
      </c>
      <c r="W72" s="390" t="b">
        <f t="shared" si="9"/>
        <v>1</v>
      </c>
      <c r="X72" s="691">
        <f t="shared" si="10"/>
        <v>0</v>
      </c>
    </row>
    <row r="73" spans="1:24" s="268" customFormat="1" ht="45" x14ac:dyDescent="0.25">
      <c r="A73" s="408">
        <f>'Collection Worksheet'!A86</f>
        <v>581</v>
      </c>
      <c r="B73" s="409" t="str">
        <f>'Collection Worksheet'!C86</f>
        <v>Electric Fund Net Position Statement</v>
      </c>
      <c r="C73" s="407" t="str">
        <f>'Collection Worksheet'!D86</f>
        <v>Electric Fund - AdvanceTo:
Interfund loan receivable-portion of repayment plan longer than 12 months</v>
      </c>
      <c r="D73" s="397"/>
      <c r="E73" s="253">
        <f>'Collection Worksheet'!F86</f>
        <v>0</v>
      </c>
      <c r="F73" s="253"/>
      <c r="G73" s="338"/>
      <c r="H73" s="244"/>
      <c r="I73" s="231"/>
      <c r="J73" s="405">
        <v>581</v>
      </c>
      <c r="K73" s="404" t="s">
        <v>456</v>
      </c>
      <c r="L73" s="406">
        <f t="shared" si="6"/>
        <v>0</v>
      </c>
      <c r="P73" s="390"/>
      <c r="Q73" s="400"/>
      <c r="R73" s="545" t="b">
        <f t="shared" si="8"/>
        <v>1</v>
      </c>
      <c r="W73" s="390" t="b">
        <f t="shared" si="9"/>
        <v>1</v>
      </c>
      <c r="X73" s="691">
        <f t="shared" si="10"/>
        <v>0</v>
      </c>
    </row>
    <row r="74" spans="1:24" ht="33.75" x14ac:dyDescent="0.25">
      <c r="A74" s="269">
        <f>'Collection Worksheet'!A87</f>
        <v>511</v>
      </c>
      <c r="B74" s="280" t="str">
        <f>'Collection Worksheet'!C87</f>
        <v>Electric Fund Net Position Statement</v>
      </c>
      <c r="C74" s="267" t="str">
        <f>'Collection Worksheet'!D87</f>
        <v>Amount of inventories and prepaids</v>
      </c>
      <c r="D74" s="397"/>
      <c r="E74" s="253">
        <f>'Collection Worksheet'!F87</f>
        <v>0</v>
      </c>
      <c r="F74" s="253">
        <f>IF(L74&lt;0,"Error: Number is normally positive.",)</f>
        <v>0</v>
      </c>
      <c r="G74" s="338"/>
      <c r="H74" s="244">
        <f>'Collection Worksheet'!I87</f>
        <v>0</v>
      </c>
      <c r="I74" s="231"/>
      <c r="J74" s="238">
        <v>511</v>
      </c>
      <c r="K74" s="228" t="s">
        <v>310</v>
      </c>
      <c r="L74" s="305">
        <f t="shared" si="6"/>
        <v>0</v>
      </c>
      <c r="P74" s="390"/>
      <c r="R74" s="545" t="b">
        <f t="shared" si="8"/>
        <v>1</v>
      </c>
      <c r="W74" s="390" t="b">
        <f t="shared" si="9"/>
        <v>1</v>
      </c>
      <c r="X74" s="691">
        <f t="shared" si="10"/>
        <v>0</v>
      </c>
    </row>
    <row r="75" spans="1:24" s="4" customFormat="1" ht="90" x14ac:dyDescent="0.25">
      <c r="A75" s="269">
        <f>'Collection Worksheet'!A88</f>
        <v>47</v>
      </c>
      <c r="B75" s="280" t="str">
        <f>'Collection Worksheet'!C88</f>
        <v>Electric Fund Net Position Statement</v>
      </c>
      <c r="C75" s="288" t="str">
        <f>'Collection Worksheet'!D88</f>
        <v>Total Current assets.  
Include amounts of prepaids and inventory.  
Exclude any current assets identified as restricted.
Exclude "Advance To:-portion of interfund loans with repayment longer than 12 months</v>
      </c>
      <c r="D75" s="397"/>
      <c r="E75" s="253">
        <f>'Collection Worksheet'!F88</f>
        <v>0</v>
      </c>
      <c r="F75" s="253">
        <f>IF((L71+L72+L74)&gt;L75,"Error: Please review components above acct (90+91+511&gt;47)",)</f>
        <v>0</v>
      </c>
      <c r="G75" s="399" t="str">
        <f>IF(Q75=1," Included in error count"," ")</f>
        <v xml:space="preserve"> </v>
      </c>
      <c r="H75" s="244">
        <f>'Collection Worksheet'!I88</f>
        <v>0</v>
      </c>
      <c r="I75" s="231"/>
      <c r="J75" s="238">
        <v>47</v>
      </c>
      <c r="K75" s="228" t="s">
        <v>144</v>
      </c>
      <c r="L75" s="305">
        <f t="shared" si="6"/>
        <v>0</v>
      </c>
      <c r="P75" s="390"/>
      <c r="Q75" s="400">
        <f>IF((L71+L72+L74)&gt;L75,1,)</f>
        <v>0</v>
      </c>
      <c r="R75" s="545" t="b">
        <f t="shared" si="8"/>
        <v>1</v>
      </c>
      <c r="W75" s="390" t="b">
        <f t="shared" si="9"/>
        <v>1</v>
      </c>
      <c r="X75" s="691">
        <f t="shared" si="10"/>
        <v>0</v>
      </c>
    </row>
    <row r="76" spans="1:24" ht="45" customHeight="1" x14ac:dyDescent="0.25">
      <c r="A76" s="269">
        <f>'Collection Worksheet'!A89</f>
        <v>382</v>
      </c>
      <c r="B76" s="280" t="str">
        <f>'Collection Worksheet'!C89</f>
        <v>Electric Fund Net Position Statement</v>
      </c>
      <c r="C76" s="267" t="str">
        <f>'Collection Worksheet'!D89</f>
        <v>Total Assets and deferred outflows</v>
      </c>
      <c r="D76" s="397"/>
      <c r="E76" s="253">
        <f>'Collection Worksheet'!F89</f>
        <v>0</v>
      </c>
      <c r="F76" s="252"/>
      <c r="G76" s="338"/>
      <c r="H76" s="244">
        <f>'Collection Worksheet'!I89</f>
        <v>0</v>
      </c>
      <c r="I76" s="231"/>
      <c r="J76" s="238">
        <v>382</v>
      </c>
      <c r="K76" s="228" t="s">
        <v>133</v>
      </c>
      <c r="L76" s="305">
        <f t="shared" si="6"/>
        <v>0</v>
      </c>
      <c r="P76" s="390"/>
      <c r="R76" s="545" t="b">
        <f t="shared" si="8"/>
        <v>1</v>
      </c>
      <c r="W76" s="390" t="b">
        <f t="shared" si="9"/>
        <v>1</v>
      </c>
      <c r="X76" s="691">
        <f t="shared" si="10"/>
        <v>0</v>
      </c>
    </row>
    <row r="77" spans="1:24" ht="33.75" x14ac:dyDescent="0.25">
      <c r="A77" s="269">
        <f>'Collection Worksheet'!A90</f>
        <v>360</v>
      </c>
      <c r="B77" s="280" t="str">
        <f>'Collection Worksheet'!C90</f>
        <v>Electric Fund Net Position Statement</v>
      </c>
      <c r="C77" s="267" t="str">
        <f>'Collection Worksheet'!D90</f>
        <v>Total liabilities and total deferred inflows</v>
      </c>
      <c r="D77" s="397"/>
      <c r="E77" s="253">
        <f>'Collection Worksheet'!F90</f>
        <v>0</v>
      </c>
      <c r="F77" s="253">
        <f>IF(L77&lt;0,"Error: Enter as a positive.",)</f>
        <v>0</v>
      </c>
      <c r="G77" s="338"/>
      <c r="H77" s="244">
        <f>'Collection Worksheet'!I90</f>
        <v>0</v>
      </c>
      <c r="I77" s="231"/>
      <c r="J77" s="238">
        <v>360</v>
      </c>
      <c r="K77" s="292" t="s">
        <v>147</v>
      </c>
      <c r="L77" s="305">
        <f t="shared" si="6"/>
        <v>0</v>
      </c>
      <c r="P77" s="390"/>
      <c r="R77" s="545" t="b">
        <f t="shared" si="8"/>
        <v>1</v>
      </c>
      <c r="W77" s="390" t="b">
        <f t="shared" si="9"/>
        <v>1</v>
      </c>
      <c r="X77" s="691">
        <f t="shared" si="10"/>
        <v>0</v>
      </c>
    </row>
    <row r="78" spans="1:24" s="268" customFormat="1" ht="45" x14ac:dyDescent="0.25">
      <c r="A78" s="408">
        <f>'Collection Worksheet'!A91</f>
        <v>580</v>
      </c>
      <c r="B78" s="409" t="str">
        <f>'Collection Worksheet'!C91</f>
        <v>Electric Fund Net Position Statement</v>
      </c>
      <c r="C78" s="407" t="str">
        <f>'Collection Worksheet'!D91</f>
        <v>Electric Fund - Advance From:
Interfund loans payable-portion of repayment plan longer than 12 months</v>
      </c>
      <c r="D78" s="397"/>
      <c r="E78" s="253">
        <f>'Collection Worksheet'!F91</f>
        <v>0</v>
      </c>
      <c r="F78" s="253"/>
      <c r="G78" s="338"/>
      <c r="H78" s="244"/>
      <c r="I78" s="231"/>
      <c r="J78" s="405">
        <v>580</v>
      </c>
      <c r="K78" s="292" t="s">
        <v>457</v>
      </c>
      <c r="L78" s="406">
        <f t="shared" si="6"/>
        <v>0</v>
      </c>
      <c r="P78" s="390"/>
      <c r="Q78" s="400"/>
      <c r="R78" s="545" t="b">
        <f t="shared" si="8"/>
        <v>1</v>
      </c>
      <c r="W78" s="390" t="b">
        <f t="shared" si="9"/>
        <v>1</v>
      </c>
      <c r="X78" s="691">
        <f t="shared" si="10"/>
        <v>0</v>
      </c>
    </row>
    <row r="79" spans="1:24" ht="276" customHeight="1" x14ac:dyDescent="0.25">
      <c r="A79" s="269">
        <f>'Collection Worksheet'!A92</f>
        <v>48</v>
      </c>
      <c r="B79" s="280" t="str">
        <f>'Collection Worksheet'!C92</f>
        <v>Electric Fund Net Position Statement</v>
      </c>
      <c r="C79" s="267" t="str">
        <f>'Collection Worksheet'!D92</f>
        <v>Current liabilities.  
Include:   Current portions of long-term debt
Exclude:  "Advance From"-portion of interfund loans with repayment longer than 12 months,
                   Bond anticipation notes, 
                   Compensated absences, 
                   Pension liabilities, 
                   Other post-employment liabilities (OPEB), 
                   Closure/postclosure liabilities, 
                   Payables from restricted assets
                   Deferred inflows.</v>
      </c>
      <c r="D79" s="397"/>
      <c r="E79" s="253">
        <f>'Collection Worksheet'!F92</f>
        <v>0</v>
      </c>
      <c r="F79" s="253">
        <f>IF(L79&lt;0,"Error: Enter as a positive.",)</f>
        <v>0</v>
      </c>
      <c r="G79" s="338"/>
      <c r="H79" s="244">
        <f>'Collection Worksheet'!I92</f>
        <v>0</v>
      </c>
      <c r="I79" s="231"/>
      <c r="J79" s="238">
        <v>48</v>
      </c>
      <c r="K79" s="292" t="s">
        <v>145</v>
      </c>
      <c r="L79" s="305">
        <f t="shared" si="6"/>
        <v>0</v>
      </c>
      <c r="P79" s="390"/>
      <c r="R79" s="545" t="b">
        <f t="shared" si="8"/>
        <v>1</v>
      </c>
      <c r="W79" s="390" t="b">
        <f t="shared" si="9"/>
        <v>1</v>
      </c>
      <c r="X79" s="691">
        <f t="shared" si="10"/>
        <v>0</v>
      </c>
    </row>
    <row r="80" spans="1:24" ht="42.75" customHeight="1" x14ac:dyDescent="0.25">
      <c r="A80" s="269">
        <f>'Collection Worksheet'!A93</f>
        <v>384</v>
      </c>
      <c r="B80" s="280" t="str">
        <f>'Collection Worksheet'!C93</f>
        <v>Electric Fund Net Position Statement</v>
      </c>
      <c r="C80" s="267" t="str">
        <f>'Collection Worksheet'!D93</f>
        <v>Unearned revenue (arising from cash receipts) that were included in Current Liabilities above</v>
      </c>
      <c r="D80" s="397"/>
      <c r="E80" s="358">
        <f>'Collection Worksheet'!F93</f>
        <v>0</v>
      </c>
      <c r="F80" s="395">
        <f>IF(L80&lt;0,"Error: Enter as a positive.",)</f>
        <v>0</v>
      </c>
      <c r="G80" s="338"/>
      <c r="H80" s="244">
        <f>'Collection Worksheet'!I93</f>
        <v>0</v>
      </c>
      <c r="I80" s="231"/>
      <c r="J80" s="238">
        <v>384</v>
      </c>
      <c r="K80" s="291" t="s">
        <v>146</v>
      </c>
      <c r="L80" s="305">
        <f t="shared" si="6"/>
        <v>0</v>
      </c>
      <c r="P80" s="390"/>
      <c r="Q80" s="410"/>
      <c r="R80" s="545" t="b">
        <f t="shared" si="8"/>
        <v>1</v>
      </c>
      <c r="W80" s="390" t="b">
        <f t="shared" si="9"/>
        <v>1</v>
      </c>
      <c r="X80" s="691">
        <f t="shared" si="10"/>
        <v>0</v>
      </c>
    </row>
    <row r="81" spans="1:24" ht="101.25" customHeight="1" x14ac:dyDescent="0.25">
      <c r="A81" s="269">
        <f>'Collection Worksheet'!A94</f>
        <v>361</v>
      </c>
      <c r="B81" s="280" t="str">
        <f>'Collection Worksheet'!C94</f>
        <v>Electric Fund Net Position Statement</v>
      </c>
      <c r="C81" s="267" t="str">
        <f>'Collection Worksheet'!D94</f>
        <v>Total net position, unrestricted - Amount of negative unrestricted net position should be entered as a negative amount and the amount of positive unrestricted net position should be entered as a positive amount.</v>
      </c>
      <c r="D81" s="397"/>
      <c r="E81" s="253">
        <f>'Collection Worksheet'!F94</f>
        <v>0</v>
      </c>
      <c r="F81" s="253"/>
      <c r="G81" s="338"/>
      <c r="H81" s="244">
        <f>'Collection Worksheet'!I94</f>
        <v>0</v>
      </c>
      <c r="I81" s="231"/>
      <c r="J81" s="238">
        <v>361</v>
      </c>
      <c r="K81" s="228" t="s">
        <v>125</v>
      </c>
      <c r="L81" s="305">
        <f t="shared" si="6"/>
        <v>0</v>
      </c>
      <c r="P81" s="390"/>
      <c r="R81" s="545" t="b">
        <f t="shared" si="8"/>
        <v>1</v>
      </c>
      <c r="W81" s="390" t="b">
        <f t="shared" si="9"/>
        <v>1</v>
      </c>
      <c r="X81" s="691">
        <f t="shared" si="10"/>
        <v>0</v>
      </c>
    </row>
    <row r="82" spans="1:24" ht="79.5" customHeight="1" x14ac:dyDescent="0.25">
      <c r="A82" s="269">
        <f>'Collection Worksheet'!A95</f>
        <v>362</v>
      </c>
      <c r="B82" s="280" t="str">
        <f>'Collection Worksheet'!C95</f>
        <v>Electric Fund Net Position Statement</v>
      </c>
      <c r="C82" s="267" t="str">
        <f>'Collection Worksheet'!D95</f>
        <v>Total net position</v>
      </c>
      <c r="D82" s="397"/>
      <c r="E82" s="253">
        <f>'Collection Worksheet'!F95</f>
        <v>0</v>
      </c>
      <c r="F82" s="253">
        <f>IF(+L76-L77-L82=0,,"Error: Total assets less total liabilities do not equal net position acct 382-360-362=0")</f>
        <v>0</v>
      </c>
      <c r="G82" s="422">
        <f>L76-L77-L82</f>
        <v>0</v>
      </c>
      <c r="H82" s="244">
        <f>'Collection Worksheet'!I95</f>
        <v>0</v>
      </c>
      <c r="I82" s="231"/>
      <c r="J82" s="238">
        <v>362</v>
      </c>
      <c r="K82" s="228" t="s">
        <v>126</v>
      </c>
      <c r="L82" s="305">
        <f t="shared" si="6"/>
        <v>0</v>
      </c>
      <c r="O82" s="217" t="e">
        <f>'Collection Worksheet'!E95</f>
        <v>#N/A</v>
      </c>
      <c r="P82" s="390"/>
      <c r="Q82" s="400">
        <f>IF(+L76-L77-L82=0,0,1)</f>
        <v>0</v>
      </c>
      <c r="R82" s="545" t="b">
        <f t="shared" si="8"/>
        <v>1</v>
      </c>
      <c r="W82" s="390" t="b">
        <f t="shared" si="9"/>
        <v>1</v>
      </c>
      <c r="X82" s="691">
        <f t="shared" si="10"/>
        <v>0</v>
      </c>
    </row>
    <row r="83" spans="1:24" ht="67.5" x14ac:dyDescent="0.25">
      <c r="A83" s="269">
        <f>'Collection Worksheet'!A100</f>
        <v>88</v>
      </c>
      <c r="B83" s="280" t="str">
        <f>'Collection Worksheet'!C100</f>
        <v>Water Sewer Revenue, Expenses &amp; Changes in Fund Net Position</v>
      </c>
      <c r="C83" s="267" t="str">
        <f>'Collection Worksheet'!D100</f>
        <v>Charges for services. 
Exclude tap, capacity fees and other misc. income .</v>
      </c>
      <c r="D83" s="397"/>
      <c r="E83" s="253">
        <f>'Collection Worksheet'!F100</f>
        <v>0</v>
      </c>
      <c r="F83" s="253"/>
      <c r="G83" s="338"/>
      <c r="H83" s="244">
        <f>'Collection Worksheet'!I100</f>
        <v>0</v>
      </c>
      <c r="I83" s="231"/>
      <c r="J83" s="238">
        <v>88</v>
      </c>
      <c r="K83" s="228" t="s">
        <v>311</v>
      </c>
      <c r="L83" s="305">
        <f t="shared" si="6"/>
        <v>0</v>
      </c>
      <c r="P83" s="390"/>
      <c r="R83" s="545" t="b">
        <f t="shared" si="8"/>
        <v>1</v>
      </c>
      <c r="W83" s="390" t="b">
        <f t="shared" si="9"/>
        <v>1</v>
      </c>
      <c r="X83" s="691">
        <f t="shared" si="10"/>
        <v>0</v>
      </c>
    </row>
    <row r="84" spans="1:24" ht="67.5" x14ac:dyDescent="0.25">
      <c r="A84" s="269">
        <f>'Collection Worksheet'!A101</f>
        <v>84</v>
      </c>
      <c r="B84" s="280" t="str">
        <f>'Collection Worksheet'!C101</f>
        <v>Water Sewer Revenue, Expenses &amp; Changes in Fund Net Position</v>
      </c>
      <c r="C84" s="267" t="str">
        <f>'Collection Worksheet'!D101</f>
        <v>Total Operating revenues</v>
      </c>
      <c r="D84" s="397"/>
      <c r="E84" s="253">
        <f>'Collection Worksheet'!F101</f>
        <v>0</v>
      </c>
      <c r="F84" s="253" t="str">
        <f>IF(L83&gt;L84,"Error: Charges for services exceed total operating revenues. Acct # 83&gt;84"," ")</f>
        <v xml:space="preserve"> </v>
      </c>
      <c r="G84" s="399" t="str">
        <f>IF(Q84=1," Included in error count"," ")</f>
        <v xml:space="preserve"> </v>
      </c>
      <c r="H84" s="244">
        <f>'Collection Worksheet'!I101</f>
        <v>0</v>
      </c>
      <c r="I84" s="231"/>
      <c r="J84" s="238">
        <v>84</v>
      </c>
      <c r="K84" s="228" t="s">
        <v>312</v>
      </c>
      <c r="L84" s="305">
        <f t="shared" si="6"/>
        <v>0</v>
      </c>
      <c r="P84" s="390"/>
      <c r="Q84" s="400">
        <f>IF(L83&gt;L84,1,)</f>
        <v>0</v>
      </c>
      <c r="R84" s="545" t="b">
        <f t="shared" si="8"/>
        <v>1</v>
      </c>
      <c r="W84" s="390" t="b">
        <f t="shared" si="9"/>
        <v>1</v>
      </c>
      <c r="X84" s="691">
        <f t="shared" si="10"/>
        <v>0</v>
      </c>
    </row>
    <row r="85" spans="1:24" ht="67.5" x14ac:dyDescent="0.25">
      <c r="A85" s="269">
        <f>'Collection Worksheet'!A102</f>
        <v>49</v>
      </c>
      <c r="B85" s="280" t="str">
        <f>'Collection Worksheet'!C102</f>
        <v>Water Sewer Revenue, Expenses &amp; Changes in Fund Net Position</v>
      </c>
      <c r="C85" s="267" t="str">
        <f>'Collection Worksheet'!D102</f>
        <v>Depreciation and amortization expense</v>
      </c>
      <c r="D85" s="397"/>
      <c r="E85" s="253">
        <f>'Collection Worksheet'!F102</f>
        <v>0</v>
      </c>
      <c r="F85" s="253">
        <f>IF(L85&lt;0,"Error: Enter as a positive.",)</f>
        <v>0</v>
      </c>
      <c r="G85" s="338"/>
      <c r="H85" s="244">
        <f>'Collection Worksheet'!I102</f>
        <v>0</v>
      </c>
      <c r="I85" s="231"/>
      <c r="J85" s="238">
        <v>49</v>
      </c>
      <c r="K85" s="228" t="s">
        <v>313</v>
      </c>
      <c r="L85" s="305">
        <f t="shared" si="6"/>
        <v>0</v>
      </c>
      <c r="P85" s="390"/>
      <c r="R85" s="545" t="b">
        <f t="shared" si="8"/>
        <v>1</v>
      </c>
      <c r="W85" s="390" t="b">
        <f t="shared" si="9"/>
        <v>1</v>
      </c>
      <c r="X85" s="691">
        <f t="shared" si="10"/>
        <v>0</v>
      </c>
    </row>
    <row r="86" spans="1:24" ht="67.5" x14ac:dyDescent="0.25">
      <c r="A86" s="269">
        <f>'Collection Worksheet'!A103</f>
        <v>85</v>
      </c>
      <c r="B86" s="280" t="str">
        <f>'Collection Worksheet'!C103</f>
        <v>Water Sewer Revenue, Expenses &amp; Changes in Fund Net Position</v>
      </c>
      <c r="C86" s="267" t="str">
        <f>'Collection Worksheet'!D103</f>
        <v>Total Operating expenses</v>
      </c>
      <c r="D86" s="397"/>
      <c r="E86" s="253">
        <f>'Collection Worksheet'!F103</f>
        <v>0</v>
      </c>
      <c r="F86" s="253">
        <f>IF(L86&lt;0,"Error: Enter as a positive.",)</f>
        <v>0</v>
      </c>
      <c r="G86" s="338"/>
      <c r="H86" s="244">
        <f>'Collection Worksheet'!I103</f>
        <v>0</v>
      </c>
      <c r="I86" s="231"/>
      <c r="J86" s="238">
        <v>85</v>
      </c>
      <c r="K86" s="228" t="s">
        <v>314</v>
      </c>
      <c r="L86" s="305">
        <f t="shared" si="6"/>
        <v>0</v>
      </c>
      <c r="P86" s="390"/>
      <c r="R86" s="545" t="b">
        <f t="shared" si="8"/>
        <v>1</v>
      </c>
      <c r="W86" s="390" t="b">
        <f t="shared" si="9"/>
        <v>1</v>
      </c>
      <c r="X86" s="691">
        <f t="shared" si="10"/>
        <v>0</v>
      </c>
    </row>
    <row r="87" spans="1:24" ht="67.5" x14ac:dyDescent="0.25">
      <c r="A87" s="269">
        <f>'Collection Worksheet'!A104</f>
        <v>89</v>
      </c>
      <c r="B87" s="280" t="str">
        <f>'Collection Worksheet'!C104</f>
        <v>Water Sewer Revenue, Expenses &amp; Changes in Fund Net Position</v>
      </c>
      <c r="C87" s="267" t="str">
        <f>'Collection Worksheet'!D104</f>
        <v>Interest expense</v>
      </c>
      <c r="D87" s="397"/>
      <c r="E87" s="253">
        <f>'Collection Worksheet'!F104</f>
        <v>0</v>
      </c>
      <c r="F87" s="253">
        <f>IF(L87&lt;0,"Error: Enter as a positive.",)</f>
        <v>0</v>
      </c>
      <c r="G87" s="338"/>
      <c r="H87" s="244">
        <f>'Collection Worksheet'!I104</f>
        <v>0</v>
      </c>
      <c r="I87" s="231"/>
      <c r="J87" s="238">
        <v>89</v>
      </c>
      <c r="K87" s="228" t="s">
        <v>315</v>
      </c>
      <c r="L87" s="305">
        <f t="shared" si="6"/>
        <v>0</v>
      </c>
      <c r="P87" s="390"/>
      <c r="R87" s="545" t="b">
        <f t="shared" si="8"/>
        <v>1</v>
      </c>
      <c r="W87" s="390" t="b">
        <f t="shared" si="9"/>
        <v>1</v>
      </c>
      <c r="X87" s="691">
        <f t="shared" si="10"/>
        <v>0</v>
      </c>
    </row>
    <row r="88" spans="1:24" ht="67.5" x14ac:dyDescent="0.25">
      <c r="A88" s="269">
        <f>'Collection Worksheet'!A105</f>
        <v>350</v>
      </c>
      <c r="B88" s="280" t="str">
        <f>'Collection Worksheet'!C105</f>
        <v>Water Sewer Revenue, Expenses &amp; Changes in Fund Net Position</v>
      </c>
      <c r="C88" s="267" t="str">
        <f>'Collection Worksheet'!D105</f>
        <v>Total all non-operating revenues  
Exclude Capital contributions.</v>
      </c>
      <c r="D88" s="397"/>
      <c r="E88" s="253">
        <f>'Collection Worksheet'!F105</f>
        <v>0</v>
      </c>
      <c r="F88" s="253"/>
      <c r="G88" s="338"/>
      <c r="H88" s="244">
        <f>'Collection Worksheet'!I105</f>
        <v>0</v>
      </c>
      <c r="I88" s="231"/>
      <c r="J88" s="238">
        <v>350</v>
      </c>
      <c r="K88" s="228" t="s">
        <v>316</v>
      </c>
      <c r="L88" s="305">
        <f t="shared" si="6"/>
        <v>0</v>
      </c>
      <c r="P88" s="390"/>
      <c r="R88" s="545" t="b">
        <f t="shared" si="8"/>
        <v>1</v>
      </c>
      <c r="W88" s="390" t="b">
        <f t="shared" si="9"/>
        <v>1</v>
      </c>
      <c r="X88" s="691">
        <f t="shared" si="10"/>
        <v>0</v>
      </c>
    </row>
    <row r="89" spans="1:24" ht="67.5" x14ac:dyDescent="0.25">
      <c r="A89" s="269">
        <f>'Collection Worksheet'!A106</f>
        <v>351</v>
      </c>
      <c r="B89" s="280" t="str">
        <f>'Collection Worksheet'!C106</f>
        <v>Water Sewer Revenue, Expenses &amp; Changes in Fund Net Position</v>
      </c>
      <c r="C89" s="267" t="str">
        <f>'Collection Worksheet'!D106</f>
        <v>Total all non-operating expenses.  
Include any negative special, extraordinary, or capital contribution.</v>
      </c>
      <c r="D89" s="397"/>
      <c r="E89" s="253">
        <f>'Collection Worksheet'!F106</f>
        <v>0</v>
      </c>
      <c r="F89" s="253">
        <f>IF(L89&lt;0,"Error: Enter as a positive.",)</f>
        <v>0</v>
      </c>
      <c r="G89" s="338"/>
      <c r="H89" s="244">
        <f>'Collection Worksheet'!I106</f>
        <v>0</v>
      </c>
      <c r="I89" s="231"/>
      <c r="J89" s="238">
        <v>351</v>
      </c>
      <c r="K89" s="228" t="s">
        <v>317</v>
      </c>
      <c r="L89" s="305">
        <f t="shared" si="6"/>
        <v>0</v>
      </c>
      <c r="P89" s="390"/>
      <c r="R89" s="545" t="b">
        <f t="shared" si="8"/>
        <v>1</v>
      </c>
      <c r="W89" s="390" t="b">
        <f t="shared" si="9"/>
        <v>1</v>
      </c>
      <c r="X89" s="691">
        <f t="shared" si="10"/>
        <v>0</v>
      </c>
    </row>
    <row r="90" spans="1:24" ht="67.5" x14ac:dyDescent="0.25">
      <c r="A90" s="269">
        <f>'Collection Worksheet'!A107</f>
        <v>191</v>
      </c>
      <c r="B90" s="280" t="str">
        <f>'Collection Worksheet'!C107</f>
        <v>Water Sewer Revenue, Expenses &amp; Changes in Fund Net Position</v>
      </c>
      <c r="C90" s="267" t="str">
        <f>'Collection Worksheet'!D107</f>
        <v>Capital contributions. Only include positive capital contributions.  Negative capital contributions should be included with 'Total all non-operating expenses.'</v>
      </c>
      <c r="D90" s="397"/>
      <c r="E90" s="253">
        <f>'Collection Worksheet'!F107</f>
        <v>0</v>
      </c>
      <c r="F90" s="253">
        <f>IF(L90&lt;0,"Error: Enter as a positive.",)</f>
        <v>0</v>
      </c>
      <c r="G90" s="338"/>
      <c r="H90" s="244">
        <f>'Collection Worksheet'!I107</f>
        <v>0</v>
      </c>
      <c r="I90" s="231"/>
      <c r="J90" s="238">
        <v>191</v>
      </c>
      <c r="K90" s="228" t="s">
        <v>318</v>
      </c>
      <c r="L90" s="305">
        <f t="shared" si="6"/>
        <v>0</v>
      </c>
      <c r="P90" s="390"/>
      <c r="R90" s="545" t="b">
        <f t="shared" si="8"/>
        <v>1</v>
      </c>
      <c r="W90" s="390" t="b">
        <f t="shared" si="9"/>
        <v>1</v>
      </c>
      <c r="X90" s="691">
        <f t="shared" si="10"/>
        <v>0</v>
      </c>
    </row>
    <row r="91" spans="1:24" ht="67.5" x14ac:dyDescent="0.25">
      <c r="A91" s="269">
        <f>'Collection Worksheet'!A108</f>
        <v>352</v>
      </c>
      <c r="B91" s="280" t="str">
        <f>'Collection Worksheet'!C108</f>
        <v>Water Sewer Revenue, Expenses &amp; Changes in Fund Net Position</v>
      </c>
      <c r="C91" s="267" t="str">
        <f>'Collection Worksheet'!D108</f>
        <v>Total Transfers in</v>
      </c>
      <c r="D91" s="397"/>
      <c r="E91" s="253">
        <f>'Collection Worksheet'!F108</f>
        <v>0</v>
      </c>
      <c r="F91" s="253">
        <f>IF(L91&lt;0,"Error: Enter as a positive.",)</f>
        <v>0</v>
      </c>
      <c r="G91" s="338"/>
      <c r="H91" s="244">
        <f>'Collection Worksheet'!I108</f>
        <v>0</v>
      </c>
      <c r="I91" s="231"/>
      <c r="J91" s="238">
        <v>352</v>
      </c>
      <c r="K91" s="228" t="s">
        <v>319</v>
      </c>
      <c r="L91" s="305">
        <f t="shared" si="6"/>
        <v>0</v>
      </c>
      <c r="P91" s="390"/>
      <c r="R91" s="545" t="b">
        <f t="shared" si="8"/>
        <v>1</v>
      </c>
      <c r="W91" s="390" t="b">
        <f t="shared" si="9"/>
        <v>1</v>
      </c>
      <c r="X91" s="691">
        <f t="shared" si="10"/>
        <v>0</v>
      </c>
    </row>
    <row r="92" spans="1:24" ht="67.5" x14ac:dyDescent="0.25">
      <c r="A92" s="269">
        <f>'Collection Worksheet'!A109</f>
        <v>353</v>
      </c>
      <c r="B92" s="280" t="str">
        <f>'Collection Worksheet'!C109</f>
        <v>Water Sewer Revenue, Expenses &amp; Changes in Fund Net Position</v>
      </c>
      <c r="C92" s="267" t="str">
        <f>'Collection Worksheet'!D109</f>
        <v>Total Transfers out</v>
      </c>
      <c r="D92" s="397"/>
      <c r="E92" s="253">
        <f>'Collection Worksheet'!F109</f>
        <v>0</v>
      </c>
      <c r="F92" s="253">
        <f>IF(L92&lt;0,"Error: Enter as a positive.",)</f>
        <v>0</v>
      </c>
      <c r="G92" s="338"/>
      <c r="H92" s="244">
        <f>'Collection Worksheet'!I109</f>
        <v>0</v>
      </c>
      <c r="I92" s="231"/>
      <c r="J92" s="236">
        <v>353</v>
      </c>
      <c r="K92" s="228" t="s">
        <v>320</v>
      </c>
      <c r="L92" s="305">
        <f t="shared" si="6"/>
        <v>0</v>
      </c>
      <c r="P92" s="390"/>
      <c r="R92" s="545" t="b">
        <f t="shared" si="8"/>
        <v>1</v>
      </c>
      <c r="W92" s="390" t="b">
        <f t="shared" si="9"/>
        <v>1</v>
      </c>
      <c r="X92" s="691">
        <f t="shared" si="10"/>
        <v>0</v>
      </c>
    </row>
    <row r="93" spans="1:24" ht="63.75" customHeight="1" x14ac:dyDescent="0.25">
      <c r="A93" s="269">
        <f>'Collection Worksheet'!A110</f>
        <v>50</v>
      </c>
      <c r="B93" s="280" t="str">
        <f>'Collection Worksheet'!C110</f>
        <v>Water Sewer Revenue, Expenses &amp; Changes in Fund Net Position</v>
      </c>
      <c r="C93" s="267" t="str">
        <f>'Collection Worksheet'!D110</f>
        <v>Change in net position - Increase in net position is recorded as a positive and a (Decrease) in net position is recorded as a negative.</v>
      </c>
      <c r="D93" s="397"/>
      <c r="E93" s="253">
        <f>'Collection Worksheet'!F110</f>
        <v>0</v>
      </c>
      <c r="F93" s="395">
        <f>IF(L84-L86+L88-L89+L91+L90-L92-L93=0,,"Error:Total revenues less total expenses do not equal total change in net position. Acct # 84-85+350-351+191+352-353-50")</f>
        <v>0</v>
      </c>
      <c r="G93" s="422">
        <f>L84-L86+L88-L89+L90+L91-L92-L93</f>
        <v>0</v>
      </c>
      <c r="H93" s="244">
        <f>'Collection Worksheet'!I110</f>
        <v>0</v>
      </c>
      <c r="I93" s="231"/>
      <c r="J93" s="238">
        <v>50</v>
      </c>
      <c r="K93" s="228" t="s">
        <v>119</v>
      </c>
      <c r="L93" s="305">
        <f t="shared" si="6"/>
        <v>0</v>
      </c>
      <c r="P93" s="390"/>
      <c r="Q93" s="400">
        <f>IF(G93&lt;&gt;0,1,)</f>
        <v>0</v>
      </c>
      <c r="R93" s="545" t="b">
        <f t="shared" si="8"/>
        <v>1</v>
      </c>
      <c r="W93" s="390" t="b">
        <f t="shared" si="9"/>
        <v>1</v>
      </c>
      <c r="X93" s="691">
        <f t="shared" si="10"/>
        <v>0</v>
      </c>
    </row>
    <row r="94" spans="1:24" ht="105" x14ac:dyDescent="0.25">
      <c r="A94" s="269">
        <f>'Collection Worksheet'!A111</f>
        <v>377</v>
      </c>
      <c r="B94" s="280" t="str">
        <f>'Collection Worksheet'!C111</f>
        <v>Water Sewer Revenue, Expenses &amp; Changes in Fund Net Position</v>
      </c>
      <c r="C94" s="267" t="str">
        <f>'Collection Worksheet'!D111</f>
        <v>Increases or (decreases) to beginning water sewer net position due to rounding, prior period adjustments and restatements.  Increase amounts to beginning net position should be entered as a positive amount and (decreases) should be entered as a negative amount.</v>
      </c>
      <c r="D94" s="397"/>
      <c r="E94" s="253">
        <f>'Collection Worksheet'!F111</f>
        <v>0</v>
      </c>
      <c r="F94" s="252" t="e">
        <f>IF(L70-L93-L94=O70,,"Error:Beginning Balance does not agree with out records.Acct # 83-50-377=prior year 83")</f>
        <v>#N/A</v>
      </c>
      <c r="G94" s="422" t="e">
        <f>+L70-L93-L94-O70</f>
        <v>#N/A</v>
      </c>
      <c r="H94" s="244">
        <f>'Collection Worksheet'!I111</f>
        <v>0</v>
      </c>
      <c r="I94" s="231"/>
      <c r="J94" s="238">
        <v>377</v>
      </c>
      <c r="K94" s="228" t="s">
        <v>128</v>
      </c>
      <c r="L94" s="305">
        <f t="shared" si="6"/>
        <v>0</v>
      </c>
      <c r="P94" s="390"/>
      <c r="Q94" s="400" t="e">
        <f>IF(G94&lt;&gt;0,1,)</f>
        <v>#N/A</v>
      </c>
      <c r="R94" s="545" t="b">
        <f t="shared" si="8"/>
        <v>1</v>
      </c>
      <c r="W94" s="390" t="b">
        <f t="shared" si="9"/>
        <v>1</v>
      </c>
      <c r="X94" s="691">
        <f t="shared" si="10"/>
        <v>0</v>
      </c>
    </row>
    <row r="95" spans="1:24" ht="64.5" customHeight="1" x14ac:dyDescent="0.25">
      <c r="A95" s="301">
        <f>'Collection Worksheet'!A112</f>
        <v>537</v>
      </c>
      <c r="B95" s="280" t="str">
        <f>'Collection Worksheet'!C112</f>
        <v>Water Sewer Revenue, Expenses &amp; Changes in Fund Net Position</v>
      </c>
      <c r="C95" s="288" t="str">
        <f>'Collection Worksheet'!D112</f>
        <v>Did unit raise Water Sewer rates during the audited fiscal period? - answer Yes or No</v>
      </c>
      <c r="D95" s="308"/>
      <c r="E95" s="290">
        <f>'Collection Worksheet'!F112</f>
        <v>0</v>
      </c>
      <c r="F95" s="253" t="s">
        <v>437</v>
      </c>
      <c r="G95" s="338"/>
      <c r="H95" s="244">
        <f>'Collection Worksheet'!I112</f>
        <v>0</v>
      </c>
      <c r="I95" s="231"/>
      <c r="J95" s="310">
        <v>537</v>
      </c>
      <c r="K95" s="307" t="s">
        <v>374</v>
      </c>
      <c r="L95" s="502" t="str">
        <f>IF(E95="Yes",1,IF(E95="No",2,""))</f>
        <v/>
      </c>
      <c r="N95" s="299" t="s">
        <v>427</v>
      </c>
      <c r="P95" s="390"/>
      <c r="R95" s="545" t="b">
        <f t="shared" si="8"/>
        <v>1</v>
      </c>
      <c r="W95" s="390" t="b">
        <f t="shared" si="9"/>
        <v>1</v>
      </c>
      <c r="X95" s="691" t="e">
        <f t="shared" si="10"/>
        <v>#VALUE!</v>
      </c>
    </row>
    <row r="96" spans="1:24" ht="63.75" customHeight="1" x14ac:dyDescent="0.25">
      <c r="A96" s="301">
        <f>'Collection Worksheet'!A113</f>
        <v>538</v>
      </c>
      <c r="B96" s="280" t="str">
        <f>'Collection Worksheet'!C113</f>
        <v>Water Sewer Revenue, Expenses &amp; Changes in Fund Net Position</v>
      </c>
      <c r="C96" s="288" t="str">
        <f>'Collection Worksheet'!D113</f>
        <v>Did unit raise Water Sewer rates during the budget year following the audited fiscal year? - answer Yes or No</v>
      </c>
      <c r="D96" s="308"/>
      <c r="E96" s="290">
        <f>'Collection Worksheet'!F113</f>
        <v>0</v>
      </c>
      <c r="F96" s="253" t="s">
        <v>437</v>
      </c>
      <c r="G96" s="338"/>
      <c r="H96" s="244">
        <f>'Collection Worksheet'!I113</f>
        <v>0</v>
      </c>
      <c r="I96" s="231"/>
      <c r="J96" s="310">
        <v>538</v>
      </c>
      <c r="K96" s="307" t="s">
        <v>373</v>
      </c>
      <c r="L96" s="312" t="str">
        <f>IF(E96="Yes",1,IF(E96="No",2,""))</f>
        <v/>
      </c>
      <c r="N96" s="299" t="s">
        <v>427</v>
      </c>
      <c r="P96" s="390"/>
      <c r="R96" s="545" t="b">
        <f t="shared" si="8"/>
        <v>1</v>
      </c>
      <c r="W96" s="390" t="b">
        <f t="shared" si="9"/>
        <v>1</v>
      </c>
      <c r="X96" s="691" t="e">
        <f t="shared" si="10"/>
        <v>#VALUE!</v>
      </c>
    </row>
    <row r="97" spans="1:24" ht="67.5" x14ac:dyDescent="0.25">
      <c r="A97" s="269">
        <f>'Collection Worksheet'!A115</f>
        <v>97</v>
      </c>
      <c r="B97" s="280" t="str">
        <f>'Collection Worksheet'!C115</f>
        <v>Electric Fund Revenue, Expenses &amp; Changes in Fund Net Position</v>
      </c>
      <c r="C97" s="267" t="str">
        <f>'Collection Worksheet'!D115</f>
        <v>Charges for services</v>
      </c>
      <c r="D97" s="254"/>
      <c r="E97" s="253">
        <f>'Collection Worksheet'!F115</f>
        <v>0</v>
      </c>
      <c r="F97" s="253">
        <f>IF(L97&lt;0,"Error: Enter as a positive.",)</f>
        <v>0</v>
      </c>
      <c r="G97" s="338"/>
      <c r="H97" s="244">
        <f>'Collection Worksheet'!I115</f>
        <v>0</v>
      </c>
      <c r="I97" s="231"/>
      <c r="J97" s="238">
        <v>97</v>
      </c>
      <c r="K97" s="228" t="s">
        <v>321</v>
      </c>
      <c r="L97" s="262">
        <f t="shared" ref="L97:L177" si="11">IF(D97="",E97,D97)</f>
        <v>0</v>
      </c>
      <c r="P97" s="390"/>
      <c r="R97" s="545" t="b">
        <f t="shared" si="8"/>
        <v>1</v>
      </c>
      <c r="W97" s="390" t="b">
        <f t="shared" si="9"/>
        <v>1</v>
      </c>
      <c r="X97" s="691">
        <f t="shared" si="10"/>
        <v>0</v>
      </c>
    </row>
    <row r="98" spans="1:24" ht="64.5" customHeight="1" x14ac:dyDescent="0.25">
      <c r="A98" s="269">
        <f>'Collection Worksheet'!A116</f>
        <v>93</v>
      </c>
      <c r="B98" s="280" t="str">
        <f>'Collection Worksheet'!C116</f>
        <v>Electric Fund Revenue, Expenses &amp; Changes in Fund Net Position</v>
      </c>
      <c r="C98" s="267" t="str">
        <f>'Collection Worksheet'!D116</f>
        <v>Total Operating revenues</v>
      </c>
      <c r="D98" s="396"/>
      <c r="E98" s="253">
        <f>'Collection Worksheet'!F116</f>
        <v>0</v>
      </c>
      <c r="F98" s="253" t="str">
        <f>IF(L97&gt;L98,"Error: Charges for services exceeds total operating revenues Acct 97&gt;=93"," ")</f>
        <v xml:space="preserve"> </v>
      </c>
      <c r="G98" s="399" t="str">
        <f>IF(Q98=1," Included in error count"," ")</f>
        <v xml:space="preserve"> </v>
      </c>
      <c r="H98" s="244">
        <f>'Collection Worksheet'!I116</f>
        <v>0</v>
      </c>
      <c r="I98" s="231"/>
      <c r="J98" s="238">
        <v>93</v>
      </c>
      <c r="K98" s="228" t="s">
        <v>322</v>
      </c>
      <c r="L98" s="262">
        <f t="shared" si="11"/>
        <v>0</v>
      </c>
      <c r="P98" s="390"/>
      <c r="Q98" s="400">
        <f>IF(L97&gt;L98,1,0)</f>
        <v>0</v>
      </c>
      <c r="R98" s="545" t="b">
        <f t="shared" si="8"/>
        <v>1</v>
      </c>
      <c r="W98" s="390" t="b">
        <f t="shared" si="9"/>
        <v>1</v>
      </c>
      <c r="X98" s="691">
        <f t="shared" si="10"/>
        <v>0</v>
      </c>
    </row>
    <row r="99" spans="1:24" ht="67.5" x14ac:dyDescent="0.25">
      <c r="A99" s="269">
        <f>'Collection Worksheet'!A117</f>
        <v>99</v>
      </c>
      <c r="B99" s="280" t="str">
        <f>'Collection Worksheet'!C117</f>
        <v>Electric Fund Revenue, Expenses &amp; Changes in Fund Net Position</v>
      </c>
      <c r="C99" s="267" t="str">
        <f>'Collection Worksheet'!D117</f>
        <v>Electrical power purchases</v>
      </c>
      <c r="D99" s="396"/>
      <c r="E99" s="253">
        <f>'Collection Worksheet'!F117</f>
        <v>0</v>
      </c>
      <c r="F99" s="253">
        <f t="shared" ref="F99:F107" si="12">IF(L99&lt;0,"Error: Enter as a positive.",)</f>
        <v>0</v>
      </c>
      <c r="G99" s="338"/>
      <c r="H99" s="244">
        <f>'Collection Worksheet'!I117</f>
        <v>0</v>
      </c>
      <c r="I99" s="231"/>
      <c r="J99" s="238">
        <v>99</v>
      </c>
      <c r="K99" s="228" t="s">
        <v>323</v>
      </c>
      <c r="L99" s="262">
        <f t="shared" si="11"/>
        <v>0</v>
      </c>
      <c r="P99" s="390"/>
      <c r="R99" s="545" t="b">
        <f t="shared" si="8"/>
        <v>1</v>
      </c>
      <c r="W99" s="390" t="b">
        <f t="shared" si="9"/>
        <v>1</v>
      </c>
      <c r="X99" s="691">
        <f t="shared" si="10"/>
        <v>0</v>
      </c>
    </row>
    <row r="100" spans="1:24" ht="67.5" x14ac:dyDescent="0.25">
      <c r="A100" s="269">
        <f>'Collection Worksheet'!A118</f>
        <v>52</v>
      </c>
      <c r="B100" s="280" t="str">
        <f>'Collection Worksheet'!C118</f>
        <v>Electric Fund Revenue, Expenses &amp; Changes in Fund Net Position</v>
      </c>
      <c r="C100" s="267" t="str">
        <f>'Collection Worksheet'!D118</f>
        <v>Depreciation and amortization expense</v>
      </c>
      <c r="D100" s="396"/>
      <c r="E100" s="253">
        <f>'Collection Worksheet'!F118</f>
        <v>0</v>
      </c>
      <c r="F100" s="253">
        <f t="shared" si="12"/>
        <v>0</v>
      </c>
      <c r="G100" s="338"/>
      <c r="H100" s="244">
        <f>'Collection Worksheet'!I118</f>
        <v>0</v>
      </c>
      <c r="I100" s="231"/>
      <c r="J100" s="238">
        <v>52</v>
      </c>
      <c r="K100" s="228" t="s">
        <v>324</v>
      </c>
      <c r="L100" s="262">
        <f t="shared" si="11"/>
        <v>0</v>
      </c>
      <c r="P100" s="390"/>
      <c r="R100" s="545" t="b">
        <f t="shared" si="8"/>
        <v>1</v>
      </c>
      <c r="W100" s="390" t="b">
        <f t="shared" si="9"/>
        <v>1</v>
      </c>
      <c r="X100" s="691">
        <f t="shared" si="10"/>
        <v>0</v>
      </c>
    </row>
    <row r="101" spans="1:24" ht="67.5" x14ac:dyDescent="0.25">
      <c r="A101" s="269">
        <f>'Collection Worksheet'!A119</f>
        <v>94</v>
      </c>
      <c r="B101" s="280" t="str">
        <f>'Collection Worksheet'!C119</f>
        <v>Electric Fund Revenue, Expenses &amp; Changes in Fund Net Position</v>
      </c>
      <c r="C101" s="267" t="str">
        <f>'Collection Worksheet'!D119</f>
        <v>Total Operating expenses</v>
      </c>
      <c r="D101" s="396"/>
      <c r="E101" s="253">
        <f>'Collection Worksheet'!F119</f>
        <v>0</v>
      </c>
      <c r="F101" s="253">
        <f t="shared" si="12"/>
        <v>0</v>
      </c>
      <c r="G101" s="338"/>
      <c r="H101" s="244">
        <f>'Collection Worksheet'!I119</f>
        <v>0</v>
      </c>
      <c r="I101" s="231"/>
      <c r="J101" s="238">
        <v>94</v>
      </c>
      <c r="K101" s="228" t="s">
        <v>325</v>
      </c>
      <c r="L101" s="262">
        <f t="shared" si="11"/>
        <v>0</v>
      </c>
      <c r="P101" s="390"/>
      <c r="R101" s="545" t="b">
        <f t="shared" si="8"/>
        <v>1</v>
      </c>
      <c r="W101" s="390" t="b">
        <f t="shared" si="9"/>
        <v>1</v>
      </c>
      <c r="X101" s="691">
        <f t="shared" si="10"/>
        <v>0</v>
      </c>
    </row>
    <row r="102" spans="1:24" ht="67.5" x14ac:dyDescent="0.25">
      <c r="A102" s="269">
        <f>'Collection Worksheet'!A120</f>
        <v>98</v>
      </c>
      <c r="B102" s="280" t="str">
        <f>'Collection Worksheet'!C120</f>
        <v>Electric Fund Revenue, Expenses &amp; Changes in Fund Net Position</v>
      </c>
      <c r="C102" s="267" t="str">
        <f>'Collection Worksheet'!D120</f>
        <v>Interest expense</v>
      </c>
      <c r="D102" s="396"/>
      <c r="E102" s="253">
        <f>'Collection Worksheet'!F120</f>
        <v>0</v>
      </c>
      <c r="F102" s="253">
        <f t="shared" si="12"/>
        <v>0</v>
      </c>
      <c r="G102" s="338"/>
      <c r="H102" s="244">
        <f>'Collection Worksheet'!I120</f>
        <v>0</v>
      </c>
      <c r="I102" s="231"/>
      <c r="J102" s="238">
        <v>98</v>
      </c>
      <c r="K102" s="228" t="s">
        <v>326</v>
      </c>
      <c r="L102" s="262">
        <f t="shared" si="11"/>
        <v>0</v>
      </c>
      <c r="P102" s="390"/>
      <c r="R102" s="545" t="b">
        <f t="shared" si="8"/>
        <v>1</v>
      </c>
      <c r="W102" s="390" t="b">
        <f t="shared" si="9"/>
        <v>1</v>
      </c>
      <c r="X102" s="691">
        <f t="shared" si="10"/>
        <v>0</v>
      </c>
    </row>
    <row r="103" spans="1:24" ht="67.5" x14ac:dyDescent="0.25">
      <c r="A103" s="269">
        <f>'Collection Worksheet'!A121</f>
        <v>363</v>
      </c>
      <c r="B103" s="280" t="str">
        <f>'Collection Worksheet'!C121</f>
        <v>Electric Fund Revenue, Expenses &amp; Changes in Fund Net Position</v>
      </c>
      <c r="C103" s="267" t="str">
        <f>'Collection Worksheet'!D121</f>
        <v>Total all the non-operating revenues  
Exclude Capital Contributions.</v>
      </c>
      <c r="D103" s="396"/>
      <c r="E103" s="253">
        <f>'Collection Worksheet'!F121</f>
        <v>0</v>
      </c>
      <c r="F103" s="253"/>
      <c r="G103" s="338"/>
      <c r="H103" s="244">
        <f>'Collection Worksheet'!I121</f>
        <v>0</v>
      </c>
      <c r="I103" s="231"/>
      <c r="J103" s="238">
        <v>363</v>
      </c>
      <c r="K103" s="228" t="s">
        <v>327</v>
      </c>
      <c r="L103" s="262">
        <f t="shared" si="11"/>
        <v>0</v>
      </c>
      <c r="P103" s="390"/>
      <c r="R103" s="545" t="b">
        <f t="shared" si="8"/>
        <v>1</v>
      </c>
      <c r="W103" s="390" t="b">
        <f t="shared" si="9"/>
        <v>1</v>
      </c>
      <c r="X103" s="691">
        <f t="shared" si="10"/>
        <v>0</v>
      </c>
    </row>
    <row r="104" spans="1:24" ht="67.5" x14ac:dyDescent="0.25">
      <c r="A104" s="269">
        <f>'Collection Worksheet'!A122</f>
        <v>364</v>
      </c>
      <c r="B104" s="280" t="str">
        <f>'Collection Worksheet'!C122</f>
        <v>Electric Fund Revenue, Expenses &amp; Changes in Fund Net Position</v>
      </c>
      <c r="C104" s="267" t="str">
        <f>'Collection Worksheet'!D122</f>
        <v>Total all non-operating expenses.  
Include negative special, extraordinary, or capital contribution.</v>
      </c>
      <c r="D104" s="396"/>
      <c r="E104" s="253">
        <f>'Collection Worksheet'!F122</f>
        <v>0</v>
      </c>
      <c r="F104" s="253">
        <f t="shared" si="12"/>
        <v>0</v>
      </c>
      <c r="G104" s="338"/>
      <c r="H104" s="244">
        <f>'Collection Worksheet'!I122</f>
        <v>0</v>
      </c>
      <c r="I104" s="231"/>
      <c r="J104" s="238">
        <v>364</v>
      </c>
      <c r="K104" s="228" t="s">
        <v>328</v>
      </c>
      <c r="L104" s="262">
        <f t="shared" si="11"/>
        <v>0</v>
      </c>
      <c r="P104" s="390"/>
      <c r="R104" s="545" t="b">
        <f t="shared" si="8"/>
        <v>1</v>
      </c>
      <c r="W104" s="390" t="b">
        <f t="shared" si="9"/>
        <v>1</v>
      </c>
      <c r="X104" s="691">
        <f t="shared" si="10"/>
        <v>0</v>
      </c>
    </row>
    <row r="105" spans="1:24" ht="75" x14ac:dyDescent="0.25">
      <c r="A105" s="269">
        <f>'Collection Worksheet'!A123</f>
        <v>192</v>
      </c>
      <c r="B105" s="280" t="str">
        <f>'Collection Worksheet'!C123</f>
        <v>Electric Fund Revenue, Expenses &amp; Changes in Fund Net Position</v>
      </c>
      <c r="C105" s="267" t="str">
        <f>'Collection Worksheet'!D123</f>
        <v>Capital Contributions.  
Include only positive capital Contributions.  Negative capital contributions should be included with 'Total all non-operating expenses.'</v>
      </c>
      <c r="D105" s="396"/>
      <c r="E105" s="253">
        <f>'Collection Worksheet'!F123</f>
        <v>0</v>
      </c>
      <c r="F105" s="253">
        <f t="shared" si="12"/>
        <v>0</v>
      </c>
      <c r="G105" s="338"/>
      <c r="H105" s="244">
        <f>'Collection Worksheet'!I123</f>
        <v>0</v>
      </c>
      <c r="I105" s="231"/>
      <c r="J105" s="238">
        <v>192</v>
      </c>
      <c r="K105" s="228" t="s">
        <v>329</v>
      </c>
      <c r="L105" s="262">
        <f t="shared" si="11"/>
        <v>0</v>
      </c>
      <c r="P105" s="390"/>
      <c r="R105" s="545" t="b">
        <f t="shared" si="8"/>
        <v>1</v>
      </c>
      <c r="W105" s="390" t="b">
        <f t="shared" si="9"/>
        <v>1</v>
      </c>
      <c r="X105" s="691">
        <f t="shared" si="10"/>
        <v>0</v>
      </c>
    </row>
    <row r="106" spans="1:24" ht="67.5" x14ac:dyDescent="0.25">
      <c r="A106" s="269">
        <f>'Collection Worksheet'!A124</f>
        <v>365</v>
      </c>
      <c r="B106" s="280" t="str">
        <f>'Collection Worksheet'!C124</f>
        <v>Electric Fund Revenue, Expenses &amp; Changes in Fund Net Position</v>
      </c>
      <c r="C106" s="267" t="str">
        <f>'Collection Worksheet'!D124</f>
        <v>Total Transfers In (From all Funds)</v>
      </c>
      <c r="D106" s="396"/>
      <c r="E106" s="253">
        <f>'Collection Worksheet'!F124</f>
        <v>0</v>
      </c>
      <c r="F106" s="253"/>
      <c r="G106" s="338"/>
      <c r="H106" s="244">
        <f>'Collection Worksheet'!I124</f>
        <v>0</v>
      </c>
      <c r="I106" s="231"/>
      <c r="J106" s="238">
        <v>365</v>
      </c>
      <c r="K106" s="228" t="s">
        <v>330</v>
      </c>
      <c r="L106" s="262">
        <f t="shared" si="11"/>
        <v>0</v>
      </c>
      <c r="P106" s="390"/>
      <c r="R106" s="545" t="b">
        <f t="shared" si="8"/>
        <v>1</v>
      </c>
      <c r="W106" s="390" t="b">
        <f t="shared" si="9"/>
        <v>1</v>
      </c>
      <c r="X106" s="691">
        <f t="shared" si="10"/>
        <v>0</v>
      </c>
    </row>
    <row r="107" spans="1:24" ht="67.5" x14ac:dyDescent="0.25">
      <c r="A107" s="269">
        <f>'Collection Worksheet'!A125</f>
        <v>366</v>
      </c>
      <c r="B107" s="280" t="str">
        <f>'Collection Worksheet'!C125</f>
        <v>Electric Fund Revenue, Expenses &amp; Changes in Fund Net Position</v>
      </c>
      <c r="C107" s="267" t="str">
        <f>'Collection Worksheet'!D125</f>
        <v>Total Transfers Out (To all funds)</v>
      </c>
      <c r="D107" s="396"/>
      <c r="E107" s="253">
        <f>'Collection Worksheet'!F125</f>
        <v>0</v>
      </c>
      <c r="F107" s="253">
        <f t="shared" si="12"/>
        <v>0</v>
      </c>
      <c r="G107" s="338"/>
      <c r="H107" s="244">
        <f>'Collection Worksheet'!I125</f>
        <v>0</v>
      </c>
      <c r="I107" s="231"/>
      <c r="J107" s="238">
        <v>366</v>
      </c>
      <c r="K107" s="228" t="s">
        <v>414</v>
      </c>
      <c r="L107" s="262">
        <f t="shared" si="11"/>
        <v>0</v>
      </c>
      <c r="P107" s="390"/>
      <c r="R107" s="545" t="b">
        <f t="shared" si="8"/>
        <v>1</v>
      </c>
      <c r="W107" s="390" t="b">
        <f t="shared" si="9"/>
        <v>1</v>
      </c>
      <c r="X107" s="691">
        <f t="shared" si="10"/>
        <v>0</v>
      </c>
    </row>
    <row r="108" spans="1:24" ht="84.75" customHeight="1" x14ac:dyDescent="0.25">
      <c r="A108" s="269">
        <f>'Collection Worksheet'!A126</f>
        <v>53</v>
      </c>
      <c r="B108" s="280" t="str">
        <f>'Collection Worksheet'!C126</f>
        <v>Electric Fund Revenue, Expenses &amp; Changes in Fund Net Position</v>
      </c>
      <c r="C108" s="267" t="str">
        <f>'Collection Worksheet'!D126</f>
        <v>Change in net position - Increase in net position is recorded as a positive and a (decrease) in net position is recorded as a negative.</v>
      </c>
      <c r="D108" s="396"/>
      <c r="E108" s="253">
        <f>'Collection Worksheet'!F126</f>
        <v>0</v>
      </c>
      <c r="F108" s="253">
        <f>IF(L98-L101+L103-L104+L105+L106-L107-L108=0,,"Error: Total revenues less total exp. does not equal change in net position Acct 93-94+363-364+192+365-366-53=0")</f>
        <v>0</v>
      </c>
      <c r="G108" s="422">
        <f>+L98-L101+L103-L104+L105+L106-L107-L108</f>
        <v>0</v>
      </c>
      <c r="H108" s="244">
        <f>'Collection Worksheet'!I126</f>
        <v>0</v>
      </c>
      <c r="I108" s="231"/>
      <c r="J108" s="238">
        <v>53</v>
      </c>
      <c r="K108" s="228" t="s">
        <v>120</v>
      </c>
      <c r="L108" s="316">
        <f t="shared" si="11"/>
        <v>0</v>
      </c>
      <c r="O108" s="217"/>
      <c r="P108" s="390"/>
      <c r="Q108" s="400">
        <f>IF(G108&lt;&gt;0,1,)</f>
        <v>0</v>
      </c>
      <c r="R108" s="545" t="b">
        <f t="shared" si="8"/>
        <v>1</v>
      </c>
      <c r="W108" s="390" t="b">
        <f t="shared" si="9"/>
        <v>1</v>
      </c>
      <c r="X108" s="691">
        <f t="shared" si="10"/>
        <v>0</v>
      </c>
    </row>
    <row r="109" spans="1:24" ht="105" x14ac:dyDescent="0.25">
      <c r="A109" s="269">
        <f>'Collection Worksheet'!A127</f>
        <v>378</v>
      </c>
      <c r="B109" s="280" t="str">
        <f>'Collection Worksheet'!C127</f>
        <v>Electric Fund Revenue, Expenses &amp; Changes in Fund Net Position</v>
      </c>
      <c r="C109" s="267" t="str">
        <f>'Collection Worksheet'!D127</f>
        <v>Increases or (decreases) to beginning electric net position due to rounding, prior period adjustments and restatements.  Increase amounts to beginning net position should be entered as a positive amount and (decreases) should be entered as a negative amount.</v>
      </c>
      <c r="D109" s="396"/>
      <c r="E109" s="253">
        <f>'Collection Worksheet'!F127</f>
        <v>0</v>
      </c>
      <c r="F109" s="253" t="e">
        <f>IF(L82-L108-L109=O82,,"Error: Beg. Bal does not agree with our records Acct 362-53-378= pr yr 362")</f>
        <v>#N/A</v>
      </c>
      <c r="G109" s="422" t="e">
        <f>L82-L108-L109-O82</f>
        <v>#N/A</v>
      </c>
      <c r="H109" s="244">
        <f>'Collection Worksheet'!I127</f>
        <v>0</v>
      </c>
      <c r="I109" s="231"/>
      <c r="J109" s="238">
        <v>378</v>
      </c>
      <c r="K109" s="228" t="s">
        <v>129</v>
      </c>
      <c r="L109" s="262">
        <f t="shared" si="11"/>
        <v>0</v>
      </c>
      <c r="O109" s="217"/>
      <c r="P109" s="390"/>
      <c r="Q109" s="400" t="e">
        <f>IF(G109&lt;&gt;0,1,)</f>
        <v>#N/A</v>
      </c>
      <c r="R109" s="545" t="b">
        <f t="shared" si="8"/>
        <v>1</v>
      </c>
      <c r="W109" s="390" t="b">
        <f t="shared" si="9"/>
        <v>1</v>
      </c>
      <c r="X109" s="691">
        <f t="shared" si="10"/>
        <v>0</v>
      </c>
    </row>
    <row r="110" spans="1:24" ht="33.75" x14ac:dyDescent="0.25">
      <c r="A110" s="269">
        <f>'Collection Worksheet'!A132</f>
        <v>51</v>
      </c>
      <c r="B110" s="280" t="str">
        <f>'Collection Worksheet'!C132</f>
        <v>Water Sewer Cash Flow Statement</v>
      </c>
      <c r="C110" s="267" t="str">
        <f>'Collection Worksheet'!D132</f>
        <v>Total Cash flow from operating activities  - (Enter negative cash flows as negative)</v>
      </c>
      <c r="D110" s="396"/>
      <c r="E110" s="253">
        <f>'Collection Worksheet'!F132</f>
        <v>0</v>
      </c>
      <c r="F110" s="253"/>
      <c r="G110" s="338"/>
      <c r="H110" s="244">
        <f>'Collection Worksheet'!I132</f>
        <v>0</v>
      </c>
      <c r="I110" s="231"/>
      <c r="J110" s="238">
        <v>51</v>
      </c>
      <c r="K110" s="228" t="s">
        <v>331</v>
      </c>
      <c r="L110" s="262">
        <f t="shared" si="11"/>
        <v>0</v>
      </c>
      <c r="P110" s="390"/>
      <c r="R110" s="545" t="b">
        <f t="shared" si="8"/>
        <v>1</v>
      </c>
      <c r="W110" s="390" t="b">
        <f t="shared" si="9"/>
        <v>1</v>
      </c>
      <c r="X110" s="691">
        <f t="shared" si="10"/>
        <v>0</v>
      </c>
    </row>
    <row r="111" spans="1:24" ht="76.150000000000006" customHeight="1" x14ac:dyDescent="0.25">
      <c r="A111" s="269">
        <f>'Collection Worksheet'!A133</f>
        <v>332</v>
      </c>
      <c r="B111" s="280" t="str">
        <f>'Collection Worksheet'!C133</f>
        <v>Water Sewer Cash Flow Statement</v>
      </c>
      <c r="C111" s="267" t="str">
        <f>'Collection Worksheet'!D133</f>
        <v>Total Capital outlay. 
Include acquisition and construction of capital assets.</v>
      </c>
      <c r="D111" s="396"/>
      <c r="E111" s="253">
        <f>'Collection Worksheet'!F133</f>
        <v>0</v>
      </c>
      <c r="F111" s="253">
        <f>IF(L111&lt;0,"Error: Enter as a positive.",)</f>
        <v>0</v>
      </c>
      <c r="G111" s="338"/>
      <c r="H111" s="244">
        <f>'Collection Worksheet'!I133</f>
        <v>0</v>
      </c>
      <c r="I111" s="231"/>
      <c r="J111" s="238">
        <v>332</v>
      </c>
      <c r="K111" s="228" t="s">
        <v>333</v>
      </c>
      <c r="L111" s="262">
        <f t="shared" si="11"/>
        <v>0</v>
      </c>
      <c r="P111" s="390"/>
      <c r="R111" s="545" t="b">
        <f t="shared" si="8"/>
        <v>1</v>
      </c>
      <c r="W111" s="390" t="b">
        <f t="shared" si="9"/>
        <v>1</v>
      </c>
      <c r="X111" s="691">
        <f t="shared" si="10"/>
        <v>0</v>
      </c>
    </row>
    <row r="112" spans="1:24" ht="45" x14ac:dyDescent="0.25">
      <c r="A112" s="269">
        <f>'Collection Worksheet'!A134</f>
        <v>331</v>
      </c>
      <c r="B112" s="280" t="str">
        <f>'Collection Worksheet'!C134</f>
        <v>Water Sewer Cash Flow Statement</v>
      </c>
      <c r="C112" s="267" t="str">
        <f>'Collection Worksheet'!D134</f>
        <v>Principal paid on long-term debt.  Amount should be reduced by principal payments for debt refunding.</v>
      </c>
      <c r="D112" s="396"/>
      <c r="E112" s="253">
        <f>'Collection Worksheet'!F134</f>
        <v>0</v>
      </c>
      <c r="F112" s="253">
        <f>IF(L112&lt;0,"Error: Enter as a positive.",)</f>
        <v>0</v>
      </c>
      <c r="G112" s="338"/>
      <c r="H112" s="244">
        <f>'Collection Worksheet'!I134</f>
        <v>0</v>
      </c>
      <c r="I112" s="231"/>
      <c r="J112" s="238">
        <v>331</v>
      </c>
      <c r="K112" s="228" t="s">
        <v>332</v>
      </c>
      <c r="L112" s="262">
        <f t="shared" si="11"/>
        <v>0</v>
      </c>
      <c r="P112" s="390"/>
      <c r="R112" s="545" t="b">
        <f t="shared" si="8"/>
        <v>1</v>
      </c>
      <c r="W112" s="390" t="b">
        <f t="shared" si="9"/>
        <v>1</v>
      </c>
      <c r="X112" s="691">
        <f t="shared" si="10"/>
        <v>0</v>
      </c>
    </row>
    <row r="113" spans="1:24" ht="33.75" x14ac:dyDescent="0.25">
      <c r="A113" s="269">
        <f>'Collection Worksheet'!A136</f>
        <v>55</v>
      </c>
      <c r="B113" s="280" t="str">
        <f>'Collection Worksheet'!C136</f>
        <v>Electric Fund Cash Flow Statement</v>
      </c>
      <c r="C113" s="267" t="str">
        <f>'Collection Worksheet'!D136</f>
        <v>Cash flow from operating activities - (enter negative cash flows as negative)</v>
      </c>
      <c r="D113" s="396"/>
      <c r="E113" s="253">
        <f>'Collection Worksheet'!F136</f>
        <v>0</v>
      </c>
      <c r="F113" s="253"/>
      <c r="G113" s="338"/>
      <c r="H113" s="244">
        <f>'Collection Worksheet'!I136</f>
        <v>0</v>
      </c>
      <c r="I113" s="231"/>
      <c r="J113" s="238">
        <v>55</v>
      </c>
      <c r="K113" s="228" t="s">
        <v>334</v>
      </c>
      <c r="L113" s="262">
        <f t="shared" si="11"/>
        <v>0</v>
      </c>
      <c r="P113" s="390"/>
      <c r="R113" s="545" t="b">
        <f t="shared" si="8"/>
        <v>1</v>
      </c>
      <c r="W113" s="390" t="b">
        <f t="shared" si="9"/>
        <v>1</v>
      </c>
      <c r="X113" s="691">
        <f t="shared" si="10"/>
        <v>0</v>
      </c>
    </row>
    <row r="114" spans="1:24" ht="45" x14ac:dyDescent="0.25">
      <c r="A114" s="269">
        <f>'Collection Worksheet'!A137</f>
        <v>101</v>
      </c>
      <c r="B114" s="280" t="str">
        <f>'Collection Worksheet'!C137</f>
        <v>Electric Fund Cash Flow Statement</v>
      </c>
      <c r="C114" s="267" t="str">
        <f>'Collection Worksheet'!D137</f>
        <v>Total Capital outlay.  
Include acquisition and construction of capital assets.</v>
      </c>
      <c r="D114" s="396"/>
      <c r="E114" s="253">
        <f>'Collection Worksheet'!F137</f>
        <v>0</v>
      </c>
      <c r="F114" s="253">
        <f>IF(L114&lt;0,"Error: Enter as a positive.",)</f>
        <v>0</v>
      </c>
      <c r="G114" s="338"/>
      <c r="H114" s="244">
        <f>'Collection Worksheet'!I137</f>
        <v>0</v>
      </c>
      <c r="I114" s="231"/>
      <c r="J114" s="238">
        <v>101</v>
      </c>
      <c r="K114" s="228" t="s">
        <v>335</v>
      </c>
      <c r="L114" s="262">
        <f t="shared" si="11"/>
        <v>0</v>
      </c>
      <c r="P114" s="390"/>
      <c r="R114" s="545" t="b">
        <f t="shared" si="8"/>
        <v>1</v>
      </c>
      <c r="W114" s="390" t="b">
        <f t="shared" si="9"/>
        <v>1</v>
      </c>
      <c r="X114" s="691">
        <f t="shared" si="10"/>
        <v>0</v>
      </c>
    </row>
    <row r="115" spans="1:24" ht="45" x14ac:dyDescent="0.25">
      <c r="A115" s="269">
        <f>'Collection Worksheet'!A138</f>
        <v>100</v>
      </c>
      <c r="B115" s="280" t="str">
        <f>'Collection Worksheet'!C138</f>
        <v>Electric Fund Cash Flow Statement</v>
      </c>
      <c r="C115" s="267" t="str">
        <f>'Collection Worksheet'!D138</f>
        <v>Principal paid on long-term debt.  Amount should be reduced by principal payments for debt refunding.</v>
      </c>
      <c r="D115" s="396"/>
      <c r="E115" s="253">
        <f>'Collection Worksheet'!F138</f>
        <v>0</v>
      </c>
      <c r="F115" s="253">
        <f>IF(L115&lt;0,"Error: Enter as a positive.",)</f>
        <v>0</v>
      </c>
      <c r="G115" s="338"/>
      <c r="H115" s="244">
        <f>'Collection Worksheet'!I138</f>
        <v>0</v>
      </c>
      <c r="I115" s="231"/>
      <c r="J115" s="238">
        <v>100</v>
      </c>
      <c r="K115" s="228" t="s">
        <v>336</v>
      </c>
      <c r="L115" s="262">
        <f t="shared" si="11"/>
        <v>0</v>
      </c>
      <c r="P115" s="390"/>
      <c r="R115" s="545" t="b">
        <f t="shared" si="8"/>
        <v>1</v>
      </c>
      <c r="W115" s="390" t="b">
        <f t="shared" si="9"/>
        <v>1</v>
      </c>
      <c r="X115" s="691">
        <f t="shared" si="10"/>
        <v>0</v>
      </c>
    </row>
    <row r="116" spans="1:24" s="78" customFormat="1" ht="82.5" customHeight="1" x14ac:dyDescent="0.25">
      <c r="A116" s="269">
        <f>'Collection Worksheet'!A140</f>
        <v>512</v>
      </c>
      <c r="B116" s="280" t="str">
        <f>'Collection Worksheet'!C140</f>
        <v>Fiduciary Statements</v>
      </c>
      <c r="C116" s="267" t="str">
        <f>'Collection Worksheet'!D140</f>
        <v>Cash and investments.  
Include:  unrestricted and restricted.  
                 cash and investments held by a third party</v>
      </c>
      <c r="D116" s="396"/>
      <c r="E116" s="253">
        <f>'Collection Worksheet'!F140</f>
        <v>0</v>
      </c>
      <c r="F116" s="253">
        <f>IF(L116&lt;0,"Error: Number is normally positive.",)</f>
        <v>0</v>
      </c>
      <c r="G116" s="338"/>
      <c r="H116" s="244">
        <f>'Collection Worksheet'!I140</f>
        <v>0</v>
      </c>
      <c r="I116" s="231"/>
      <c r="J116" s="238">
        <v>512</v>
      </c>
      <c r="K116" s="228" t="s">
        <v>337</v>
      </c>
      <c r="L116" s="262">
        <f t="shared" si="11"/>
        <v>0</v>
      </c>
      <c r="P116" s="390"/>
      <c r="Q116" s="400"/>
      <c r="R116" s="545" t="b">
        <f t="shared" si="8"/>
        <v>1</v>
      </c>
      <c r="W116" s="390" t="b">
        <f t="shared" si="9"/>
        <v>1</v>
      </c>
      <c r="X116" s="691">
        <f t="shared" si="10"/>
        <v>0</v>
      </c>
    </row>
    <row r="117" spans="1:24" ht="91.5" customHeight="1" x14ac:dyDescent="0.25">
      <c r="A117" s="269">
        <f>'Collection Worksheet'!A142</f>
        <v>535</v>
      </c>
      <c r="B117" s="280" t="str">
        <f>'Collection Worksheet'!C142</f>
        <v>Cash and Investment Note</v>
      </c>
      <c r="C117" s="288" t="str">
        <f>'Collection Worksheet'!D142</f>
        <v>Cash and Investment - Please list the book value of any unspent debt proceeds (bonds, installment, etc.) in any funds as of June 30.  This information may be on the face of your statements or in the notes</v>
      </c>
      <c r="D117" s="396"/>
      <c r="E117" s="253">
        <f>'Collection Worksheet'!F142</f>
        <v>0</v>
      </c>
      <c r="F117" s="252" t="str">
        <f>IF(L117&gt;1,,"Reminder: Please make sure you have entered all cash and investments from bond proceeds, if applicable")</f>
        <v>Reminder: Please make sure you have entered all cash and investments from bond proceeds, if applicable</v>
      </c>
      <c r="G117" s="338"/>
      <c r="H117" s="244">
        <f>'Collection Worksheet'!I142</f>
        <v>0</v>
      </c>
      <c r="I117" s="231"/>
      <c r="J117" s="238">
        <v>535</v>
      </c>
      <c r="K117" s="300" t="s">
        <v>338</v>
      </c>
      <c r="L117" s="262">
        <f t="shared" si="11"/>
        <v>0</v>
      </c>
      <c r="P117" s="390"/>
      <c r="R117" s="545" t="b">
        <f t="shared" si="8"/>
        <v>1</v>
      </c>
      <c r="W117" s="390" t="b">
        <f t="shared" si="9"/>
        <v>1</v>
      </c>
      <c r="X117" s="691">
        <f t="shared" si="10"/>
        <v>0</v>
      </c>
    </row>
    <row r="118" spans="1:24" s="268" customFormat="1" ht="76.5" customHeight="1" x14ac:dyDescent="0.25">
      <c r="A118" s="269">
        <f>'Collection Worksheet'!A146</f>
        <v>334</v>
      </c>
      <c r="B118" s="280" t="str">
        <f>'Collection Worksheet'!C146</f>
        <v>Gov.-Capital Assets Schedule in the Notes</v>
      </c>
      <c r="C118" s="288" t="str">
        <f>'Collection Worksheet'!D146</f>
        <v>Gross value.  
Exclude non-depreciable.</v>
      </c>
      <c r="D118" s="396"/>
      <c r="E118" s="253">
        <f>'Collection Worksheet'!F146</f>
        <v>0</v>
      </c>
      <c r="F118" s="252"/>
      <c r="G118" s="338"/>
      <c r="H118" s="244">
        <f>'Collection Worksheet'!I146</f>
        <v>0</v>
      </c>
      <c r="I118" s="231"/>
      <c r="J118" s="238">
        <v>334</v>
      </c>
      <c r="K118" s="300" t="s">
        <v>355</v>
      </c>
      <c r="L118" s="262">
        <f t="shared" si="11"/>
        <v>0</v>
      </c>
      <c r="P118" s="390"/>
      <c r="Q118" s="400"/>
      <c r="R118" s="545" t="b">
        <f t="shared" si="8"/>
        <v>1</v>
      </c>
      <c r="W118" s="390" t="b">
        <f t="shared" si="9"/>
        <v>1</v>
      </c>
      <c r="X118" s="691">
        <f t="shared" si="10"/>
        <v>0</v>
      </c>
    </row>
    <row r="119" spans="1:24" s="268" customFormat="1" ht="76.5" customHeight="1" x14ac:dyDescent="0.25">
      <c r="A119" s="269">
        <f>'Collection Worksheet'!A147</f>
        <v>373</v>
      </c>
      <c r="B119" s="280" t="str">
        <f>'Collection Worksheet'!C147</f>
        <v>Gov.-Capital Assets Schedule in the Notes</v>
      </c>
      <c r="C119" s="288" t="str">
        <f>'Collection Worksheet'!D147</f>
        <v>Accumulated depreciation</v>
      </c>
      <c r="D119" s="396"/>
      <c r="E119" s="253">
        <f>'Collection Worksheet'!F147</f>
        <v>0</v>
      </c>
      <c r="F119" s="252"/>
      <c r="G119" s="338"/>
      <c r="H119" s="244">
        <f>'Collection Worksheet'!I147</f>
        <v>0</v>
      </c>
      <c r="I119" s="231"/>
      <c r="J119" s="238">
        <v>373</v>
      </c>
      <c r="K119" s="319" t="s">
        <v>430</v>
      </c>
      <c r="L119" s="262">
        <f t="shared" si="11"/>
        <v>0</v>
      </c>
      <c r="P119" s="390"/>
      <c r="Q119" s="400"/>
      <c r="R119" s="545" t="b">
        <f t="shared" si="8"/>
        <v>1</v>
      </c>
      <c r="W119" s="390" t="b">
        <f t="shared" si="9"/>
        <v>1</v>
      </c>
      <c r="X119" s="691">
        <f t="shared" si="10"/>
        <v>0</v>
      </c>
    </row>
    <row r="120" spans="1:24" s="268" customFormat="1" ht="76.5" customHeight="1" x14ac:dyDescent="0.25">
      <c r="A120" s="269">
        <f>'Collection Worksheet'!A151</f>
        <v>327</v>
      </c>
      <c r="B120" s="280" t="str">
        <f>'Collection Worksheet'!C151</f>
        <v>WS-Capital Assets Schedule in the Notes</v>
      </c>
      <c r="C120" s="288" t="str">
        <f>'Collection Worksheet'!D151</f>
        <v>Land and all other non depreciable capital assets 
Exclude construction in progress</v>
      </c>
      <c r="D120" s="396"/>
      <c r="E120" s="253">
        <f>'Collection Worksheet'!F151</f>
        <v>0</v>
      </c>
      <c r="F120" s="252"/>
      <c r="G120" s="338"/>
      <c r="H120" s="244">
        <f>'Collection Worksheet'!I151</f>
        <v>0</v>
      </c>
      <c r="I120" s="231"/>
      <c r="J120" s="238">
        <v>327</v>
      </c>
      <c r="K120" s="320" t="s">
        <v>431</v>
      </c>
      <c r="L120" s="262">
        <f t="shared" si="11"/>
        <v>0</v>
      </c>
      <c r="P120" s="390"/>
      <c r="Q120" s="400"/>
      <c r="R120" s="545" t="b">
        <f t="shared" si="8"/>
        <v>1</v>
      </c>
      <c r="W120" s="390" t="b">
        <f t="shared" si="9"/>
        <v>1</v>
      </c>
      <c r="X120" s="691">
        <f t="shared" si="10"/>
        <v>0</v>
      </c>
    </row>
    <row r="121" spans="1:24" s="268" customFormat="1" ht="76.5" customHeight="1" x14ac:dyDescent="0.25">
      <c r="A121" s="269">
        <f>'Collection Worksheet'!A152</f>
        <v>328</v>
      </c>
      <c r="B121" s="280" t="str">
        <f>'Collection Worksheet'!C152</f>
        <v>WS-Capital Assets Schedule in the Notes</v>
      </c>
      <c r="C121" s="288" t="str">
        <f>'Collection Worksheet'!D152</f>
        <v>Construction in progress</v>
      </c>
      <c r="D121" s="396"/>
      <c r="E121" s="253">
        <f>'Collection Worksheet'!F152</f>
        <v>0</v>
      </c>
      <c r="F121" s="252"/>
      <c r="G121" s="338"/>
      <c r="H121" s="244">
        <f>'Collection Worksheet'!I152</f>
        <v>0</v>
      </c>
      <c r="I121" s="231"/>
      <c r="J121" s="238">
        <v>328</v>
      </c>
      <c r="K121" s="321" t="s">
        <v>432</v>
      </c>
      <c r="L121" s="262">
        <f t="shared" si="11"/>
        <v>0</v>
      </c>
      <c r="P121" s="390"/>
      <c r="Q121" s="400"/>
      <c r="R121" s="545" t="b">
        <f t="shared" si="8"/>
        <v>1</v>
      </c>
      <c r="W121" s="390" t="b">
        <f t="shared" si="9"/>
        <v>1</v>
      </c>
      <c r="X121" s="691">
        <f t="shared" si="10"/>
        <v>0</v>
      </c>
    </row>
    <row r="122" spans="1:24" s="268" customFormat="1" ht="76.5" customHeight="1" x14ac:dyDescent="0.25">
      <c r="A122" s="269">
        <f>'Collection Worksheet'!A156</f>
        <v>515</v>
      </c>
      <c r="B122" s="280" t="str">
        <f>'Collection Worksheet'!C156</f>
        <v>WS Capital Assets Schedule-Gross Value</v>
      </c>
      <c r="C122" s="288" t="str">
        <f>'Collection Worksheet'!D156</f>
        <v>Buildings</v>
      </c>
      <c r="D122" s="396"/>
      <c r="E122" s="253">
        <f>'Collection Worksheet'!F156</f>
        <v>0</v>
      </c>
      <c r="F122" s="252"/>
      <c r="G122" s="338"/>
      <c r="H122" s="244">
        <f>'Collection Worksheet'!I156</f>
        <v>0</v>
      </c>
      <c r="I122" s="231"/>
      <c r="J122" s="238">
        <v>515</v>
      </c>
      <c r="K122" s="322" t="s">
        <v>356</v>
      </c>
      <c r="L122" s="262">
        <f t="shared" si="11"/>
        <v>0</v>
      </c>
      <c r="P122" s="390"/>
      <c r="Q122" s="400"/>
      <c r="R122" s="545" t="b">
        <f t="shared" si="8"/>
        <v>1</v>
      </c>
      <c r="W122" s="390" t="b">
        <f t="shared" si="9"/>
        <v>1</v>
      </c>
      <c r="X122" s="691">
        <f t="shared" si="10"/>
        <v>0</v>
      </c>
    </row>
    <row r="123" spans="1:24" s="268" customFormat="1" ht="76.5" customHeight="1" x14ac:dyDescent="0.25">
      <c r="A123" s="269">
        <f>'Collection Worksheet'!A157</f>
        <v>516</v>
      </c>
      <c r="B123" s="280" t="str">
        <f>'Collection Worksheet'!C157</f>
        <v>WS Capital Assets Schedule-Gross Value</v>
      </c>
      <c r="C123" s="288" t="str">
        <f>'Collection Worksheet'!D157</f>
        <v>Plant / distributions systems / water lines</v>
      </c>
      <c r="D123" s="396"/>
      <c r="E123" s="253">
        <f>'Collection Worksheet'!F157</f>
        <v>0</v>
      </c>
      <c r="F123" s="252"/>
      <c r="G123" s="338"/>
      <c r="H123" s="244">
        <f>'Collection Worksheet'!I157</f>
        <v>0</v>
      </c>
      <c r="I123" s="231"/>
      <c r="J123" s="238">
        <v>516</v>
      </c>
      <c r="K123" s="322" t="s">
        <v>357</v>
      </c>
      <c r="L123" s="262">
        <f t="shared" si="11"/>
        <v>0</v>
      </c>
      <c r="P123" s="390"/>
      <c r="Q123" s="400"/>
      <c r="R123" s="545" t="b">
        <f t="shared" si="8"/>
        <v>1</v>
      </c>
      <c r="W123" s="390" t="b">
        <f t="shared" si="9"/>
        <v>1</v>
      </c>
      <c r="X123" s="691">
        <f t="shared" si="10"/>
        <v>0</v>
      </c>
    </row>
    <row r="124" spans="1:24" s="268" customFormat="1" ht="76.5" customHeight="1" x14ac:dyDescent="0.25">
      <c r="A124" s="269">
        <f>'Collection Worksheet'!A158</f>
        <v>517</v>
      </c>
      <c r="B124" s="280" t="str">
        <f>'Collection Worksheet'!C158</f>
        <v>WS Capital Assets Schedule-Gross Value</v>
      </c>
      <c r="C124" s="288" t="str">
        <f>'Collection Worksheet'!D158</f>
        <v>Infrastructure(other infrastructure)</v>
      </c>
      <c r="D124" s="396"/>
      <c r="E124" s="253">
        <f>'Collection Worksheet'!F158</f>
        <v>0</v>
      </c>
      <c r="F124" s="252"/>
      <c r="G124" s="338"/>
      <c r="H124" s="244">
        <f>'Collection Worksheet'!I158</f>
        <v>0</v>
      </c>
      <c r="I124" s="231"/>
      <c r="J124" s="238">
        <v>517</v>
      </c>
      <c r="K124" s="323" t="s">
        <v>358</v>
      </c>
      <c r="L124" s="262">
        <f t="shared" si="11"/>
        <v>0</v>
      </c>
      <c r="P124" s="390"/>
      <c r="Q124" s="400"/>
      <c r="R124" s="545" t="b">
        <f t="shared" si="8"/>
        <v>1</v>
      </c>
      <c r="W124" s="390" t="b">
        <f t="shared" si="9"/>
        <v>1</v>
      </c>
      <c r="X124" s="691">
        <f t="shared" si="10"/>
        <v>0</v>
      </c>
    </row>
    <row r="125" spans="1:24" s="268" customFormat="1" ht="76.5" customHeight="1" x14ac:dyDescent="0.25">
      <c r="A125" s="269">
        <f>'Collection Worksheet'!A159</f>
        <v>518</v>
      </c>
      <c r="B125" s="280" t="str">
        <f>'Collection Worksheet'!C159</f>
        <v>WS Capital Assets Schedule-Gross Value</v>
      </c>
      <c r="C125" s="288" t="str">
        <f>'Collection Worksheet'!D159</f>
        <v>All other depreciable capital assets</v>
      </c>
      <c r="D125" s="396"/>
      <c r="E125" s="253">
        <f>'Collection Worksheet'!F159</f>
        <v>0</v>
      </c>
      <c r="F125" s="252"/>
      <c r="G125" s="338"/>
      <c r="H125" s="244">
        <f>'Collection Worksheet'!I159</f>
        <v>0</v>
      </c>
      <c r="I125" s="231"/>
      <c r="J125" s="238">
        <v>518</v>
      </c>
      <c r="K125" s="323" t="s">
        <v>359</v>
      </c>
      <c r="L125" s="262">
        <f t="shared" si="11"/>
        <v>0</v>
      </c>
      <c r="P125" s="390"/>
      <c r="Q125" s="400"/>
      <c r="R125" s="545" t="b">
        <f t="shared" si="8"/>
        <v>1</v>
      </c>
      <c r="W125" s="390" t="b">
        <f t="shared" si="9"/>
        <v>1</v>
      </c>
      <c r="X125" s="691">
        <f t="shared" si="10"/>
        <v>0</v>
      </c>
    </row>
    <row r="126" spans="1:24" s="268" customFormat="1" ht="76.5" customHeight="1" x14ac:dyDescent="0.25">
      <c r="A126" s="269">
        <f>'Collection Worksheet'!A162</f>
        <v>519</v>
      </c>
      <c r="B126" s="280" t="str">
        <f>'Collection Worksheet'!C162</f>
        <v>WS Capital Assets Schedule-Annual Depreciation</v>
      </c>
      <c r="C126" s="288" t="str">
        <f>'Collection Worksheet'!D162</f>
        <v>Buildings annual depreciation</v>
      </c>
      <c r="D126" s="396"/>
      <c r="E126" s="253">
        <f>'Collection Worksheet'!F162</f>
        <v>0</v>
      </c>
      <c r="F126" s="252"/>
      <c r="G126" s="338"/>
      <c r="H126" s="244">
        <f>'Collection Worksheet'!I162</f>
        <v>0</v>
      </c>
      <c r="I126" s="231"/>
      <c r="J126" s="238">
        <v>519</v>
      </c>
      <c r="K126" s="323" t="s">
        <v>360</v>
      </c>
      <c r="L126" s="262">
        <f t="shared" si="11"/>
        <v>0</v>
      </c>
      <c r="P126" s="390"/>
      <c r="Q126" s="400"/>
      <c r="R126" s="545" t="b">
        <f t="shared" si="8"/>
        <v>1</v>
      </c>
      <c r="W126" s="390" t="b">
        <f t="shared" si="9"/>
        <v>1</v>
      </c>
      <c r="X126" s="691">
        <f t="shared" si="10"/>
        <v>0</v>
      </c>
    </row>
    <row r="127" spans="1:24" s="268" customFormat="1" ht="76.5" customHeight="1" x14ac:dyDescent="0.25">
      <c r="A127" s="269">
        <f>'Collection Worksheet'!A163</f>
        <v>520</v>
      </c>
      <c r="B127" s="280" t="str">
        <f>'Collection Worksheet'!C163</f>
        <v>WS Capital Assets Schedule-Annual Depreciation</v>
      </c>
      <c r="C127" s="288" t="str">
        <f>'Collection Worksheet'!D163</f>
        <v>Plant / distributions systems / water lines annual depreciation</v>
      </c>
      <c r="D127" s="396"/>
      <c r="E127" s="253">
        <f>'Collection Worksheet'!F163</f>
        <v>0</v>
      </c>
      <c r="F127" s="252"/>
      <c r="G127" s="338"/>
      <c r="H127" s="244">
        <f>'Collection Worksheet'!I163</f>
        <v>0</v>
      </c>
      <c r="I127" s="231"/>
      <c r="J127" s="238">
        <v>520</v>
      </c>
      <c r="K127" s="325" t="s">
        <v>361</v>
      </c>
      <c r="L127" s="262">
        <f t="shared" si="11"/>
        <v>0</v>
      </c>
      <c r="P127" s="390"/>
      <c r="Q127" s="400"/>
      <c r="R127" s="545" t="b">
        <f t="shared" si="8"/>
        <v>1</v>
      </c>
      <c r="W127" s="390" t="b">
        <f t="shared" si="9"/>
        <v>1</v>
      </c>
      <c r="X127" s="691">
        <f t="shared" si="10"/>
        <v>0</v>
      </c>
    </row>
    <row r="128" spans="1:24" s="268" customFormat="1" ht="76.5" customHeight="1" x14ac:dyDescent="0.25">
      <c r="A128" s="269">
        <f>'Collection Worksheet'!A164</f>
        <v>521</v>
      </c>
      <c r="B128" s="280" t="str">
        <f>'Collection Worksheet'!C164</f>
        <v>WS Capital Assets Schedule-Annual Depreciation</v>
      </c>
      <c r="C128" s="288" t="str">
        <f>'Collection Worksheet'!D164</f>
        <v>Infrastructure(other infrastructure) annual depreciation</v>
      </c>
      <c r="D128" s="396"/>
      <c r="E128" s="253">
        <f>'Collection Worksheet'!F164</f>
        <v>0</v>
      </c>
      <c r="F128" s="252"/>
      <c r="G128" s="338"/>
      <c r="H128" s="244">
        <f>'Collection Worksheet'!I164</f>
        <v>0</v>
      </c>
      <c r="I128" s="231"/>
      <c r="J128" s="238">
        <v>521</v>
      </c>
      <c r="K128" s="324" t="s">
        <v>362</v>
      </c>
      <c r="L128" s="262">
        <f t="shared" si="11"/>
        <v>0</v>
      </c>
      <c r="P128" s="390"/>
      <c r="Q128" s="400"/>
      <c r="R128" s="545" t="b">
        <f t="shared" si="8"/>
        <v>1</v>
      </c>
      <c r="W128" s="390" t="b">
        <f t="shared" si="9"/>
        <v>1</v>
      </c>
      <c r="X128" s="691">
        <f t="shared" si="10"/>
        <v>0</v>
      </c>
    </row>
    <row r="129" spans="1:24" s="268" customFormat="1" ht="76.5" customHeight="1" x14ac:dyDescent="0.25">
      <c r="A129" s="269">
        <f>'Collection Worksheet'!A165</f>
        <v>522</v>
      </c>
      <c r="B129" s="280" t="str">
        <f>'Collection Worksheet'!C165</f>
        <v>WS Capital Assets Schedule-Annual Depreciation</v>
      </c>
      <c r="C129" s="288" t="str">
        <f>'Collection Worksheet'!D165</f>
        <v>All other depreciable capital assets annual depreciation</v>
      </c>
      <c r="D129" s="396"/>
      <c r="E129" s="253">
        <f>'Collection Worksheet'!F165</f>
        <v>0</v>
      </c>
      <c r="F129" s="252"/>
      <c r="G129" s="338"/>
      <c r="H129" s="244">
        <f>'Collection Worksheet'!I165</f>
        <v>0</v>
      </c>
      <c r="I129" s="231"/>
      <c r="J129" s="238">
        <v>522</v>
      </c>
      <c r="K129" s="324" t="s">
        <v>363</v>
      </c>
      <c r="L129" s="262">
        <f t="shared" si="11"/>
        <v>0</v>
      </c>
      <c r="P129" s="390"/>
      <c r="Q129" s="400"/>
      <c r="R129" s="545" t="b">
        <f t="shared" si="8"/>
        <v>1</v>
      </c>
      <c r="W129" s="390" t="b">
        <f t="shared" si="9"/>
        <v>1</v>
      </c>
      <c r="X129" s="691">
        <f t="shared" si="10"/>
        <v>0</v>
      </c>
    </row>
    <row r="130" spans="1:24" s="268" customFormat="1" ht="76.5" customHeight="1" x14ac:dyDescent="0.25">
      <c r="A130" s="269">
        <f>'Collection Worksheet'!A168</f>
        <v>523</v>
      </c>
      <c r="B130" s="280" t="str">
        <f>'Collection Worksheet'!C168</f>
        <v>WS Capital Assets Schedule-Accumulated Depreciation</v>
      </c>
      <c r="C130" s="288" t="str">
        <f>'Collection Worksheet'!D168</f>
        <v>Building accumulated depreciation</v>
      </c>
      <c r="D130" s="396"/>
      <c r="E130" s="253">
        <f>'Collection Worksheet'!F168</f>
        <v>0</v>
      </c>
      <c r="F130" s="252"/>
      <c r="G130" s="338"/>
      <c r="H130" s="244">
        <f>'Collection Worksheet'!I168</f>
        <v>0</v>
      </c>
      <c r="I130" s="231"/>
      <c r="J130" s="238">
        <v>523</v>
      </c>
      <c r="K130" s="324" t="s">
        <v>364</v>
      </c>
      <c r="L130" s="262">
        <f t="shared" si="11"/>
        <v>0</v>
      </c>
      <c r="P130" s="390"/>
      <c r="Q130" s="400"/>
      <c r="R130" s="545" t="b">
        <f t="shared" si="8"/>
        <v>1</v>
      </c>
      <c r="W130" s="390" t="b">
        <f t="shared" si="9"/>
        <v>1</v>
      </c>
      <c r="X130" s="691">
        <f t="shared" si="10"/>
        <v>0</v>
      </c>
    </row>
    <row r="131" spans="1:24" s="268" customFormat="1" ht="76.5" customHeight="1" x14ac:dyDescent="0.25">
      <c r="A131" s="269">
        <f>'Collection Worksheet'!A169</f>
        <v>524</v>
      </c>
      <c r="B131" s="280" t="str">
        <f>'Collection Worksheet'!C169</f>
        <v>WS Capital Assets Schedule-Accumulated Depreciation</v>
      </c>
      <c r="C131" s="288" t="str">
        <f>'Collection Worksheet'!D169</f>
        <v>Plant / distributions systems / water lines accumulated depreciation</v>
      </c>
      <c r="D131" s="396"/>
      <c r="E131" s="253">
        <f>'Collection Worksheet'!F169</f>
        <v>0</v>
      </c>
      <c r="F131" s="252"/>
      <c r="G131" s="338"/>
      <c r="H131" s="244">
        <f>'Collection Worksheet'!I169</f>
        <v>0</v>
      </c>
      <c r="I131" s="231"/>
      <c r="J131" s="238">
        <v>524</v>
      </c>
      <c r="K131" s="324" t="s">
        <v>365</v>
      </c>
      <c r="L131" s="262">
        <f t="shared" si="11"/>
        <v>0</v>
      </c>
      <c r="P131" s="390"/>
      <c r="Q131" s="400"/>
      <c r="R131" s="545" t="b">
        <f t="shared" si="8"/>
        <v>1</v>
      </c>
      <c r="W131" s="390" t="b">
        <f t="shared" si="9"/>
        <v>1</v>
      </c>
      <c r="X131" s="691">
        <f t="shared" si="10"/>
        <v>0</v>
      </c>
    </row>
    <row r="132" spans="1:24" s="268" customFormat="1" ht="76.5" customHeight="1" x14ac:dyDescent="0.25">
      <c r="A132" s="269">
        <f>'Collection Worksheet'!A170</f>
        <v>525</v>
      </c>
      <c r="B132" s="280" t="str">
        <f>'Collection Worksheet'!C170</f>
        <v>WS Capital Assets Schedule-Accumulated Depreciation</v>
      </c>
      <c r="C132" s="288" t="str">
        <f>'Collection Worksheet'!D170</f>
        <v>Infrastructure(other infrastructure) accumulated depreciation</v>
      </c>
      <c r="D132" s="396"/>
      <c r="E132" s="253">
        <f>'Collection Worksheet'!F170</f>
        <v>0</v>
      </c>
      <c r="F132" s="252"/>
      <c r="G132" s="338"/>
      <c r="H132" s="244">
        <f>'Collection Worksheet'!I170</f>
        <v>0</v>
      </c>
      <c r="I132" s="231"/>
      <c r="J132" s="238">
        <v>525</v>
      </c>
      <c r="K132" s="324" t="s">
        <v>366</v>
      </c>
      <c r="L132" s="262">
        <f t="shared" si="11"/>
        <v>0</v>
      </c>
      <c r="P132" s="390"/>
      <c r="Q132" s="400"/>
      <c r="R132" s="545" t="b">
        <f t="shared" si="8"/>
        <v>1</v>
      </c>
      <c r="W132" s="390" t="b">
        <f t="shared" si="9"/>
        <v>1</v>
      </c>
      <c r="X132" s="691">
        <f t="shared" si="10"/>
        <v>0</v>
      </c>
    </row>
    <row r="133" spans="1:24" s="268" customFormat="1" ht="76.5" customHeight="1" x14ac:dyDescent="0.25">
      <c r="A133" s="269">
        <f>'Collection Worksheet'!A171</f>
        <v>526</v>
      </c>
      <c r="B133" s="280" t="str">
        <f>'Collection Worksheet'!C171</f>
        <v>WS Capital Assets Schedule-Accumulated Depreciation</v>
      </c>
      <c r="C133" s="288" t="str">
        <f>'Collection Worksheet'!D171</f>
        <v>All other depreciable capital assets accumulated depreciation</v>
      </c>
      <c r="D133" s="396"/>
      <c r="E133" s="253">
        <f>'Collection Worksheet'!F171</f>
        <v>0</v>
      </c>
      <c r="F133" s="252"/>
      <c r="G133" s="338"/>
      <c r="H133" s="244">
        <f>'Collection Worksheet'!I171</f>
        <v>0</v>
      </c>
      <c r="I133" s="231"/>
      <c r="J133" s="238">
        <v>526</v>
      </c>
      <c r="K133" s="326" t="s">
        <v>367</v>
      </c>
      <c r="L133" s="262">
        <f t="shared" si="11"/>
        <v>0</v>
      </c>
      <c r="P133" s="390"/>
      <c r="Q133" s="400"/>
      <c r="R133" s="545" t="b">
        <f t="shared" si="8"/>
        <v>1</v>
      </c>
      <c r="W133" s="390" t="b">
        <f t="shared" si="9"/>
        <v>1</v>
      </c>
      <c r="X133" s="691">
        <f t="shared" si="10"/>
        <v>0</v>
      </c>
    </row>
    <row r="134" spans="1:24" s="268" customFormat="1" ht="76.5" customHeight="1" x14ac:dyDescent="0.25">
      <c r="A134" s="269">
        <f>'Collection Worksheet'!A176</f>
        <v>527</v>
      </c>
      <c r="B134" s="280" t="str">
        <f>'Collection Worksheet'!C176</f>
        <v>Electric Assets</v>
      </c>
      <c r="C134" s="288" t="str">
        <f>'Collection Worksheet'!D176</f>
        <v>Total Assets Gross value not being depreciated for Electric Fund</v>
      </c>
      <c r="D134" s="396"/>
      <c r="E134" s="253">
        <f>'Collection Worksheet'!F176</f>
        <v>0</v>
      </c>
      <c r="F134" s="252"/>
      <c r="G134" s="338"/>
      <c r="H134" s="244">
        <f>'Collection Worksheet'!I176</f>
        <v>0</v>
      </c>
      <c r="I134" s="231"/>
      <c r="J134" s="238">
        <v>527</v>
      </c>
      <c r="K134" s="326" t="s">
        <v>368</v>
      </c>
      <c r="L134" s="262">
        <f t="shared" si="11"/>
        <v>0</v>
      </c>
      <c r="P134" s="390"/>
      <c r="Q134" s="400"/>
      <c r="R134" s="545" t="b">
        <f t="shared" ref="R134:R185" si="13">EXACT(A134,J134)</f>
        <v>1</v>
      </c>
      <c r="W134" s="390" t="b">
        <f t="shared" ref="W134:W140" si="14">EXACT(A134,J134)</f>
        <v>1</v>
      </c>
      <c r="X134" s="691">
        <f t="shared" ref="X134:X185" si="15">E134-L134</f>
        <v>0</v>
      </c>
    </row>
    <row r="135" spans="1:24" s="268" customFormat="1" ht="76.5" customHeight="1" x14ac:dyDescent="0.25">
      <c r="A135" s="269">
        <f>'Collection Worksheet'!A177</f>
        <v>356</v>
      </c>
      <c r="B135" s="280" t="str">
        <f>'Collection Worksheet'!C177</f>
        <v>Electric Assets</v>
      </c>
      <c r="C135" s="288" t="str">
        <f>'Collection Worksheet'!D177</f>
        <v>Total Assets Gross value of assets being depreciated for Electric Fund</v>
      </c>
      <c r="D135" s="396"/>
      <c r="E135" s="253">
        <f>'Collection Worksheet'!F177</f>
        <v>0</v>
      </c>
      <c r="F135" s="252"/>
      <c r="G135" s="338"/>
      <c r="H135" s="244">
        <f>'Collection Worksheet'!I177</f>
        <v>0</v>
      </c>
      <c r="I135" s="231"/>
      <c r="J135" s="238">
        <v>356</v>
      </c>
      <c r="K135" s="327" t="s">
        <v>433</v>
      </c>
      <c r="L135" s="262">
        <f t="shared" si="11"/>
        <v>0</v>
      </c>
      <c r="P135" s="390"/>
      <c r="Q135" s="400"/>
      <c r="R135" s="545" t="b">
        <f t="shared" si="13"/>
        <v>1</v>
      </c>
      <c r="W135" s="390" t="b">
        <f t="shared" si="14"/>
        <v>1</v>
      </c>
      <c r="X135" s="691">
        <f t="shared" si="15"/>
        <v>0</v>
      </c>
    </row>
    <row r="136" spans="1:24" s="268" customFormat="1" ht="76.5" customHeight="1" x14ac:dyDescent="0.25">
      <c r="A136" s="269">
        <f>'Collection Worksheet'!A178</f>
        <v>357</v>
      </c>
      <c r="B136" s="280" t="str">
        <f>'Collection Worksheet'!C178</f>
        <v>Electric Accumulated Depreciation</v>
      </c>
      <c r="C136" s="288" t="str">
        <f>'Collection Worksheet'!D178</f>
        <v>Total accumulated depreciation for Electric Fund assets</v>
      </c>
      <c r="D136" s="396"/>
      <c r="E136" s="253">
        <f>'Collection Worksheet'!F178</f>
        <v>0</v>
      </c>
      <c r="F136" s="252"/>
      <c r="G136" s="338"/>
      <c r="H136" s="244">
        <f>'Collection Worksheet'!I178</f>
        <v>0</v>
      </c>
      <c r="I136" s="231"/>
      <c r="J136" s="238">
        <v>357</v>
      </c>
      <c r="K136" s="328" t="s">
        <v>434</v>
      </c>
      <c r="L136" s="262">
        <f t="shared" si="11"/>
        <v>0</v>
      </c>
      <c r="P136" s="390"/>
      <c r="Q136" s="400"/>
      <c r="R136" s="545" t="b">
        <f t="shared" si="13"/>
        <v>1</v>
      </c>
      <c r="W136" s="390" t="b">
        <f t="shared" si="14"/>
        <v>1</v>
      </c>
      <c r="X136" s="691">
        <f t="shared" si="15"/>
        <v>0</v>
      </c>
    </row>
    <row r="137" spans="1:24" ht="206.25" customHeight="1" x14ac:dyDescent="0.25">
      <c r="A137" s="408">
        <f>'Collection Worksheet'!A180</f>
        <v>337</v>
      </c>
      <c r="B137" s="280" t="str">
        <f>'Collection Worksheet'!C180</f>
        <v>Long-Term Liability Note - Governmental Activities</v>
      </c>
      <c r="C137" s="280" t="str">
        <f>'Collection Worksheet'!D180</f>
        <v>Total current and non-current portion of Debt. 
Include:  Bonds, bond anticipation notes, 
                 Capital leases,
                 Premiums and discounts,
                 Installment purchases. 
Exclude: Compensated absences, 
                 Pensions, 
                 Other post-employment benefits (OPEB), 
                 Debt within the primary government, 
                 Amounts due to participants from internal 
                         service funds, 
                 Landfill closure/postclosure liability, 
                 Any other debt not directly related to 
                        long-term contracts.</v>
      </c>
      <c r="D137" s="396"/>
      <c r="E137" s="253">
        <f>'Collection Worksheet'!F180</f>
        <v>0</v>
      </c>
      <c r="F137" s="253">
        <f>IF(L137&lt;0,"Error: Enter as a positive.",)</f>
        <v>0</v>
      </c>
      <c r="G137" s="338"/>
      <c r="H137" s="244">
        <f>'Collection Worksheet'!I180</f>
        <v>0</v>
      </c>
      <c r="I137" s="231"/>
      <c r="J137" s="405">
        <v>337</v>
      </c>
      <c r="K137" s="228" t="s">
        <v>339</v>
      </c>
      <c r="L137" s="262">
        <f t="shared" si="11"/>
        <v>0</v>
      </c>
      <c r="P137" s="390"/>
      <c r="R137" s="545" t="b">
        <f t="shared" si="13"/>
        <v>1</v>
      </c>
      <c r="W137" s="390" t="b">
        <f t="shared" si="14"/>
        <v>1</v>
      </c>
      <c r="X137" s="691">
        <f t="shared" si="15"/>
        <v>0</v>
      </c>
    </row>
    <row r="138" spans="1:24" ht="62.25" customHeight="1" x14ac:dyDescent="0.25">
      <c r="A138" s="269">
        <f>'Collection Worksheet'!A181</f>
        <v>343</v>
      </c>
      <c r="B138" s="280" t="str">
        <f>'Collection Worksheet'!C181</f>
        <v>Long-Term Liability Note - Governmental Activities</v>
      </c>
      <c r="C138" s="267" t="str">
        <f>'Collection Worksheet'!D181</f>
        <v>Decreases made (principal paid) on Long-Term Debt in current fiscal year.  Reduce for debt refunding.</v>
      </c>
      <c r="D138" s="396"/>
      <c r="E138" s="253">
        <f>'Collection Worksheet'!F181</f>
        <v>0</v>
      </c>
      <c r="F138" s="253">
        <f>IF(L138&lt;0,"Error: Enter as a positive.",)</f>
        <v>0</v>
      </c>
      <c r="G138" s="338"/>
      <c r="H138" s="244">
        <f>'Collection Worksheet'!I181</f>
        <v>0</v>
      </c>
      <c r="I138" s="231"/>
      <c r="J138" s="238">
        <v>343</v>
      </c>
      <c r="K138" s="228" t="s">
        <v>340</v>
      </c>
      <c r="L138" s="262">
        <f t="shared" si="11"/>
        <v>0</v>
      </c>
      <c r="P138" s="390"/>
      <c r="R138" s="545" t="b">
        <f t="shared" si="13"/>
        <v>1</v>
      </c>
      <c r="W138" s="390" t="b">
        <f t="shared" si="14"/>
        <v>1</v>
      </c>
      <c r="X138" s="691">
        <f t="shared" si="15"/>
        <v>0</v>
      </c>
    </row>
    <row r="139" spans="1:24" ht="184.5" customHeight="1" x14ac:dyDescent="0.25">
      <c r="A139" s="269">
        <f>'Collection Worksheet'!A182</f>
        <v>82</v>
      </c>
      <c r="B139" s="280" t="str">
        <f>'Collection Worksheet'!C182</f>
        <v>Long-Term Liability Note - Water Sewer Activities</v>
      </c>
      <c r="C139" s="280" t="str">
        <f>'Collection Worksheet'!D182</f>
        <v>Total current and non-current portion of Debt. 
Include:  Bonds, bond anticipation notes, 
                 Capital leases,
                 Premiums and discounts,
                 Installment purchases. 
Exclude: Compensated absences, 
                 Pensions, 
                 Other post-employment benefits (OPEB), 
                 Debt within the primary government, 
                 Amounts due to participants from internal 
                      service funds, 
                 Landfill closure/postclosure liability, 
                 Any other debt not directly related to 
                     long-term contracts.</v>
      </c>
      <c r="D139" s="396"/>
      <c r="E139" s="253">
        <f>'Collection Worksheet'!F182</f>
        <v>0</v>
      </c>
      <c r="F139" s="253">
        <f>IF(L139&lt;0,"Error: Enter as a positive.",)</f>
        <v>0</v>
      </c>
      <c r="G139" s="338"/>
      <c r="H139" s="244">
        <f>'Collection Worksheet'!I182</f>
        <v>0</v>
      </c>
      <c r="I139" s="231"/>
      <c r="J139" s="238">
        <v>82</v>
      </c>
      <c r="K139" s="329" t="s">
        <v>435</v>
      </c>
      <c r="L139" s="262">
        <f t="shared" si="11"/>
        <v>0</v>
      </c>
      <c r="P139" s="390"/>
      <c r="R139" s="545" t="b">
        <f t="shared" si="13"/>
        <v>1</v>
      </c>
      <c r="W139" s="390" t="b">
        <f t="shared" si="14"/>
        <v>1</v>
      </c>
      <c r="X139" s="691">
        <f t="shared" si="15"/>
        <v>0</v>
      </c>
    </row>
    <row r="140" spans="1:24" ht="187.5" customHeight="1" x14ac:dyDescent="0.25">
      <c r="A140" s="269">
        <f>'Collection Worksheet'!A183</f>
        <v>359</v>
      </c>
      <c r="B140" s="280" t="str">
        <f>'Collection Worksheet'!C183</f>
        <v>Long-Term Liability Note - Electric Activities</v>
      </c>
      <c r="C140" s="280" t="str">
        <f>'Collection Worksheet'!D183</f>
        <v>Total current and non-current portion of Debt. 
Include:  Bonds, bond anticipation notes, 
                 Capital leases,
                 Premiums and discounts,
                 Installment purchases. 
Exclude: Compensated absences, 
                 Pensions, 
                 Other post-employment benefits (OPEB), 
                 Debt within the primary government, 
                 Amounts due to participants from internal 
                       service funds, 
                 Landfill closure/postclosure liability, 
                 Any other debt not directly related to
                       long-term contracts.</v>
      </c>
      <c r="D140" s="396"/>
      <c r="E140" s="253">
        <f>'Collection Worksheet'!F183</f>
        <v>0</v>
      </c>
      <c r="F140" s="253">
        <f>IF(L140&lt;0,"Error: Enter as a positive.",)</f>
        <v>0</v>
      </c>
      <c r="G140" s="338"/>
      <c r="H140" s="244">
        <f>'Collection Worksheet'!I183</f>
        <v>0</v>
      </c>
      <c r="I140" s="231"/>
      <c r="J140" s="238">
        <v>359</v>
      </c>
      <c r="K140" s="228" t="s">
        <v>341</v>
      </c>
      <c r="L140" s="262">
        <f t="shared" si="11"/>
        <v>0</v>
      </c>
      <c r="P140" s="390"/>
      <c r="R140" s="545" t="b">
        <f t="shared" si="13"/>
        <v>1</v>
      </c>
      <c r="W140" s="390" t="b">
        <f t="shared" si="14"/>
        <v>1</v>
      </c>
      <c r="X140" s="691">
        <f t="shared" si="15"/>
        <v>0</v>
      </c>
    </row>
    <row r="141" spans="1:24" s="78" customFormat="1" ht="84" customHeight="1" x14ac:dyDescent="0.25">
      <c r="A141" s="429">
        <f>'Collection Worksheet'!A185</f>
        <v>622</v>
      </c>
      <c r="B141" s="431" t="str">
        <f>'Collection Worksheet'!C185</f>
        <v>FS., Pension note or RSI</v>
      </c>
      <c r="C141" s="431" t="str">
        <f>'Collection Worksheet'!D185</f>
        <v xml:space="preserve">Unit's Share of Net Pension Liability ($s)
- unit of government is a participating employer in the State's TSERS (Teachers' and State Employees' Retirement System) or the LGERS (Local Governmental Employees' Retirement System).  </v>
      </c>
      <c r="D141" s="396"/>
      <c r="E141" s="455">
        <f>'Collection Worksheet'!F185</f>
        <v>0</v>
      </c>
      <c r="F141" s="455"/>
      <c r="G141" s="441"/>
      <c r="H141" s="457"/>
      <c r="I141" s="231"/>
      <c r="J141" s="541">
        <v>622</v>
      </c>
      <c r="K141" s="542" t="s">
        <v>1005</v>
      </c>
      <c r="L141" s="427">
        <f t="shared" si="11"/>
        <v>0</v>
      </c>
      <c r="M141" s="66"/>
      <c r="P141" s="390"/>
      <c r="Q141" s="400"/>
      <c r="R141" s="545" t="b">
        <f t="shared" si="13"/>
        <v>1</v>
      </c>
      <c r="W141" s="390" t="b">
        <f>EXACT(A143,J143)</f>
        <v>1</v>
      </c>
      <c r="X141" s="691">
        <f t="shared" si="15"/>
        <v>0</v>
      </c>
    </row>
    <row r="142" spans="1:24" s="78" customFormat="1" ht="138" customHeight="1" x14ac:dyDescent="0.25">
      <c r="A142" s="408">
        <f>'Collection Worksheet'!A187</f>
        <v>577</v>
      </c>
      <c r="B142" s="409" t="str">
        <f>'Collection Worksheet'!C187</f>
        <v>Pension Notes</v>
      </c>
      <c r="C142" s="409" t="str">
        <f>'Collection Worksheet'!D187</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142" s="396"/>
      <c r="E142" s="403">
        <f>'Collection Worksheet'!F187</f>
        <v>0</v>
      </c>
      <c r="F142" s="403"/>
      <c r="G142" s="399"/>
      <c r="H142" s="244"/>
      <c r="I142" s="231"/>
      <c r="J142" s="405">
        <v>577</v>
      </c>
      <c r="K142" s="376" t="s">
        <v>469</v>
      </c>
      <c r="L142" s="501" t="str">
        <f>IF(E142="Yes",1,IF(E142="No",2,""))</f>
        <v/>
      </c>
      <c r="M142" s="66"/>
      <c r="P142" s="390"/>
      <c r="Q142" s="400"/>
      <c r="R142" s="545" t="b">
        <f t="shared" si="13"/>
        <v>1</v>
      </c>
      <c r="W142" s="390" t="b">
        <f>EXACT(A144,J144)</f>
        <v>1</v>
      </c>
      <c r="X142" s="691" t="e">
        <f t="shared" si="15"/>
        <v>#VALUE!</v>
      </c>
    </row>
    <row r="143" spans="1:24" s="268" customFormat="1" ht="81.75" customHeight="1" x14ac:dyDescent="0.25">
      <c r="A143" s="302">
        <f>'Collection Worksheet'!A189</f>
        <v>598</v>
      </c>
      <c r="B143" s="409" t="str">
        <f>'Collection Worksheet'!C189</f>
        <v>LEO Note</v>
      </c>
      <c r="C143" s="407" t="str">
        <f>'Collection Worksheet'!D189</f>
        <v>Amount the unit paid out in benefits under LEO special separation allowance to retired law enforcement officers this fiscal year if you report under GASB 68 or GASB 73.</v>
      </c>
      <c r="D143" s="396"/>
      <c r="E143" s="253">
        <f>'Collection Worksheet'!F189</f>
        <v>0</v>
      </c>
      <c r="F143" s="403">
        <f>IF(E143&lt;0,"Error: Enter as positive.",)</f>
        <v>0</v>
      </c>
      <c r="G143" s="338"/>
      <c r="H143" s="244">
        <f>'Collection Worksheet'!I189</f>
        <v>0</v>
      </c>
      <c r="I143" s="231"/>
      <c r="J143" s="433" t="s">
        <v>490</v>
      </c>
      <c r="K143" s="435" t="s">
        <v>492</v>
      </c>
      <c r="L143" s="262">
        <f t="shared" si="11"/>
        <v>0</v>
      </c>
      <c r="M143" s="66"/>
      <c r="P143" s="390"/>
      <c r="Q143" s="400"/>
      <c r="R143" s="545" t="b">
        <f t="shared" si="13"/>
        <v>1</v>
      </c>
      <c r="W143" s="390" t="b">
        <f>EXACT(A145,J145)</f>
        <v>1</v>
      </c>
      <c r="X143" s="691">
        <f t="shared" si="15"/>
        <v>0</v>
      </c>
    </row>
    <row r="144" spans="1:24" s="390" customFormat="1" ht="113.25" customHeight="1" x14ac:dyDescent="0.25">
      <c r="A144" s="408">
        <f>'Collection Worksheet'!A190</f>
        <v>599</v>
      </c>
      <c r="B144" s="409" t="str">
        <f>'Collection Worksheet'!C190</f>
        <v>LEO Note</v>
      </c>
      <c r="C144" s="407" t="str">
        <f>'Collection Worksheet'!D190</f>
        <v>The total LEO pension liability if you report under GASB 68 or GASB 73.</v>
      </c>
      <c r="D144" s="396"/>
      <c r="E144" s="403">
        <f>'Collection Worksheet'!F190</f>
        <v>0</v>
      </c>
      <c r="F144" s="456">
        <f>IF(E144&lt;0,"Error: Enter as positive.",)</f>
        <v>0</v>
      </c>
      <c r="G144" s="399"/>
      <c r="H144" s="244">
        <f>'Collection Worksheet'!I190</f>
        <v>0</v>
      </c>
      <c r="I144" s="231"/>
      <c r="J144" s="405">
        <v>599</v>
      </c>
      <c r="K144" s="434" t="s">
        <v>491</v>
      </c>
      <c r="L144" s="262">
        <f t="shared" si="11"/>
        <v>0</v>
      </c>
      <c r="M144" s="66"/>
      <c r="Q144" s="440" t="str">
        <f>IF(H146=L146,"",1)</f>
        <v/>
      </c>
      <c r="R144" s="545" t="b">
        <f t="shared" si="13"/>
        <v>1</v>
      </c>
      <c r="X144" s="691">
        <f t="shared" si="15"/>
        <v>0</v>
      </c>
    </row>
    <row r="145" spans="1:24" s="4" customFormat="1" ht="147.75" customHeight="1" x14ac:dyDescent="0.25">
      <c r="A145" s="408">
        <f>'Collection Worksheet'!A191</f>
        <v>602</v>
      </c>
      <c r="B145" s="409" t="str">
        <f>'Collection Worksheet'!C191</f>
        <v>LEO Note</v>
      </c>
      <c r="C145" s="407" t="str">
        <f>'Collection Worksheet'!D191</f>
        <v>If you have LEO pension assets and are reporting under GASB 68 please enter "Plan Fiduciary Net Position" which can be found on your RSI schedules and the Notes.</v>
      </c>
      <c r="D145" s="396"/>
      <c r="E145" s="403">
        <f>'Collection Worksheet'!F191</f>
        <v>0</v>
      </c>
      <c r="F145" s="456">
        <f>IF(L145&lt;0,"Note: Number is normally positive.",)</f>
        <v>0</v>
      </c>
      <c r="G145" s="399"/>
      <c r="H145" s="244">
        <f>'Collection Worksheet'!I191</f>
        <v>0</v>
      </c>
      <c r="I145" s="231"/>
      <c r="J145" s="405">
        <v>602</v>
      </c>
      <c r="K145" s="428" t="s">
        <v>493</v>
      </c>
      <c r="L145" s="262">
        <f t="shared" si="11"/>
        <v>0</v>
      </c>
      <c r="M145" s="65"/>
      <c r="P145" s="390"/>
      <c r="Q145" s="400"/>
      <c r="R145" s="545" t="b">
        <f t="shared" si="13"/>
        <v>1</v>
      </c>
      <c r="W145" s="390" t="b">
        <f>EXACT(A148,J148)</f>
        <v>1</v>
      </c>
      <c r="X145" s="691">
        <f t="shared" si="15"/>
        <v>0</v>
      </c>
    </row>
    <row r="146" spans="1:24" s="391" customFormat="1" ht="174" customHeight="1" x14ac:dyDescent="0.25">
      <c r="A146" s="408">
        <f>'Collection Worksheet'!A192</f>
        <v>619</v>
      </c>
      <c r="B146" s="409" t="str">
        <f>'Collection Worksheet'!C192</f>
        <v>LEO
RSI</v>
      </c>
      <c r="C146" s="463" t="str">
        <f>'Collection Worksheet'!D192</f>
        <v>LEOSSA – What is the plan’s fiduciary net position as a percentage of the total pension liability?  Please enter as percentage value; for example, 83.5% should be entered as 83.5.  If assets have not been set aside in a trust, please enter 0.0</v>
      </c>
      <c r="D146" s="436"/>
      <c r="E146" s="520">
        <f>'Collection Worksheet'!F192</f>
        <v>0</v>
      </c>
      <c r="F146" s="403" t="str">
        <f>IF(H146=L146,"","Column L does not equal Column H")</f>
        <v/>
      </c>
      <c r="G146" s="399"/>
      <c r="H146" s="517">
        <f>ROUND(IFERROR((L145/L144)*100,0),1)</f>
        <v>0</v>
      </c>
      <c r="I146" s="231"/>
      <c r="J146" s="512">
        <v>619</v>
      </c>
      <c r="K146" s="515" t="s">
        <v>532</v>
      </c>
      <c r="L146" s="513">
        <f t="shared" si="11"/>
        <v>0</v>
      </c>
      <c r="M146" s="65"/>
      <c r="P146" s="390"/>
      <c r="Q146" s="400"/>
      <c r="R146" s="545" t="b">
        <f t="shared" si="13"/>
        <v>1</v>
      </c>
      <c r="W146" s="390"/>
      <c r="X146" s="691">
        <f t="shared" si="15"/>
        <v>0</v>
      </c>
    </row>
    <row r="147" spans="1:24" s="391" customFormat="1" ht="174" customHeight="1" x14ac:dyDescent="0.25">
      <c r="A147" s="464">
        <v>621</v>
      </c>
      <c r="B147" s="464" t="s">
        <v>533</v>
      </c>
      <c r="C147" s="472" t="str">
        <f>'Collection Worksheet'!D194</f>
        <v>Unit's share of RBHF Net OPEB Liability ($s)
- unit of government is a participating employer in the State's RHBF (Retiree Health Benefit Fund)</v>
      </c>
      <c r="D147" s="396"/>
      <c r="E147" s="473">
        <f>'Collection Worksheet'!F194</f>
        <v>0</v>
      </c>
      <c r="F147" s="461">
        <f>IF(L147&lt;0,"Error: Enter as positive.",)</f>
        <v>0</v>
      </c>
      <c r="G147" s="474"/>
      <c r="H147" s="457"/>
      <c r="I147" s="232"/>
      <c r="J147" s="473">
        <v>621</v>
      </c>
      <c r="K147" s="475" t="s">
        <v>536</v>
      </c>
      <c r="L147" s="427">
        <f>IF(D147="",E147,D147)</f>
        <v>0</v>
      </c>
      <c r="M147" s="65"/>
      <c r="Q147" s="400"/>
      <c r="R147" s="545" t="b">
        <f t="shared" si="13"/>
        <v>1</v>
      </c>
      <c r="X147" s="691">
        <f t="shared" si="15"/>
        <v>0</v>
      </c>
    </row>
    <row r="148" spans="1:24" s="26" customFormat="1" ht="141.75" customHeight="1" x14ac:dyDescent="0.25">
      <c r="A148" s="302">
        <f>'Collection Worksheet'!A195</f>
        <v>547</v>
      </c>
      <c r="B148" s="280" t="str">
        <f>'Collection Worksheet'!C195</f>
        <v>OPEB Note</v>
      </c>
      <c r="C148" s="280" t="str">
        <f>'Collection Worksheet'!D195</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148" s="396"/>
      <c r="E148" s="253">
        <f>'Collection Worksheet'!F195</f>
        <v>0</v>
      </c>
      <c r="F148" s="253" t="str">
        <f>IF(L148&lt;1,"Please answer this question","")</f>
        <v>Please answer this question</v>
      </c>
      <c r="G148" s="338"/>
      <c r="H148" s="244">
        <f>'Collection Worksheet'!I195</f>
        <v>0</v>
      </c>
      <c r="I148" s="231"/>
      <c r="J148" s="238">
        <v>547</v>
      </c>
      <c r="K148" s="303" t="s">
        <v>418</v>
      </c>
      <c r="L148" s="262">
        <f t="shared" si="11"/>
        <v>0</v>
      </c>
      <c r="P148" s="390"/>
      <c r="Q148" s="388"/>
      <c r="R148" s="545" t="b">
        <f t="shared" si="13"/>
        <v>1</v>
      </c>
      <c r="W148" s="390" t="b">
        <f>EXACT(A149,J149)</f>
        <v>1</v>
      </c>
      <c r="X148" s="691">
        <f t="shared" si="15"/>
        <v>0</v>
      </c>
    </row>
    <row r="149" spans="1:24" s="390" customFormat="1" ht="139.5" customHeight="1" x14ac:dyDescent="0.25">
      <c r="A149" s="509">
        <f>'Collection Worksheet'!A196</f>
        <v>607</v>
      </c>
      <c r="B149" s="409" t="str">
        <f>'Collection Worksheet'!C196</f>
        <v>OPEB
 Note or RSI</v>
      </c>
      <c r="C149" s="510" t="str">
        <f>'Collection Worksheet'!D196</f>
        <v>Health benefits - total OPEB liability
If you do not provide benefit, please enter 0</v>
      </c>
      <c r="D149" s="396"/>
      <c r="E149" s="403">
        <f>'Collection Worksheet'!F196</f>
        <v>0</v>
      </c>
      <c r="F149" s="261">
        <f>IF(L149&lt;0,"Error: Enter as positive.",)</f>
        <v>0</v>
      </c>
      <c r="G149" s="399"/>
      <c r="H149" s="244">
        <f>'Collection Worksheet'!I196</f>
        <v>0</v>
      </c>
      <c r="I149" s="230"/>
      <c r="J149" s="511">
        <v>607</v>
      </c>
      <c r="K149" s="510" t="s">
        <v>501</v>
      </c>
      <c r="L149" s="501">
        <f t="shared" si="11"/>
        <v>0</v>
      </c>
      <c r="Q149" s="440" t="str">
        <f>IF(H151=L151,"",1)</f>
        <v/>
      </c>
      <c r="R149" s="545" t="b">
        <f t="shared" si="13"/>
        <v>1</v>
      </c>
      <c r="X149" s="691">
        <f t="shared" si="15"/>
        <v>0</v>
      </c>
    </row>
    <row r="150" spans="1:24" ht="54" customHeight="1" x14ac:dyDescent="0.25">
      <c r="A150" s="408">
        <f>'Collection Worksheet'!A197</f>
        <v>608</v>
      </c>
      <c r="B150" s="409" t="str">
        <f>'Collection Worksheet'!C197</f>
        <v>OPEB
 Note or RSI</v>
      </c>
      <c r="C150" s="407" t="str">
        <f>'Collection Worksheet'!D197</f>
        <v>Health benefits- OPEB plan fiduciary net position
If no fiduciary net position, enter 0</v>
      </c>
      <c r="D150" s="396"/>
      <c r="E150" s="403">
        <f>'Collection Worksheet'!F197</f>
        <v>0</v>
      </c>
      <c r="F150" s="456">
        <f>IF(L150&lt;0,"Note: Number is normally positive.",)</f>
        <v>0</v>
      </c>
      <c r="G150" s="399"/>
      <c r="H150" s="244">
        <f>'Collection Worksheet'!I197</f>
        <v>0</v>
      </c>
      <c r="I150" s="231"/>
      <c r="J150" s="512">
        <v>608</v>
      </c>
      <c r="K150" s="407" t="s">
        <v>502</v>
      </c>
      <c r="L150" s="501">
        <f t="shared" si="11"/>
        <v>0</v>
      </c>
      <c r="P150" s="390"/>
      <c r="R150" s="545" t="b">
        <f t="shared" si="13"/>
        <v>1</v>
      </c>
      <c r="W150" s="390" t="b">
        <f>EXACT(A152,J152)</f>
        <v>1</v>
      </c>
      <c r="X150" s="691">
        <f t="shared" si="15"/>
        <v>0</v>
      </c>
    </row>
    <row r="151" spans="1:24" ht="47.25" customHeight="1" x14ac:dyDescent="0.25">
      <c r="A151" s="408">
        <f>'Collection Worksheet'!A198</f>
        <v>609</v>
      </c>
      <c r="B151" s="409" t="str">
        <f>'Collection Worksheet'!C198</f>
        <v>OPEB
RSI</v>
      </c>
      <c r="C151" s="407" t="str">
        <f>'Collection Worksheet'!D198</f>
        <v>Health benefits - What is the plan’s fiduciary net position as a percentage of the total OPEB liability?  Please enter as percentage value; for example, 83.5% should be entered as 83.5.  If assets have not been set aside in a trust, please enter 0.0</v>
      </c>
      <c r="D151" s="436"/>
      <c r="E151" s="516">
        <f>'Collection Worksheet'!F198</f>
        <v>0</v>
      </c>
      <c r="F151" s="403" t="str">
        <f>IF(H151=L151,"","Column L does not equal Column H")</f>
        <v/>
      </c>
      <c r="G151" s="399"/>
      <c r="H151" s="517">
        <f>ROUND(IFERROR((L150/L149)*100,0),1)</f>
        <v>0</v>
      </c>
      <c r="I151" s="231"/>
      <c r="J151" s="512">
        <v>609</v>
      </c>
      <c r="K151" s="407" t="s">
        <v>527</v>
      </c>
      <c r="L151" s="513">
        <f t="shared" si="11"/>
        <v>0</v>
      </c>
      <c r="P151" s="390"/>
      <c r="R151" s="545" t="b">
        <f t="shared" si="13"/>
        <v>1</v>
      </c>
      <c r="W151" s="390" t="b">
        <f>EXACT(A153,J153)</f>
        <v>1</v>
      </c>
      <c r="X151" s="691">
        <f t="shared" si="15"/>
        <v>0</v>
      </c>
    </row>
    <row r="152" spans="1:24" s="390" customFormat="1" ht="126.75" customHeight="1" x14ac:dyDescent="0.25">
      <c r="A152" s="408">
        <f>'Collection Worksheet'!A199</f>
        <v>610</v>
      </c>
      <c r="B152" s="409" t="str">
        <f>'Collection Worksheet'!C199</f>
        <v>OPEB
 Note or RSI</v>
      </c>
      <c r="C152" s="407" t="str">
        <f>'Collection Worksheet'!D199</f>
        <v>Vision benefits - total OPEB liability</v>
      </c>
      <c r="D152" s="396"/>
      <c r="E152" s="403">
        <f>'Collection Worksheet'!F199</f>
        <v>0</v>
      </c>
      <c r="F152" s="403">
        <f>IF(L152&lt;0,"Error: Enter as positive.",)</f>
        <v>0</v>
      </c>
      <c r="G152" s="399"/>
      <c r="H152" s="244">
        <f>'Collection Worksheet'!I199</f>
        <v>0</v>
      </c>
      <c r="I152" s="231"/>
      <c r="J152" s="512">
        <v>610</v>
      </c>
      <c r="K152" s="407" t="s">
        <v>503</v>
      </c>
      <c r="L152" s="501">
        <f t="shared" si="11"/>
        <v>0</v>
      </c>
      <c r="Q152" s="440" t="str">
        <f>IF(H154=L154,"",1)</f>
        <v/>
      </c>
      <c r="R152" s="545" t="b">
        <f t="shared" si="13"/>
        <v>1</v>
      </c>
      <c r="X152" s="691">
        <f t="shared" si="15"/>
        <v>0</v>
      </c>
    </row>
    <row r="153" spans="1:24" ht="43.5" customHeight="1" x14ac:dyDescent="0.25">
      <c r="A153" s="408">
        <f>'Collection Worksheet'!A200</f>
        <v>611</v>
      </c>
      <c r="B153" s="409" t="str">
        <f>'Collection Worksheet'!C200</f>
        <v>OPEB
 Note or RSI</v>
      </c>
      <c r="C153" s="407" t="str">
        <f>'Collection Worksheet'!D200</f>
        <v>Vision benefits - OPEB plan fiduciary net position</v>
      </c>
      <c r="D153" s="396"/>
      <c r="E153" s="403">
        <f>'Collection Worksheet'!F200</f>
        <v>0</v>
      </c>
      <c r="F153" s="456">
        <f>IF(L153&lt;0,"Note: Number is normally positive.",)</f>
        <v>0</v>
      </c>
      <c r="G153" s="399"/>
      <c r="H153" s="244">
        <f>'Collection Worksheet'!I200</f>
        <v>0</v>
      </c>
      <c r="I153" s="231"/>
      <c r="J153" s="512">
        <v>611</v>
      </c>
      <c r="K153" s="407" t="s">
        <v>504</v>
      </c>
      <c r="L153" s="501">
        <f t="shared" si="11"/>
        <v>0</v>
      </c>
      <c r="P153" s="390"/>
      <c r="R153" s="545" t="b">
        <f t="shared" si="13"/>
        <v>1</v>
      </c>
      <c r="W153" s="390" t="b">
        <f>EXACT(A155,J155)</f>
        <v>1</v>
      </c>
      <c r="X153" s="691">
        <f t="shared" si="15"/>
        <v>0</v>
      </c>
    </row>
    <row r="154" spans="1:24" ht="57.75" customHeight="1" x14ac:dyDescent="0.25">
      <c r="A154" s="408">
        <f>'Collection Worksheet'!A201</f>
        <v>612</v>
      </c>
      <c r="B154" s="409" t="str">
        <f>'Collection Worksheet'!C201</f>
        <v>OPEB
RSI</v>
      </c>
      <c r="C154" s="407" t="str">
        <f>'Collection Worksheet'!D201</f>
        <v>Vision benefits - What is the plan’s fiduciary net position as a percentage of the total OPEB liability?  Please enter as percentage value; for example, 83.5% should be entered as 83.5.  If assets have not been set aside in a trust, please enter 0.0</v>
      </c>
      <c r="D154" s="436"/>
      <c r="E154" s="516">
        <f>'Collection Worksheet'!F201</f>
        <v>0</v>
      </c>
      <c r="F154" s="403" t="str">
        <f>IF(H154=L154,"","Column L does not equal Column H")</f>
        <v/>
      </c>
      <c r="G154" s="399"/>
      <c r="H154" s="517">
        <f>ROUND(IFERROR((L153/L152)*100,0),1)</f>
        <v>0</v>
      </c>
      <c r="I154" s="231"/>
      <c r="J154" s="512">
        <v>612</v>
      </c>
      <c r="K154" s="407" t="s">
        <v>528</v>
      </c>
      <c r="L154" s="513">
        <f t="shared" si="11"/>
        <v>0</v>
      </c>
      <c r="P154" s="390"/>
      <c r="R154" s="545" t="b">
        <f t="shared" si="13"/>
        <v>1</v>
      </c>
      <c r="W154" s="390" t="b">
        <f>EXACT(A156,J156)</f>
        <v>1</v>
      </c>
      <c r="X154" s="691">
        <f t="shared" si="15"/>
        <v>0</v>
      </c>
    </row>
    <row r="155" spans="1:24" s="390" customFormat="1" ht="115.5" customHeight="1" x14ac:dyDescent="0.25">
      <c r="A155" s="408">
        <f>'Collection Worksheet'!A202</f>
        <v>613</v>
      </c>
      <c r="B155" s="409" t="str">
        <f>'Collection Worksheet'!C202</f>
        <v>OPEB
 Note or RSI</v>
      </c>
      <c r="C155" s="407" t="str">
        <f>'Collection Worksheet'!D202</f>
        <v>Dental benefits - total OPEB liability</v>
      </c>
      <c r="D155" s="396"/>
      <c r="E155" s="403">
        <f>'Collection Worksheet'!F202</f>
        <v>0</v>
      </c>
      <c r="F155" s="403">
        <f>IF(L155&lt;0,"Error: Enter as positive.",)</f>
        <v>0</v>
      </c>
      <c r="G155" s="399"/>
      <c r="H155" s="244">
        <f>'Collection Worksheet'!I202</f>
        <v>0</v>
      </c>
      <c r="I155" s="231"/>
      <c r="J155" s="512">
        <v>613</v>
      </c>
      <c r="K155" s="407" t="s">
        <v>517</v>
      </c>
      <c r="L155" s="501">
        <f t="shared" si="11"/>
        <v>0</v>
      </c>
      <c r="Q155" s="440" t="str">
        <f>IF(H157=L157,"",1)</f>
        <v/>
      </c>
      <c r="R155" s="545" t="b">
        <f t="shared" si="13"/>
        <v>1</v>
      </c>
      <c r="X155" s="691">
        <f t="shared" si="15"/>
        <v>0</v>
      </c>
    </row>
    <row r="156" spans="1:24" s="390" customFormat="1" ht="57.75" customHeight="1" x14ac:dyDescent="0.25">
      <c r="A156" s="408">
        <f>'Collection Worksheet'!A203</f>
        <v>614</v>
      </c>
      <c r="B156" s="409" t="str">
        <f>'Collection Worksheet'!C203</f>
        <v>OPEB
 Note or RSI</v>
      </c>
      <c r="C156" s="407" t="str">
        <f>'Collection Worksheet'!D203</f>
        <v>Dental benefits - OPEB plan fiduciary net position</v>
      </c>
      <c r="D156" s="396"/>
      <c r="E156" s="403">
        <f>'Collection Worksheet'!F203</f>
        <v>0</v>
      </c>
      <c r="F156" s="456">
        <f>IF(L156&lt;0,"Note: Number is normally positive.",)</f>
        <v>0</v>
      </c>
      <c r="G156" s="399"/>
      <c r="H156" s="244">
        <f>'Collection Worksheet'!I203</f>
        <v>0</v>
      </c>
      <c r="I156" s="231"/>
      <c r="J156" s="512">
        <v>614</v>
      </c>
      <c r="K156" s="407" t="s">
        <v>505</v>
      </c>
      <c r="L156" s="501">
        <f t="shared" si="11"/>
        <v>0</v>
      </c>
      <c r="Q156" s="400"/>
      <c r="R156" s="545" t="b">
        <f t="shared" si="13"/>
        <v>1</v>
      </c>
      <c r="X156" s="691">
        <f t="shared" si="15"/>
        <v>0</v>
      </c>
    </row>
    <row r="157" spans="1:24" s="390" customFormat="1" ht="57.75" customHeight="1" x14ac:dyDescent="0.25">
      <c r="A157" s="408">
        <f>'Collection Worksheet'!A204</f>
        <v>615</v>
      </c>
      <c r="B157" s="409" t="str">
        <f>'Collection Worksheet'!C204</f>
        <v>OPEB
RSI</v>
      </c>
      <c r="C157" s="407" t="str">
        <f>'Collection Worksheet'!D204</f>
        <v>Dental benefits - What is the plan’s fiduciary net position as a percentage of the total OPEB liability?  Please enter as percentage value; for example, 83.5% should be entered as 83.5.  If assets have not been set aside in a trust, please enter 0.0</v>
      </c>
      <c r="D157" s="436"/>
      <c r="E157" s="516">
        <f>'Collection Worksheet'!F204</f>
        <v>0</v>
      </c>
      <c r="F157" s="403" t="str">
        <f>IF(H157=L157,"","Column L does not equal Column H")</f>
        <v/>
      </c>
      <c r="G157" s="399"/>
      <c r="H157" s="518">
        <f>ROUND(IFERROR((L156/L155)*100,0),1)</f>
        <v>0</v>
      </c>
      <c r="I157" s="231"/>
      <c r="J157" s="512">
        <v>615</v>
      </c>
      <c r="K157" s="407" t="s">
        <v>529</v>
      </c>
      <c r="L157" s="513">
        <f t="shared" si="11"/>
        <v>0</v>
      </c>
      <c r="Q157" s="400"/>
      <c r="R157" s="545" t="b">
        <f t="shared" si="13"/>
        <v>1</v>
      </c>
      <c r="X157" s="691">
        <f t="shared" si="15"/>
        <v>0</v>
      </c>
    </row>
    <row r="158" spans="1:24" s="390" customFormat="1" ht="111.75" customHeight="1" x14ac:dyDescent="0.25">
      <c r="A158" s="408">
        <f>'Collection Worksheet'!A205</f>
        <v>616</v>
      </c>
      <c r="B158" s="409" t="str">
        <f>'Collection Worksheet'!C205</f>
        <v>OPEB
 Note or RSI</v>
      </c>
      <c r="C158" s="407" t="str">
        <f>'Collection Worksheet'!D205</f>
        <v>Other benefits - total OPEB liability</v>
      </c>
      <c r="D158" s="396"/>
      <c r="E158" s="403">
        <f>'Collection Worksheet'!F205</f>
        <v>0</v>
      </c>
      <c r="F158" s="403">
        <f>IF(L158&lt;0,"Error: Enter as positive.",)</f>
        <v>0</v>
      </c>
      <c r="G158" s="399"/>
      <c r="H158" s="244">
        <f>'Collection Worksheet'!I205</f>
        <v>0</v>
      </c>
      <c r="I158" s="231"/>
      <c r="J158" s="512">
        <v>616</v>
      </c>
      <c r="K158" s="407" t="s">
        <v>506</v>
      </c>
      <c r="L158" s="514">
        <f>IF(D158="",E158,D158)</f>
        <v>0</v>
      </c>
      <c r="Q158" s="440" t="str">
        <f>IF(H160=L160,"",1)</f>
        <v/>
      </c>
      <c r="R158" s="545" t="b">
        <f t="shared" si="13"/>
        <v>1</v>
      </c>
      <c r="X158" s="691">
        <f t="shared" si="15"/>
        <v>0</v>
      </c>
    </row>
    <row r="159" spans="1:24" s="268" customFormat="1" ht="233.25" customHeight="1" x14ac:dyDescent="0.25">
      <c r="A159" s="408">
        <f>'Collection Worksheet'!A206</f>
        <v>617</v>
      </c>
      <c r="B159" s="409" t="str">
        <f>'Collection Worksheet'!C206</f>
        <v>OPEB
 Note or RSI</v>
      </c>
      <c r="C159" s="407" t="str">
        <f>'Collection Worksheet'!D206</f>
        <v>Other benefits - OPEB plan fiduciary net position</v>
      </c>
      <c r="D159" s="396"/>
      <c r="E159" s="403">
        <f>'Collection Worksheet'!F206</f>
        <v>0</v>
      </c>
      <c r="F159" s="456">
        <f>IF(L159&lt;0,"Note: Number is normally positive.",)</f>
        <v>0</v>
      </c>
      <c r="G159" s="399"/>
      <c r="H159" s="244">
        <f>'Collection Worksheet'!I206</f>
        <v>0</v>
      </c>
      <c r="I159" s="231"/>
      <c r="J159" s="512">
        <v>617</v>
      </c>
      <c r="K159" s="407" t="s">
        <v>507</v>
      </c>
      <c r="L159" s="501">
        <f>IF(D159="",E159,D159)</f>
        <v>0</v>
      </c>
      <c r="P159" s="390"/>
      <c r="Q159" s="400"/>
      <c r="R159" s="545" t="b">
        <f t="shared" si="13"/>
        <v>1</v>
      </c>
      <c r="W159" s="390" t="e">
        <f>EXACT(#REF!,#REF!)</f>
        <v>#REF!</v>
      </c>
      <c r="X159" s="691">
        <f t="shared" si="15"/>
        <v>0</v>
      </c>
    </row>
    <row r="160" spans="1:24" ht="90" customHeight="1" x14ac:dyDescent="0.25">
      <c r="A160" s="408">
        <f>'Collection Worksheet'!A207</f>
        <v>618</v>
      </c>
      <c r="B160" s="409" t="str">
        <f>'Collection Worksheet'!C207</f>
        <v>OPEB
RSI</v>
      </c>
      <c r="C160" s="407" t="str">
        <f>'Collection Worksheet'!D207</f>
        <v>Other benefits  - What is the plan’s fiduciary net position as a percentage of the total OPEB liability?  Please enter as percentage value; for example, 83.5% should be entered as 83.5.  If assets have not been set aside in a trust, please enter 0.0</v>
      </c>
      <c r="D160" s="436"/>
      <c r="E160" s="516">
        <f>'Collection Worksheet'!F207</f>
        <v>0</v>
      </c>
      <c r="F160" s="403" t="str">
        <f>IF(H160=L160,"","Column L does not equal Column H")</f>
        <v/>
      </c>
      <c r="G160" s="399"/>
      <c r="H160" s="519">
        <f>ROUND(IFERROR((L159/L158)*100,0),1)</f>
        <v>0</v>
      </c>
      <c r="I160" s="231"/>
      <c r="J160" s="512">
        <v>618</v>
      </c>
      <c r="K160" s="515" t="s">
        <v>530</v>
      </c>
      <c r="L160" s="513">
        <f>IF(D160="",E160,D160)</f>
        <v>0</v>
      </c>
      <c r="P160" s="390"/>
      <c r="R160" s="545" t="b">
        <f t="shared" si="13"/>
        <v>1</v>
      </c>
      <c r="W160" s="390" t="b">
        <f>EXACT(A161,J161)</f>
        <v>1</v>
      </c>
      <c r="X160" s="691">
        <f t="shared" si="15"/>
        <v>0</v>
      </c>
    </row>
    <row r="161" spans="1:24" ht="84.75" customHeight="1" x14ac:dyDescent="0.25">
      <c r="A161" s="269">
        <f>'Collection Worksheet'!A210</f>
        <v>371</v>
      </c>
      <c r="B161" s="280" t="str">
        <f>'Collection Worksheet'!C210</f>
        <v>Transfer Note</v>
      </c>
      <c r="C161" s="267" t="str">
        <f>'Collection Worksheet'!D210</f>
        <v>Amount of Transfers from the General Fund to the Debt Service Fund (Enter as positive)</v>
      </c>
      <c r="D161" s="254"/>
      <c r="E161" s="253">
        <f>'Collection Worksheet'!F210</f>
        <v>0</v>
      </c>
      <c r="F161" s="253">
        <f>IF(L161&lt;0,"Error: Enter as a positive.",)</f>
        <v>0</v>
      </c>
      <c r="G161" s="338"/>
      <c r="H161" s="244">
        <f>'Collection Worksheet'!I210</f>
        <v>0</v>
      </c>
      <c r="I161" s="231"/>
      <c r="J161" s="235">
        <v>371</v>
      </c>
      <c r="K161" s="228" t="s">
        <v>342</v>
      </c>
      <c r="L161" s="262">
        <f t="shared" si="11"/>
        <v>0</v>
      </c>
      <c r="P161" s="390"/>
      <c r="R161" s="545" t="b">
        <f t="shared" si="13"/>
        <v>1</v>
      </c>
      <c r="W161" s="390" t="b">
        <f t="shared" ref="W161:W173" si="16">EXACT(A163,J163)</f>
        <v>1</v>
      </c>
      <c r="X161" s="691">
        <f t="shared" si="15"/>
        <v>0</v>
      </c>
    </row>
    <row r="162" spans="1:24" ht="30" x14ac:dyDescent="0.25">
      <c r="A162" s="269">
        <f>'Collection Worksheet'!A211</f>
        <v>513</v>
      </c>
      <c r="B162" s="280" t="str">
        <f>'Collection Worksheet'!C211</f>
        <v>Transfer Note</v>
      </c>
      <c r="C162" s="267" t="str">
        <f>'Collection Worksheet'!D211</f>
        <v>Amount of Transfers from the General Fund to the Electric Fund  (Enter as positive)</v>
      </c>
      <c r="D162" s="396"/>
      <c r="E162" s="253">
        <f>'Collection Worksheet'!F211</f>
        <v>0</v>
      </c>
      <c r="F162" s="253">
        <f>IF(L162&lt;0,"Error: Enter as a positive.",)</f>
        <v>0</v>
      </c>
      <c r="G162" s="338"/>
      <c r="H162" s="244">
        <f>'Collection Worksheet'!I211</f>
        <v>0</v>
      </c>
      <c r="I162" s="231"/>
      <c r="J162" s="238">
        <v>513</v>
      </c>
      <c r="K162" s="228" t="s">
        <v>343</v>
      </c>
      <c r="L162" s="262">
        <f t="shared" si="11"/>
        <v>0</v>
      </c>
      <c r="P162" s="390"/>
      <c r="R162" s="545" t="b">
        <f t="shared" si="13"/>
        <v>1</v>
      </c>
      <c r="W162" s="390" t="b">
        <f t="shared" si="16"/>
        <v>1</v>
      </c>
      <c r="X162" s="691">
        <f t="shared" si="15"/>
        <v>0</v>
      </c>
    </row>
    <row r="163" spans="1:24" ht="94.5" customHeight="1" x14ac:dyDescent="0.25">
      <c r="A163" s="269">
        <f>'Collection Worksheet'!A212</f>
        <v>514</v>
      </c>
      <c r="B163" s="280" t="str">
        <f>'Collection Worksheet'!C212</f>
        <v>Transfer Note</v>
      </c>
      <c r="C163" s="267" t="str">
        <f>'Collection Worksheet'!D212</f>
        <v>Amount of Transfers from the Electric Fund to the General Fund  (Enter as positive)
Include:  Payment in Lieu of Taxes (PILOT)</v>
      </c>
      <c r="D163" s="396"/>
      <c r="E163" s="253">
        <f>'Collection Worksheet'!F212</f>
        <v>0</v>
      </c>
      <c r="F163" s="253">
        <f>IF(L163&lt;0,"Error: Enter as a positive.",)</f>
        <v>0</v>
      </c>
      <c r="G163" s="338"/>
      <c r="H163" s="244">
        <f>'Collection Worksheet'!I212</f>
        <v>0</v>
      </c>
      <c r="I163" s="231"/>
      <c r="J163" s="238">
        <v>514</v>
      </c>
      <c r="K163" s="228" t="s">
        <v>344</v>
      </c>
      <c r="L163" s="262">
        <f t="shared" si="11"/>
        <v>0</v>
      </c>
      <c r="P163" s="390"/>
      <c r="R163" s="545" t="b">
        <f t="shared" si="13"/>
        <v>1</v>
      </c>
      <c r="W163" s="390" t="b">
        <f t="shared" si="16"/>
        <v>1</v>
      </c>
      <c r="X163" s="691">
        <f t="shared" si="15"/>
        <v>0</v>
      </c>
    </row>
    <row r="164" spans="1:24" ht="55.5" customHeight="1" x14ac:dyDescent="0.25">
      <c r="A164" s="250">
        <f>'Collection Worksheet'!A214</f>
        <v>6</v>
      </c>
      <c r="B164" s="281" t="str">
        <f>'Collection Worksheet'!C214</f>
        <v>Fund Balance Note</v>
      </c>
      <c r="C164" s="259" t="str">
        <f>'Collection Worksheet'!D214</f>
        <v>General Fund -  Total Encumbrances.  You will probably have to refer to the note disclosure where the amount of encumbrances is listed.</v>
      </c>
      <c r="D164" s="396"/>
      <c r="E164" s="229">
        <f>'Collection Worksheet'!F214</f>
        <v>0</v>
      </c>
      <c r="F164" s="229">
        <f>IF(L164&lt;0,"Error: Enter as a positive.",)</f>
        <v>0</v>
      </c>
      <c r="G164" s="339"/>
      <c r="H164" s="244">
        <f>'Collection Worksheet'!I214</f>
        <v>0</v>
      </c>
      <c r="I164" s="231"/>
      <c r="J164" s="237">
        <v>6</v>
      </c>
      <c r="K164" s="228" t="s">
        <v>345</v>
      </c>
      <c r="L164" s="256">
        <f t="shared" si="11"/>
        <v>0</v>
      </c>
      <c r="N164" s="299" t="s">
        <v>427</v>
      </c>
      <c r="P164" s="390"/>
      <c r="R164" s="545" t="b">
        <f t="shared" si="13"/>
        <v>1</v>
      </c>
      <c r="W164" s="390" t="b">
        <f t="shared" si="16"/>
        <v>1</v>
      </c>
      <c r="X164" s="691">
        <f t="shared" si="15"/>
        <v>0</v>
      </c>
    </row>
    <row r="165" spans="1:24" s="4" customFormat="1" ht="90.75" customHeight="1" x14ac:dyDescent="0.25">
      <c r="A165" s="269">
        <f>'Collection Worksheet'!A216</f>
        <v>541</v>
      </c>
      <c r="B165" s="280" t="str">
        <f>'Collection Worksheet'!C216</f>
        <v>Water Sewer - Budget Actual Statement</v>
      </c>
      <c r="C165" s="280" t="str">
        <f>'Collection Worksheet'!D216</f>
        <v>Amount of Water Sewer revenues and other financing sources over expenditures and other uses
Exclude:  All transfers and capital contributions
Exclude:  Capital Projects
This schedule is usually found behind the notes and should be entered as a positive or negative as indicated on your audit report</v>
      </c>
      <c r="D165" s="396"/>
      <c r="E165" s="253">
        <f>'Collection Worksheet'!F216</f>
        <v>0</v>
      </c>
      <c r="F165" s="253"/>
      <c r="G165" s="338"/>
      <c r="H165" s="244">
        <f>'Collection Worksheet'!I216</f>
        <v>0</v>
      </c>
      <c r="I165" s="231"/>
      <c r="J165" s="238">
        <v>541</v>
      </c>
      <c r="K165" s="330" t="s">
        <v>436</v>
      </c>
      <c r="L165" s="249">
        <f t="shared" si="11"/>
        <v>0</v>
      </c>
      <c r="P165" s="390"/>
      <c r="Q165" s="400"/>
      <c r="R165" s="545" t="b">
        <f t="shared" si="13"/>
        <v>1</v>
      </c>
      <c r="W165" s="390" t="b">
        <f t="shared" si="16"/>
        <v>1</v>
      </c>
      <c r="X165" s="691">
        <f t="shared" si="15"/>
        <v>0</v>
      </c>
    </row>
    <row r="166" spans="1:24" s="4" customFormat="1" ht="75" customHeight="1" x14ac:dyDescent="0.25">
      <c r="A166" s="269">
        <f>'Collection Worksheet'!A218</f>
        <v>542</v>
      </c>
      <c r="B166" s="280" t="str">
        <f>'Collection Worksheet'!C218</f>
        <v>Water Sewer - Budget Actual Statement</v>
      </c>
      <c r="C166" s="288" t="str">
        <f>'Collection Worksheet'!D218</f>
        <v>Amount of the Water Sewer Fund Balance appropriated in next year's budget?</v>
      </c>
      <c r="D166" s="396"/>
      <c r="E166" s="253">
        <f>'Collection Worksheet'!F218</f>
        <v>0</v>
      </c>
      <c r="F166" s="253"/>
      <c r="G166" s="338"/>
      <c r="H166" s="244">
        <f>'Collection Worksheet'!I218</f>
        <v>0</v>
      </c>
      <c r="I166" s="231"/>
      <c r="J166" s="238">
        <v>542</v>
      </c>
      <c r="K166" s="228" t="s">
        <v>346</v>
      </c>
      <c r="L166" s="249">
        <f t="shared" si="11"/>
        <v>0</v>
      </c>
      <c r="P166" s="390"/>
      <c r="Q166" s="400"/>
      <c r="R166" s="545" t="b">
        <f t="shared" si="13"/>
        <v>1</v>
      </c>
      <c r="W166" s="390" t="b">
        <f t="shared" si="16"/>
        <v>1</v>
      </c>
      <c r="X166" s="691">
        <f t="shared" si="15"/>
        <v>0</v>
      </c>
    </row>
    <row r="167" spans="1:24" s="4" customFormat="1" ht="56.25" customHeight="1" x14ac:dyDescent="0.25">
      <c r="A167" s="269">
        <f>'Collection Worksheet'!A221</f>
        <v>528</v>
      </c>
      <c r="B167" s="280" t="str">
        <f>'Collection Worksheet'!C221</f>
        <v>Analysis of Current Tax Levy Schedule</v>
      </c>
      <c r="C167" s="288" t="str">
        <f>'Collection Worksheet'!D221</f>
        <v>Please enter the Net Current year's levy -- (after adjusting for discoveries and abatements)
Exclude motor vehicles and Supplemental Taxes</v>
      </c>
      <c r="D167" s="396"/>
      <c r="E167" s="395">
        <f>'Collection Worksheet'!F221</f>
        <v>0</v>
      </c>
      <c r="F167" s="384" t="str">
        <f>IF(L167=0,"Must be completed if unit levys taxes","")</f>
        <v>Must be completed if unit levys taxes</v>
      </c>
      <c r="G167" s="338"/>
      <c r="H167" s="244"/>
      <c r="I167" s="231"/>
      <c r="J167" s="238">
        <v>528</v>
      </c>
      <c r="K167" s="331" t="s">
        <v>351</v>
      </c>
      <c r="L167" s="249">
        <f t="shared" si="11"/>
        <v>0</v>
      </c>
      <c r="P167" s="390"/>
      <c r="Q167" s="400"/>
      <c r="R167" s="545" t="b">
        <f t="shared" si="13"/>
        <v>1</v>
      </c>
      <c r="W167" s="390" t="b">
        <f t="shared" si="16"/>
        <v>1</v>
      </c>
      <c r="X167" s="691">
        <f t="shared" si="15"/>
        <v>0</v>
      </c>
    </row>
    <row r="168" spans="1:24" ht="90.75" customHeight="1" x14ac:dyDescent="0.25">
      <c r="A168" s="269">
        <f>'Collection Worksheet'!A222</f>
        <v>529</v>
      </c>
      <c r="B168" s="280" t="str">
        <f>'Collection Worksheet'!C222</f>
        <v>Analysis of Current Tax Levy Schedule</v>
      </c>
      <c r="C168" s="288" t="str">
        <f>'Collection Worksheet'!D222</f>
        <v>Please enter the Net Current year's levy -- Motor vehicles (only) (after adjusting for discoveries and abatements)
Exclude supplemental taxes</v>
      </c>
      <c r="D168" s="396"/>
      <c r="E168" s="395">
        <f>'Collection Worksheet'!F222</f>
        <v>0</v>
      </c>
      <c r="F168" s="384" t="str">
        <f>IF(L168=0,"Must be completed if unit levys taxes","")</f>
        <v>Must be completed if unit levys taxes</v>
      </c>
      <c r="G168" s="338"/>
      <c r="H168" s="244"/>
      <c r="I168" s="231"/>
      <c r="J168" s="238">
        <v>529</v>
      </c>
      <c r="K168" s="331" t="s">
        <v>352</v>
      </c>
      <c r="L168" s="249">
        <f t="shared" si="11"/>
        <v>0</v>
      </c>
      <c r="N168" s="385" t="str">
        <f>IF(T168=0,"Must be completed if unit levys taxes, zero acceptable if Motor Vehicle collection rate is 100%","")</f>
        <v>Must be completed if unit levys taxes, zero acceptable if Motor Vehicle collection rate is 100%</v>
      </c>
      <c r="P168" s="390"/>
      <c r="R168" s="545" t="b">
        <f t="shared" si="13"/>
        <v>1</v>
      </c>
      <c r="W168" s="390" t="b">
        <f t="shared" si="16"/>
        <v>1</v>
      </c>
      <c r="X168" s="691">
        <f t="shared" si="15"/>
        <v>0</v>
      </c>
    </row>
    <row r="169" spans="1:24" ht="89.25" customHeight="1" x14ac:dyDescent="0.25">
      <c r="A169" s="269">
        <f>'Collection Worksheet'!A223</f>
        <v>530</v>
      </c>
      <c r="B169" s="280" t="str">
        <f>'Collection Worksheet'!C223</f>
        <v>Analysis of Current Tax Levy Schedule</v>
      </c>
      <c r="C169" s="288" t="str">
        <f>'Collection Worksheet'!D223</f>
        <v>Uncollected Taxes - Curr Year's Levy Exclude Motor Vehicles
Exclude supplemental taxes</v>
      </c>
      <c r="D169" s="396"/>
      <c r="E169" s="395">
        <f>'Collection Worksheet'!F223</f>
        <v>0</v>
      </c>
      <c r="F169" s="384" t="str">
        <f>IF(L169=0,"Must be completed if unit levys taxes","")</f>
        <v>Must be completed if unit levys taxes</v>
      </c>
      <c r="G169" s="338"/>
      <c r="H169" s="244"/>
      <c r="I169" s="231"/>
      <c r="J169" s="238">
        <v>530</v>
      </c>
      <c r="K169" s="331" t="s">
        <v>353</v>
      </c>
      <c r="L169" s="249">
        <f t="shared" si="11"/>
        <v>0</v>
      </c>
      <c r="P169" s="390"/>
      <c r="Q169" s="400">
        <f>IF(L171-H171&lt;&gt;0,1,)</f>
        <v>0</v>
      </c>
      <c r="R169" s="545" t="b">
        <f t="shared" si="13"/>
        <v>1</v>
      </c>
      <c r="W169" s="390" t="b">
        <f t="shared" si="16"/>
        <v>1</v>
      </c>
      <c r="X169" s="691">
        <f t="shared" si="15"/>
        <v>0</v>
      </c>
    </row>
    <row r="170" spans="1:24" ht="87.75" customHeight="1" x14ac:dyDescent="0.25">
      <c r="A170" s="269">
        <f>'Collection Worksheet'!A224</f>
        <v>531</v>
      </c>
      <c r="B170" s="280" t="str">
        <f>'Collection Worksheet'!C224</f>
        <v>Analysis of Current Tax Levy Schedule</v>
      </c>
      <c r="C170" s="288" t="str">
        <f>'Collection Worksheet'!D224</f>
        <v>Uncollected Taxes - Curr Year's Levy Motor Vehicles
Exclude supplemental taxes</v>
      </c>
      <c r="D170" s="396"/>
      <c r="E170" s="395">
        <f>'Collection Worksheet'!F224</f>
        <v>0</v>
      </c>
      <c r="F170" s="384" t="str">
        <f>IF(L170=0,"Must be completed if unit levys taxes","")</f>
        <v>Must be completed if unit levys taxes</v>
      </c>
      <c r="G170" s="338"/>
      <c r="H170" s="244"/>
      <c r="I170" s="231"/>
      <c r="J170" s="238">
        <v>531</v>
      </c>
      <c r="K170" s="331" t="s">
        <v>354</v>
      </c>
      <c r="L170" s="249">
        <f t="shared" si="11"/>
        <v>0</v>
      </c>
      <c r="P170" s="390"/>
      <c r="Q170" s="400">
        <f>IF(L172-H172&lt;&gt;0,1,)</f>
        <v>0</v>
      </c>
      <c r="R170" s="545" t="b">
        <f t="shared" si="13"/>
        <v>1</v>
      </c>
      <c r="W170" s="390" t="b">
        <f t="shared" si="16"/>
        <v>1</v>
      </c>
      <c r="X170" s="691">
        <f t="shared" si="15"/>
        <v>0</v>
      </c>
    </row>
    <row r="171" spans="1:24" ht="86.25" customHeight="1" x14ac:dyDescent="0.25">
      <c r="A171" s="269">
        <f>'Collection Worksheet'!A225</f>
        <v>61</v>
      </c>
      <c r="B171" s="280" t="str">
        <f>'Collection Worksheet'!C225</f>
        <v>Analysis of Current Tax Levy Schedule</v>
      </c>
      <c r="C171" s="288" t="str">
        <f>'Collection Worksheet'!D225</f>
        <v>Tax collection rate- Total Levy UNIT-WIDE
Exclude supplemental taxes
(Enter as a percentage with two decimal places)</v>
      </c>
      <c r="D171" s="402"/>
      <c r="E171" s="366">
        <f>'Collection Worksheet'!F225</f>
        <v>0</v>
      </c>
      <c r="F171" s="394" t="str">
        <f>IF(L171=H171,"","Column H calculates the percentage using accounts 528, 529, 530, 531, please enter the correct amounts from the audit schedule for these cells")</f>
        <v/>
      </c>
      <c r="G171" s="399" t="str">
        <f>IF(Q169=1," Included in error count"," ")</f>
        <v xml:space="preserve"> </v>
      </c>
      <c r="H171" s="399">
        <f>ROUND(IFERROR(((L167+L168)-(L169+L170))/(L167+L168)*100,0),2)</f>
        <v>0</v>
      </c>
      <c r="I171" s="231"/>
      <c r="J171" s="238">
        <v>61</v>
      </c>
      <c r="K171" s="332" t="s">
        <v>348</v>
      </c>
      <c r="L171" s="370">
        <f t="shared" si="11"/>
        <v>0</v>
      </c>
      <c r="P171" s="390"/>
      <c r="Q171" s="400">
        <f>IF(L173-H173&lt;&gt;0,1,)</f>
        <v>0</v>
      </c>
      <c r="R171" s="545" t="b">
        <f t="shared" si="13"/>
        <v>1</v>
      </c>
      <c r="W171" s="390" t="b">
        <f t="shared" si="16"/>
        <v>1</v>
      </c>
      <c r="X171" s="691">
        <f t="shared" si="15"/>
        <v>0</v>
      </c>
    </row>
    <row r="172" spans="1:24" ht="89.25" customHeight="1" x14ac:dyDescent="0.25">
      <c r="A172" s="269">
        <f>'Collection Worksheet'!A226</f>
        <v>102</v>
      </c>
      <c r="B172" s="280" t="str">
        <f>'Collection Worksheet'!C226</f>
        <v>Analysis of Current Tax Levy Schedule</v>
      </c>
      <c r="C172" s="288" t="str">
        <f>'Collection Worksheet'!D226</f>
        <v>Tax collection rate - Excluding Registered motor vehicles
Exclude supplemental taxes
(Enter as a percentage with two decimal places)</v>
      </c>
      <c r="D172" s="402"/>
      <c r="E172" s="366">
        <f>'Collection Worksheet'!F226</f>
        <v>0</v>
      </c>
      <c r="F172" s="394" t="str">
        <f>IF(L172=H172,"","Column H calculates the percentage using accounts 528 and 530,  please enter the correct amounts from the audit schedule for these cells")</f>
        <v/>
      </c>
      <c r="G172" s="399" t="str">
        <f>IF(Q170=1," Included in error count"," ")</f>
        <v xml:space="preserve"> </v>
      </c>
      <c r="H172" s="399">
        <f>ROUND(IFERROR(((L167)-(L169))/(L167)*100,0),2)</f>
        <v>0</v>
      </c>
      <c r="I172" s="231"/>
      <c r="J172" s="238">
        <v>102</v>
      </c>
      <c r="K172" s="333" t="s">
        <v>349</v>
      </c>
      <c r="L172" s="370">
        <f t="shared" si="11"/>
        <v>0</v>
      </c>
      <c r="N172" s="299" t="s">
        <v>427</v>
      </c>
      <c r="P172" s="390"/>
      <c r="R172" s="545" t="b">
        <f t="shared" si="13"/>
        <v>1</v>
      </c>
      <c r="W172" s="390" t="b">
        <f t="shared" si="16"/>
        <v>1</v>
      </c>
      <c r="X172" s="691">
        <f t="shared" si="15"/>
        <v>0</v>
      </c>
    </row>
    <row r="173" spans="1:24" ht="96.75" customHeight="1" x14ac:dyDescent="0.25">
      <c r="A173" s="269">
        <f>'Collection Worksheet'!A227</f>
        <v>103</v>
      </c>
      <c r="B173" s="280" t="str">
        <f>'Collection Worksheet'!C227</f>
        <v>Analysis of Current Tax Levy Schedule</v>
      </c>
      <c r="C173" s="288" t="str">
        <f>'Collection Worksheet'!D227</f>
        <v>Tax collection rate - Registered motor vehicles
Exclude supplemental taxes
(Enter as a percentage with two decimal places)</v>
      </c>
      <c r="D173" s="402"/>
      <c r="E173" s="366">
        <f>'Collection Worksheet'!F227</f>
        <v>0</v>
      </c>
      <c r="F173" s="394" t="str">
        <f>IF(L173=H173,"","Column H calculates the percentage using accounts 529 and 531, please enter the correct amounts from the audit schedule for these cells")</f>
        <v/>
      </c>
      <c r="G173" s="399" t="str">
        <f>IF(Q171=1," Included in error count"," ")</f>
        <v xml:space="preserve"> </v>
      </c>
      <c r="H173" s="399">
        <f>ROUND(IFERROR(((L168)-(L170))/(L168)*100,0),2)</f>
        <v>0</v>
      </c>
      <c r="I173" s="231"/>
      <c r="J173" s="238">
        <v>103</v>
      </c>
      <c r="K173" s="333" t="s">
        <v>350</v>
      </c>
      <c r="L173" s="370">
        <f t="shared" si="11"/>
        <v>0</v>
      </c>
      <c r="N173" s="299" t="s">
        <v>427</v>
      </c>
      <c r="P173" s="390"/>
      <c r="R173" s="545" t="b">
        <f t="shared" si="13"/>
        <v>1</v>
      </c>
      <c r="W173" s="390" t="b">
        <f t="shared" si="16"/>
        <v>1</v>
      </c>
      <c r="X173" s="691">
        <f t="shared" si="15"/>
        <v>0</v>
      </c>
    </row>
    <row r="174" spans="1:24" s="390" customFormat="1" ht="96.75" customHeight="1" x14ac:dyDescent="0.25">
      <c r="A174" s="269">
        <f>'Collection Worksheet'!A228</f>
        <v>544</v>
      </c>
      <c r="B174" s="280" t="str">
        <f>'Collection Worksheet'!C228</f>
        <v>Analysis of Current Tax Levy Schedule</v>
      </c>
      <c r="C174" s="288" t="str">
        <f>'Collection Worksheet'!D228</f>
        <v>Property Tax Increase for Year Audited- enter amount of  increase in cents per $100 - leave blank if no increase 
Exclude supplemental taxes</v>
      </c>
      <c r="D174" s="396"/>
      <c r="E174" s="248">
        <f>'Collection Worksheet'!F228</f>
        <v>0</v>
      </c>
      <c r="F174" s="248"/>
      <c r="G174" s="338"/>
      <c r="H174" s="244">
        <f>'Collection Worksheet'!I228</f>
        <v>0</v>
      </c>
      <c r="I174" s="231"/>
      <c r="J174" s="238">
        <v>544</v>
      </c>
      <c r="K174" s="333" t="s">
        <v>72</v>
      </c>
      <c r="L174" s="371">
        <f t="shared" si="11"/>
        <v>0</v>
      </c>
      <c r="N174" s="299"/>
      <c r="Q174" s="400"/>
      <c r="R174" s="545" t="b">
        <f t="shared" si="13"/>
        <v>1</v>
      </c>
      <c r="X174" s="691">
        <f t="shared" si="15"/>
        <v>0</v>
      </c>
    </row>
    <row r="175" spans="1:24" s="268" customFormat="1" ht="75" x14ac:dyDescent="0.25">
      <c r="A175" s="269">
        <f>'Collection Worksheet'!A229</f>
        <v>545</v>
      </c>
      <c r="B175" s="280" t="str">
        <f>'Collection Worksheet'!C229</f>
        <v>Analysis of Current Tax Levy Schedule</v>
      </c>
      <c r="C175" s="288" t="str">
        <f>'Collection Worksheet'!D229</f>
        <v>Property Tax Increase for budget year after fiscal year being reported - enter amount of increase in cents per $100- leave blank if no increase
Exclude supplemental taxes</v>
      </c>
      <c r="D175" s="396"/>
      <c r="E175" s="248">
        <f>'Collection Worksheet'!F229</f>
        <v>0</v>
      </c>
      <c r="F175" s="253"/>
      <c r="G175" s="338"/>
      <c r="H175" s="244">
        <f>'Collection Worksheet'!I229</f>
        <v>0</v>
      </c>
      <c r="I175" s="231"/>
      <c r="J175" s="426">
        <v>545</v>
      </c>
      <c r="K175" s="333" t="s">
        <v>73</v>
      </c>
      <c r="L175" s="371">
        <f t="shared" si="11"/>
        <v>0</v>
      </c>
      <c r="Q175" s="400"/>
      <c r="R175" s="545" t="b">
        <f t="shared" si="13"/>
        <v>1</v>
      </c>
      <c r="W175" s="390"/>
      <c r="X175" s="691">
        <f t="shared" si="15"/>
        <v>0</v>
      </c>
    </row>
    <row r="176" spans="1:24" s="533" customFormat="1" ht="60" customHeight="1" x14ac:dyDescent="0.25">
      <c r="A176" s="429">
        <f>'Collection Worksheet'!A230</f>
        <v>624</v>
      </c>
      <c r="B176" s="521"/>
      <c r="C176" s="432" t="str">
        <f>'Collection Worksheet'!D230</f>
        <v>Does the County collect real estate property taxes on your behalf? Select "1" for "yes and "2" for "No"</v>
      </c>
      <c r="D176" s="396"/>
      <c r="E176" s="248">
        <f>'Collection Worksheet'!F230</f>
        <v>0</v>
      </c>
      <c r="F176" s="455"/>
      <c r="G176" s="441"/>
      <c r="H176" s="525"/>
      <c r="I176" s="231"/>
      <c r="J176" s="430">
        <v>624</v>
      </c>
      <c r="K176" s="522" t="s">
        <v>548</v>
      </c>
      <c r="L176" s="248">
        <f>IF(D176="",E176,D176)</f>
        <v>0</v>
      </c>
      <c r="Q176" s="400"/>
      <c r="R176" s="545" t="b">
        <f t="shared" si="13"/>
        <v>1</v>
      </c>
      <c r="X176" s="691">
        <f t="shared" si="15"/>
        <v>0</v>
      </c>
    </row>
    <row r="177" spans="1:24" s="268" customFormat="1" ht="153.75" customHeight="1" x14ac:dyDescent="0.25">
      <c r="A177" s="408">
        <f>'Collection Worksheet'!A232</f>
        <v>620</v>
      </c>
      <c r="B177" s="409"/>
      <c r="C177" s="407" t="str">
        <f>'Collection Worksheet'!D232</f>
        <v>Do you expect to issue debt requiring LGC approval within 12 months from the date that the audit is submitted - select "1" for yes and "2" for no</v>
      </c>
      <c r="D177" s="396"/>
      <c r="E177" s="248">
        <f>'Collection Worksheet'!F232</f>
        <v>0</v>
      </c>
      <c r="F177" s="403"/>
      <c r="G177" s="399"/>
      <c r="H177" s="244">
        <f>'Collection Worksheet'!I232</f>
        <v>0</v>
      </c>
      <c r="I177" s="231"/>
      <c r="J177" s="426">
        <v>620</v>
      </c>
      <c r="K177" s="333" t="s">
        <v>522</v>
      </c>
      <c r="L177" s="248">
        <f t="shared" si="11"/>
        <v>0</v>
      </c>
      <c r="N177" s="3"/>
      <c r="Q177" s="400"/>
      <c r="R177" s="545" t="b">
        <f t="shared" si="13"/>
        <v>1</v>
      </c>
      <c r="W177" s="390"/>
      <c r="X177" s="691">
        <f t="shared" si="15"/>
        <v>0</v>
      </c>
    </row>
    <row r="178" spans="1:24" ht="199.5" x14ac:dyDescent="0.25">
      <c r="A178" s="408"/>
      <c r="B178" s="282"/>
      <c r="C178" s="407"/>
      <c r="D178" s="403"/>
      <c r="E178" s="403"/>
      <c r="F178" s="403"/>
      <c r="G178" s="399"/>
      <c r="H178" s="243"/>
      <c r="I178" s="231"/>
      <c r="J178" s="426" t="s">
        <v>508</v>
      </c>
      <c r="K178" s="333" t="s">
        <v>509</v>
      </c>
      <c r="L178" s="506"/>
      <c r="N178" s="3"/>
      <c r="P178" s="268"/>
      <c r="R178" s="545" t="b">
        <f t="shared" si="13"/>
        <v>0</v>
      </c>
      <c r="W178" s="390"/>
      <c r="X178" s="691">
        <f t="shared" si="15"/>
        <v>0</v>
      </c>
    </row>
    <row r="179" spans="1:24" ht="138.75" customHeight="1" x14ac:dyDescent="0.25">
      <c r="A179" s="444"/>
      <c r="B179" s="445"/>
      <c r="C179" s="446"/>
      <c r="D179" s="247"/>
      <c r="E179" s="265"/>
      <c r="F179" s="265"/>
      <c r="G179" s="340"/>
      <c r="H179" s="242"/>
      <c r="I179" s="231"/>
      <c r="J179" s="430">
        <v>625</v>
      </c>
      <c r="K179" s="450" t="s">
        <v>537</v>
      </c>
      <c r="L179" s="460"/>
      <c r="N179" s="3"/>
      <c r="P179" s="268"/>
      <c r="R179" s="545" t="b">
        <f t="shared" si="13"/>
        <v>0</v>
      </c>
      <c r="W179" s="390"/>
      <c r="X179" s="691">
        <f t="shared" si="15"/>
        <v>0</v>
      </c>
    </row>
    <row r="180" spans="1:24" ht="66" customHeight="1" x14ac:dyDescent="0.25">
      <c r="A180" s="444"/>
      <c r="B180" s="445"/>
      <c r="C180" s="446"/>
      <c r="D180" s="247"/>
      <c r="E180" s="265"/>
      <c r="F180" s="265"/>
      <c r="G180" s="340"/>
      <c r="H180" s="242"/>
      <c r="I180" s="231"/>
      <c r="J180" s="426" t="s">
        <v>510</v>
      </c>
      <c r="K180" s="505" t="s">
        <v>1006</v>
      </c>
      <c r="L180" s="506"/>
      <c r="N180" s="507"/>
      <c r="P180" s="268"/>
      <c r="R180" s="545" t="b">
        <f t="shared" si="13"/>
        <v>0</v>
      </c>
      <c r="W180" s="390"/>
      <c r="X180" s="691">
        <f t="shared" si="15"/>
        <v>0</v>
      </c>
    </row>
    <row r="181" spans="1:24" ht="30" x14ac:dyDescent="0.25">
      <c r="A181" s="444"/>
      <c r="B181" s="445"/>
      <c r="C181" s="446"/>
      <c r="D181" s="247"/>
      <c r="E181" s="265"/>
      <c r="F181" s="265"/>
      <c r="G181" s="340"/>
      <c r="H181" s="242"/>
      <c r="I181" s="231"/>
      <c r="J181" s="234" t="s">
        <v>394</v>
      </c>
      <c r="K181" s="228" t="s">
        <v>369</v>
      </c>
      <c r="L181" s="353" t="e">
        <f>HLOOKUP('Collection Worksheet'!$D$2,'2018 Data'!$C$1:$CF$284,244,FALSE)</f>
        <v>#N/A</v>
      </c>
      <c r="N181" s="507"/>
      <c r="R181" s="545" t="b">
        <f t="shared" si="13"/>
        <v>0</v>
      </c>
      <c r="W181" s="390"/>
      <c r="X181" s="691" t="e">
        <f t="shared" si="15"/>
        <v>#N/A</v>
      </c>
    </row>
    <row r="182" spans="1:24" ht="30" x14ac:dyDescent="0.25">
      <c r="A182" s="447"/>
      <c r="B182" s="448"/>
      <c r="C182" s="449"/>
      <c r="D182" s="258"/>
      <c r="E182" s="246"/>
      <c r="F182" s="246"/>
      <c r="G182" s="341"/>
      <c r="H182" s="241"/>
      <c r="I182" s="231"/>
      <c r="J182" s="234" t="s">
        <v>395</v>
      </c>
      <c r="K182" s="228" t="s">
        <v>370</v>
      </c>
      <c r="L182" s="419" t="e">
        <f>HLOOKUP('Collection Worksheet'!$D$2,'2018 Data'!$C$1:$CF$284,245,FALSE)</f>
        <v>#N/A</v>
      </c>
      <c r="N182" s="507"/>
      <c r="R182" s="545" t="b">
        <f t="shared" si="13"/>
        <v>0</v>
      </c>
      <c r="W182" s="390"/>
      <c r="X182" s="691" t="e">
        <f t="shared" si="15"/>
        <v>#N/A</v>
      </c>
    </row>
    <row r="183" spans="1:24" x14ac:dyDescent="0.25">
      <c r="A183" s="23"/>
      <c r="B183" s="283"/>
      <c r="C183" s="276"/>
      <c r="D183" s="34"/>
      <c r="E183" s="30"/>
      <c r="F183" s="30"/>
      <c r="G183" s="342"/>
      <c r="H183" s="30"/>
      <c r="I183" s="231"/>
      <c r="J183" s="234" t="s">
        <v>396</v>
      </c>
      <c r="K183" s="228" t="s">
        <v>371</v>
      </c>
      <c r="L183" s="420" t="e">
        <f>HLOOKUP('Collection Worksheet'!$D$2,'2018 Data'!$C$1:$CF$284,247,FALSE)</f>
        <v>#N/A</v>
      </c>
      <c r="N183" s="507"/>
      <c r="R183" s="545" t="b">
        <f t="shared" si="13"/>
        <v>0</v>
      </c>
      <c r="W183" s="390"/>
      <c r="X183" s="691" t="e">
        <f t="shared" si="15"/>
        <v>#N/A</v>
      </c>
    </row>
    <row r="184" spans="1:24" ht="14.25" customHeight="1" x14ac:dyDescent="0.25">
      <c r="D184" s="34"/>
      <c r="E184" s="30"/>
      <c r="F184" s="30"/>
      <c r="G184" s="342"/>
      <c r="H184" s="30"/>
      <c r="I184" s="231"/>
      <c r="J184" s="233" t="s">
        <v>397</v>
      </c>
      <c r="K184" s="245" t="s">
        <v>372</v>
      </c>
      <c r="L184" s="420" t="e">
        <f>HLOOKUP('Collection Worksheet'!$D$2,'2018 Data'!$C$1:$CF$284,248,FALSE)</f>
        <v>#N/A</v>
      </c>
      <c r="Q184" s="387"/>
      <c r="R184" s="545" t="b">
        <f t="shared" si="13"/>
        <v>0</v>
      </c>
      <c r="W184" s="390"/>
      <c r="X184" s="691" t="e">
        <f t="shared" si="15"/>
        <v>#N/A</v>
      </c>
    </row>
    <row r="185" spans="1:24" x14ac:dyDescent="0.25">
      <c r="A185" s="523" t="s">
        <v>547</v>
      </c>
      <c r="B185" s="524"/>
      <c r="D185" s="34"/>
      <c r="E185" s="30"/>
      <c r="F185" s="30"/>
      <c r="G185" s="342"/>
      <c r="H185" s="30"/>
      <c r="I185" s="231"/>
      <c r="K185" s="54"/>
      <c r="L185" s="309"/>
      <c r="R185" s="545" t="b">
        <f t="shared" si="13"/>
        <v>0</v>
      </c>
      <c r="X185" s="691">
        <f t="shared" si="15"/>
        <v>0</v>
      </c>
    </row>
    <row r="186" spans="1:24" ht="96" x14ac:dyDescent="0.55000000000000004">
      <c r="A186" s="512">
        <f>'Collection Worksheet'!A63</f>
        <v>590</v>
      </c>
      <c r="B186" s="269" t="str">
        <f>'Collection Worksheet'!B63</f>
        <v>Fiscal Review</v>
      </c>
      <c r="C186" s="369" t="str">
        <f>'Collection Worksheet'!D63</f>
        <v>If you appropriated General Fund Balance in your 2018 budget and your "change in fund balance": (row 62 above) is negative, please select from the drop down box in column F either "operations" or "capital", whichever best describes what the fund balance was used for.  If you select "Capital" please briefly describe in column G to the right the capital items.</v>
      </c>
      <c r="D186" s="368"/>
      <c r="E186" s="248">
        <f>'Collection Worksheet'!F63</f>
        <v>0</v>
      </c>
      <c r="F186" s="368"/>
      <c r="G186" s="342"/>
      <c r="H186" s="30"/>
      <c r="I186" s="231"/>
      <c r="J186" s="346" t="e">
        <f>SUM(Q4:Q183)</f>
        <v>#N/A</v>
      </c>
      <c r="K186" s="344" t="s">
        <v>445</v>
      </c>
      <c r="L186" s="425" t="e">
        <f>SUM(G5:G175)</f>
        <v>#N/A</v>
      </c>
      <c r="R186" s="390"/>
    </row>
    <row r="187" spans="1:24" ht="78.75" customHeight="1" x14ac:dyDescent="0.25">
      <c r="A187" s="536">
        <f>'Collection Worksheet'!A186</f>
        <v>623</v>
      </c>
      <c r="B187" s="429"/>
      <c r="C187" s="530" t="str">
        <f>'Collection Worksheet'!D186</f>
        <v>Please provide the name of any additional agencies included in the above net pension liability</v>
      </c>
      <c r="D187" s="528"/>
      <c r="E187" s="248">
        <f>'Collection Worksheet'!F186</f>
        <v>0</v>
      </c>
      <c r="F187" s="30"/>
      <c r="G187" s="342"/>
      <c r="H187" s="30"/>
      <c r="I187" s="231"/>
      <c r="K187" s="54"/>
      <c r="L187" s="309"/>
      <c r="R187" s="390"/>
    </row>
    <row r="188" spans="1:24" ht="66.75" customHeight="1" x14ac:dyDescent="0.25">
      <c r="A188"/>
      <c r="B188"/>
      <c r="C188"/>
      <c r="D188"/>
      <c r="E188"/>
      <c r="F188"/>
      <c r="G188" s="342"/>
      <c r="H188" s="30"/>
      <c r="I188" s="231"/>
      <c r="J188"/>
      <c r="K188"/>
      <c r="L188"/>
    </row>
    <row r="189" spans="1:24" ht="60" customHeight="1" x14ac:dyDescent="0.25">
      <c r="A189"/>
      <c r="B189"/>
      <c r="C189"/>
      <c r="D189"/>
      <c r="E189"/>
      <c r="F189"/>
      <c r="G189" s="342"/>
      <c r="H189" s="30"/>
      <c r="I189" s="231"/>
      <c r="J189"/>
      <c r="K189"/>
      <c r="L189"/>
    </row>
    <row r="190" spans="1:24" ht="66.75" customHeight="1" x14ac:dyDescent="0.25">
      <c r="A190"/>
      <c r="B190"/>
      <c r="C190"/>
      <c r="D190"/>
      <c r="E190"/>
      <c r="F190"/>
      <c r="G190" s="342"/>
      <c r="H190" s="30"/>
      <c r="I190" s="231"/>
      <c r="J190"/>
      <c r="K190"/>
      <c r="L190"/>
    </row>
    <row r="191" spans="1:24" ht="79.5" customHeight="1" x14ac:dyDescent="0.25">
      <c r="A191"/>
      <c r="B191"/>
      <c r="C191"/>
      <c r="D191"/>
      <c r="E191"/>
      <c r="F191"/>
      <c r="G191" s="342"/>
      <c r="H191" s="30"/>
      <c r="I191" s="231"/>
      <c r="J191"/>
      <c r="K191"/>
      <c r="L191"/>
    </row>
    <row r="192" spans="1:24" ht="88.5" customHeight="1" x14ac:dyDescent="0.25">
      <c r="A192"/>
      <c r="B192"/>
      <c r="C192"/>
      <c r="D192"/>
      <c r="E192"/>
      <c r="F192"/>
      <c r="G192" s="342"/>
      <c r="H192" s="30"/>
      <c r="I192" s="231"/>
      <c r="K192" s="54"/>
      <c r="L192" s="309"/>
    </row>
    <row r="193" spans="1:12" x14ac:dyDescent="0.25">
      <c r="A193" s="23"/>
      <c r="B193" s="283"/>
      <c r="C193" s="276"/>
      <c r="D193" s="34"/>
      <c r="E193" s="30"/>
      <c r="F193" s="30"/>
      <c r="G193" s="342"/>
      <c r="H193" s="30"/>
      <c r="I193" s="231"/>
      <c r="K193" s="54"/>
      <c r="L193" s="309"/>
    </row>
    <row r="194" spans="1:12" x14ac:dyDescent="0.25">
      <c r="A194" s="23"/>
      <c r="B194" s="283"/>
      <c r="C194" s="286"/>
      <c r="D194" s="287"/>
      <c r="E194" s="287"/>
      <c r="F194" s="526"/>
      <c r="G194" s="342"/>
      <c r="H194" s="30"/>
      <c r="I194" s="231"/>
      <c r="K194" s="54"/>
      <c r="L194" s="309"/>
    </row>
    <row r="195" spans="1:12" x14ac:dyDescent="0.25">
      <c r="D195" s="35"/>
      <c r="G195" s="342"/>
      <c r="H195" s="30"/>
      <c r="I195" s="231"/>
      <c r="K195" s="54"/>
      <c r="L195" s="309"/>
    </row>
    <row r="196" spans="1:12" x14ac:dyDescent="0.25">
      <c r="D196" s="35"/>
      <c r="G196" s="343"/>
      <c r="H196" s="30"/>
      <c r="I196" s="231"/>
      <c r="K196" s="54"/>
      <c r="L196" s="309"/>
    </row>
    <row r="197" spans="1:12" x14ac:dyDescent="0.25">
      <c r="A197" s="23"/>
      <c r="B197" s="283"/>
      <c r="C197" s="276"/>
      <c r="D197" s="35"/>
    </row>
    <row r="198" spans="1:12" x14ac:dyDescent="0.25">
      <c r="A198" s="23"/>
      <c r="B198" s="283"/>
      <c r="C198" s="276"/>
      <c r="D198" s="35"/>
    </row>
    <row r="199" spans="1:12" x14ac:dyDescent="0.25">
      <c r="A199" s="23"/>
      <c r="B199" s="283"/>
      <c r="C199" s="276"/>
      <c r="D199" s="35"/>
    </row>
    <row r="200" spans="1:12" x14ac:dyDescent="0.25">
      <c r="D200" s="35"/>
    </row>
    <row r="201" spans="1:12" x14ac:dyDescent="0.25">
      <c r="D201" s="35"/>
    </row>
    <row r="202" spans="1:12" x14ac:dyDescent="0.25">
      <c r="D202" s="35"/>
    </row>
    <row r="203" spans="1:12" x14ac:dyDescent="0.25">
      <c r="D203" s="35"/>
    </row>
    <row r="204" spans="1:12" x14ac:dyDescent="0.25">
      <c r="A204" s="23"/>
      <c r="B204" s="283"/>
      <c r="C204" s="276"/>
      <c r="D204" s="35"/>
    </row>
    <row r="205" spans="1:12" x14ac:dyDescent="0.25">
      <c r="A205" s="23"/>
      <c r="B205" s="283"/>
      <c r="C205" s="276"/>
      <c r="D205" s="35"/>
    </row>
    <row r="206" spans="1:12" x14ac:dyDescent="0.25">
      <c r="D206" s="35"/>
    </row>
    <row r="207" spans="1:12" x14ac:dyDescent="0.25">
      <c r="D207" s="35"/>
    </row>
    <row r="208" spans="1:12" x14ac:dyDescent="0.25">
      <c r="D208" s="35"/>
    </row>
    <row r="209" spans="1:4" x14ac:dyDescent="0.25">
      <c r="D209" s="35"/>
    </row>
    <row r="210" spans="1:4" x14ac:dyDescent="0.25">
      <c r="A210" s="23"/>
      <c r="B210" s="283"/>
      <c r="C210" s="276"/>
      <c r="D210" s="35"/>
    </row>
    <row r="211" spans="1:4" x14ac:dyDescent="0.25">
      <c r="A211" s="23"/>
      <c r="B211" s="283"/>
      <c r="C211" s="276"/>
      <c r="D211" s="35"/>
    </row>
    <row r="212" spans="1:4" x14ac:dyDescent="0.25">
      <c r="D212" s="35"/>
    </row>
    <row r="213" spans="1:4" x14ac:dyDescent="0.25">
      <c r="D213" s="35"/>
    </row>
    <row r="214" spans="1:4" x14ac:dyDescent="0.25">
      <c r="D214" s="35"/>
    </row>
    <row r="215" spans="1:4" x14ac:dyDescent="0.25">
      <c r="D215" s="35"/>
    </row>
    <row r="216" spans="1:4" x14ac:dyDescent="0.25">
      <c r="A216" s="23"/>
      <c r="B216" s="283"/>
      <c r="C216" s="276"/>
      <c r="D216" s="35"/>
    </row>
    <row r="217" spans="1:4" x14ac:dyDescent="0.25">
      <c r="A217" s="23"/>
      <c r="B217" s="283"/>
      <c r="C217" s="276"/>
      <c r="D217" s="35"/>
    </row>
    <row r="218" spans="1:4" x14ac:dyDescent="0.25">
      <c r="A218" s="23"/>
      <c r="B218" s="283"/>
      <c r="C218" s="276"/>
      <c r="D218" s="35"/>
    </row>
    <row r="219" spans="1:4" x14ac:dyDescent="0.25">
      <c r="A219" s="23"/>
      <c r="B219" s="283"/>
      <c r="C219" s="276"/>
      <c r="D219" s="35"/>
    </row>
    <row r="220" spans="1:4" x14ac:dyDescent="0.25">
      <c r="D220" s="35"/>
    </row>
    <row r="221" spans="1:4" x14ac:dyDescent="0.25">
      <c r="D221" s="35"/>
    </row>
    <row r="222" spans="1:4" x14ac:dyDescent="0.25">
      <c r="D222" s="35"/>
    </row>
    <row r="223" spans="1:4" x14ac:dyDescent="0.25">
      <c r="A223" s="23"/>
      <c r="B223" s="283"/>
      <c r="C223" s="276"/>
      <c r="D223" s="35"/>
    </row>
    <row r="224" spans="1:4" x14ac:dyDescent="0.25">
      <c r="A224" s="23"/>
      <c r="B224" s="283"/>
      <c r="C224" s="276"/>
      <c r="D224" s="35"/>
    </row>
    <row r="225" spans="1:4" x14ac:dyDescent="0.25">
      <c r="A225" s="23"/>
      <c r="B225" s="283"/>
      <c r="C225" s="276"/>
      <c r="D225" s="35"/>
    </row>
    <row r="226" spans="1:4" x14ac:dyDescent="0.25">
      <c r="A226" s="23"/>
      <c r="B226" s="283"/>
      <c r="C226" s="276"/>
      <c r="D226" s="35"/>
    </row>
    <row r="227" spans="1:4" x14ac:dyDescent="0.25">
      <c r="A227" s="23"/>
      <c r="B227" s="283"/>
      <c r="C227" s="276"/>
      <c r="D227" s="35"/>
    </row>
    <row r="228" spans="1:4" x14ac:dyDescent="0.25">
      <c r="A228" s="23"/>
      <c r="B228" s="283"/>
      <c r="C228" s="276"/>
      <c r="D228" s="35"/>
    </row>
    <row r="229" spans="1:4" x14ac:dyDescent="0.25">
      <c r="A229" s="23"/>
      <c r="B229" s="283"/>
      <c r="C229" s="276"/>
      <c r="D229" s="35"/>
    </row>
    <row r="230" spans="1:4" x14ac:dyDescent="0.25">
      <c r="A230" s="23"/>
      <c r="B230" s="283"/>
      <c r="C230" s="276"/>
      <c r="D230" s="35"/>
    </row>
    <row r="231" spans="1:4" x14ac:dyDescent="0.25">
      <c r="A231" s="23"/>
      <c r="B231" s="283"/>
      <c r="C231" s="276"/>
      <c r="D231" s="35"/>
    </row>
    <row r="232" spans="1:4" x14ac:dyDescent="0.25">
      <c r="A232" s="23"/>
      <c r="B232" s="283"/>
      <c r="C232" s="276"/>
      <c r="D232" s="35"/>
    </row>
    <row r="233" spans="1:4" x14ac:dyDescent="0.25">
      <c r="A233" s="23"/>
      <c r="B233" s="283"/>
      <c r="C233" s="276"/>
      <c r="D233" s="35"/>
    </row>
    <row r="234" spans="1:4" x14ac:dyDescent="0.25">
      <c r="A234" s="23"/>
      <c r="B234" s="283"/>
      <c r="C234" s="276"/>
      <c r="D234" s="35"/>
    </row>
    <row r="235" spans="1:4" x14ac:dyDescent="0.25">
      <c r="A235" s="23"/>
      <c r="B235" s="283"/>
      <c r="C235" s="276"/>
      <c r="D235" s="35"/>
    </row>
    <row r="236" spans="1:4" x14ac:dyDescent="0.25">
      <c r="A236" s="23"/>
      <c r="B236" s="283"/>
      <c r="C236" s="276"/>
      <c r="D236" s="35"/>
    </row>
    <row r="237" spans="1:4" x14ac:dyDescent="0.25">
      <c r="A237" s="23"/>
      <c r="B237" s="283"/>
      <c r="C237" s="276"/>
      <c r="D237" s="35"/>
    </row>
    <row r="238" spans="1:4" x14ac:dyDescent="0.25">
      <c r="A238" s="23"/>
      <c r="B238" s="283"/>
      <c r="C238" s="276"/>
      <c r="D238" s="35"/>
    </row>
    <row r="239" spans="1:4" x14ac:dyDescent="0.25">
      <c r="A239" s="23"/>
      <c r="B239" s="283"/>
      <c r="C239" s="276"/>
      <c r="D239" s="35"/>
    </row>
    <row r="240" spans="1:4" x14ac:dyDescent="0.25">
      <c r="A240" s="23"/>
      <c r="B240" s="283"/>
      <c r="C240" s="276"/>
      <c r="D240" s="35"/>
    </row>
    <row r="241" spans="1:4" x14ac:dyDescent="0.25">
      <c r="A241" s="23"/>
      <c r="B241" s="283"/>
      <c r="C241" s="276"/>
      <c r="D241" s="35"/>
    </row>
    <row r="242" spans="1:4" x14ac:dyDescent="0.25">
      <c r="A242" s="23"/>
      <c r="B242" s="283"/>
      <c r="C242" s="276"/>
      <c r="D242" s="35"/>
    </row>
    <row r="243" spans="1:4" x14ac:dyDescent="0.25">
      <c r="A243" s="23"/>
      <c r="B243" s="283"/>
      <c r="C243" s="276"/>
      <c r="D243" s="35"/>
    </row>
    <row r="244" spans="1:4" x14ac:dyDescent="0.25">
      <c r="A244" s="23"/>
      <c r="B244" s="283"/>
      <c r="C244" s="276"/>
      <c r="D244" s="35"/>
    </row>
    <row r="245" spans="1:4" x14ac:dyDescent="0.25">
      <c r="A245" s="23"/>
      <c r="B245" s="283"/>
      <c r="C245" s="276"/>
      <c r="D245" s="35"/>
    </row>
    <row r="246" spans="1:4" x14ac:dyDescent="0.25">
      <c r="A246" s="23"/>
      <c r="B246" s="283"/>
      <c r="C246" s="276"/>
      <c r="D246" s="35"/>
    </row>
    <row r="247" spans="1:4" x14ac:dyDescent="0.25">
      <c r="A247" s="23"/>
      <c r="B247" s="283"/>
      <c r="C247" s="276"/>
      <c r="D247" s="35"/>
    </row>
    <row r="248" spans="1:4" x14ac:dyDescent="0.25">
      <c r="A248" s="23"/>
      <c r="B248" s="283"/>
      <c r="C248" s="276"/>
      <c r="D248" s="35"/>
    </row>
    <row r="249" spans="1:4" x14ac:dyDescent="0.25">
      <c r="A249" s="23"/>
      <c r="B249" s="283"/>
      <c r="C249" s="276"/>
      <c r="D249" s="35"/>
    </row>
    <row r="250" spans="1:4" x14ac:dyDescent="0.25">
      <c r="A250" s="23"/>
      <c r="B250" s="283"/>
      <c r="C250" s="276"/>
      <c r="D250" s="35"/>
    </row>
    <row r="251" spans="1:4" x14ac:dyDescent="0.25">
      <c r="A251" s="23"/>
      <c r="B251" s="283"/>
      <c r="C251" s="276"/>
      <c r="D251" s="35"/>
    </row>
    <row r="252" spans="1:4" x14ac:dyDescent="0.25">
      <c r="A252" s="23"/>
      <c r="B252" s="283"/>
      <c r="C252" s="276"/>
      <c r="D252" s="35"/>
    </row>
    <row r="253" spans="1:4" x14ac:dyDescent="0.25">
      <c r="A253" s="23"/>
      <c r="B253" s="283"/>
      <c r="C253" s="276"/>
      <c r="D253" s="35"/>
    </row>
    <row r="254" spans="1:4" x14ac:dyDescent="0.25">
      <c r="A254" s="23"/>
      <c r="B254" s="283"/>
      <c r="C254" s="276"/>
      <c r="D254" s="35"/>
    </row>
    <row r="255" spans="1:4" x14ac:dyDescent="0.25">
      <c r="A255" s="23"/>
      <c r="B255" s="283"/>
      <c r="C255" s="276"/>
      <c r="D255" s="35"/>
    </row>
    <row r="256" spans="1:4" x14ac:dyDescent="0.25">
      <c r="A256" s="23"/>
      <c r="B256" s="283"/>
      <c r="C256" s="276"/>
      <c r="D256" s="35"/>
    </row>
    <row r="257" spans="1:4" x14ac:dyDescent="0.25">
      <c r="A257" s="23"/>
      <c r="B257" s="283"/>
      <c r="C257" s="276"/>
      <c r="D257" s="35"/>
    </row>
    <row r="258" spans="1:4" x14ac:dyDescent="0.25">
      <c r="A258" s="23"/>
      <c r="B258" s="283"/>
      <c r="C258" s="276"/>
      <c r="D258" s="35"/>
    </row>
    <row r="259" spans="1:4" x14ac:dyDescent="0.25">
      <c r="A259" s="23"/>
      <c r="B259" s="283"/>
      <c r="C259" s="276"/>
      <c r="D259" s="35"/>
    </row>
    <row r="260" spans="1:4" x14ac:dyDescent="0.25">
      <c r="A260" s="23"/>
      <c r="B260" s="283"/>
      <c r="C260" s="276"/>
      <c r="D260" s="35"/>
    </row>
    <row r="261" spans="1:4" x14ac:dyDescent="0.25">
      <c r="A261" s="23"/>
      <c r="B261" s="283"/>
      <c r="C261" s="276"/>
      <c r="D261" s="35"/>
    </row>
    <row r="262" spans="1:4" x14ac:dyDescent="0.25">
      <c r="A262" s="23"/>
      <c r="B262" s="283"/>
      <c r="C262" s="276"/>
      <c r="D262" s="35"/>
    </row>
    <row r="263" spans="1:4" x14ac:dyDescent="0.25">
      <c r="A263" s="23"/>
      <c r="B263" s="283"/>
      <c r="C263" s="276"/>
      <c r="D263" s="35"/>
    </row>
    <row r="264" spans="1:4" x14ac:dyDescent="0.25">
      <c r="A264" s="23"/>
      <c r="B264" s="283"/>
      <c r="C264" s="276"/>
      <c r="D264" s="35"/>
    </row>
    <row r="265" spans="1:4" x14ac:dyDescent="0.25">
      <c r="A265" s="23"/>
      <c r="B265" s="283"/>
      <c r="C265" s="276"/>
      <c r="D265" s="35"/>
    </row>
    <row r="266" spans="1:4" x14ac:dyDescent="0.25">
      <c r="A266" s="23"/>
      <c r="B266" s="283"/>
      <c r="C266" s="276"/>
      <c r="D266" s="35"/>
    </row>
    <row r="267" spans="1:4" x14ac:dyDescent="0.25">
      <c r="A267" s="23"/>
      <c r="B267" s="283"/>
      <c r="C267" s="276"/>
      <c r="D267" s="35"/>
    </row>
    <row r="268" spans="1:4" x14ac:dyDescent="0.25">
      <c r="A268" s="23"/>
      <c r="B268" s="283"/>
      <c r="C268" s="276"/>
      <c r="D268" s="35"/>
    </row>
    <row r="269" spans="1:4" x14ac:dyDescent="0.25">
      <c r="A269" s="23"/>
      <c r="B269" s="283"/>
      <c r="C269" s="276"/>
      <c r="D269" s="35"/>
    </row>
    <row r="270" spans="1:4" x14ac:dyDescent="0.25">
      <c r="A270" s="23"/>
      <c r="B270" s="283"/>
      <c r="C270" s="276"/>
      <c r="D270" s="35"/>
    </row>
    <row r="271" spans="1:4" x14ac:dyDescent="0.25">
      <c r="A271" s="23"/>
      <c r="B271" s="283"/>
      <c r="C271" s="276"/>
      <c r="D271" s="35"/>
    </row>
    <row r="272" spans="1:4" x14ac:dyDescent="0.25">
      <c r="A272" s="23"/>
      <c r="B272" s="283"/>
      <c r="C272" s="276"/>
      <c r="D272" s="35"/>
    </row>
    <row r="273" spans="1:4" x14ac:dyDescent="0.25">
      <c r="A273" s="23"/>
      <c r="B273" s="283"/>
      <c r="C273" s="276"/>
      <c r="D273" s="35"/>
    </row>
    <row r="274" spans="1:4" x14ac:dyDescent="0.25">
      <c r="A274" s="23"/>
      <c r="B274" s="283"/>
      <c r="C274" s="276"/>
      <c r="D274" s="35"/>
    </row>
    <row r="275" spans="1:4" x14ac:dyDescent="0.25">
      <c r="A275" s="23"/>
      <c r="B275" s="283"/>
      <c r="C275" s="276"/>
      <c r="D275" s="35"/>
    </row>
    <row r="276" spans="1:4" x14ac:dyDescent="0.25">
      <c r="A276" s="23"/>
      <c r="B276" s="283"/>
      <c r="C276" s="276"/>
      <c r="D276" s="35"/>
    </row>
    <row r="277" spans="1:4" x14ac:dyDescent="0.25">
      <c r="A277" s="23"/>
      <c r="B277" s="283"/>
      <c r="C277" s="276"/>
      <c r="D277" s="35"/>
    </row>
    <row r="278" spans="1:4" x14ac:dyDescent="0.25">
      <c r="A278" s="23"/>
      <c r="B278" s="283"/>
      <c r="C278" s="276"/>
      <c r="D278" s="35"/>
    </row>
    <row r="279" spans="1:4" x14ac:dyDescent="0.25">
      <c r="A279" s="23"/>
      <c r="B279" s="283"/>
      <c r="C279" s="276"/>
      <c r="D279" s="35"/>
    </row>
    <row r="280" spans="1:4" x14ac:dyDescent="0.25">
      <c r="A280" s="23"/>
      <c r="B280" s="283"/>
      <c r="C280" s="276"/>
      <c r="D280" s="35"/>
    </row>
    <row r="281" spans="1:4" x14ac:dyDescent="0.25">
      <c r="A281" s="23"/>
      <c r="B281" s="283"/>
      <c r="C281" s="276"/>
      <c r="D281" s="35"/>
    </row>
    <row r="282" spans="1:4" x14ac:dyDescent="0.25">
      <c r="A282" s="23"/>
      <c r="B282" s="283"/>
      <c r="C282" s="276"/>
      <c r="D282" s="35"/>
    </row>
    <row r="283" spans="1:4" x14ac:dyDescent="0.25">
      <c r="A283" s="23"/>
      <c r="B283" s="283"/>
      <c r="C283" s="276"/>
      <c r="D283" s="35"/>
    </row>
    <row r="284" spans="1:4" x14ac:dyDescent="0.25">
      <c r="A284" s="23"/>
      <c r="B284" s="283"/>
      <c r="C284" s="276"/>
      <c r="D284" s="35"/>
    </row>
    <row r="285" spans="1:4" x14ac:dyDescent="0.25">
      <c r="A285" s="23"/>
      <c r="B285" s="283"/>
      <c r="C285" s="276"/>
      <c r="D285" s="35"/>
    </row>
    <row r="286" spans="1:4" x14ac:dyDescent="0.25">
      <c r="A286" s="23"/>
      <c r="B286" s="283"/>
      <c r="C286" s="276"/>
      <c r="D286" s="35"/>
    </row>
    <row r="287" spans="1:4" x14ac:dyDescent="0.25">
      <c r="A287" s="23"/>
      <c r="B287" s="283"/>
      <c r="C287" s="276"/>
      <c r="D287" s="35"/>
    </row>
    <row r="288" spans="1:4" x14ac:dyDescent="0.25">
      <c r="A288" s="23"/>
      <c r="B288" s="283"/>
      <c r="C288" s="276"/>
      <c r="D288" s="35"/>
    </row>
    <row r="289" spans="1:4" x14ac:dyDescent="0.25">
      <c r="A289" s="23"/>
      <c r="B289" s="283"/>
      <c r="C289" s="276"/>
      <c r="D289" s="35"/>
    </row>
    <row r="290" spans="1:4" x14ac:dyDescent="0.25">
      <c r="A290" s="23"/>
      <c r="B290" s="283"/>
      <c r="C290" s="276"/>
      <c r="D290" s="35"/>
    </row>
    <row r="291" spans="1:4" x14ac:dyDescent="0.25">
      <c r="A291" s="23"/>
      <c r="B291" s="283"/>
      <c r="C291" s="276"/>
      <c r="D291" s="35"/>
    </row>
    <row r="292" spans="1:4" x14ac:dyDescent="0.25">
      <c r="A292" s="23"/>
      <c r="B292" s="283"/>
      <c r="C292" s="276"/>
      <c r="D292" s="35"/>
    </row>
    <row r="293" spans="1:4" x14ac:dyDescent="0.25">
      <c r="A293" s="23"/>
      <c r="B293" s="283"/>
      <c r="C293" s="276"/>
      <c r="D293" s="35"/>
    </row>
    <row r="294" spans="1:4" x14ac:dyDescent="0.25">
      <c r="A294" s="23"/>
      <c r="B294" s="283"/>
      <c r="C294" s="276"/>
      <c r="D294" s="35"/>
    </row>
    <row r="295" spans="1:4" x14ac:dyDescent="0.25">
      <c r="A295" s="23"/>
      <c r="B295" s="283"/>
      <c r="C295" s="276"/>
      <c r="D295" s="35"/>
    </row>
    <row r="296" spans="1:4" x14ac:dyDescent="0.25">
      <c r="A296" s="23"/>
      <c r="B296" s="283"/>
      <c r="C296" s="276"/>
      <c r="D296" s="35"/>
    </row>
    <row r="297" spans="1:4" x14ac:dyDescent="0.25">
      <c r="A297" s="23"/>
      <c r="B297" s="283"/>
      <c r="C297" s="276"/>
      <c r="D297" s="35"/>
    </row>
    <row r="298" spans="1:4" x14ac:dyDescent="0.25">
      <c r="A298" s="23"/>
      <c r="B298" s="283"/>
      <c r="C298" s="276"/>
      <c r="D298" s="35"/>
    </row>
    <row r="299" spans="1:4" x14ac:dyDescent="0.25">
      <c r="A299" s="23"/>
      <c r="B299" s="283"/>
      <c r="C299" s="276"/>
      <c r="D299" s="35"/>
    </row>
    <row r="300" spans="1:4" x14ac:dyDescent="0.25">
      <c r="A300" s="23"/>
      <c r="B300" s="283"/>
      <c r="C300" s="276"/>
      <c r="D300" s="35"/>
    </row>
    <row r="301" spans="1:4" x14ac:dyDescent="0.25">
      <c r="A301" s="23"/>
      <c r="B301" s="283"/>
      <c r="C301" s="276"/>
      <c r="D301" s="35"/>
    </row>
    <row r="302" spans="1:4" x14ac:dyDescent="0.25">
      <c r="A302" s="23"/>
      <c r="B302" s="283"/>
      <c r="C302" s="276"/>
      <c r="D302" s="35"/>
    </row>
    <row r="303" spans="1:4" x14ac:dyDescent="0.25">
      <c r="A303" s="23"/>
      <c r="B303" s="283"/>
      <c r="C303" s="276"/>
      <c r="D303" s="35"/>
    </row>
    <row r="304" spans="1:4" x14ac:dyDescent="0.25">
      <c r="A304" s="23"/>
      <c r="B304" s="283"/>
      <c r="C304" s="276"/>
      <c r="D304" s="35"/>
    </row>
    <row r="305" spans="1:4" x14ac:dyDescent="0.25">
      <c r="A305" s="23"/>
      <c r="B305" s="283"/>
      <c r="C305" s="276"/>
      <c r="D305" s="35"/>
    </row>
    <row r="306" spans="1:4" x14ac:dyDescent="0.25">
      <c r="A306" s="23"/>
      <c r="B306" s="283"/>
      <c r="C306" s="276"/>
      <c r="D306" s="35"/>
    </row>
    <row r="307" spans="1:4" x14ac:dyDescent="0.25">
      <c r="A307" s="23"/>
      <c r="B307" s="283"/>
      <c r="C307" s="276"/>
      <c r="D307" s="35"/>
    </row>
    <row r="308" spans="1:4" x14ac:dyDescent="0.25">
      <c r="A308" s="23"/>
      <c r="B308" s="283"/>
      <c r="C308" s="276"/>
      <c r="D308" s="35"/>
    </row>
    <row r="309" spans="1:4" x14ac:dyDescent="0.25">
      <c r="A309" s="23"/>
      <c r="B309" s="283"/>
      <c r="C309" s="276"/>
      <c r="D309" s="35"/>
    </row>
    <row r="310" spans="1:4" x14ac:dyDescent="0.25">
      <c r="A310" s="23"/>
      <c r="B310" s="283"/>
      <c r="C310" s="276"/>
      <c r="D310" s="35"/>
    </row>
    <row r="311" spans="1:4" x14ac:dyDescent="0.25">
      <c r="A311" s="23"/>
      <c r="B311" s="283"/>
      <c r="C311" s="276"/>
      <c r="D311" s="35"/>
    </row>
    <row r="312" spans="1:4" x14ac:dyDescent="0.25">
      <c r="A312" s="23"/>
      <c r="B312" s="283"/>
      <c r="C312" s="276"/>
      <c r="D312" s="35"/>
    </row>
    <row r="313" spans="1:4" x14ac:dyDescent="0.25">
      <c r="A313" s="23"/>
      <c r="B313" s="283"/>
      <c r="C313" s="276"/>
      <c r="D313" s="35"/>
    </row>
    <row r="314" spans="1:4" x14ac:dyDescent="0.25">
      <c r="A314" s="23"/>
      <c r="B314" s="283"/>
      <c r="C314" s="276"/>
      <c r="D314" s="35"/>
    </row>
    <row r="315" spans="1:4" x14ac:dyDescent="0.25">
      <c r="A315" s="23"/>
      <c r="B315" s="283"/>
      <c r="C315" s="276"/>
      <c r="D315" s="35"/>
    </row>
    <row r="316" spans="1:4" x14ac:dyDescent="0.25">
      <c r="A316" s="23"/>
      <c r="B316" s="283"/>
      <c r="C316" s="276"/>
      <c r="D316" s="35"/>
    </row>
    <row r="317" spans="1:4" x14ac:dyDescent="0.25">
      <c r="A317" s="23"/>
      <c r="B317" s="283"/>
      <c r="C317" s="276"/>
      <c r="D317" s="35"/>
    </row>
    <row r="318" spans="1:4" x14ac:dyDescent="0.25">
      <c r="A318" s="23"/>
      <c r="B318" s="283"/>
      <c r="C318" s="276"/>
      <c r="D318" s="35"/>
    </row>
    <row r="319" spans="1:4" x14ac:dyDescent="0.25">
      <c r="A319" s="23"/>
      <c r="B319" s="283"/>
      <c r="C319" s="276"/>
      <c r="D319" s="35"/>
    </row>
    <row r="320" spans="1:4" x14ac:dyDescent="0.25">
      <c r="A320" s="23"/>
      <c r="B320" s="283"/>
      <c r="C320" s="276"/>
      <c r="D320" s="35"/>
    </row>
    <row r="321" spans="1:4" x14ac:dyDescent="0.25">
      <c r="A321" s="23"/>
      <c r="B321" s="283"/>
      <c r="C321" s="276"/>
      <c r="D321" s="35"/>
    </row>
    <row r="322" spans="1:4" x14ac:dyDescent="0.25">
      <c r="A322" s="23"/>
      <c r="B322" s="283"/>
      <c r="C322" s="276"/>
      <c r="D322" s="35"/>
    </row>
    <row r="323" spans="1:4" x14ac:dyDescent="0.25">
      <c r="A323" s="23"/>
      <c r="B323" s="283"/>
      <c r="C323" s="276"/>
      <c r="D323" s="35"/>
    </row>
    <row r="324" spans="1:4" x14ac:dyDescent="0.25">
      <c r="A324" s="23"/>
      <c r="B324" s="283"/>
      <c r="C324" s="276"/>
      <c r="D324" s="35"/>
    </row>
    <row r="325" spans="1:4" x14ac:dyDescent="0.25">
      <c r="A325" s="23"/>
      <c r="B325" s="283"/>
      <c r="C325" s="276"/>
      <c r="D325" s="35"/>
    </row>
    <row r="326" spans="1:4" x14ac:dyDescent="0.25">
      <c r="A326" s="23"/>
      <c r="B326" s="283"/>
      <c r="C326" s="276"/>
      <c r="D326" s="35"/>
    </row>
    <row r="327" spans="1:4" x14ac:dyDescent="0.25">
      <c r="A327" s="23"/>
      <c r="B327" s="283"/>
      <c r="C327" s="276"/>
      <c r="D327" s="35"/>
    </row>
    <row r="328" spans="1:4" x14ac:dyDescent="0.25">
      <c r="A328" s="23"/>
      <c r="B328" s="283"/>
      <c r="C328" s="276"/>
      <c r="D328" s="35"/>
    </row>
    <row r="329" spans="1:4" x14ac:dyDescent="0.25">
      <c r="A329" s="23"/>
      <c r="B329" s="283"/>
      <c r="C329" s="276"/>
      <c r="D329" s="35"/>
    </row>
    <row r="330" spans="1:4" x14ac:dyDescent="0.25">
      <c r="A330" s="23"/>
      <c r="B330" s="283"/>
      <c r="C330" s="276"/>
      <c r="D330" s="35"/>
    </row>
    <row r="331" spans="1:4" x14ac:dyDescent="0.25">
      <c r="A331" s="23"/>
      <c r="B331" s="283"/>
      <c r="C331" s="276"/>
      <c r="D331" s="35"/>
    </row>
    <row r="332" spans="1:4" x14ac:dyDescent="0.25">
      <c r="A332" s="23"/>
      <c r="B332" s="283"/>
      <c r="C332" s="276"/>
      <c r="D332" s="35"/>
    </row>
    <row r="333" spans="1:4" x14ac:dyDescent="0.25">
      <c r="A333" s="23"/>
      <c r="B333" s="283"/>
      <c r="C333" s="276"/>
      <c r="D333" s="35"/>
    </row>
    <row r="334" spans="1:4" x14ac:dyDescent="0.25">
      <c r="A334" s="23"/>
      <c r="B334" s="283"/>
      <c r="C334" s="276"/>
      <c r="D334" s="35"/>
    </row>
    <row r="335" spans="1:4" x14ac:dyDescent="0.25">
      <c r="D335" s="35"/>
    </row>
    <row r="336" spans="1:4" x14ac:dyDescent="0.25">
      <c r="D336" s="35"/>
    </row>
    <row r="337" spans="4:4" x14ac:dyDescent="0.25">
      <c r="D337" s="35"/>
    </row>
    <row r="338" spans="4:4" x14ac:dyDescent="0.25">
      <c r="D338" s="35"/>
    </row>
    <row r="339" spans="4:4" x14ac:dyDescent="0.25">
      <c r="D339" s="35"/>
    </row>
    <row r="340" spans="4:4" x14ac:dyDescent="0.25">
      <c r="D340" s="35"/>
    </row>
    <row r="341" spans="4:4" x14ac:dyDescent="0.25">
      <c r="D341" s="35"/>
    </row>
    <row r="342" spans="4:4" x14ac:dyDescent="0.25">
      <c r="D342" s="35"/>
    </row>
    <row r="343" spans="4:4" x14ac:dyDescent="0.25">
      <c r="D343" s="35"/>
    </row>
    <row r="344" spans="4:4" x14ac:dyDescent="0.25">
      <c r="D344" s="35"/>
    </row>
    <row r="345" spans="4:4" x14ac:dyDescent="0.25">
      <c r="D345" s="35"/>
    </row>
    <row r="346" spans="4:4" x14ac:dyDescent="0.25">
      <c r="D346" s="35"/>
    </row>
    <row r="347" spans="4:4" x14ac:dyDescent="0.25">
      <c r="D347" s="35"/>
    </row>
    <row r="348" spans="4:4" x14ac:dyDescent="0.25">
      <c r="D348" s="35"/>
    </row>
    <row r="349" spans="4:4" x14ac:dyDescent="0.25">
      <c r="D349" s="35"/>
    </row>
    <row r="350" spans="4:4" x14ac:dyDescent="0.25">
      <c r="D350" s="35"/>
    </row>
    <row r="351" spans="4:4" x14ac:dyDescent="0.25">
      <c r="D351" s="35"/>
    </row>
    <row r="352" spans="4:4" x14ac:dyDescent="0.25">
      <c r="D352" s="35"/>
    </row>
    <row r="353" spans="4:4" x14ac:dyDescent="0.25">
      <c r="D353" s="35"/>
    </row>
    <row r="354" spans="4:4" x14ac:dyDescent="0.25">
      <c r="D354" s="35"/>
    </row>
    <row r="355" spans="4:4" x14ac:dyDescent="0.25">
      <c r="D355" s="35"/>
    </row>
    <row r="356" spans="4:4" x14ac:dyDescent="0.25">
      <c r="D356" s="35"/>
    </row>
    <row r="357" spans="4:4" x14ac:dyDescent="0.25">
      <c r="D357" s="35"/>
    </row>
    <row r="358" spans="4:4" x14ac:dyDescent="0.25">
      <c r="D358" s="35"/>
    </row>
    <row r="359" spans="4:4" x14ac:dyDescent="0.25">
      <c r="D359" s="35"/>
    </row>
    <row r="360" spans="4:4" x14ac:dyDescent="0.25">
      <c r="D360" s="35"/>
    </row>
    <row r="361" spans="4:4" x14ac:dyDescent="0.25">
      <c r="D361" s="35"/>
    </row>
    <row r="362" spans="4:4" x14ac:dyDescent="0.25">
      <c r="D362" s="35"/>
    </row>
    <row r="363" spans="4:4" x14ac:dyDescent="0.25">
      <c r="D363" s="35"/>
    </row>
    <row r="364" spans="4:4" x14ac:dyDescent="0.25">
      <c r="D364" s="35"/>
    </row>
    <row r="365" spans="4:4" x14ac:dyDescent="0.25">
      <c r="D365" s="35"/>
    </row>
    <row r="366" spans="4:4" x14ac:dyDescent="0.25">
      <c r="D366" s="35"/>
    </row>
    <row r="367" spans="4:4" x14ac:dyDescent="0.25">
      <c r="D367" s="35"/>
    </row>
    <row r="368" spans="4:4" x14ac:dyDescent="0.25">
      <c r="D368" s="35"/>
    </row>
    <row r="369" spans="4:4" x14ac:dyDescent="0.25">
      <c r="D369" s="35"/>
    </row>
    <row r="370" spans="4:4" x14ac:dyDescent="0.25">
      <c r="D370" s="35"/>
    </row>
    <row r="371" spans="4:4" x14ac:dyDescent="0.25">
      <c r="D371" s="35"/>
    </row>
    <row r="372" spans="4:4" x14ac:dyDescent="0.25">
      <c r="D372" s="35"/>
    </row>
    <row r="373" spans="4:4" x14ac:dyDescent="0.25">
      <c r="D373" s="35"/>
    </row>
    <row r="374" spans="4:4" x14ac:dyDescent="0.25">
      <c r="D374" s="35"/>
    </row>
    <row r="375" spans="4:4" x14ac:dyDescent="0.25">
      <c r="D375" s="35"/>
    </row>
    <row r="376" spans="4:4" x14ac:dyDescent="0.25">
      <c r="D376" s="35"/>
    </row>
    <row r="377" spans="4:4" x14ac:dyDescent="0.25">
      <c r="D377" s="35"/>
    </row>
    <row r="378" spans="4:4" x14ac:dyDescent="0.25">
      <c r="D378" s="35"/>
    </row>
    <row r="379" spans="4:4" x14ac:dyDescent="0.25">
      <c r="D379" s="35"/>
    </row>
    <row r="380" spans="4:4" x14ac:dyDescent="0.25">
      <c r="D380" s="35"/>
    </row>
    <row r="381" spans="4:4" x14ac:dyDescent="0.25">
      <c r="D381" s="35"/>
    </row>
    <row r="382" spans="4:4" x14ac:dyDescent="0.25">
      <c r="D382" s="35"/>
    </row>
    <row r="383" spans="4:4" x14ac:dyDescent="0.25">
      <c r="D383" s="35"/>
    </row>
    <row r="384" spans="4:4" x14ac:dyDescent="0.25">
      <c r="D384" s="35"/>
    </row>
    <row r="385" spans="4:4" x14ac:dyDescent="0.25">
      <c r="D385" s="35"/>
    </row>
    <row r="386" spans="4:4" x14ac:dyDescent="0.25">
      <c r="D386" s="35"/>
    </row>
    <row r="387" spans="4:4" x14ac:dyDescent="0.25">
      <c r="D387" s="35"/>
    </row>
    <row r="388" spans="4:4" x14ac:dyDescent="0.25">
      <c r="D388" s="35"/>
    </row>
    <row r="389" spans="4:4" x14ac:dyDescent="0.25">
      <c r="D389" s="35"/>
    </row>
    <row r="390" spans="4:4" x14ac:dyDescent="0.25">
      <c r="D390" s="35"/>
    </row>
    <row r="391" spans="4:4" x14ac:dyDescent="0.25">
      <c r="D391" s="35"/>
    </row>
    <row r="392" spans="4:4" x14ac:dyDescent="0.25">
      <c r="D392" s="35"/>
    </row>
    <row r="393" spans="4:4" x14ac:dyDescent="0.25">
      <c r="D393" s="35"/>
    </row>
    <row r="394" spans="4:4" x14ac:dyDescent="0.25">
      <c r="D394" s="35"/>
    </row>
    <row r="395" spans="4:4" x14ac:dyDescent="0.25">
      <c r="D395" s="35"/>
    </row>
    <row r="396" spans="4:4" x14ac:dyDescent="0.25">
      <c r="D396" s="35"/>
    </row>
    <row r="397" spans="4:4" x14ac:dyDescent="0.25">
      <c r="D397" s="35"/>
    </row>
    <row r="398" spans="4:4" x14ac:dyDescent="0.25">
      <c r="D398" s="35"/>
    </row>
    <row r="399" spans="4:4" x14ac:dyDescent="0.25">
      <c r="D399" s="35"/>
    </row>
    <row r="400" spans="4:4" x14ac:dyDescent="0.25">
      <c r="D400" s="35"/>
    </row>
    <row r="401" spans="4:4" x14ac:dyDescent="0.25">
      <c r="D401" s="35"/>
    </row>
    <row r="402" spans="4:4" x14ac:dyDescent="0.25">
      <c r="D402" s="35"/>
    </row>
    <row r="403" spans="4:4" x14ac:dyDescent="0.25">
      <c r="D403" s="35"/>
    </row>
    <row r="404" spans="4:4" x14ac:dyDescent="0.25">
      <c r="D404" s="35"/>
    </row>
    <row r="405" spans="4:4" x14ac:dyDescent="0.25">
      <c r="D405" s="35"/>
    </row>
    <row r="406" spans="4:4" x14ac:dyDescent="0.25">
      <c r="D406" s="35"/>
    </row>
    <row r="407" spans="4:4" x14ac:dyDescent="0.25">
      <c r="D407" s="35"/>
    </row>
    <row r="408" spans="4:4" x14ac:dyDescent="0.25">
      <c r="D408" s="35"/>
    </row>
    <row r="409" spans="4:4" x14ac:dyDescent="0.25">
      <c r="D409" s="35"/>
    </row>
    <row r="410" spans="4:4" x14ac:dyDescent="0.25">
      <c r="D410" s="35"/>
    </row>
    <row r="411" spans="4:4" x14ac:dyDescent="0.25">
      <c r="D411" s="35"/>
    </row>
    <row r="412" spans="4:4" x14ac:dyDescent="0.25">
      <c r="D412" s="35"/>
    </row>
    <row r="413" spans="4:4" x14ac:dyDescent="0.25">
      <c r="D413" s="35"/>
    </row>
    <row r="414" spans="4:4" x14ac:dyDescent="0.25">
      <c r="D414" s="35"/>
    </row>
    <row r="415" spans="4:4" x14ac:dyDescent="0.25">
      <c r="D415" s="35"/>
    </row>
    <row r="416" spans="4:4" x14ac:dyDescent="0.25">
      <c r="D416" s="35"/>
    </row>
    <row r="417" spans="4:4" x14ac:dyDescent="0.25">
      <c r="D417" s="35"/>
    </row>
    <row r="418" spans="4:4" x14ac:dyDescent="0.25">
      <c r="D418" s="35"/>
    </row>
    <row r="419" spans="4:4" x14ac:dyDescent="0.25">
      <c r="D419" s="35"/>
    </row>
    <row r="420" spans="4:4" x14ac:dyDescent="0.25">
      <c r="D420" s="35"/>
    </row>
    <row r="421" spans="4:4" x14ac:dyDescent="0.25">
      <c r="D421" s="35"/>
    </row>
    <row r="422" spans="4:4" x14ac:dyDescent="0.25">
      <c r="D422" s="35"/>
    </row>
    <row r="423" spans="4:4" x14ac:dyDescent="0.25">
      <c r="D423" s="35"/>
    </row>
    <row r="424" spans="4:4" x14ac:dyDescent="0.25">
      <c r="D424" s="35"/>
    </row>
    <row r="425" spans="4:4" x14ac:dyDescent="0.25">
      <c r="D425" s="35"/>
    </row>
    <row r="426" spans="4:4" x14ac:dyDescent="0.25">
      <c r="D426" s="35"/>
    </row>
    <row r="427" spans="4:4" x14ac:dyDescent="0.25">
      <c r="D427" s="35"/>
    </row>
    <row r="428" spans="4:4" x14ac:dyDescent="0.25">
      <c r="D428" s="35"/>
    </row>
    <row r="429" spans="4:4" x14ac:dyDescent="0.25">
      <c r="D429" s="35"/>
    </row>
    <row r="430" spans="4:4" x14ac:dyDescent="0.25">
      <c r="D430" s="35"/>
    </row>
    <row r="431" spans="4:4" x14ac:dyDescent="0.25">
      <c r="D431" s="35"/>
    </row>
    <row r="432" spans="4:4" x14ac:dyDescent="0.25">
      <c r="D432" s="35"/>
    </row>
    <row r="433" spans="4:4" x14ac:dyDescent="0.25">
      <c r="D433" s="35"/>
    </row>
    <row r="434" spans="4:4" x14ac:dyDescent="0.25">
      <c r="D434" s="35"/>
    </row>
    <row r="435" spans="4:4" x14ac:dyDescent="0.25">
      <c r="D435" s="35"/>
    </row>
    <row r="436" spans="4:4" x14ac:dyDescent="0.25">
      <c r="D436" s="35"/>
    </row>
    <row r="437" spans="4:4" x14ac:dyDescent="0.25">
      <c r="D437" s="35"/>
    </row>
    <row r="438" spans="4:4" x14ac:dyDescent="0.25">
      <c r="D438" s="35"/>
    </row>
    <row r="439" spans="4:4" x14ac:dyDescent="0.25">
      <c r="D439" s="35"/>
    </row>
    <row r="440" spans="4:4" x14ac:dyDescent="0.25">
      <c r="D440" s="35"/>
    </row>
    <row r="441" spans="4:4" x14ac:dyDescent="0.25">
      <c r="D441" s="35"/>
    </row>
    <row r="442" spans="4:4" x14ac:dyDescent="0.25">
      <c r="D442" s="35"/>
    </row>
    <row r="443" spans="4:4" x14ac:dyDescent="0.25">
      <c r="D443" s="35"/>
    </row>
    <row r="444" spans="4:4" x14ac:dyDescent="0.25">
      <c r="D444" s="35"/>
    </row>
    <row r="445" spans="4:4" x14ac:dyDescent="0.25">
      <c r="D445" s="35"/>
    </row>
    <row r="446" spans="4:4" x14ac:dyDescent="0.25">
      <c r="D446" s="35"/>
    </row>
    <row r="447" spans="4:4" x14ac:dyDescent="0.25">
      <c r="D447" s="35"/>
    </row>
    <row r="448" spans="4:4" x14ac:dyDescent="0.25">
      <c r="D448" s="35"/>
    </row>
    <row r="449" spans="4:4" x14ac:dyDescent="0.25">
      <c r="D449" s="35"/>
    </row>
    <row r="450" spans="4:4" x14ac:dyDescent="0.25">
      <c r="D450" s="35"/>
    </row>
    <row r="451" spans="4:4" x14ac:dyDescent="0.25">
      <c r="D451" s="35"/>
    </row>
    <row r="452" spans="4:4" x14ac:dyDescent="0.25">
      <c r="D452" s="35"/>
    </row>
    <row r="453" spans="4:4" x14ac:dyDescent="0.25">
      <c r="D453" s="35"/>
    </row>
    <row r="454" spans="4:4" x14ac:dyDescent="0.25">
      <c r="D454" s="35"/>
    </row>
    <row r="455" spans="4:4" x14ac:dyDescent="0.25">
      <c r="D455" s="35"/>
    </row>
    <row r="456" spans="4:4" x14ac:dyDescent="0.25">
      <c r="D456" s="35"/>
    </row>
    <row r="457" spans="4:4" x14ac:dyDescent="0.25">
      <c r="D457" s="35"/>
    </row>
    <row r="458" spans="4:4" x14ac:dyDescent="0.25">
      <c r="D458" s="35"/>
    </row>
    <row r="459" spans="4:4" x14ac:dyDescent="0.25">
      <c r="D459" s="35"/>
    </row>
    <row r="460" spans="4:4" x14ac:dyDescent="0.25">
      <c r="D460" s="35"/>
    </row>
    <row r="461" spans="4:4" x14ac:dyDescent="0.25">
      <c r="D461" s="35"/>
    </row>
    <row r="462" spans="4:4" x14ac:dyDescent="0.25">
      <c r="D462" s="35"/>
    </row>
    <row r="463" spans="4:4" x14ac:dyDescent="0.25">
      <c r="D463" s="35"/>
    </row>
    <row r="464" spans="4:4" x14ac:dyDescent="0.25">
      <c r="D464" s="35"/>
    </row>
    <row r="465" spans="4:4" x14ac:dyDescent="0.25">
      <c r="D465" s="35"/>
    </row>
    <row r="466" spans="4:4" x14ac:dyDescent="0.25">
      <c r="D466" s="35"/>
    </row>
    <row r="467" spans="4:4" x14ac:dyDescent="0.25">
      <c r="D467" s="35"/>
    </row>
    <row r="468" spans="4:4" x14ac:dyDescent="0.25">
      <c r="D468" s="35"/>
    </row>
    <row r="469" spans="4:4" x14ac:dyDescent="0.25">
      <c r="D469" s="35"/>
    </row>
    <row r="470" spans="4:4" x14ac:dyDescent="0.25">
      <c r="D470" s="35"/>
    </row>
    <row r="471" spans="4:4" x14ac:dyDescent="0.25">
      <c r="D471" s="35"/>
    </row>
    <row r="472" spans="4:4" x14ac:dyDescent="0.25">
      <c r="D472" s="35"/>
    </row>
    <row r="473" spans="4:4" x14ac:dyDescent="0.25">
      <c r="D473" s="35"/>
    </row>
    <row r="474" spans="4:4" x14ac:dyDescent="0.25">
      <c r="D474" s="35"/>
    </row>
    <row r="475" spans="4:4" x14ac:dyDescent="0.25">
      <c r="D475" s="35"/>
    </row>
    <row r="476" spans="4:4" x14ac:dyDescent="0.25">
      <c r="D476" s="35"/>
    </row>
    <row r="477" spans="4:4" x14ac:dyDescent="0.25">
      <c r="D477" s="35"/>
    </row>
    <row r="478" spans="4:4" x14ac:dyDescent="0.25">
      <c r="D478" s="35"/>
    </row>
    <row r="479" spans="4:4" x14ac:dyDescent="0.25">
      <c r="D479" s="35"/>
    </row>
    <row r="480" spans="4:4" x14ac:dyDescent="0.25">
      <c r="D480" s="35"/>
    </row>
    <row r="481" spans="4:4" x14ac:dyDescent="0.25">
      <c r="D481" s="35"/>
    </row>
    <row r="482" spans="4:4" x14ac:dyDescent="0.25">
      <c r="D482" s="35"/>
    </row>
    <row r="483" spans="4:4" x14ac:dyDescent="0.25">
      <c r="D483" s="35"/>
    </row>
    <row r="484" spans="4:4" x14ac:dyDescent="0.25">
      <c r="D484" s="35"/>
    </row>
    <row r="485" spans="4:4" x14ac:dyDescent="0.25">
      <c r="D485" s="35"/>
    </row>
    <row r="486" spans="4:4" x14ac:dyDescent="0.25">
      <c r="D486" s="35"/>
    </row>
    <row r="487" spans="4:4" x14ac:dyDescent="0.25">
      <c r="D487" s="35"/>
    </row>
    <row r="488" spans="4:4" x14ac:dyDescent="0.25">
      <c r="D488" s="35"/>
    </row>
    <row r="489" spans="4:4" x14ac:dyDescent="0.25">
      <c r="D489" s="35"/>
    </row>
    <row r="490" spans="4:4" x14ac:dyDescent="0.25">
      <c r="D490" s="35"/>
    </row>
    <row r="491" spans="4:4" x14ac:dyDescent="0.25">
      <c r="D491" s="35"/>
    </row>
    <row r="492" spans="4:4" x14ac:dyDescent="0.25">
      <c r="D492" s="35"/>
    </row>
    <row r="493" spans="4:4" x14ac:dyDescent="0.25">
      <c r="D493" s="35"/>
    </row>
    <row r="494" spans="4:4" x14ac:dyDescent="0.25">
      <c r="D494" s="35"/>
    </row>
    <row r="495" spans="4:4" x14ac:dyDescent="0.25">
      <c r="D495" s="35"/>
    </row>
    <row r="496" spans="4:4" x14ac:dyDescent="0.25">
      <c r="D496" s="35"/>
    </row>
    <row r="497" spans="4:4" x14ac:dyDescent="0.25">
      <c r="D497" s="35"/>
    </row>
    <row r="498" spans="4:4" x14ac:dyDescent="0.25">
      <c r="D498" s="35"/>
    </row>
    <row r="499" spans="4:4" x14ac:dyDescent="0.25">
      <c r="D499" s="35"/>
    </row>
    <row r="500" spans="4:4" x14ac:dyDescent="0.25">
      <c r="D500" s="35"/>
    </row>
    <row r="501" spans="4:4" x14ac:dyDescent="0.25">
      <c r="D501" s="35"/>
    </row>
    <row r="502" spans="4:4" x14ac:dyDescent="0.25">
      <c r="D502" s="35"/>
    </row>
    <row r="503" spans="4:4" x14ac:dyDescent="0.25">
      <c r="D503" s="35"/>
    </row>
    <row r="504" spans="4:4" x14ac:dyDescent="0.25">
      <c r="D504" s="35"/>
    </row>
    <row r="505" spans="4:4" x14ac:dyDescent="0.25">
      <c r="D505" s="35"/>
    </row>
    <row r="506" spans="4:4" x14ac:dyDescent="0.25">
      <c r="D506" s="35"/>
    </row>
    <row r="507" spans="4:4" x14ac:dyDescent="0.25">
      <c r="D507" s="35"/>
    </row>
    <row r="508" spans="4:4" x14ac:dyDescent="0.25">
      <c r="D508" s="35"/>
    </row>
    <row r="509" spans="4:4" x14ac:dyDescent="0.25">
      <c r="D509" s="35"/>
    </row>
    <row r="510" spans="4:4" x14ac:dyDescent="0.25">
      <c r="D510" s="35"/>
    </row>
    <row r="511" spans="4:4" x14ac:dyDescent="0.25">
      <c r="D511" s="35"/>
    </row>
    <row r="512" spans="4:4" x14ac:dyDescent="0.25">
      <c r="D512" s="35"/>
    </row>
    <row r="513" spans="4:4" x14ac:dyDescent="0.25">
      <c r="D513" s="35"/>
    </row>
    <row r="514" spans="4:4" x14ac:dyDescent="0.25">
      <c r="D514" s="35"/>
    </row>
    <row r="515" spans="4:4" x14ac:dyDescent="0.25">
      <c r="D515" s="35"/>
    </row>
    <row r="516" spans="4:4" x14ac:dyDescent="0.25">
      <c r="D516" s="35"/>
    </row>
    <row r="517" spans="4:4" x14ac:dyDescent="0.25">
      <c r="D517" s="35"/>
    </row>
    <row r="518" spans="4:4" x14ac:dyDescent="0.25">
      <c r="D518" s="35"/>
    </row>
    <row r="519" spans="4:4" x14ac:dyDescent="0.25">
      <c r="D519" s="35"/>
    </row>
    <row r="520" spans="4:4" x14ac:dyDescent="0.25">
      <c r="D520" s="35"/>
    </row>
    <row r="521" spans="4:4" x14ac:dyDescent="0.25">
      <c r="D521" s="35"/>
    </row>
    <row r="522" spans="4:4" x14ac:dyDescent="0.25">
      <c r="D522" s="35"/>
    </row>
    <row r="523" spans="4:4" x14ac:dyDescent="0.25">
      <c r="D523" s="35"/>
    </row>
    <row r="524" spans="4:4" x14ac:dyDescent="0.25">
      <c r="D524" s="35"/>
    </row>
    <row r="525" spans="4:4" x14ac:dyDescent="0.25">
      <c r="D525" s="35"/>
    </row>
    <row r="526" spans="4:4" x14ac:dyDescent="0.25">
      <c r="D526" s="35"/>
    </row>
    <row r="527" spans="4:4" x14ac:dyDescent="0.25">
      <c r="D527" s="35"/>
    </row>
    <row r="528" spans="4:4" x14ac:dyDescent="0.25">
      <c r="D528" s="35"/>
    </row>
    <row r="529" spans="4:4" x14ac:dyDescent="0.25">
      <c r="D529" s="35"/>
    </row>
    <row r="530" spans="4:4" x14ac:dyDescent="0.25">
      <c r="D530" s="35"/>
    </row>
    <row r="531" spans="4:4" x14ac:dyDescent="0.25">
      <c r="D531" s="35"/>
    </row>
    <row r="532" spans="4:4" x14ac:dyDescent="0.25">
      <c r="D532" s="35"/>
    </row>
    <row r="533" spans="4:4" x14ac:dyDescent="0.25">
      <c r="D533" s="35"/>
    </row>
    <row r="534" spans="4:4" x14ac:dyDescent="0.25">
      <c r="D534" s="35"/>
    </row>
    <row r="535" spans="4:4" x14ac:dyDescent="0.25">
      <c r="D535" s="35"/>
    </row>
    <row r="536" spans="4:4" x14ac:dyDescent="0.25">
      <c r="D536" s="35"/>
    </row>
    <row r="537" spans="4:4" x14ac:dyDescent="0.25">
      <c r="D537" s="35"/>
    </row>
    <row r="538" spans="4:4" x14ac:dyDescent="0.25">
      <c r="D538" s="35"/>
    </row>
    <row r="539" spans="4:4" x14ac:dyDescent="0.25">
      <c r="D539" s="35"/>
    </row>
    <row r="540" spans="4:4" x14ac:dyDescent="0.25">
      <c r="D540" s="35"/>
    </row>
    <row r="541" spans="4:4" x14ac:dyDescent="0.25">
      <c r="D541" s="35"/>
    </row>
    <row r="542" spans="4:4" x14ac:dyDescent="0.25">
      <c r="D542" s="35"/>
    </row>
    <row r="543" spans="4:4" x14ac:dyDescent="0.25">
      <c r="D543" s="35"/>
    </row>
    <row r="544" spans="4:4" x14ac:dyDescent="0.25">
      <c r="D544" s="35"/>
    </row>
    <row r="545" spans="4:4" x14ac:dyDescent="0.25">
      <c r="D545" s="35"/>
    </row>
    <row r="546" spans="4:4" x14ac:dyDescent="0.25">
      <c r="D546" s="35"/>
    </row>
    <row r="547" spans="4:4" x14ac:dyDescent="0.25">
      <c r="D547" s="35"/>
    </row>
    <row r="548" spans="4:4" x14ac:dyDescent="0.25">
      <c r="D548" s="35"/>
    </row>
    <row r="549" spans="4:4" x14ac:dyDescent="0.25">
      <c r="D549" s="35"/>
    </row>
    <row r="550" spans="4:4" x14ac:dyDescent="0.25">
      <c r="D550" s="35"/>
    </row>
    <row r="551" spans="4:4" x14ac:dyDescent="0.25">
      <c r="D551" s="35"/>
    </row>
    <row r="552" spans="4:4" x14ac:dyDescent="0.25">
      <c r="D552" s="35"/>
    </row>
    <row r="553" spans="4:4" x14ac:dyDescent="0.25">
      <c r="D553" s="35"/>
    </row>
    <row r="554" spans="4:4" x14ac:dyDescent="0.25">
      <c r="D554" s="35"/>
    </row>
    <row r="555" spans="4:4" x14ac:dyDescent="0.25">
      <c r="D555" s="35"/>
    </row>
    <row r="556" spans="4:4" x14ac:dyDescent="0.25">
      <c r="D556" s="35"/>
    </row>
    <row r="557" spans="4:4" x14ac:dyDescent="0.25">
      <c r="D557" s="35"/>
    </row>
    <row r="558" spans="4:4" x14ac:dyDescent="0.25">
      <c r="D558" s="35"/>
    </row>
    <row r="559" spans="4:4" x14ac:dyDescent="0.25">
      <c r="D559" s="35"/>
    </row>
    <row r="560" spans="4:4" x14ac:dyDescent="0.25">
      <c r="D560" s="35"/>
    </row>
    <row r="561" spans="4:4" x14ac:dyDescent="0.25">
      <c r="D561" s="35"/>
    </row>
    <row r="562" spans="4:4" x14ac:dyDescent="0.25">
      <c r="D562" s="35"/>
    </row>
    <row r="563" spans="4:4" x14ac:dyDescent="0.25">
      <c r="D563" s="35"/>
    </row>
    <row r="564" spans="4:4" x14ac:dyDescent="0.25">
      <c r="D564" s="35"/>
    </row>
    <row r="565" spans="4:4" x14ac:dyDescent="0.25">
      <c r="D565" s="35"/>
    </row>
    <row r="566" spans="4:4" x14ac:dyDescent="0.25">
      <c r="D566" s="35"/>
    </row>
    <row r="567" spans="4:4" x14ac:dyDescent="0.25">
      <c r="D567" s="35"/>
    </row>
    <row r="568" spans="4:4" x14ac:dyDescent="0.25">
      <c r="D568" s="35"/>
    </row>
    <row r="569" spans="4:4" x14ac:dyDescent="0.25">
      <c r="D569" s="35"/>
    </row>
    <row r="570" spans="4:4" x14ac:dyDescent="0.25">
      <c r="D570" s="35"/>
    </row>
    <row r="571" spans="4:4" x14ac:dyDescent="0.25">
      <c r="D571" s="35"/>
    </row>
    <row r="572" spans="4:4" x14ac:dyDescent="0.25">
      <c r="D572" s="35"/>
    </row>
    <row r="573" spans="4:4" x14ac:dyDescent="0.25">
      <c r="D573" s="35"/>
    </row>
    <row r="574" spans="4:4" x14ac:dyDescent="0.25">
      <c r="D574" s="35"/>
    </row>
    <row r="575" spans="4:4" x14ac:dyDescent="0.25">
      <c r="D575" s="35"/>
    </row>
    <row r="576" spans="4:4" x14ac:dyDescent="0.25">
      <c r="D576" s="35"/>
    </row>
    <row r="577" spans="4:4" x14ac:dyDescent="0.25">
      <c r="D577" s="35"/>
    </row>
    <row r="578" spans="4:4" x14ac:dyDescent="0.25">
      <c r="D578" s="35"/>
    </row>
    <row r="579" spans="4:4" x14ac:dyDescent="0.25">
      <c r="D579" s="35"/>
    </row>
    <row r="580" spans="4:4" x14ac:dyDescent="0.25">
      <c r="D580" s="35"/>
    </row>
    <row r="581" spans="4:4" x14ac:dyDescent="0.25">
      <c r="D581" s="35"/>
    </row>
    <row r="582" spans="4:4" x14ac:dyDescent="0.25">
      <c r="D582" s="35"/>
    </row>
    <row r="583" spans="4:4" x14ac:dyDescent="0.25">
      <c r="D583" s="35"/>
    </row>
    <row r="584" spans="4:4" x14ac:dyDescent="0.25">
      <c r="D584" s="35"/>
    </row>
    <row r="585" spans="4:4" x14ac:dyDescent="0.25">
      <c r="D585" s="35"/>
    </row>
    <row r="586" spans="4:4" x14ac:dyDescent="0.25">
      <c r="D586" s="35"/>
    </row>
    <row r="587" spans="4:4" x14ac:dyDescent="0.25">
      <c r="D587" s="35"/>
    </row>
    <row r="588" spans="4:4" x14ac:dyDescent="0.25">
      <c r="D588" s="35"/>
    </row>
    <row r="589" spans="4:4" x14ac:dyDescent="0.25">
      <c r="D589" s="35"/>
    </row>
    <row r="590" spans="4:4" x14ac:dyDescent="0.25">
      <c r="D590" s="35"/>
    </row>
    <row r="591" spans="4:4" x14ac:dyDescent="0.25">
      <c r="D591" s="35"/>
    </row>
    <row r="592" spans="4:4" x14ac:dyDescent="0.25">
      <c r="D592" s="35"/>
    </row>
    <row r="593" spans="4:4" x14ac:dyDescent="0.25">
      <c r="D593" s="35"/>
    </row>
    <row r="594" spans="4:4" x14ac:dyDescent="0.25">
      <c r="D594" s="35"/>
    </row>
    <row r="595" spans="4:4" x14ac:dyDescent="0.25">
      <c r="D595" s="35"/>
    </row>
    <row r="596" spans="4:4" x14ac:dyDescent="0.25">
      <c r="D596" s="35"/>
    </row>
    <row r="597" spans="4:4" x14ac:dyDescent="0.25">
      <c r="D597" s="35"/>
    </row>
    <row r="598" spans="4:4" x14ac:dyDescent="0.25">
      <c r="D598" s="35"/>
    </row>
    <row r="599" spans="4:4" x14ac:dyDescent="0.25">
      <c r="D599" s="35"/>
    </row>
    <row r="600" spans="4:4" x14ac:dyDescent="0.25">
      <c r="D600" s="35"/>
    </row>
    <row r="601" spans="4:4" x14ac:dyDescent="0.25">
      <c r="D601" s="35"/>
    </row>
    <row r="602" spans="4:4" x14ac:dyDescent="0.25">
      <c r="D602" s="35"/>
    </row>
    <row r="603" spans="4:4" x14ac:dyDescent="0.25">
      <c r="D603" s="35"/>
    </row>
    <row r="604" spans="4:4" x14ac:dyDescent="0.25">
      <c r="D604" s="35"/>
    </row>
    <row r="605" spans="4:4" x14ac:dyDescent="0.25">
      <c r="D605" s="35"/>
    </row>
    <row r="606" spans="4:4" x14ac:dyDescent="0.25">
      <c r="D606" s="35"/>
    </row>
    <row r="607" spans="4:4" x14ac:dyDescent="0.25">
      <c r="D607" s="35"/>
    </row>
    <row r="608" spans="4:4" x14ac:dyDescent="0.25">
      <c r="D608" s="35"/>
    </row>
    <row r="609" spans="4:4" x14ac:dyDescent="0.25">
      <c r="D609" s="35"/>
    </row>
    <row r="610" spans="4:4" x14ac:dyDescent="0.25">
      <c r="D610" s="35"/>
    </row>
    <row r="611" spans="4:4" x14ac:dyDescent="0.25">
      <c r="D611" s="35"/>
    </row>
    <row r="612" spans="4:4" x14ac:dyDescent="0.25">
      <c r="D612" s="35"/>
    </row>
    <row r="613" spans="4:4" x14ac:dyDescent="0.25">
      <c r="D613" s="35"/>
    </row>
    <row r="614" spans="4:4" x14ac:dyDescent="0.25">
      <c r="D614" s="35"/>
    </row>
    <row r="615" spans="4:4" x14ac:dyDescent="0.25">
      <c r="D615" s="35"/>
    </row>
    <row r="616" spans="4:4" x14ac:dyDescent="0.25">
      <c r="D616" s="35"/>
    </row>
    <row r="617" spans="4:4" x14ac:dyDescent="0.25">
      <c r="D617" s="35"/>
    </row>
    <row r="618" spans="4:4" x14ac:dyDescent="0.25">
      <c r="D618" s="35"/>
    </row>
    <row r="619" spans="4:4" x14ac:dyDescent="0.25">
      <c r="D619" s="35"/>
    </row>
    <row r="620" spans="4:4" x14ac:dyDescent="0.25">
      <c r="D620" s="35"/>
    </row>
    <row r="621" spans="4:4" x14ac:dyDescent="0.25">
      <c r="D621" s="35"/>
    </row>
    <row r="622" spans="4:4" x14ac:dyDescent="0.25">
      <c r="D622" s="35"/>
    </row>
    <row r="623" spans="4:4" x14ac:dyDescent="0.25">
      <c r="D623" s="35"/>
    </row>
    <row r="624" spans="4:4" x14ac:dyDescent="0.25">
      <c r="D624" s="35"/>
    </row>
    <row r="625" spans="4:4" x14ac:dyDescent="0.25">
      <c r="D625" s="35"/>
    </row>
    <row r="626" spans="4:4" x14ac:dyDescent="0.25">
      <c r="D626" s="35"/>
    </row>
    <row r="627" spans="4:4" x14ac:dyDescent="0.25">
      <c r="D627" s="35"/>
    </row>
    <row r="628" spans="4:4" x14ac:dyDescent="0.25">
      <c r="D628" s="35"/>
    </row>
    <row r="629" spans="4:4" x14ac:dyDescent="0.25">
      <c r="D629" s="35"/>
    </row>
    <row r="630" spans="4:4" x14ac:dyDescent="0.25">
      <c r="D630" s="35"/>
    </row>
    <row r="631" spans="4:4" x14ac:dyDescent="0.25">
      <c r="D631" s="35"/>
    </row>
    <row r="632" spans="4:4" x14ac:dyDescent="0.25">
      <c r="D632" s="35"/>
    </row>
    <row r="633" spans="4:4" x14ac:dyDescent="0.25">
      <c r="D633" s="35"/>
    </row>
    <row r="634" spans="4:4" x14ac:dyDescent="0.25">
      <c r="D634" s="35"/>
    </row>
    <row r="635" spans="4:4" x14ac:dyDescent="0.25">
      <c r="D635" s="35"/>
    </row>
    <row r="636" spans="4:4" x14ac:dyDescent="0.25">
      <c r="D636" s="35"/>
    </row>
  </sheetData>
  <sheetProtection formatCells="0" formatColumns="0" formatRows="0"/>
  <conditionalFormatting sqref="G27">
    <cfRule type="cellIs" dxfId="40" priority="93" stopIfTrue="1" operator="notEqual">
      <formula>0</formula>
    </cfRule>
  </conditionalFormatting>
  <conditionalFormatting sqref="G28">
    <cfRule type="cellIs" dxfId="39" priority="92" stopIfTrue="1" operator="notEqual">
      <formula>0</formula>
    </cfRule>
  </conditionalFormatting>
  <conditionalFormatting sqref="G43">
    <cfRule type="cellIs" dxfId="38" priority="91" stopIfTrue="1" operator="notEqual">
      <formula>0</formula>
    </cfRule>
  </conditionalFormatting>
  <conditionalFormatting sqref="G55">
    <cfRule type="cellIs" dxfId="37" priority="90" stopIfTrue="1" operator="notEqual">
      <formula>0</formula>
    </cfRule>
  </conditionalFormatting>
  <conditionalFormatting sqref="G56">
    <cfRule type="cellIs" dxfId="36" priority="89" stopIfTrue="1" operator="notEqual">
      <formula>0</formula>
    </cfRule>
  </conditionalFormatting>
  <conditionalFormatting sqref="G70">
    <cfRule type="cellIs" dxfId="35" priority="88" stopIfTrue="1" operator="notEqual">
      <formula>0</formula>
    </cfRule>
  </conditionalFormatting>
  <conditionalFormatting sqref="G82">
    <cfRule type="cellIs" dxfId="34" priority="87" stopIfTrue="1" operator="notEqual">
      <formula>0</formula>
    </cfRule>
  </conditionalFormatting>
  <conditionalFormatting sqref="G93">
    <cfRule type="cellIs" dxfId="33" priority="86" stopIfTrue="1" operator="notEqual">
      <formula>0</formula>
    </cfRule>
  </conditionalFormatting>
  <conditionalFormatting sqref="G94">
    <cfRule type="cellIs" dxfId="32" priority="85" stopIfTrue="1" operator="notEqual">
      <formula>0</formula>
    </cfRule>
  </conditionalFormatting>
  <conditionalFormatting sqref="G108">
    <cfRule type="cellIs" dxfId="31" priority="84" stopIfTrue="1" operator="notEqual">
      <formula>0</formula>
    </cfRule>
  </conditionalFormatting>
  <conditionalFormatting sqref="G109">
    <cfRule type="cellIs" dxfId="30" priority="83" stopIfTrue="1" operator="notEqual">
      <formula>0</formula>
    </cfRule>
  </conditionalFormatting>
  <conditionalFormatting sqref="L186">
    <cfRule type="cellIs" dxfId="29" priority="82" stopIfTrue="1" operator="notEqual">
      <formula>0</formula>
    </cfRule>
  </conditionalFormatting>
  <conditionalFormatting sqref="J186">
    <cfRule type="cellIs" dxfId="28" priority="80" stopIfTrue="1" operator="greaterThan">
      <formula>0</formula>
    </cfRule>
  </conditionalFormatting>
  <conditionalFormatting sqref="H171:H173">
    <cfRule type="cellIs" priority="79" stopIfTrue="1" operator="equal">
      <formula>";;;"</formula>
    </cfRule>
  </conditionalFormatting>
  <conditionalFormatting sqref="H171">
    <cfRule type="cellIs" dxfId="27" priority="78" stopIfTrue="1" operator="equal">
      <formula>0</formula>
    </cfRule>
  </conditionalFormatting>
  <conditionalFormatting sqref="H172">
    <cfRule type="cellIs" dxfId="26" priority="77" stopIfTrue="1" operator="equal">
      <formula>0</formula>
    </cfRule>
  </conditionalFormatting>
  <conditionalFormatting sqref="H173">
    <cfRule type="cellIs" dxfId="25" priority="76" stopIfTrue="1" operator="equal">
      <formula>0</formula>
    </cfRule>
  </conditionalFormatting>
  <conditionalFormatting sqref="H173">
    <cfRule type="cellIs" dxfId="24" priority="75" stopIfTrue="1" operator="equal">
      <formula>0</formula>
    </cfRule>
  </conditionalFormatting>
  <conditionalFormatting sqref="H171">
    <cfRule type="cellIs" dxfId="23" priority="74" stopIfTrue="1" operator="equal">
      <formula>0</formula>
    </cfRule>
  </conditionalFormatting>
  <conditionalFormatting sqref="G15">
    <cfRule type="cellIs" dxfId="22" priority="73" stopIfTrue="1" operator="notEqual">
      <formula>0</formula>
    </cfRule>
  </conditionalFormatting>
  <conditionalFormatting sqref="G7">
    <cfRule type="containsText" dxfId="21" priority="71" stopIfTrue="1" operator="containsText" text="Included in error count">
      <formula>NOT(ISERROR(SEARCH("Included in error count",G7)))</formula>
    </cfRule>
    <cfRule type="cellIs" dxfId="20" priority="72" stopIfTrue="1" operator="equal">
      <formula>1</formula>
    </cfRule>
  </conditionalFormatting>
  <conditionalFormatting sqref="G35">
    <cfRule type="containsText" dxfId="19" priority="69" stopIfTrue="1" operator="containsText" text="Included in error count">
      <formula>NOT(ISERROR(SEARCH("Included in error count",G35)))</formula>
    </cfRule>
    <cfRule type="cellIs" dxfId="18" priority="70" stopIfTrue="1" operator="equal">
      <formula>1</formula>
    </cfRule>
  </conditionalFormatting>
  <conditionalFormatting sqref="G63">
    <cfRule type="containsText" dxfId="17" priority="67" stopIfTrue="1" operator="containsText" text="Included in error count">
      <formula>NOT(ISERROR(SEARCH("Included in error count",G63)))</formula>
    </cfRule>
    <cfRule type="cellIs" dxfId="16" priority="68" stopIfTrue="1" operator="equal">
      <formula>1</formula>
    </cfRule>
  </conditionalFormatting>
  <conditionalFormatting sqref="G64">
    <cfRule type="containsText" dxfId="15" priority="65" stopIfTrue="1" operator="containsText" text="Included in error count">
      <formula>NOT(ISERROR(SEARCH("Included in error count",G64)))</formula>
    </cfRule>
    <cfRule type="cellIs" dxfId="14" priority="66" stopIfTrue="1" operator="equal">
      <formula>1</formula>
    </cfRule>
  </conditionalFormatting>
  <conditionalFormatting sqref="G68">
    <cfRule type="containsText" dxfId="13" priority="61" stopIfTrue="1" operator="containsText" text="Included in error count">
      <formula>NOT(ISERROR(SEARCH("Included in error count",G68)))</formula>
    </cfRule>
    <cfRule type="cellIs" dxfId="12" priority="62" stopIfTrue="1" operator="equal">
      <formula>1</formula>
    </cfRule>
  </conditionalFormatting>
  <conditionalFormatting sqref="G75">
    <cfRule type="containsText" dxfId="11" priority="59" stopIfTrue="1" operator="containsText" text="Included in error count">
      <formula>NOT(ISERROR(SEARCH("Included in error count",G75)))</formula>
    </cfRule>
    <cfRule type="cellIs" dxfId="10" priority="60" stopIfTrue="1" operator="equal">
      <formula>1</formula>
    </cfRule>
  </conditionalFormatting>
  <conditionalFormatting sqref="G84">
    <cfRule type="containsText" dxfId="9" priority="57" stopIfTrue="1" operator="containsText" text="Included in error count">
      <formula>NOT(ISERROR(SEARCH("Included in error count",G84)))</formula>
    </cfRule>
    <cfRule type="cellIs" dxfId="8" priority="58" stopIfTrue="1" operator="equal">
      <formula>1</formula>
    </cfRule>
  </conditionalFormatting>
  <conditionalFormatting sqref="G171">
    <cfRule type="containsText" dxfId="7" priority="46" stopIfTrue="1" operator="containsText" text="Included in error count">
      <formula>NOT(ISERROR(SEARCH("Included in error count",G171)))</formula>
    </cfRule>
    <cfRule type="cellIs" dxfId="6" priority="47" stopIfTrue="1" operator="equal">
      <formula>1</formula>
    </cfRule>
  </conditionalFormatting>
  <conditionalFormatting sqref="G172">
    <cfRule type="containsText" dxfId="5" priority="44" stopIfTrue="1" operator="containsText" text="Included in error count">
      <formula>NOT(ISERROR(SEARCH("Included in error count",G172)))</formula>
    </cfRule>
    <cfRule type="cellIs" dxfId="4" priority="45" stopIfTrue="1" operator="equal">
      <formula>1</formula>
    </cfRule>
  </conditionalFormatting>
  <conditionalFormatting sqref="G173">
    <cfRule type="containsText" dxfId="3" priority="42" stopIfTrue="1" operator="containsText" text="Included in error count">
      <formula>NOT(ISERROR(SEARCH("Included in error count",G173)))</formula>
    </cfRule>
    <cfRule type="cellIs" dxfId="2" priority="43" stopIfTrue="1" operator="equal">
      <formula>1</formula>
    </cfRule>
  </conditionalFormatting>
  <conditionalFormatting sqref="G98">
    <cfRule type="containsText" dxfId="1" priority="40" stopIfTrue="1" operator="containsText" text="Included in error count">
      <formula>NOT(ISERROR(SEARCH("Included in error count",G98)))</formula>
    </cfRule>
    <cfRule type="cellIs" dxfId="0" priority="41" stopIfTrue="1" operator="equal">
      <formula>1</formula>
    </cfRule>
  </conditionalFormatting>
  <dataValidations disablePrompts="1" count="3">
    <dataValidation type="list" allowBlank="1" showInputMessage="1" showErrorMessage="1" sqref="L179" xr:uid="{00000000-0002-0000-0200-000000000000}">
      <formula1>$T$1:$T$5</formula1>
    </dataValidation>
    <dataValidation type="list" allowBlank="1" showInputMessage="1" showErrorMessage="1" sqref="L178" xr:uid="{00000000-0002-0000-0200-000001000000}">
      <formula1>$T$1:$T$7</formula1>
    </dataValidation>
    <dataValidation type="list" allowBlank="1" showInputMessage="1" showErrorMessage="1" sqref="L180" xr:uid="{00000000-0002-0000-0200-000002000000}">
      <formula1>$T$1:$T$2</formula1>
    </dataValidation>
  </dataValidations>
  <pageMargins left="0.7" right="0.7" top="0.75" bottom="0.75" header="0.3" footer="0.3"/>
  <pageSetup scale="50" fitToHeight="0" orientation="landscape" r:id="rId1"/>
  <ignoredErrors>
    <ignoredError sqref="F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
  <sheetViews>
    <sheetView showGridLines="0" workbookViewId="0"/>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77" customFormat="1" x14ac:dyDescent="0.25"/>
    <row r="2" spans="1:8" ht="54.75" customHeight="1" x14ac:dyDescent="0.25">
      <c r="A2" s="699" t="s">
        <v>131</v>
      </c>
      <c r="B2" s="699"/>
      <c r="C2" s="699"/>
      <c r="D2" s="699"/>
      <c r="E2" s="699"/>
      <c r="F2" s="130"/>
      <c r="G2" s="130"/>
      <c r="H2" s="129"/>
    </row>
    <row r="3" spans="1:8" x14ac:dyDescent="0.25">
      <c r="A3" s="77"/>
      <c r="B3" s="77"/>
      <c r="C3" s="77"/>
      <c r="D3" s="77"/>
      <c r="E3" s="77"/>
      <c r="F3" s="77"/>
      <c r="G3" s="77"/>
      <c r="H3" s="77"/>
    </row>
    <row r="4" spans="1:8" ht="15.75" x14ac:dyDescent="0.25">
      <c r="A4" s="81"/>
      <c r="B4" s="82">
        <f>'Collection Worksheet'!D2</f>
        <v>0</v>
      </c>
      <c r="C4" s="83"/>
      <c r="D4" s="84"/>
      <c r="E4" s="85"/>
      <c r="F4" s="88">
        <f>'Collection Worksheet'!F5</f>
        <v>2019</v>
      </c>
      <c r="G4" s="81"/>
      <c r="H4" s="88">
        <f>'Collection Worksheet'!F5</f>
        <v>2019</v>
      </c>
    </row>
    <row r="5" spans="1:8" ht="38.25" x14ac:dyDescent="0.3">
      <c r="A5" s="86"/>
      <c r="B5" s="87" t="s">
        <v>91</v>
      </c>
      <c r="C5" s="86"/>
      <c r="D5" s="86"/>
      <c r="E5" s="86"/>
      <c r="F5" s="88" t="s">
        <v>92</v>
      </c>
      <c r="G5" s="86"/>
      <c r="H5" s="89" t="s">
        <v>93</v>
      </c>
    </row>
    <row r="6" spans="1:8" x14ac:dyDescent="0.25">
      <c r="A6" s="81"/>
      <c r="B6" s="90" t="s">
        <v>94</v>
      </c>
      <c r="C6" s="81"/>
      <c r="D6" s="91"/>
      <c r="E6" s="91"/>
      <c r="F6" s="91"/>
      <c r="G6" s="91"/>
      <c r="H6" s="91"/>
    </row>
    <row r="7" spans="1:8" x14ac:dyDescent="0.25">
      <c r="A7" s="81"/>
      <c r="B7" s="91" t="s">
        <v>95</v>
      </c>
      <c r="C7" s="81"/>
      <c r="D7" s="91"/>
      <c r="E7" s="91" t="s">
        <v>40</v>
      </c>
      <c r="F7" s="92">
        <f>IMPORT!L32</f>
        <v>0</v>
      </c>
      <c r="G7" s="93"/>
      <c r="H7" s="92">
        <f>F7</f>
        <v>0</v>
      </c>
    </row>
    <row r="8" spans="1:8" ht="44.25" customHeight="1" x14ac:dyDescent="0.25">
      <c r="A8" s="81"/>
      <c r="B8" s="696" t="s">
        <v>96</v>
      </c>
      <c r="C8" s="696"/>
      <c r="D8" s="696"/>
      <c r="E8" s="91" t="s">
        <v>40</v>
      </c>
      <c r="F8" s="94">
        <f>IMPORT!L33</f>
        <v>0</v>
      </c>
      <c r="G8" s="95"/>
      <c r="H8" s="95"/>
    </row>
    <row r="9" spans="1:8" x14ac:dyDescent="0.25">
      <c r="A9" s="81"/>
      <c r="B9" s="81"/>
      <c r="C9" s="91" t="s">
        <v>264</v>
      </c>
      <c r="D9" s="81"/>
      <c r="E9" s="91" t="s">
        <v>40</v>
      </c>
      <c r="F9" s="96">
        <f>IMPORT!L37</f>
        <v>0</v>
      </c>
      <c r="G9" s="95"/>
      <c r="H9" s="96">
        <f>F9</f>
        <v>0</v>
      </c>
    </row>
    <row r="10" spans="1:8" x14ac:dyDescent="0.25">
      <c r="A10" s="81"/>
      <c r="B10" s="81"/>
      <c r="C10" s="91" t="s">
        <v>97</v>
      </c>
      <c r="D10" s="81"/>
      <c r="E10" s="91" t="s">
        <v>40</v>
      </c>
      <c r="F10" s="96">
        <f>IMPORT!L164</f>
        <v>0</v>
      </c>
      <c r="G10" s="95"/>
      <c r="H10" s="96">
        <f>F10</f>
        <v>0</v>
      </c>
    </row>
    <row r="11" spans="1:8" x14ac:dyDescent="0.25">
      <c r="A11" s="81"/>
      <c r="B11" s="81"/>
      <c r="C11" s="91" t="s">
        <v>98</v>
      </c>
      <c r="D11" s="81"/>
      <c r="E11" s="91" t="s">
        <v>40</v>
      </c>
      <c r="F11" s="97">
        <f>IMPORT!L38</f>
        <v>0</v>
      </c>
      <c r="G11" s="98"/>
      <c r="H11" s="97">
        <f>F11</f>
        <v>0</v>
      </c>
    </row>
    <row r="12" spans="1:8" x14ac:dyDescent="0.25">
      <c r="A12" s="81"/>
      <c r="B12" s="99" t="s">
        <v>99</v>
      </c>
      <c r="C12" s="100" t="s">
        <v>100</v>
      </c>
      <c r="D12" s="101"/>
      <c r="E12" s="102" t="s">
        <v>40</v>
      </c>
      <c r="F12" s="103">
        <f>F7+F8-SUM(F9:F11)</f>
        <v>0</v>
      </c>
      <c r="G12" s="104"/>
      <c r="H12" s="103">
        <f>H7+H8-SUM(H9:H11)</f>
        <v>0</v>
      </c>
    </row>
    <row r="13" spans="1:8" x14ac:dyDescent="0.25">
      <c r="A13" s="81"/>
      <c r="B13" s="81"/>
      <c r="C13" s="91"/>
      <c r="D13" s="91"/>
      <c r="E13" s="91" t="s">
        <v>40</v>
      </c>
      <c r="F13" s="91"/>
      <c r="G13" s="91"/>
      <c r="H13" s="91"/>
    </row>
    <row r="14" spans="1:8" x14ac:dyDescent="0.25">
      <c r="A14" s="81"/>
      <c r="B14" s="91" t="s">
        <v>101</v>
      </c>
      <c r="C14" s="81"/>
      <c r="D14" s="91"/>
      <c r="E14" s="91" t="s">
        <v>40</v>
      </c>
      <c r="F14" s="105">
        <f>IMPORT!L43</f>
        <v>0</v>
      </c>
      <c r="G14" s="91"/>
      <c r="H14" s="91"/>
    </row>
    <row r="15" spans="1:8" x14ac:dyDescent="0.25">
      <c r="A15" s="81"/>
      <c r="B15" s="91" t="s">
        <v>102</v>
      </c>
      <c r="C15" s="81"/>
      <c r="D15" s="91"/>
      <c r="E15" s="91" t="s">
        <v>40</v>
      </c>
      <c r="F15" s="106">
        <f>F14-F12</f>
        <v>0</v>
      </c>
      <c r="G15" s="91"/>
      <c r="H15" s="91"/>
    </row>
    <row r="16" spans="1:8" x14ac:dyDescent="0.25">
      <c r="A16" s="81"/>
      <c r="B16" s="107" t="s">
        <v>103</v>
      </c>
      <c r="C16" s="81"/>
      <c r="D16" s="91"/>
      <c r="E16" s="91"/>
      <c r="F16" s="91"/>
      <c r="G16" s="91"/>
      <c r="H16" s="91"/>
    </row>
    <row r="17" spans="1:8" x14ac:dyDescent="0.25">
      <c r="A17" s="77"/>
      <c r="B17" s="108" t="s">
        <v>104</v>
      </c>
      <c r="C17" s="91" t="s">
        <v>105</v>
      </c>
      <c r="D17" s="81"/>
      <c r="E17" s="91" t="s">
        <v>40</v>
      </c>
      <c r="F17" s="109">
        <f>IMPORT!L41</f>
        <v>0</v>
      </c>
      <c r="G17" s="91"/>
      <c r="H17" s="91"/>
    </row>
    <row r="18" spans="1:8" ht="15.75" thickBot="1" x14ac:dyDescent="0.3">
      <c r="A18" s="77"/>
      <c r="B18" s="99" t="s">
        <v>99</v>
      </c>
      <c r="C18" s="100" t="s">
        <v>106</v>
      </c>
      <c r="D18" s="101"/>
      <c r="E18" s="102" t="s">
        <v>40</v>
      </c>
      <c r="F18" s="110">
        <f>(F15-SUM(F17:F17))</f>
        <v>0</v>
      </c>
      <c r="G18" s="91"/>
      <c r="H18" s="91"/>
    </row>
    <row r="19" spans="1:8" ht="15.75" thickTop="1" x14ac:dyDescent="0.25">
      <c r="A19" s="77"/>
      <c r="B19" s="81"/>
      <c r="C19" s="91"/>
      <c r="D19" s="91"/>
      <c r="E19" s="91"/>
      <c r="F19" s="91"/>
      <c r="G19" s="91"/>
      <c r="H19" s="91"/>
    </row>
    <row r="20" spans="1:8" ht="15.75" thickBot="1" x14ac:dyDescent="0.3">
      <c r="A20" s="77"/>
      <c r="B20" s="91" t="s">
        <v>107</v>
      </c>
      <c r="C20" s="81"/>
      <c r="D20" s="91"/>
      <c r="E20" s="91" t="s">
        <v>40</v>
      </c>
      <c r="F20" s="111">
        <f>IMPORT!L40</f>
        <v>0</v>
      </c>
      <c r="G20" s="91"/>
      <c r="H20" s="91"/>
    </row>
    <row r="21" spans="1:8" ht="16.5" thickTop="1" thickBot="1" x14ac:dyDescent="0.3">
      <c r="A21" s="77"/>
      <c r="B21" s="81"/>
      <c r="C21" s="112" t="str">
        <f>IF(F18&gt;F20, "Restricted-Stabilization by State Statute understated by ",IF(F20&gt;F18, "Restricted-Stabilization by State Statute overstated by ","Restricted-Stabilization by State Statutue Reportedly Correctly. "))</f>
        <v xml:space="preserve">Restricted-Stabilization by State Statutue Reportedly Correctly. </v>
      </c>
      <c r="D21" s="81"/>
      <c r="E21" s="91" t="s">
        <v>40</v>
      </c>
      <c r="F21" s="113">
        <f>ABS(F18-F20)</f>
        <v>0</v>
      </c>
      <c r="G21" s="91"/>
      <c r="H21" s="91"/>
    </row>
    <row r="22" spans="1:8" ht="50.25" customHeight="1" thickTop="1" x14ac:dyDescent="0.25">
      <c r="A22" s="77"/>
      <c r="B22" s="81"/>
      <c r="C22" s="697" t="str">
        <f>IF(F18&gt;F20,"Since Restricted-Stabilization by State Statute was understated, verfiy that the unit did not appropriate fund balance in excess of legal amount available in row 12 above.","")</f>
        <v/>
      </c>
      <c r="D22" s="697"/>
      <c r="E22" s="697"/>
      <c r="F22" s="697"/>
      <c r="G22" s="91"/>
      <c r="H22" s="91"/>
    </row>
    <row r="23" spans="1:8" x14ac:dyDescent="0.25">
      <c r="A23" s="77"/>
      <c r="B23" s="81"/>
      <c r="C23" s="698" t="s">
        <v>108</v>
      </c>
      <c r="D23" s="91"/>
      <c r="E23" s="91"/>
      <c r="F23" s="91"/>
      <c r="G23" s="91"/>
      <c r="H23" s="114" t="s">
        <v>109</v>
      </c>
    </row>
    <row r="24" spans="1:8" x14ac:dyDescent="0.25">
      <c r="A24" s="77"/>
      <c r="B24" s="81"/>
      <c r="C24" s="698"/>
      <c r="D24" s="91"/>
      <c r="E24" s="91"/>
      <c r="F24" s="88" t="s">
        <v>110</v>
      </c>
      <c r="G24" s="91"/>
      <c r="H24" s="88" t="s">
        <v>118</v>
      </c>
    </row>
    <row r="25" spans="1:8" x14ac:dyDescent="0.25">
      <c r="A25" s="77"/>
      <c r="B25" s="81"/>
      <c r="C25" s="90" t="s">
        <v>111</v>
      </c>
      <c r="D25" s="91"/>
      <c r="E25" s="91"/>
      <c r="F25" s="91"/>
      <c r="G25" s="91"/>
      <c r="H25" s="91"/>
    </row>
    <row r="26" spans="1:8" ht="25.15" customHeight="1" x14ac:dyDescent="0.25">
      <c r="A26" s="77"/>
      <c r="B26" s="81"/>
      <c r="C26" s="91" t="s">
        <v>112</v>
      </c>
      <c r="D26" s="91"/>
      <c r="E26" s="91" t="s">
        <v>40</v>
      </c>
      <c r="F26" s="92">
        <f>IMPORT!L48</f>
        <v>0</v>
      </c>
      <c r="G26" s="93"/>
      <c r="H26" s="115">
        <f>F26</f>
        <v>0</v>
      </c>
    </row>
    <row r="27" spans="1:8" x14ac:dyDescent="0.25">
      <c r="A27" s="77"/>
      <c r="B27" s="81"/>
      <c r="C27" s="108" t="s">
        <v>113</v>
      </c>
      <c r="D27" s="91"/>
      <c r="E27" s="91"/>
      <c r="F27" s="91"/>
      <c r="G27" s="91"/>
      <c r="H27" s="91"/>
    </row>
    <row r="28" spans="1:8" x14ac:dyDescent="0.25">
      <c r="A28" s="77"/>
      <c r="B28" s="81"/>
      <c r="C28" s="91" t="s">
        <v>114</v>
      </c>
      <c r="D28" s="81"/>
      <c r="E28" s="91" t="s">
        <v>40</v>
      </c>
      <c r="F28" s="125">
        <f>IMPORT!L50</f>
        <v>0</v>
      </c>
      <c r="G28" s="95"/>
      <c r="H28" s="116">
        <f>F28</f>
        <v>0</v>
      </c>
    </row>
    <row r="29" spans="1:8" x14ac:dyDescent="0.25">
      <c r="A29" s="77"/>
      <c r="B29" s="81"/>
      <c r="C29" s="91" t="s">
        <v>115</v>
      </c>
      <c r="D29" s="81"/>
      <c r="E29" s="91" t="s">
        <v>40</v>
      </c>
      <c r="F29" s="126">
        <f>IMPORT!L51+IMPORT!L52</f>
        <v>0</v>
      </c>
      <c r="G29" s="95"/>
      <c r="H29" s="117">
        <f>F29</f>
        <v>0</v>
      </c>
    </row>
    <row r="30" spans="1:8" ht="15.75" thickBot="1" x14ac:dyDescent="0.3">
      <c r="A30" s="77"/>
      <c r="B30" s="81"/>
      <c r="C30" s="91" t="s">
        <v>116</v>
      </c>
      <c r="D30" s="91"/>
      <c r="E30" s="91" t="s">
        <v>40</v>
      </c>
      <c r="F30" s="118">
        <f>SUM(F26:F28)-F29</f>
        <v>0</v>
      </c>
      <c r="G30" s="93"/>
      <c r="H30" s="118">
        <f>SUM(H26:H28)-H29</f>
        <v>0</v>
      </c>
    </row>
    <row r="31" spans="1:8" ht="15.75" thickTop="1" x14ac:dyDescent="0.25">
      <c r="A31" s="77"/>
      <c r="B31" s="81"/>
      <c r="C31" s="91"/>
      <c r="D31" s="91"/>
      <c r="E31" s="91"/>
      <c r="F31" s="91"/>
      <c r="G31" s="91"/>
      <c r="H31" s="91"/>
    </row>
    <row r="32" spans="1:8" ht="15.75" thickBot="1" x14ac:dyDescent="0.3">
      <c r="A32" s="77"/>
      <c r="B32" s="99" t="s">
        <v>99</v>
      </c>
      <c r="C32" s="112" t="s">
        <v>117</v>
      </c>
      <c r="D32" s="119"/>
      <c r="E32" s="112" t="s">
        <v>40</v>
      </c>
      <c r="F32" s="120" t="e">
        <f>F12/F30</f>
        <v>#DIV/0!</v>
      </c>
      <c r="G32" s="91"/>
      <c r="H32" s="120" t="e">
        <f>H12/H30</f>
        <v>#DIV/0!</v>
      </c>
    </row>
    <row r="33" spans="1:8" ht="15.75" thickTop="1" x14ac:dyDescent="0.25">
      <c r="A33" s="77"/>
      <c r="B33" s="77"/>
      <c r="C33" s="91"/>
      <c r="D33" s="91"/>
      <c r="E33" s="91"/>
      <c r="F33" s="91"/>
      <c r="G33" s="91"/>
      <c r="H33" s="91"/>
    </row>
    <row r="34" spans="1:8" ht="15.75" x14ac:dyDescent="0.25">
      <c r="A34" s="123"/>
      <c r="C34" s="122"/>
    </row>
    <row r="36" spans="1:8" x14ac:dyDescent="0.25">
      <c r="F36" s="124"/>
    </row>
    <row r="37" spans="1:8" x14ac:dyDescent="0.25">
      <c r="F37" s="121"/>
    </row>
    <row r="38" spans="1:8" x14ac:dyDescent="0.25">
      <c r="F38" s="121"/>
    </row>
    <row r="39" spans="1:8" x14ac:dyDescent="0.25">
      <c r="F39" s="121"/>
    </row>
    <row r="40" spans="1:8" x14ac:dyDescent="0.25">
      <c r="F40" s="121"/>
    </row>
    <row r="41" spans="1:8" x14ac:dyDescent="0.25">
      <c r="F41" s="121"/>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340"/>
  <sheetViews>
    <sheetView workbookViewId="0">
      <pane xSplit="4" ySplit="1" topLeftCell="E2" activePane="bottomRight" state="frozen"/>
      <selection pane="topRight" activeCell="E1" sqref="E1"/>
      <selection pane="bottomLeft" activeCell="A2" sqref="A2"/>
      <selection pane="bottomRight" activeCell="E9" sqref="E9"/>
    </sheetView>
  </sheetViews>
  <sheetFormatPr defaultColWidth="21.7109375" defaultRowHeight="15" x14ac:dyDescent="0.25"/>
  <cols>
    <col min="1" max="1" width="11.140625" customWidth="1"/>
    <col min="2" max="2" width="9.42578125" customWidth="1"/>
    <col min="3" max="3" width="28" customWidth="1"/>
    <col min="4" max="4" width="12.5703125" customWidth="1"/>
    <col min="5" max="5" width="21.7109375" customWidth="1"/>
    <col min="6" max="6" width="21.5703125" customWidth="1"/>
    <col min="7" max="7" width="18.5703125" customWidth="1"/>
    <col min="8" max="8" width="18.85546875" customWidth="1"/>
    <col min="9" max="9" width="17.7109375" customWidth="1"/>
    <col min="10" max="10" width="17.5703125" customWidth="1"/>
    <col min="11" max="11" width="21.140625" customWidth="1"/>
    <col min="12" max="90" width="21.7109375" customWidth="1"/>
  </cols>
  <sheetData>
    <row r="1" spans="1:255" ht="57.75" x14ac:dyDescent="0.25">
      <c r="A1" s="586" t="s">
        <v>642</v>
      </c>
      <c r="B1" s="586" t="s">
        <v>643</v>
      </c>
      <c r="C1" s="567"/>
      <c r="D1" s="586" t="s">
        <v>643</v>
      </c>
      <c r="E1" s="569" t="s">
        <v>551</v>
      </c>
      <c r="F1" s="569" t="s">
        <v>552</v>
      </c>
      <c r="G1" s="569" t="s">
        <v>553</v>
      </c>
      <c r="H1" s="569" t="s">
        <v>554</v>
      </c>
      <c r="I1" s="569" t="s">
        <v>555</v>
      </c>
      <c r="J1" s="569" t="s">
        <v>556</v>
      </c>
      <c r="K1" s="569" t="s">
        <v>557</v>
      </c>
      <c r="L1" s="569" t="s">
        <v>558</v>
      </c>
      <c r="M1" s="569" t="s">
        <v>559</v>
      </c>
      <c r="N1" s="569" t="s">
        <v>560</v>
      </c>
      <c r="O1" s="569" t="s">
        <v>561</v>
      </c>
      <c r="P1" s="569" t="s">
        <v>562</v>
      </c>
      <c r="Q1" s="569" t="s">
        <v>563</v>
      </c>
      <c r="R1" s="569" t="s">
        <v>564</v>
      </c>
      <c r="S1" s="569" t="s">
        <v>565</v>
      </c>
      <c r="T1" s="569" t="s">
        <v>566</v>
      </c>
      <c r="U1" s="569" t="s">
        <v>567</v>
      </c>
      <c r="V1" s="569" t="s">
        <v>568</v>
      </c>
      <c r="W1" s="569" t="s">
        <v>569</v>
      </c>
      <c r="X1" s="569" t="s">
        <v>570</v>
      </c>
      <c r="Y1" s="569" t="s">
        <v>571</v>
      </c>
      <c r="Z1" s="569" t="s">
        <v>572</v>
      </c>
      <c r="AA1" s="569" t="s">
        <v>573</v>
      </c>
      <c r="AB1" s="569" t="s">
        <v>574</v>
      </c>
      <c r="AC1" s="569" t="s">
        <v>575</v>
      </c>
      <c r="AD1" s="569" t="s">
        <v>576</v>
      </c>
      <c r="AE1" s="569" t="s">
        <v>577</v>
      </c>
      <c r="AF1" s="569" t="s">
        <v>578</v>
      </c>
      <c r="AG1" s="569" t="s">
        <v>579</v>
      </c>
      <c r="AH1" s="569" t="s">
        <v>580</v>
      </c>
      <c r="AI1" s="569" t="s">
        <v>581</v>
      </c>
      <c r="AJ1" s="569" t="s">
        <v>582</v>
      </c>
      <c r="AK1" s="569" t="s">
        <v>583</v>
      </c>
      <c r="AL1" s="569" t="s">
        <v>584</v>
      </c>
      <c r="AM1" s="569" t="s">
        <v>585</v>
      </c>
      <c r="AN1" s="569" t="s">
        <v>586</v>
      </c>
      <c r="AO1" s="569" t="s">
        <v>587</v>
      </c>
      <c r="AP1" s="569" t="s">
        <v>588</v>
      </c>
      <c r="AQ1" s="569" t="s">
        <v>589</v>
      </c>
      <c r="AR1" s="569" t="s">
        <v>590</v>
      </c>
      <c r="AS1" s="569" t="s">
        <v>591</v>
      </c>
      <c r="AT1" s="569" t="s">
        <v>592</v>
      </c>
      <c r="AU1" s="569" t="s">
        <v>593</v>
      </c>
      <c r="AV1" s="569" t="s">
        <v>594</v>
      </c>
      <c r="AW1" s="569" t="s">
        <v>595</v>
      </c>
      <c r="AX1" s="569" t="s">
        <v>596</v>
      </c>
      <c r="AY1" s="569" t="s">
        <v>597</v>
      </c>
      <c r="AZ1" s="569" t="s">
        <v>598</v>
      </c>
      <c r="BA1" s="569" t="s">
        <v>599</v>
      </c>
      <c r="BB1" s="569" t="s">
        <v>600</v>
      </c>
      <c r="BC1" s="569" t="s">
        <v>601</v>
      </c>
      <c r="BD1" s="569" t="s">
        <v>602</v>
      </c>
      <c r="BE1" s="569" t="s">
        <v>603</v>
      </c>
      <c r="BF1" s="569" t="s">
        <v>604</v>
      </c>
      <c r="BG1" s="569" t="s">
        <v>605</v>
      </c>
      <c r="BH1" s="569" t="s">
        <v>606</v>
      </c>
      <c r="BI1" s="569" t="s">
        <v>607</v>
      </c>
      <c r="BJ1" s="569" t="s">
        <v>608</v>
      </c>
      <c r="BK1" s="569" t="s">
        <v>609</v>
      </c>
      <c r="BL1" s="569" t="s">
        <v>610</v>
      </c>
      <c r="BM1" s="569" t="s">
        <v>611</v>
      </c>
      <c r="BN1" s="569" t="s">
        <v>612</v>
      </c>
      <c r="BO1" s="569" t="s">
        <v>613</v>
      </c>
      <c r="BP1" s="569" t="s">
        <v>614</v>
      </c>
      <c r="BQ1" s="569" t="s">
        <v>615</v>
      </c>
      <c r="BR1" s="569" t="s">
        <v>616</v>
      </c>
      <c r="BS1" s="569" t="s">
        <v>617</v>
      </c>
      <c r="BT1" s="569" t="s">
        <v>618</v>
      </c>
      <c r="BU1" s="569" t="s">
        <v>619</v>
      </c>
      <c r="BV1" s="569" t="s">
        <v>620</v>
      </c>
      <c r="BW1" s="569" t="s">
        <v>621</v>
      </c>
      <c r="BX1" s="569" t="s">
        <v>622</v>
      </c>
      <c r="BY1" s="569" t="s">
        <v>623</v>
      </c>
      <c r="BZ1" s="569" t="s">
        <v>624</v>
      </c>
      <c r="CA1" s="569" t="s">
        <v>625</v>
      </c>
      <c r="CB1" s="569" t="s">
        <v>626</v>
      </c>
      <c r="CC1" s="569" t="s">
        <v>627</v>
      </c>
      <c r="CD1" s="569" t="s">
        <v>628</v>
      </c>
      <c r="CE1" s="569" t="s">
        <v>629</v>
      </c>
      <c r="CF1" s="569" t="s">
        <v>630</v>
      </c>
      <c r="CG1" s="569" t="s">
        <v>631</v>
      </c>
      <c r="CH1" s="569" t="s">
        <v>632</v>
      </c>
      <c r="CI1" s="569" t="s">
        <v>633</v>
      </c>
      <c r="CJ1" s="569" t="s">
        <v>634</v>
      </c>
      <c r="CK1" s="569" t="s">
        <v>635</v>
      </c>
      <c r="CL1" s="569" t="s">
        <v>636</v>
      </c>
      <c r="CM1" s="569" t="s">
        <v>637</v>
      </c>
      <c r="CN1" s="569" t="s">
        <v>638</v>
      </c>
      <c r="CO1" s="569" t="s">
        <v>639</v>
      </c>
      <c r="CP1" s="569" t="s">
        <v>640</v>
      </c>
      <c r="CQ1" s="569" t="s">
        <v>641</v>
      </c>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7"/>
      <c r="EU1" s="567"/>
      <c r="EV1" s="567"/>
      <c r="EW1" s="567"/>
      <c r="EX1" s="567"/>
      <c r="EY1" s="567"/>
      <c r="EZ1" s="567"/>
      <c r="FA1" s="567"/>
      <c r="FB1" s="567"/>
      <c r="FC1" s="567"/>
      <c r="FD1" s="567"/>
      <c r="FE1" s="567"/>
      <c r="FF1" s="567"/>
      <c r="FG1" s="567"/>
      <c r="FH1" s="567"/>
      <c r="FI1" s="567"/>
      <c r="FJ1" s="567"/>
      <c r="FK1" s="567"/>
      <c r="FL1" s="567"/>
      <c r="FM1" s="567"/>
      <c r="FN1" s="567"/>
      <c r="FO1" s="567"/>
      <c r="FP1" s="567"/>
      <c r="FQ1" s="567"/>
      <c r="FR1" s="567"/>
      <c r="FS1" s="567"/>
      <c r="FT1" s="567"/>
      <c r="FU1" s="567"/>
      <c r="FV1" s="567"/>
      <c r="FW1" s="567"/>
      <c r="FX1" s="567"/>
      <c r="FY1" s="567"/>
      <c r="FZ1" s="567"/>
      <c r="GA1" s="567"/>
      <c r="GB1" s="567"/>
      <c r="GC1" s="567"/>
      <c r="GD1" s="567"/>
      <c r="GE1" s="567"/>
      <c r="GF1" s="567"/>
      <c r="GG1" s="567"/>
      <c r="GH1" s="567"/>
      <c r="GI1" s="567"/>
      <c r="GJ1" s="567"/>
      <c r="GK1" s="567"/>
      <c r="GL1" s="567"/>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567"/>
      <c r="HQ1" s="567"/>
      <c r="HR1" s="567"/>
      <c r="HS1" s="567"/>
      <c r="HT1" s="567"/>
      <c r="HU1" s="567"/>
      <c r="HV1" s="567"/>
      <c r="HW1" s="567"/>
      <c r="HX1" s="567"/>
      <c r="HY1" s="567"/>
      <c r="HZ1" s="567"/>
      <c r="IA1" s="567"/>
      <c r="IB1" s="567"/>
      <c r="IC1" s="567"/>
      <c r="ID1" s="567"/>
      <c r="IE1" s="567"/>
      <c r="IF1" s="567"/>
      <c r="IG1" s="567"/>
      <c r="IH1" s="567"/>
      <c r="II1" s="567"/>
      <c r="IJ1" s="567"/>
      <c r="IK1" s="567"/>
      <c r="IL1" s="567"/>
      <c r="IM1" s="567"/>
      <c r="IN1" s="567"/>
      <c r="IO1" s="567"/>
      <c r="IP1" s="567"/>
      <c r="IQ1" s="567"/>
      <c r="IR1" s="567"/>
      <c r="IS1" s="567"/>
      <c r="IT1" s="567"/>
      <c r="IU1" s="567"/>
    </row>
    <row r="2" spans="1:255" x14ac:dyDescent="0.25">
      <c r="A2" s="559"/>
      <c r="B2" s="559"/>
      <c r="C2" s="559"/>
      <c r="D2" s="560" t="s">
        <v>644</v>
      </c>
      <c r="E2" s="561">
        <v>50372</v>
      </c>
      <c r="F2" s="562">
        <v>50457</v>
      </c>
      <c r="G2" s="562">
        <v>50373</v>
      </c>
      <c r="H2" s="562">
        <v>50374</v>
      </c>
      <c r="I2" s="562">
        <v>50375</v>
      </c>
      <c r="J2" s="562">
        <v>50376</v>
      </c>
      <c r="K2" s="561">
        <v>50377</v>
      </c>
      <c r="L2" s="563">
        <v>50378</v>
      </c>
      <c r="M2" s="564">
        <v>50379</v>
      </c>
      <c r="N2" s="565">
        <v>50530</v>
      </c>
      <c r="O2" s="564">
        <v>50380</v>
      </c>
      <c r="P2" s="564">
        <v>50483</v>
      </c>
      <c r="Q2" s="564">
        <v>50381</v>
      </c>
      <c r="R2" s="564">
        <v>50501</v>
      </c>
      <c r="S2" s="564">
        <v>50494</v>
      </c>
      <c r="T2" s="564">
        <v>50382</v>
      </c>
      <c r="U2" s="564">
        <v>50383</v>
      </c>
      <c r="V2" s="564">
        <v>50384</v>
      </c>
      <c r="W2" s="564">
        <v>50557</v>
      </c>
      <c r="X2" s="564">
        <v>50385</v>
      </c>
      <c r="Y2" s="564">
        <v>50386</v>
      </c>
      <c r="Z2" s="564">
        <v>50388</v>
      </c>
      <c r="AA2" s="564">
        <v>50387</v>
      </c>
      <c r="AB2" s="566">
        <v>50389</v>
      </c>
      <c r="AC2" s="566">
        <v>50500</v>
      </c>
      <c r="AD2" s="566">
        <v>50390</v>
      </c>
      <c r="AE2" s="566">
        <v>50391</v>
      </c>
      <c r="AF2" s="566">
        <v>50531</v>
      </c>
      <c r="AG2" s="566">
        <v>50392</v>
      </c>
      <c r="AH2" s="566">
        <v>50458</v>
      </c>
      <c r="AI2" s="566">
        <v>50393</v>
      </c>
      <c r="AJ2" s="566">
        <v>50544</v>
      </c>
      <c r="AK2" s="566">
        <v>50394</v>
      </c>
      <c r="AL2" s="566">
        <v>50395</v>
      </c>
      <c r="AM2" s="566">
        <v>50396</v>
      </c>
      <c r="AN2" s="566">
        <v>50397</v>
      </c>
      <c r="AO2" s="566">
        <v>50550</v>
      </c>
      <c r="AP2" s="566">
        <v>50398</v>
      </c>
      <c r="AQ2" s="566">
        <v>50399</v>
      </c>
      <c r="AR2" s="566">
        <v>50400</v>
      </c>
      <c r="AS2" s="566">
        <v>50532</v>
      </c>
      <c r="AT2" s="566">
        <v>50401</v>
      </c>
      <c r="AU2" s="566">
        <v>50402</v>
      </c>
      <c r="AV2" s="566">
        <v>50485</v>
      </c>
      <c r="AW2" s="566">
        <v>50403</v>
      </c>
      <c r="AX2" s="566">
        <v>50404</v>
      </c>
      <c r="AY2" s="566">
        <v>50405</v>
      </c>
      <c r="AZ2" s="566">
        <v>50533</v>
      </c>
      <c r="BA2" s="566">
        <v>50406</v>
      </c>
      <c r="BB2" s="566">
        <v>50565</v>
      </c>
      <c r="BC2" s="566">
        <v>50407</v>
      </c>
      <c r="BD2" s="566">
        <v>50486</v>
      </c>
      <c r="BE2" s="566">
        <v>50408</v>
      </c>
      <c r="BF2" s="566">
        <v>50409</v>
      </c>
      <c r="BG2" s="566">
        <v>50410</v>
      </c>
      <c r="BH2" s="566">
        <v>50411</v>
      </c>
      <c r="BI2" s="566">
        <v>50412</v>
      </c>
      <c r="BJ2" s="566">
        <v>50488</v>
      </c>
      <c r="BK2" s="566">
        <v>50413</v>
      </c>
      <c r="BL2" s="566">
        <v>50414</v>
      </c>
      <c r="BM2" s="566">
        <v>50415</v>
      </c>
      <c r="BN2" s="566">
        <v>50416</v>
      </c>
      <c r="BO2" s="566">
        <v>50534</v>
      </c>
      <c r="BP2" s="566">
        <v>50417</v>
      </c>
      <c r="BQ2" s="566">
        <v>50418</v>
      </c>
      <c r="BR2" s="566">
        <v>50546</v>
      </c>
      <c r="BS2" s="566">
        <v>50552</v>
      </c>
      <c r="BT2" s="566">
        <v>50419</v>
      </c>
      <c r="BU2" s="566">
        <v>50441</v>
      </c>
      <c r="BV2" s="566">
        <v>50420</v>
      </c>
      <c r="BW2" s="566">
        <v>50421</v>
      </c>
      <c r="BX2" s="566">
        <v>50422</v>
      </c>
      <c r="BY2" s="566">
        <v>50535</v>
      </c>
      <c r="BZ2" s="566">
        <v>50423</v>
      </c>
      <c r="CA2" s="566">
        <v>50424</v>
      </c>
      <c r="CB2" s="566">
        <v>50425</v>
      </c>
      <c r="CC2" s="566">
        <v>50426</v>
      </c>
      <c r="CD2" s="566">
        <v>50537</v>
      </c>
      <c r="CE2" s="566">
        <v>50427</v>
      </c>
      <c r="CF2" s="566">
        <v>50428</v>
      </c>
      <c r="CG2" s="566">
        <v>50429</v>
      </c>
      <c r="CH2" s="566">
        <v>50431</v>
      </c>
      <c r="CI2" s="566">
        <v>50430</v>
      </c>
      <c r="CJ2" s="566">
        <v>50432</v>
      </c>
      <c r="CK2" s="566">
        <v>50453</v>
      </c>
      <c r="CL2" s="566">
        <v>50433</v>
      </c>
      <c r="CM2" s="566">
        <v>50435</v>
      </c>
      <c r="CN2" s="566">
        <v>50436</v>
      </c>
      <c r="CO2" s="566">
        <v>50499</v>
      </c>
      <c r="CP2" s="566">
        <v>50438</v>
      </c>
      <c r="CQ2" s="566">
        <v>50439</v>
      </c>
      <c r="CR2" s="563"/>
      <c r="CS2" s="563"/>
      <c r="CT2" s="563"/>
      <c r="CU2" s="563"/>
      <c r="CV2" s="563"/>
      <c r="CW2" s="563"/>
      <c r="CX2" s="563"/>
      <c r="CY2" s="563"/>
      <c r="CZ2" s="563"/>
      <c r="DA2" s="563"/>
      <c r="DB2" s="563"/>
      <c r="DC2" s="563"/>
      <c r="DD2" s="563"/>
      <c r="DE2" s="563"/>
      <c r="DF2" s="563"/>
      <c r="DG2" s="563"/>
      <c r="DH2" s="563"/>
      <c r="DI2" s="563"/>
      <c r="DJ2" s="563"/>
      <c r="DK2" s="563"/>
      <c r="DL2" s="563"/>
      <c r="DM2" s="563"/>
      <c r="DN2" s="563"/>
      <c r="DO2" s="563"/>
      <c r="DP2" s="563"/>
      <c r="DQ2" s="563"/>
      <c r="DR2" s="563"/>
      <c r="DS2" s="563"/>
      <c r="DT2" s="563"/>
      <c r="DU2" s="563"/>
      <c r="DV2" s="563"/>
      <c r="DW2" s="563"/>
      <c r="DX2" s="563"/>
      <c r="DY2" s="563"/>
      <c r="DZ2" s="563"/>
      <c r="EA2" s="563"/>
      <c r="EB2" s="563"/>
      <c r="EC2" s="563"/>
      <c r="ED2" s="563"/>
      <c r="EE2" s="563"/>
      <c r="EF2" s="563"/>
      <c r="EG2" s="563"/>
      <c r="EH2" s="563"/>
      <c r="EI2" s="563"/>
      <c r="EJ2" s="563"/>
      <c r="EK2" s="563"/>
      <c r="EL2" s="559"/>
      <c r="EM2" s="559"/>
      <c r="EN2" s="559"/>
      <c r="EO2" s="559"/>
      <c r="EP2" s="559"/>
      <c r="EQ2" s="559"/>
      <c r="ER2" s="559"/>
      <c r="ES2" s="559"/>
      <c r="ET2" s="559"/>
      <c r="EU2" s="559"/>
      <c r="EV2" s="559"/>
      <c r="EW2" s="559"/>
      <c r="EX2" s="559"/>
      <c r="EY2" s="559"/>
      <c r="EZ2" s="559"/>
      <c r="FA2" s="559"/>
      <c r="FB2" s="559"/>
      <c r="FC2" s="559"/>
      <c r="FD2" s="559"/>
      <c r="FE2" s="559"/>
      <c r="FF2" s="559"/>
      <c r="FG2" s="559"/>
      <c r="FH2" s="559"/>
      <c r="FI2" s="559"/>
      <c r="FJ2" s="559"/>
      <c r="FK2" s="559"/>
      <c r="FL2" s="559"/>
      <c r="FM2" s="559"/>
      <c r="FN2" s="559"/>
      <c r="FO2" s="559"/>
      <c r="FP2" s="559"/>
      <c r="FQ2" s="559"/>
      <c r="FR2" s="559"/>
      <c r="FS2" s="559"/>
      <c r="FT2" s="559"/>
      <c r="FU2" s="559"/>
      <c r="FV2" s="559"/>
      <c r="FW2" s="559"/>
      <c r="FX2" s="559"/>
      <c r="FY2" s="559"/>
      <c r="FZ2" s="559"/>
      <c r="GA2" s="559"/>
      <c r="GB2" s="559"/>
      <c r="GC2" s="559"/>
      <c r="GD2" s="559"/>
      <c r="GE2" s="559"/>
      <c r="GF2" s="559"/>
      <c r="GG2" s="559"/>
      <c r="GH2" s="559"/>
      <c r="GI2" s="559"/>
      <c r="GJ2" s="559"/>
      <c r="GK2" s="559"/>
      <c r="GL2" s="559"/>
      <c r="GM2" s="559"/>
      <c r="GN2" s="559"/>
      <c r="GO2" s="559"/>
      <c r="GP2" s="559"/>
      <c r="GQ2" s="559"/>
      <c r="GR2" s="559"/>
      <c r="GS2" s="559"/>
      <c r="GT2" s="559"/>
      <c r="GU2" s="559"/>
      <c r="GV2" s="559"/>
      <c r="GW2" s="559"/>
      <c r="GX2" s="559"/>
      <c r="GY2" s="559"/>
      <c r="GZ2" s="559"/>
      <c r="HA2" s="559"/>
      <c r="HB2" s="559"/>
      <c r="HC2" s="559"/>
      <c r="HD2" s="559"/>
      <c r="HE2" s="559"/>
      <c r="HF2" s="559"/>
      <c r="HG2" s="559"/>
      <c r="HH2" s="559"/>
      <c r="HI2" s="559"/>
      <c r="HJ2" s="559"/>
      <c r="HK2" s="559"/>
      <c r="HL2" s="559"/>
      <c r="HM2" s="559"/>
      <c r="HN2" s="559"/>
      <c r="HO2" s="559"/>
      <c r="HP2" s="559"/>
      <c r="HQ2" s="559"/>
      <c r="HR2" s="559"/>
      <c r="HS2" s="559"/>
      <c r="HT2" s="559"/>
      <c r="HU2" s="559"/>
      <c r="HV2" s="559"/>
      <c r="HW2" s="559"/>
      <c r="HX2" s="559"/>
      <c r="HY2" s="559"/>
      <c r="HZ2" s="559"/>
      <c r="IA2" s="559"/>
      <c r="IB2" s="559"/>
      <c r="IC2" s="559"/>
      <c r="ID2" s="559"/>
      <c r="IE2" s="559"/>
      <c r="IF2" s="559"/>
      <c r="IG2" s="559"/>
      <c r="IH2" s="559"/>
      <c r="II2" s="559"/>
      <c r="IJ2" s="559"/>
      <c r="IK2" s="559"/>
      <c r="IL2" s="559"/>
      <c r="IM2" s="559"/>
      <c r="IN2" s="559"/>
      <c r="IO2" s="559"/>
      <c r="IP2" s="559"/>
      <c r="IQ2" s="559"/>
      <c r="IR2" s="559"/>
      <c r="IS2" s="559"/>
      <c r="IT2" s="559"/>
      <c r="IU2" s="559"/>
    </row>
    <row r="3" spans="1:255" x14ac:dyDescent="0.25">
      <c r="A3" s="669">
        <v>4</v>
      </c>
      <c r="B3" s="569">
        <v>4</v>
      </c>
      <c r="C3" s="570" t="s">
        <v>645</v>
      </c>
      <c r="D3" s="567" t="s">
        <v>646</v>
      </c>
      <c r="E3" s="573">
        <v>4311</v>
      </c>
      <c r="F3" s="574">
        <v>239998</v>
      </c>
      <c r="G3" s="574">
        <v>12373</v>
      </c>
      <c r="H3" s="574">
        <v>207556</v>
      </c>
      <c r="I3" s="574">
        <v>9107</v>
      </c>
      <c r="J3" s="574">
        <v>12150</v>
      </c>
      <c r="K3" s="575">
        <v>1500195</v>
      </c>
      <c r="L3" s="572">
        <v>13793</v>
      </c>
      <c r="M3" s="572">
        <v>10032</v>
      </c>
      <c r="N3" s="571">
        <v>61510</v>
      </c>
      <c r="O3" s="571">
        <v>46126</v>
      </c>
      <c r="P3" s="571">
        <v>1270</v>
      </c>
      <c r="Q3" s="571">
        <v>1831</v>
      </c>
      <c r="R3" s="571">
        <v>44134</v>
      </c>
      <c r="S3" s="571">
        <v>116168</v>
      </c>
      <c r="T3" s="571">
        <v>102865</v>
      </c>
      <c r="U3" s="571">
        <v>0</v>
      </c>
      <c r="V3" s="571">
        <v>329844</v>
      </c>
      <c r="W3" s="571">
        <v>5836</v>
      </c>
      <c r="X3" s="571">
        <v>33496</v>
      </c>
      <c r="Y3" s="571">
        <v>0</v>
      </c>
      <c r="Z3" s="571">
        <v>1539</v>
      </c>
      <c r="AA3" s="571">
        <v>231710</v>
      </c>
      <c r="AB3" s="572">
        <v>58604</v>
      </c>
      <c r="AC3" s="572">
        <v>17853</v>
      </c>
      <c r="AD3" s="572">
        <v>3813</v>
      </c>
      <c r="AE3" s="572">
        <v>590955</v>
      </c>
      <c r="AF3" s="572">
        <v>23388</v>
      </c>
      <c r="AG3" s="572">
        <v>83337</v>
      </c>
      <c r="AH3" s="572">
        <v>10210</v>
      </c>
      <c r="AI3" s="572">
        <v>765</v>
      </c>
      <c r="AJ3" s="572">
        <v>531244</v>
      </c>
      <c r="AK3" s="572">
        <v>34278</v>
      </c>
      <c r="AL3" s="572">
        <v>269840</v>
      </c>
      <c r="AM3" s="572">
        <v>318337</v>
      </c>
      <c r="AN3" s="572">
        <v>990</v>
      </c>
      <c r="AO3" s="572">
        <v>15986</v>
      </c>
      <c r="AP3" s="572">
        <v>110222</v>
      </c>
      <c r="AQ3" s="572">
        <v>0</v>
      </c>
      <c r="AR3" s="572">
        <v>0</v>
      </c>
      <c r="AS3" s="572">
        <v>0</v>
      </c>
      <c r="AT3" s="572">
        <v>21982</v>
      </c>
      <c r="AU3" s="572">
        <v>2561</v>
      </c>
      <c r="AV3" s="572">
        <v>6848</v>
      </c>
      <c r="AW3" s="572">
        <v>92969</v>
      </c>
      <c r="AX3" s="572">
        <v>0</v>
      </c>
      <c r="AY3" s="572">
        <v>2765875</v>
      </c>
      <c r="AZ3" s="572">
        <v>89054</v>
      </c>
      <c r="BA3" s="572">
        <v>103655</v>
      </c>
      <c r="BB3" s="572">
        <v>0</v>
      </c>
      <c r="BC3" s="572">
        <v>107411</v>
      </c>
      <c r="BD3" s="572">
        <v>591620</v>
      </c>
      <c r="BE3" s="572">
        <v>13466</v>
      </c>
      <c r="BF3" s="572">
        <v>6113</v>
      </c>
      <c r="BG3" s="572">
        <v>35748</v>
      </c>
      <c r="BH3" s="572">
        <v>347744</v>
      </c>
      <c r="BI3" s="572">
        <v>5262</v>
      </c>
      <c r="BJ3" s="572">
        <v>0</v>
      </c>
      <c r="BK3" s="572">
        <v>470398</v>
      </c>
      <c r="BL3" s="572">
        <v>433581</v>
      </c>
      <c r="BM3" s="572">
        <v>348099</v>
      </c>
      <c r="BN3" s="572">
        <v>4726</v>
      </c>
      <c r="BO3" s="572">
        <v>107636</v>
      </c>
      <c r="BP3" s="572">
        <v>0</v>
      </c>
      <c r="BQ3" s="572">
        <v>2807645</v>
      </c>
      <c r="BR3" s="572">
        <v>27129</v>
      </c>
      <c r="BS3" s="572">
        <v>208567</v>
      </c>
      <c r="BT3" s="572">
        <v>116652</v>
      </c>
      <c r="BU3" s="572">
        <v>124195</v>
      </c>
      <c r="BV3" s="572">
        <v>27363</v>
      </c>
      <c r="BW3" s="572">
        <v>78732</v>
      </c>
      <c r="BX3" s="572">
        <v>437853</v>
      </c>
      <c r="BY3" s="572">
        <v>6752</v>
      </c>
      <c r="BZ3" s="572">
        <v>0</v>
      </c>
      <c r="CA3" s="572">
        <v>364157</v>
      </c>
      <c r="CB3" s="572">
        <v>9201435</v>
      </c>
      <c r="CC3" s="572">
        <v>4003653</v>
      </c>
      <c r="CD3" s="572">
        <v>1918</v>
      </c>
      <c r="CE3" s="572">
        <v>26945</v>
      </c>
      <c r="CF3" s="572">
        <v>0</v>
      </c>
      <c r="CG3" s="572">
        <v>49522</v>
      </c>
      <c r="CH3" s="572">
        <v>8733970</v>
      </c>
      <c r="CI3" s="572">
        <v>4849530</v>
      </c>
      <c r="CJ3" s="572">
        <v>11826</v>
      </c>
      <c r="CK3" s="572">
        <v>106891</v>
      </c>
      <c r="CL3" s="572">
        <v>11456</v>
      </c>
      <c r="CM3" s="572">
        <v>257527</v>
      </c>
      <c r="CN3" s="572">
        <v>25985</v>
      </c>
      <c r="CO3" s="572">
        <v>14256</v>
      </c>
      <c r="CP3" s="572">
        <v>121332</v>
      </c>
      <c r="CQ3" s="572">
        <v>681761</v>
      </c>
      <c r="CR3" s="568"/>
      <c r="CS3" s="568"/>
      <c r="CT3" s="568"/>
      <c r="CU3" s="568"/>
      <c r="CV3" s="568"/>
      <c r="CW3" s="568"/>
      <c r="CX3" s="568"/>
      <c r="CY3" s="568"/>
      <c r="CZ3" s="568"/>
      <c r="DA3" s="568"/>
      <c r="DB3" s="568"/>
      <c r="DC3" s="568"/>
      <c r="DD3" s="568"/>
      <c r="DE3" s="568"/>
      <c r="DF3" s="568"/>
      <c r="DG3" s="568"/>
      <c r="DH3" s="568"/>
      <c r="DI3" s="568"/>
      <c r="DJ3" s="568"/>
      <c r="DK3" s="568"/>
      <c r="DL3" s="568"/>
      <c r="DM3" s="568"/>
      <c r="DN3" s="568"/>
      <c r="DO3" s="568"/>
      <c r="DP3" s="568"/>
      <c r="DQ3" s="568"/>
      <c r="DR3" s="568"/>
      <c r="DS3" s="568"/>
      <c r="DT3" s="568"/>
      <c r="DU3" s="568"/>
      <c r="DV3" s="568"/>
      <c r="DW3" s="568"/>
      <c r="DX3" s="568"/>
      <c r="DY3" s="568"/>
      <c r="DZ3" s="568"/>
      <c r="EA3" s="568"/>
      <c r="EB3" s="568"/>
      <c r="EC3" s="568"/>
      <c r="ED3" s="568"/>
      <c r="EE3" s="568"/>
      <c r="EF3" s="568"/>
      <c r="EG3" s="568"/>
      <c r="EH3" s="568"/>
      <c r="EI3" s="568"/>
      <c r="EJ3" s="568"/>
      <c r="EK3" s="568"/>
      <c r="EL3" s="567"/>
      <c r="EM3" s="567"/>
      <c r="EN3" s="567"/>
      <c r="EO3" s="567"/>
      <c r="EP3" s="567"/>
      <c r="EQ3" s="567"/>
      <c r="ER3" s="567"/>
      <c r="ES3" s="567"/>
      <c r="ET3" s="567"/>
      <c r="EU3" s="567"/>
      <c r="EV3" s="567"/>
      <c r="EW3" s="567"/>
      <c r="EX3" s="567"/>
      <c r="EY3" s="567"/>
      <c r="EZ3" s="567"/>
      <c r="FA3" s="567"/>
      <c r="FB3" s="567"/>
      <c r="FC3" s="567"/>
      <c r="FD3" s="567"/>
      <c r="FE3" s="567"/>
      <c r="FF3" s="567"/>
      <c r="FG3" s="567"/>
      <c r="FH3" s="567"/>
      <c r="FI3" s="567"/>
      <c r="FJ3" s="567"/>
      <c r="FK3" s="567"/>
      <c r="FL3" s="567"/>
      <c r="FM3" s="567"/>
      <c r="FN3" s="567"/>
      <c r="FO3" s="567"/>
      <c r="FP3" s="567"/>
      <c r="FQ3" s="567"/>
      <c r="FR3" s="567"/>
      <c r="FS3" s="567"/>
      <c r="FT3" s="567"/>
      <c r="FU3" s="567"/>
      <c r="FV3" s="567"/>
      <c r="FW3" s="567"/>
      <c r="FX3" s="567"/>
      <c r="FY3" s="567"/>
      <c r="FZ3" s="567"/>
      <c r="GA3" s="567"/>
      <c r="GB3" s="567"/>
      <c r="GC3" s="567"/>
      <c r="GD3" s="567"/>
      <c r="GE3" s="567"/>
      <c r="GF3" s="567"/>
      <c r="GG3" s="567"/>
      <c r="GH3" s="567"/>
      <c r="GI3" s="567"/>
      <c r="GJ3" s="567"/>
      <c r="GK3" s="567"/>
      <c r="GL3" s="567"/>
      <c r="GM3" s="567"/>
      <c r="GN3" s="567"/>
      <c r="GO3" s="567"/>
      <c r="GP3" s="567"/>
      <c r="GQ3" s="567"/>
      <c r="GR3" s="567"/>
      <c r="GS3" s="567"/>
      <c r="GT3" s="567"/>
      <c r="GU3" s="567"/>
      <c r="GV3" s="567"/>
      <c r="GW3" s="567"/>
      <c r="GX3" s="567"/>
      <c r="GY3" s="567"/>
      <c r="GZ3" s="567"/>
      <c r="HA3" s="567"/>
      <c r="HB3" s="567"/>
      <c r="HC3" s="567"/>
      <c r="HD3" s="567"/>
      <c r="HE3" s="567"/>
      <c r="HF3" s="567"/>
      <c r="HG3" s="567"/>
      <c r="HH3" s="567"/>
      <c r="HI3" s="567"/>
      <c r="HJ3" s="567"/>
      <c r="HK3" s="567"/>
      <c r="HL3" s="567"/>
      <c r="HM3" s="567"/>
      <c r="HN3" s="567"/>
      <c r="HO3" s="567"/>
      <c r="HP3" s="567"/>
      <c r="HQ3" s="567"/>
      <c r="HR3" s="567"/>
      <c r="HS3" s="567"/>
      <c r="HT3" s="567"/>
      <c r="HU3" s="567"/>
      <c r="HV3" s="567"/>
      <c r="HW3" s="567"/>
      <c r="HX3" s="567"/>
      <c r="HY3" s="567"/>
      <c r="HZ3" s="567"/>
      <c r="IA3" s="567"/>
      <c r="IB3" s="567"/>
      <c r="IC3" s="567"/>
      <c r="ID3" s="567"/>
      <c r="IE3" s="567"/>
      <c r="IF3" s="567"/>
      <c r="IG3" s="567"/>
      <c r="IH3" s="567"/>
      <c r="II3" s="567"/>
      <c r="IJ3" s="567"/>
      <c r="IK3" s="567"/>
      <c r="IL3" s="567"/>
      <c r="IM3" s="567"/>
      <c r="IN3" s="567"/>
      <c r="IO3" s="567"/>
      <c r="IP3" s="567"/>
      <c r="IQ3" s="567"/>
      <c r="IR3" s="567"/>
      <c r="IS3" s="567"/>
      <c r="IT3" s="567"/>
      <c r="IU3" s="567"/>
    </row>
    <row r="4" spans="1:255" ht="30" x14ac:dyDescent="0.25">
      <c r="A4" s="668">
        <v>5</v>
      </c>
      <c r="B4" s="569">
        <v>5</v>
      </c>
      <c r="C4" s="570" t="s">
        <v>139</v>
      </c>
      <c r="D4" s="567" t="s">
        <v>647</v>
      </c>
      <c r="E4" s="573">
        <v>0</v>
      </c>
      <c r="F4" s="574">
        <v>0</v>
      </c>
      <c r="G4" s="574">
        <v>0</v>
      </c>
      <c r="H4" s="574">
        <v>1412</v>
      </c>
      <c r="I4" s="574">
        <v>6</v>
      </c>
      <c r="J4" s="574">
        <v>0</v>
      </c>
      <c r="K4" s="575">
        <v>5754</v>
      </c>
      <c r="L4" s="572">
        <v>0</v>
      </c>
      <c r="M4" s="572">
        <v>0</v>
      </c>
      <c r="N4" s="571">
        <v>0</v>
      </c>
      <c r="O4" s="571">
        <v>0</v>
      </c>
      <c r="P4" s="571">
        <v>0</v>
      </c>
      <c r="Q4" s="571">
        <v>0</v>
      </c>
      <c r="R4" s="571">
        <v>6346</v>
      </c>
      <c r="S4" s="571">
        <v>0</v>
      </c>
      <c r="T4" s="571">
        <v>0</v>
      </c>
      <c r="U4" s="571">
        <v>0</v>
      </c>
      <c r="V4" s="571">
        <v>0</v>
      </c>
      <c r="W4" s="571">
        <v>0</v>
      </c>
      <c r="X4" s="571">
        <v>7733</v>
      </c>
      <c r="Y4" s="571">
        <v>0</v>
      </c>
      <c r="Z4" s="571">
        <v>0</v>
      </c>
      <c r="AA4" s="571">
        <v>9796</v>
      </c>
      <c r="AB4" s="572">
        <v>0</v>
      </c>
      <c r="AC4" s="572">
        <v>0</v>
      </c>
      <c r="AD4" s="572">
        <v>0</v>
      </c>
      <c r="AE4" s="572">
        <v>0</v>
      </c>
      <c r="AF4" s="572">
        <v>0</v>
      </c>
      <c r="AG4" s="572">
        <v>0</v>
      </c>
      <c r="AH4" s="572">
        <v>0</v>
      </c>
      <c r="AI4" s="572">
        <v>20000</v>
      </c>
      <c r="AJ4" s="572">
        <v>0</v>
      </c>
      <c r="AK4" s="572">
        <v>3925</v>
      </c>
      <c r="AL4" s="572">
        <v>12805</v>
      </c>
      <c r="AM4" s="572">
        <v>0</v>
      </c>
      <c r="AN4" s="572">
        <v>0</v>
      </c>
      <c r="AO4" s="572">
        <v>0</v>
      </c>
      <c r="AP4" s="572">
        <v>0</v>
      </c>
      <c r="AQ4" s="572">
        <v>0</v>
      </c>
      <c r="AR4" s="572">
        <v>0</v>
      </c>
      <c r="AS4" s="572">
        <v>0</v>
      </c>
      <c r="AT4" s="572">
        <v>0</v>
      </c>
      <c r="AU4" s="572">
        <v>0</v>
      </c>
      <c r="AV4" s="572">
        <v>0</v>
      </c>
      <c r="AW4" s="572">
        <v>0</v>
      </c>
      <c r="AX4" s="572">
        <v>0</v>
      </c>
      <c r="AY4" s="572">
        <v>122610</v>
      </c>
      <c r="AZ4" s="572">
        <v>0</v>
      </c>
      <c r="BA4" s="572">
        <v>0</v>
      </c>
      <c r="BB4" s="572">
        <v>0</v>
      </c>
      <c r="BC4" s="572">
        <v>0</v>
      </c>
      <c r="BD4" s="572">
        <v>0</v>
      </c>
      <c r="BE4" s="572">
        <v>0</v>
      </c>
      <c r="BF4" s="572">
        <v>0</v>
      </c>
      <c r="BG4" s="572">
        <v>0</v>
      </c>
      <c r="BH4" s="572">
        <v>0</v>
      </c>
      <c r="BI4" s="572">
        <v>0</v>
      </c>
      <c r="BJ4" s="572">
        <v>0</v>
      </c>
      <c r="BK4" s="572">
        <v>0</v>
      </c>
      <c r="BL4" s="572">
        <v>121324</v>
      </c>
      <c r="BM4" s="572">
        <v>15944</v>
      </c>
      <c r="BN4" s="572">
        <v>0</v>
      </c>
      <c r="BO4" s="572">
        <v>0</v>
      </c>
      <c r="BP4" s="572">
        <v>0</v>
      </c>
      <c r="BQ4" s="572">
        <v>0</v>
      </c>
      <c r="BR4" s="572">
        <v>0</v>
      </c>
      <c r="BS4" s="572">
        <v>749</v>
      </c>
      <c r="BT4" s="572">
        <v>7220</v>
      </c>
      <c r="BU4" s="572">
        <v>0</v>
      </c>
      <c r="BV4" s="572">
        <v>0</v>
      </c>
      <c r="BW4" s="572">
        <v>7384</v>
      </c>
      <c r="BX4" s="572">
        <v>360</v>
      </c>
      <c r="BY4" s="572">
        <v>0</v>
      </c>
      <c r="BZ4" s="572">
        <v>0</v>
      </c>
      <c r="CA4" s="572">
        <v>8051</v>
      </c>
      <c r="CB4" s="572">
        <v>18036</v>
      </c>
      <c r="CC4" s="572">
        <v>0</v>
      </c>
      <c r="CD4" s="572">
        <v>4424</v>
      </c>
      <c r="CE4" s="572">
        <v>0</v>
      </c>
      <c r="CF4" s="572">
        <v>0</v>
      </c>
      <c r="CG4" s="572">
        <v>0</v>
      </c>
      <c r="CH4" s="572">
        <v>0</v>
      </c>
      <c r="CI4" s="572">
        <v>0</v>
      </c>
      <c r="CJ4" s="572">
        <v>0</v>
      </c>
      <c r="CK4" s="572">
        <v>0</v>
      </c>
      <c r="CL4" s="572">
        <v>0</v>
      </c>
      <c r="CM4" s="572">
        <v>0</v>
      </c>
      <c r="CN4" s="572">
        <v>0</v>
      </c>
      <c r="CO4" s="572">
        <v>0</v>
      </c>
      <c r="CP4" s="572">
        <v>499</v>
      </c>
      <c r="CQ4" s="572">
        <v>9841</v>
      </c>
      <c r="CR4" s="568"/>
      <c r="CS4" s="568"/>
      <c r="CT4" s="568"/>
      <c r="CU4" s="568"/>
      <c r="CV4" s="568"/>
      <c r="CW4" s="568"/>
      <c r="CX4" s="568"/>
      <c r="CY4" s="568"/>
      <c r="CZ4" s="568"/>
      <c r="DA4" s="568"/>
      <c r="DB4" s="568"/>
      <c r="DC4" s="568"/>
      <c r="DD4" s="568"/>
      <c r="DE4" s="568"/>
      <c r="DF4" s="568"/>
      <c r="DG4" s="568"/>
      <c r="DH4" s="568"/>
      <c r="DI4" s="568"/>
      <c r="DJ4" s="568"/>
      <c r="DK4" s="568"/>
      <c r="DL4" s="568"/>
      <c r="DM4" s="568"/>
      <c r="DN4" s="568"/>
      <c r="DO4" s="568"/>
      <c r="DP4" s="568"/>
      <c r="DQ4" s="568"/>
      <c r="DR4" s="568"/>
      <c r="DS4" s="568"/>
      <c r="DT4" s="568"/>
      <c r="DU4" s="568"/>
      <c r="DV4" s="568"/>
      <c r="DW4" s="568"/>
      <c r="DX4" s="568"/>
      <c r="DY4" s="568"/>
      <c r="DZ4" s="568"/>
      <c r="EA4" s="568"/>
      <c r="EB4" s="568"/>
      <c r="EC4" s="568"/>
      <c r="ED4" s="568"/>
      <c r="EE4" s="568"/>
      <c r="EF4" s="568"/>
      <c r="EG4" s="568"/>
      <c r="EH4" s="568"/>
      <c r="EI4" s="568"/>
      <c r="EJ4" s="568"/>
      <c r="EK4" s="568"/>
      <c r="EL4" s="567"/>
      <c r="EM4" s="567"/>
      <c r="EN4" s="567"/>
      <c r="EO4" s="567"/>
      <c r="EP4" s="567"/>
      <c r="EQ4" s="567"/>
      <c r="ER4" s="567"/>
      <c r="ES4" s="567"/>
      <c r="ET4" s="567"/>
      <c r="EU4" s="567"/>
      <c r="EV4" s="567"/>
      <c r="EW4" s="567"/>
      <c r="EX4" s="567"/>
      <c r="EY4" s="567"/>
      <c r="EZ4" s="567"/>
      <c r="FA4" s="567"/>
      <c r="FB4" s="567"/>
      <c r="FC4" s="567"/>
      <c r="FD4" s="567"/>
      <c r="FE4" s="567"/>
      <c r="FF4" s="567"/>
      <c r="FG4" s="567"/>
      <c r="FH4" s="567"/>
      <c r="FI4" s="567"/>
      <c r="FJ4" s="567"/>
      <c r="FK4" s="567"/>
      <c r="FL4" s="567"/>
      <c r="FM4" s="567"/>
      <c r="FN4" s="567"/>
      <c r="FO4" s="567"/>
      <c r="FP4" s="567"/>
      <c r="FQ4" s="567"/>
      <c r="FR4" s="567"/>
      <c r="FS4" s="567"/>
      <c r="FT4" s="567"/>
      <c r="FU4" s="567"/>
      <c r="FV4" s="567"/>
      <c r="FW4" s="567"/>
      <c r="FX4" s="567"/>
      <c r="FY4" s="567"/>
      <c r="FZ4" s="567"/>
      <c r="GA4" s="567"/>
      <c r="GB4" s="567"/>
      <c r="GC4" s="567"/>
      <c r="GD4" s="567"/>
      <c r="GE4" s="567"/>
      <c r="GF4" s="567"/>
      <c r="GG4" s="567"/>
      <c r="GH4" s="567"/>
      <c r="GI4" s="567"/>
      <c r="GJ4" s="567"/>
      <c r="GK4" s="567"/>
      <c r="GL4" s="567"/>
      <c r="GM4" s="567"/>
      <c r="GN4" s="567"/>
      <c r="GO4" s="567"/>
      <c r="GP4" s="567"/>
      <c r="GQ4" s="567"/>
      <c r="GR4" s="567"/>
      <c r="GS4" s="567"/>
      <c r="GT4" s="567"/>
      <c r="GU4" s="567"/>
      <c r="GV4" s="567"/>
      <c r="GW4" s="567"/>
      <c r="GX4" s="567"/>
      <c r="GY4" s="567"/>
      <c r="GZ4" s="567"/>
      <c r="HA4" s="567"/>
      <c r="HB4" s="567"/>
      <c r="HC4" s="567"/>
      <c r="HD4" s="567"/>
      <c r="HE4" s="567"/>
      <c r="HF4" s="567"/>
      <c r="HG4" s="567"/>
      <c r="HH4" s="567"/>
      <c r="HI4" s="567"/>
      <c r="HJ4" s="567"/>
      <c r="HK4" s="567"/>
      <c r="HL4" s="567"/>
      <c r="HM4" s="567"/>
      <c r="HN4" s="567"/>
      <c r="HO4" s="567"/>
      <c r="HP4" s="567"/>
      <c r="HQ4" s="567"/>
      <c r="HR4" s="567"/>
      <c r="HS4" s="567"/>
      <c r="HT4" s="567"/>
      <c r="HU4" s="567"/>
      <c r="HV4" s="567"/>
      <c r="HW4" s="567"/>
      <c r="HX4" s="567"/>
      <c r="HY4" s="567"/>
      <c r="HZ4" s="567"/>
      <c r="IA4" s="567"/>
      <c r="IB4" s="567"/>
      <c r="IC4" s="567"/>
      <c r="ID4" s="567"/>
      <c r="IE4" s="567"/>
      <c r="IF4" s="567"/>
      <c r="IG4" s="567"/>
      <c r="IH4" s="567"/>
      <c r="II4" s="567"/>
      <c r="IJ4" s="567"/>
      <c r="IK4" s="567"/>
      <c r="IL4" s="567"/>
      <c r="IM4" s="567"/>
      <c r="IN4" s="567"/>
      <c r="IO4" s="567"/>
      <c r="IP4" s="567"/>
      <c r="IQ4" s="567"/>
      <c r="IR4" s="567"/>
      <c r="IS4" s="567"/>
      <c r="IT4" s="567"/>
      <c r="IU4" s="567"/>
    </row>
    <row r="5" spans="1:255" x14ac:dyDescent="0.25">
      <c r="A5" s="668">
        <v>6</v>
      </c>
      <c r="B5" s="569">
        <v>6</v>
      </c>
      <c r="C5" s="570" t="s">
        <v>345</v>
      </c>
      <c r="D5" s="567" t="s">
        <v>648</v>
      </c>
      <c r="E5" s="573">
        <v>0</v>
      </c>
      <c r="F5" s="574">
        <v>325846</v>
      </c>
      <c r="G5" s="574">
        <v>0</v>
      </c>
      <c r="H5" s="574">
        <v>0</v>
      </c>
      <c r="I5" s="574">
        <v>0</v>
      </c>
      <c r="J5" s="574">
        <v>0</v>
      </c>
      <c r="K5" s="575">
        <v>2361148</v>
      </c>
      <c r="L5" s="572">
        <v>0</v>
      </c>
      <c r="M5" s="572">
        <v>0</v>
      </c>
      <c r="N5" s="571">
        <v>0</v>
      </c>
      <c r="O5" s="571">
        <v>0</v>
      </c>
      <c r="P5" s="571">
        <v>0</v>
      </c>
      <c r="Q5" s="571">
        <v>0</v>
      </c>
      <c r="R5" s="571">
        <v>0</v>
      </c>
      <c r="S5" s="571">
        <v>0</v>
      </c>
      <c r="T5" s="571">
        <v>0</v>
      </c>
      <c r="U5" s="571">
        <v>0</v>
      </c>
      <c r="V5" s="571">
        <v>0</v>
      </c>
      <c r="W5" s="571">
        <v>0</v>
      </c>
      <c r="X5" s="571">
        <v>0</v>
      </c>
      <c r="Y5" s="571">
        <v>0</v>
      </c>
      <c r="Z5" s="571">
        <v>0</v>
      </c>
      <c r="AA5" s="571">
        <v>0</v>
      </c>
      <c r="AB5" s="572">
        <v>0</v>
      </c>
      <c r="AC5" s="572">
        <v>0</v>
      </c>
      <c r="AD5" s="572">
        <v>0</v>
      </c>
      <c r="AE5" s="572">
        <v>234950</v>
      </c>
      <c r="AF5" s="572">
        <v>0</v>
      </c>
      <c r="AG5" s="572">
        <v>0</v>
      </c>
      <c r="AH5" s="572">
        <v>0</v>
      </c>
      <c r="AI5" s="572">
        <v>0</v>
      </c>
      <c r="AJ5" s="572">
        <v>0</v>
      </c>
      <c r="AK5" s="572">
        <v>0</v>
      </c>
      <c r="AL5" s="572">
        <v>0</v>
      </c>
      <c r="AM5" s="572">
        <v>0</v>
      </c>
      <c r="AN5" s="572">
        <v>0</v>
      </c>
      <c r="AO5" s="572">
        <v>0</v>
      </c>
      <c r="AP5" s="572">
        <v>0</v>
      </c>
      <c r="AQ5" s="572">
        <v>0</v>
      </c>
      <c r="AR5" s="572">
        <v>0</v>
      </c>
      <c r="AS5" s="572">
        <v>0</v>
      </c>
      <c r="AT5" s="572">
        <v>0</v>
      </c>
      <c r="AU5" s="572">
        <v>0</v>
      </c>
      <c r="AV5" s="572">
        <v>0</v>
      </c>
      <c r="AW5" s="572">
        <v>0</v>
      </c>
      <c r="AX5" s="572">
        <v>0</v>
      </c>
      <c r="AY5" s="572">
        <v>489375</v>
      </c>
      <c r="AZ5" s="572">
        <v>0</v>
      </c>
      <c r="BA5" s="572">
        <v>0</v>
      </c>
      <c r="BB5" s="572">
        <v>0</v>
      </c>
      <c r="BC5" s="572">
        <v>0</v>
      </c>
      <c r="BD5" s="572">
        <v>0</v>
      </c>
      <c r="BE5" s="572">
        <v>0</v>
      </c>
      <c r="BF5" s="572">
        <v>0</v>
      </c>
      <c r="BG5" s="572">
        <v>0</v>
      </c>
      <c r="BH5" s="572">
        <v>184258</v>
      </c>
      <c r="BI5" s="572">
        <v>0</v>
      </c>
      <c r="BJ5" s="572">
        <v>0</v>
      </c>
      <c r="BK5" s="572">
        <v>0</v>
      </c>
      <c r="BL5" s="572">
        <v>43791</v>
      </c>
      <c r="BM5" s="572">
        <v>0</v>
      </c>
      <c r="BN5" s="572">
        <v>0</v>
      </c>
      <c r="BO5" s="572">
        <v>129300</v>
      </c>
      <c r="BP5" s="572">
        <v>0</v>
      </c>
      <c r="BQ5" s="572">
        <v>0</v>
      </c>
      <c r="BR5" s="572">
        <v>0</v>
      </c>
      <c r="BS5" s="572">
        <v>0</v>
      </c>
      <c r="BT5" s="572">
        <v>0</v>
      </c>
      <c r="BU5" s="572">
        <v>0</v>
      </c>
      <c r="BV5" s="572">
        <v>0</v>
      </c>
      <c r="BW5" s="572">
        <v>0</v>
      </c>
      <c r="BX5" s="572">
        <v>0</v>
      </c>
      <c r="BY5" s="572">
        <v>0</v>
      </c>
      <c r="BZ5" s="572">
        <v>0</v>
      </c>
      <c r="CA5" s="572">
        <v>0</v>
      </c>
      <c r="CB5" s="572">
        <v>970516</v>
      </c>
      <c r="CC5" s="572">
        <v>713378</v>
      </c>
      <c r="CD5" s="572">
        <v>0</v>
      </c>
      <c r="CE5" s="572">
        <v>0</v>
      </c>
      <c r="CF5" s="572">
        <v>0</v>
      </c>
      <c r="CG5" s="572">
        <v>0</v>
      </c>
      <c r="CH5" s="572">
        <v>2150923</v>
      </c>
      <c r="CI5" s="572">
        <v>1947553</v>
      </c>
      <c r="CJ5" s="572">
        <v>0</v>
      </c>
      <c r="CK5" s="572">
        <v>0</v>
      </c>
      <c r="CL5" s="572">
        <v>0</v>
      </c>
      <c r="CM5" s="572">
        <v>0</v>
      </c>
      <c r="CN5" s="572">
        <v>0</v>
      </c>
      <c r="CO5" s="572">
        <v>0</v>
      </c>
      <c r="CP5" s="572">
        <v>0</v>
      </c>
      <c r="CQ5" s="572">
        <v>0</v>
      </c>
      <c r="CR5" s="568"/>
      <c r="CS5" s="568"/>
      <c r="CT5" s="568"/>
      <c r="CU5" s="568"/>
      <c r="CV5" s="568"/>
      <c r="CW5" s="568"/>
      <c r="CX5" s="568"/>
      <c r="CY5" s="568"/>
      <c r="CZ5" s="568"/>
      <c r="DA5" s="568"/>
      <c r="DB5" s="568"/>
      <c r="DC5" s="568"/>
      <c r="DD5" s="568"/>
      <c r="DE5" s="568"/>
      <c r="DF5" s="568"/>
      <c r="DG5" s="568"/>
      <c r="DH5" s="568"/>
      <c r="DI5" s="568"/>
      <c r="DJ5" s="568"/>
      <c r="DK5" s="568"/>
      <c r="DL5" s="568"/>
      <c r="DM5" s="568"/>
      <c r="DN5" s="568"/>
      <c r="DO5" s="568"/>
      <c r="DP5" s="568"/>
      <c r="DQ5" s="568"/>
      <c r="DR5" s="568"/>
      <c r="DS5" s="568"/>
      <c r="DT5" s="568"/>
      <c r="DU5" s="568"/>
      <c r="DV5" s="568"/>
      <c r="DW5" s="568"/>
      <c r="DX5" s="568"/>
      <c r="DY5" s="568"/>
      <c r="DZ5" s="568"/>
      <c r="EA5" s="568"/>
      <c r="EB5" s="568"/>
      <c r="EC5" s="568"/>
      <c r="ED5" s="568"/>
      <c r="EE5" s="568"/>
      <c r="EF5" s="568"/>
      <c r="EG5" s="568"/>
      <c r="EH5" s="568"/>
      <c r="EI5" s="568"/>
      <c r="EJ5" s="568"/>
      <c r="EK5" s="568"/>
      <c r="EL5" s="567"/>
      <c r="EM5" s="567"/>
      <c r="EN5" s="567"/>
      <c r="EO5" s="567"/>
      <c r="EP5" s="567"/>
      <c r="EQ5" s="567"/>
      <c r="ER5" s="567"/>
      <c r="ES5" s="567"/>
      <c r="ET5" s="567"/>
      <c r="EU5" s="567"/>
      <c r="EV5" s="567"/>
      <c r="EW5" s="567"/>
      <c r="EX5" s="567"/>
      <c r="EY5" s="567"/>
      <c r="EZ5" s="567"/>
      <c r="FA5" s="567"/>
      <c r="FB5" s="567"/>
      <c r="FC5" s="567"/>
      <c r="FD5" s="567"/>
      <c r="FE5" s="567"/>
      <c r="FF5" s="567"/>
      <c r="FG5" s="567"/>
      <c r="FH5" s="567"/>
      <c r="FI5" s="567"/>
      <c r="FJ5" s="567"/>
      <c r="FK5" s="567"/>
      <c r="FL5" s="567"/>
      <c r="FM5" s="567"/>
      <c r="FN5" s="567"/>
      <c r="FO5" s="567"/>
      <c r="FP5" s="567"/>
      <c r="FQ5" s="567"/>
      <c r="FR5" s="567"/>
      <c r="FS5" s="567"/>
      <c r="FT5" s="567"/>
      <c r="FU5" s="567"/>
      <c r="FV5" s="567"/>
      <c r="FW5" s="567"/>
      <c r="FX5" s="567"/>
      <c r="FY5" s="567"/>
      <c r="FZ5" s="567"/>
      <c r="GA5" s="567"/>
      <c r="GB5" s="567"/>
      <c r="GC5" s="567"/>
      <c r="GD5" s="567"/>
      <c r="GE5" s="567"/>
      <c r="GF5" s="567"/>
      <c r="GG5" s="567"/>
      <c r="GH5" s="567"/>
      <c r="GI5" s="567"/>
      <c r="GJ5" s="567"/>
      <c r="GK5" s="567"/>
      <c r="GL5" s="567"/>
      <c r="GM5" s="567"/>
      <c r="GN5" s="567"/>
      <c r="GO5" s="567"/>
      <c r="GP5" s="567"/>
      <c r="GQ5" s="567"/>
      <c r="GR5" s="567"/>
      <c r="GS5" s="567"/>
      <c r="GT5" s="567"/>
      <c r="GU5" s="567"/>
      <c r="GV5" s="567"/>
      <c r="GW5" s="567"/>
      <c r="GX5" s="567"/>
      <c r="GY5" s="567"/>
      <c r="GZ5" s="567"/>
      <c r="HA5" s="567"/>
      <c r="HB5" s="567"/>
      <c r="HC5" s="567"/>
      <c r="HD5" s="567"/>
      <c r="HE5" s="567"/>
      <c r="HF5" s="567"/>
      <c r="HG5" s="567"/>
      <c r="HH5" s="567"/>
      <c r="HI5" s="567"/>
      <c r="HJ5" s="567"/>
      <c r="HK5" s="567"/>
      <c r="HL5" s="567"/>
      <c r="HM5" s="567"/>
      <c r="HN5" s="567"/>
      <c r="HO5" s="567"/>
      <c r="HP5" s="567"/>
      <c r="HQ5" s="567"/>
      <c r="HR5" s="567"/>
      <c r="HS5" s="567"/>
      <c r="HT5" s="567"/>
      <c r="HU5" s="567"/>
      <c r="HV5" s="567"/>
      <c r="HW5" s="567"/>
      <c r="HX5" s="567"/>
      <c r="HY5" s="567"/>
      <c r="HZ5" s="567"/>
      <c r="IA5" s="567"/>
      <c r="IB5" s="567"/>
      <c r="IC5" s="567"/>
      <c r="ID5" s="567"/>
      <c r="IE5" s="567"/>
      <c r="IF5" s="567"/>
      <c r="IG5" s="567"/>
      <c r="IH5" s="567"/>
      <c r="II5" s="567"/>
      <c r="IJ5" s="567"/>
      <c r="IK5" s="567"/>
      <c r="IL5" s="567"/>
      <c r="IM5" s="567"/>
      <c r="IN5" s="567"/>
      <c r="IO5" s="567"/>
      <c r="IP5" s="567"/>
      <c r="IQ5" s="567"/>
      <c r="IR5" s="567"/>
      <c r="IS5" s="567"/>
      <c r="IT5" s="567"/>
      <c r="IU5" s="567"/>
    </row>
    <row r="6" spans="1:255" x14ac:dyDescent="0.25">
      <c r="A6" s="668">
        <v>7</v>
      </c>
      <c r="B6" s="569">
        <v>7</v>
      </c>
      <c r="C6" s="570" t="s">
        <v>287</v>
      </c>
      <c r="D6" s="567" t="s">
        <v>649</v>
      </c>
      <c r="E6" s="573">
        <v>450</v>
      </c>
      <c r="F6" s="574">
        <v>0</v>
      </c>
      <c r="G6" s="574">
        <v>0</v>
      </c>
      <c r="H6" s="574">
        <v>0</v>
      </c>
      <c r="I6" s="574">
        <v>0</v>
      </c>
      <c r="J6" s="574">
        <v>0</v>
      </c>
      <c r="K6" s="575">
        <v>50771</v>
      </c>
      <c r="L6" s="572">
        <v>0</v>
      </c>
      <c r="M6" s="572">
        <v>2874</v>
      </c>
      <c r="N6" s="571">
        <v>0</v>
      </c>
      <c r="O6" s="571">
        <v>19031</v>
      </c>
      <c r="P6" s="571">
        <v>0</v>
      </c>
      <c r="Q6" s="571">
        <v>20349</v>
      </c>
      <c r="R6" s="571">
        <v>0</v>
      </c>
      <c r="S6" s="571">
        <v>3050</v>
      </c>
      <c r="T6" s="571">
        <v>0</v>
      </c>
      <c r="U6" s="571">
        <v>0</v>
      </c>
      <c r="V6" s="571">
        <v>0</v>
      </c>
      <c r="W6" s="571">
        <v>9839</v>
      </c>
      <c r="X6" s="571">
        <v>0</v>
      </c>
      <c r="Y6" s="571">
        <v>0</v>
      </c>
      <c r="Z6" s="571">
        <v>0</v>
      </c>
      <c r="AA6" s="571">
        <v>216129</v>
      </c>
      <c r="AB6" s="572">
        <v>0</v>
      </c>
      <c r="AC6" s="572">
        <v>0</v>
      </c>
      <c r="AD6" s="572">
        <v>0</v>
      </c>
      <c r="AE6" s="572">
        <v>80219</v>
      </c>
      <c r="AF6" s="572">
        <v>0</v>
      </c>
      <c r="AG6" s="572">
        <v>0</v>
      </c>
      <c r="AH6" s="572">
        <v>0</v>
      </c>
      <c r="AI6" s="572">
        <v>0</v>
      </c>
      <c r="AJ6" s="572">
        <v>0</v>
      </c>
      <c r="AK6" s="572">
        <v>5883</v>
      </c>
      <c r="AL6" s="572">
        <v>16378</v>
      </c>
      <c r="AM6" s="572">
        <v>13688</v>
      </c>
      <c r="AN6" s="572">
        <v>0</v>
      </c>
      <c r="AO6" s="572">
        <v>2224</v>
      </c>
      <c r="AP6" s="572">
        <v>122075</v>
      </c>
      <c r="AQ6" s="572">
        <v>0</v>
      </c>
      <c r="AR6" s="572">
        <v>0</v>
      </c>
      <c r="AS6" s="572">
        <v>0</v>
      </c>
      <c r="AT6" s="572">
        <v>0</v>
      </c>
      <c r="AU6" s="572">
        <v>0</v>
      </c>
      <c r="AV6" s="572">
        <v>0</v>
      </c>
      <c r="AW6" s="572">
        <v>28916</v>
      </c>
      <c r="AX6" s="572">
        <v>0</v>
      </c>
      <c r="AY6" s="572">
        <v>117560</v>
      </c>
      <c r="AZ6" s="572">
        <v>0</v>
      </c>
      <c r="BA6" s="572">
        <v>25889</v>
      </c>
      <c r="BB6" s="572">
        <v>0</v>
      </c>
      <c r="BC6" s="572">
        <v>0</v>
      </c>
      <c r="BD6" s="572">
        <v>0</v>
      </c>
      <c r="BE6" s="572">
        <v>25750</v>
      </c>
      <c r="BF6" s="572">
        <v>5833</v>
      </c>
      <c r="BG6" s="572">
        <v>0</v>
      </c>
      <c r="BH6" s="572">
        <v>99364</v>
      </c>
      <c r="BI6" s="572">
        <v>5270</v>
      </c>
      <c r="BJ6" s="572">
        <v>0</v>
      </c>
      <c r="BK6" s="572">
        <v>41310</v>
      </c>
      <c r="BL6" s="572">
        <v>5649</v>
      </c>
      <c r="BM6" s="572">
        <v>0</v>
      </c>
      <c r="BN6" s="572">
        <v>0</v>
      </c>
      <c r="BO6" s="572">
        <v>2936</v>
      </c>
      <c r="BP6" s="572">
        <v>0</v>
      </c>
      <c r="BQ6" s="572">
        <v>0</v>
      </c>
      <c r="BR6" s="572">
        <v>0</v>
      </c>
      <c r="BS6" s="572">
        <v>282</v>
      </c>
      <c r="BT6" s="572">
        <v>0</v>
      </c>
      <c r="BU6" s="572">
        <v>0</v>
      </c>
      <c r="BV6" s="572">
        <v>0</v>
      </c>
      <c r="BW6" s="572">
        <v>0</v>
      </c>
      <c r="BX6" s="572">
        <v>0</v>
      </c>
      <c r="BY6" s="572">
        <v>0</v>
      </c>
      <c r="BZ6" s="572">
        <v>0</v>
      </c>
      <c r="CA6" s="572">
        <v>20257</v>
      </c>
      <c r="CB6" s="572">
        <v>1335687</v>
      </c>
      <c r="CC6" s="572">
        <v>355839</v>
      </c>
      <c r="CD6" s="572">
        <v>0</v>
      </c>
      <c r="CE6" s="572">
        <v>0</v>
      </c>
      <c r="CF6" s="572">
        <v>0</v>
      </c>
      <c r="CG6" s="572">
        <v>5847</v>
      </c>
      <c r="CH6" s="572">
        <v>1314636</v>
      </c>
      <c r="CI6" s="572">
        <v>10323</v>
      </c>
      <c r="CJ6" s="572">
        <v>11167</v>
      </c>
      <c r="CK6" s="572">
        <v>0</v>
      </c>
      <c r="CL6" s="572">
        <v>0</v>
      </c>
      <c r="CM6" s="572">
        <v>39244</v>
      </c>
      <c r="CN6" s="572">
        <v>0</v>
      </c>
      <c r="CO6" s="572">
        <v>0</v>
      </c>
      <c r="CP6" s="572">
        <v>0</v>
      </c>
      <c r="CQ6" s="572">
        <v>0</v>
      </c>
      <c r="CR6" s="568"/>
      <c r="CS6" s="568"/>
      <c r="CT6" s="568"/>
      <c r="CU6" s="568"/>
      <c r="CV6" s="568"/>
      <c r="CW6" s="568"/>
      <c r="CX6" s="568"/>
      <c r="CY6" s="568"/>
      <c r="CZ6" s="568"/>
      <c r="DA6" s="568"/>
      <c r="DB6" s="568"/>
      <c r="DC6" s="568"/>
      <c r="DD6" s="568"/>
      <c r="DE6" s="568"/>
      <c r="DF6" s="568"/>
      <c r="DG6" s="568"/>
      <c r="DH6" s="568"/>
      <c r="DI6" s="568"/>
      <c r="DJ6" s="568"/>
      <c r="DK6" s="568"/>
      <c r="DL6" s="568"/>
      <c r="DM6" s="568"/>
      <c r="DN6" s="568"/>
      <c r="DO6" s="568"/>
      <c r="DP6" s="568"/>
      <c r="DQ6" s="568"/>
      <c r="DR6" s="568"/>
      <c r="DS6" s="568"/>
      <c r="DT6" s="568"/>
      <c r="DU6" s="568"/>
      <c r="DV6" s="568"/>
      <c r="DW6" s="568"/>
      <c r="DX6" s="568"/>
      <c r="DY6" s="568"/>
      <c r="DZ6" s="568"/>
      <c r="EA6" s="568"/>
      <c r="EB6" s="568"/>
      <c r="EC6" s="568"/>
      <c r="ED6" s="568"/>
      <c r="EE6" s="568"/>
      <c r="EF6" s="568"/>
      <c r="EG6" s="568"/>
      <c r="EH6" s="568"/>
      <c r="EI6" s="568"/>
      <c r="EJ6" s="568"/>
      <c r="EK6" s="568"/>
      <c r="EL6" s="567"/>
      <c r="EM6" s="567"/>
      <c r="EN6" s="567"/>
      <c r="EO6" s="567"/>
      <c r="EP6" s="567"/>
      <c r="EQ6" s="567"/>
      <c r="ER6" s="567"/>
      <c r="ES6" s="567"/>
      <c r="ET6" s="567"/>
      <c r="EU6" s="567"/>
      <c r="EV6" s="567"/>
      <c r="EW6" s="567"/>
      <c r="EX6" s="567"/>
      <c r="EY6" s="567"/>
      <c r="EZ6" s="567"/>
      <c r="FA6" s="567"/>
      <c r="FB6" s="567"/>
      <c r="FC6" s="567"/>
      <c r="FD6" s="567"/>
      <c r="FE6" s="567"/>
      <c r="FF6" s="567"/>
      <c r="FG6" s="567"/>
      <c r="FH6" s="567"/>
      <c r="FI6" s="567"/>
      <c r="FJ6" s="567"/>
      <c r="FK6" s="567"/>
      <c r="FL6" s="567"/>
      <c r="FM6" s="567"/>
      <c r="FN6" s="567"/>
      <c r="FO6" s="567"/>
      <c r="FP6" s="567"/>
      <c r="FQ6" s="567"/>
      <c r="FR6" s="567"/>
      <c r="FS6" s="567"/>
      <c r="FT6" s="567"/>
      <c r="FU6" s="567"/>
      <c r="FV6" s="567"/>
      <c r="FW6" s="567"/>
      <c r="FX6" s="567"/>
      <c r="FY6" s="567"/>
      <c r="FZ6" s="567"/>
      <c r="GA6" s="567"/>
      <c r="GB6" s="567"/>
      <c r="GC6" s="567"/>
      <c r="GD6" s="567"/>
      <c r="GE6" s="567"/>
      <c r="GF6" s="567"/>
      <c r="GG6" s="567"/>
      <c r="GH6" s="567"/>
      <c r="GI6" s="567"/>
      <c r="GJ6" s="567"/>
      <c r="GK6" s="567"/>
      <c r="GL6" s="567"/>
      <c r="GM6" s="567"/>
      <c r="GN6" s="567"/>
      <c r="GO6" s="567"/>
      <c r="GP6" s="567"/>
      <c r="GQ6" s="567"/>
      <c r="GR6" s="567"/>
      <c r="GS6" s="567"/>
      <c r="GT6" s="567"/>
      <c r="GU6" s="567"/>
      <c r="GV6" s="567"/>
      <c r="GW6" s="567"/>
      <c r="GX6" s="567"/>
      <c r="GY6" s="567"/>
      <c r="GZ6" s="567"/>
      <c r="HA6" s="567"/>
      <c r="HB6" s="567"/>
      <c r="HC6" s="567"/>
      <c r="HD6" s="567"/>
      <c r="HE6" s="567"/>
      <c r="HF6" s="567"/>
      <c r="HG6" s="567"/>
      <c r="HH6" s="567"/>
      <c r="HI6" s="567"/>
      <c r="HJ6" s="567"/>
      <c r="HK6" s="567"/>
      <c r="HL6" s="567"/>
      <c r="HM6" s="567"/>
      <c r="HN6" s="567"/>
      <c r="HO6" s="567"/>
      <c r="HP6" s="567"/>
      <c r="HQ6" s="567"/>
      <c r="HR6" s="567"/>
      <c r="HS6" s="567"/>
      <c r="HT6" s="567"/>
      <c r="HU6" s="567"/>
      <c r="HV6" s="567"/>
      <c r="HW6" s="567"/>
      <c r="HX6" s="567"/>
      <c r="HY6" s="567"/>
      <c r="HZ6" s="567"/>
      <c r="IA6" s="567"/>
      <c r="IB6" s="567"/>
      <c r="IC6" s="567"/>
      <c r="ID6" s="567"/>
      <c r="IE6" s="567"/>
      <c r="IF6" s="567"/>
      <c r="IG6" s="567"/>
      <c r="IH6" s="567"/>
      <c r="II6" s="567"/>
      <c r="IJ6" s="567"/>
      <c r="IK6" s="567"/>
      <c r="IL6" s="567"/>
      <c r="IM6" s="567"/>
      <c r="IN6" s="567"/>
      <c r="IO6" s="567"/>
      <c r="IP6" s="567"/>
      <c r="IQ6" s="567"/>
      <c r="IR6" s="567"/>
      <c r="IS6" s="567"/>
      <c r="IT6" s="567"/>
      <c r="IU6" s="567"/>
    </row>
    <row r="7" spans="1:255" ht="30" x14ac:dyDescent="0.25">
      <c r="A7" s="668">
        <v>9</v>
      </c>
      <c r="B7" s="569">
        <v>9</v>
      </c>
      <c r="C7" s="570" t="s">
        <v>289</v>
      </c>
      <c r="D7" s="567" t="s">
        <v>650</v>
      </c>
      <c r="E7" s="573">
        <v>654467</v>
      </c>
      <c r="F7" s="574">
        <v>8945037</v>
      </c>
      <c r="G7" s="574">
        <v>941285</v>
      </c>
      <c r="H7" s="574">
        <v>1284711</v>
      </c>
      <c r="I7" s="574">
        <v>650611</v>
      </c>
      <c r="J7" s="574">
        <v>885207</v>
      </c>
      <c r="K7" s="575">
        <v>22729977</v>
      </c>
      <c r="L7" s="572">
        <v>555699</v>
      </c>
      <c r="M7" s="572">
        <v>476971</v>
      </c>
      <c r="N7" s="571">
        <v>2994383</v>
      </c>
      <c r="O7" s="571">
        <v>812458</v>
      </c>
      <c r="P7" s="571">
        <v>352697</v>
      </c>
      <c r="Q7" s="571">
        <v>339263</v>
      </c>
      <c r="R7" s="571">
        <v>1348698</v>
      </c>
      <c r="S7" s="571">
        <v>7038320</v>
      </c>
      <c r="T7" s="571">
        <v>7466030</v>
      </c>
      <c r="U7" s="571">
        <v>0</v>
      </c>
      <c r="V7" s="571">
        <v>2209287</v>
      </c>
      <c r="W7" s="571">
        <v>3343968</v>
      </c>
      <c r="X7" s="571">
        <v>4685679</v>
      </c>
      <c r="Y7" s="571">
        <v>2191514</v>
      </c>
      <c r="Z7" s="571">
        <v>92658</v>
      </c>
      <c r="AA7" s="571">
        <v>5646236</v>
      </c>
      <c r="AB7" s="572">
        <v>726575</v>
      </c>
      <c r="AC7" s="572">
        <v>902366</v>
      </c>
      <c r="AD7" s="572">
        <v>577062</v>
      </c>
      <c r="AE7" s="572">
        <v>12199847</v>
      </c>
      <c r="AF7" s="572">
        <v>2293312</v>
      </c>
      <c r="AG7" s="572">
        <v>2781793</v>
      </c>
      <c r="AH7" s="572">
        <v>3042399</v>
      </c>
      <c r="AI7" s="572">
        <v>498932</v>
      </c>
      <c r="AJ7" s="572">
        <v>8112384</v>
      </c>
      <c r="AK7" s="572">
        <v>1748627</v>
      </c>
      <c r="AL7" s="572">
        <v>1759791</v>
      </c>
      <c r="AM7" s="572">
        <v>1528168</v>
      </c>
      <c r="AN7" s="572">
        <v>137690</v>
      </c>
      <c r="AO7" s="572">
        <v>2816179</v>
      </c>
      <c r="AP7" s="572">
        <v>2166051</v>
      </c>
      <c r="AQ7" s="572">
        <v>0</v>
      </c>
      <c r="AR7" s="572">
        <v>312285</v>
      </c>
      <c r="AS7" s="572">
        <v>1541988</v>
      </c>
      <c r="AT7" s="572">
        <v>582588</v>
      </c>
      <c r="AU7" s="572">
        <v>197066</v>
      </c>
      <c r="AV7" s="572">
        <v>256082</v>
      </c>
      <c r="AW7" s="572">
        <v>3297949</v>
      </c>
      <c r="AX7" s="572">
        <v>856359</v>
      </c>
      <c r="AY7" s="572">
        <v>16479764</v>
      </c>
      <c r="AZ7" s="572">
        <v>4484105</v>
      </c>
      <c r="BA7" s="572">
        <v>2595984</v>
      </c>
      <c r="BB7" s="572">
        <v>2753486</v>
      </c>
      <c r="BC7" s="572">
        <v>1005248</v>
      </c>
      <c r="BD7" s="572">
        <v>1038132</v>
      </c>
      <c r="BE7" s="572">
        <v>229370</v>
      </c>
      <c r="BF7" s="572">
        <v>910864</v>
      </c>
      <c r="BG7" s="572">
        <v>1676943</v>
      </c>
      <c r="BH7" s="572">
        <v>9652610</v>
      </c>
      <c r="BI7" s="572">
        <v>441174</v>
      </c>
      <c r="BJ7" s="572">
        <v>233753</v>
      </c>
      <c r="BK7" s="572">
        <v>5542280</v>
      </c>
      <c r="BL7" s="572">
        <v>7376247</v>
      </c>
      <c r="BM7" s="572">
        <v>7014214</v>
      </c>
      <c r="BN7" s="572">
        <v>144265</v>
      </c>
      <c r="BO7" s="572">
        <v>2744990</v>
      </c>
      <c r="BP7" s="572">
        <v>0</v>
      </c>
      <c r="BQ7" s="572">
        <v>6638603</v>
      </c>
      <c r="BR7" s="572">
        <v>1523091</v>
      </c>
      <c r="BS7" s="572">
        <v>1209675</v>
      </c>
      <c r="BT7" s="572">
        <v>2088266</v>
      </c>
      <c r="BU7" s="572">
        <v>2368235</v>
      </c>
      <c r="BV7" s="572">
        <v>516712</v>
      </c>
      <c r="BW7" s="572">
        <v>894164</v>
      </c>
      <c r="BX7" s="572">
        <v>4109666</v>
      </c>
      <c r="BY7" s="572">
        <v>590441</v>
      </c>
      <c r="BZ7" s="572">
        <v>0</v>
      </c>
      <c r="CA7" s="572">
        <v>4234316</v>
      </c>
      <c r="CB7" s="572">
        <v>56451053</v>
      </c>
      <c r="CC7" s="572">
        <v>24612475</v>
      </c>
      <c r="CD7" s="572">
        <v>1202678</v>
      </c>
      <c r="CE7" s="572">
        <v>2560317</v>
      </c>
      <c r="CF7" s="572">
        <v>0</v>
      </c>
      <c r="CG7" s="572">
        <v>1163566</v>
      </c>
      <c r="CH7" s="572">
        <v>50181105</v>
      </c>
      <c r="CI7" s="572">
        <v>9050893</v>
      </c>
      <c r="CJ7" s="572">
        <v>1161856</v>
      </c>
      <c r="CK7" s="572">
        <v>2746602</v>
      </c>
      <c r="CL7" s="572">
        <v>857517</v>
      </c>
      <c r="CM7" s="572">
        <v>11536284</v>
      </c>
      <c r="CN7" s="572">
        <v>2692555</v>
      </c>
      <c r="CO7" s="572">
        <v>1727349</v>
      </c>
      <c r="CP7" s="572">
        <v>1393685</v>
      </c>
      <c r="CQ7" s="572">
        <v>9378155</v>
      </c>
      <c r="CR7" s="568"/>
      <c r="CS7" s="568"/>
      <c r="CT7" s="568"/>
      <c r="CU7" s="568"/>
      <c r="CV7" s="568"/>
      <c r="CW7" s="568"/>
      <c r="CX7" s="568"/>
      <c r="CY7" s="568"/>
      <c r="CZ7" s="568"/>
      <c r="DA7" s="568"/>
      <c r="DB7" s="568"/>
      <c r="DC7" s="568"/>
      <c r="DD7" s="568"/>
      <c r="DE7" s="568"/>
      <c r="DF7" s="568"/>
      <c r="DG7" s="568"/>
      <c r="DH7" s="568"/>
      <c r="DI7" s="568"/>
      <c r="DJ7" s="568"/>
      <c r="DK7" s="568"/>
      <c r="DL7" s="568"/>
      <c r="DM7" s="568"/>
      <c r="DN7" s="568"/>
      <c r="DO7" s="568"/>
      <c r="DP7" s="568"/>
      <c r="DQ7" s="568"/>
      <c r="DR7" s="568"/>
      <c r="DS7" s="568"/>
      <c r="DT7" s="568"/>
      <c r="DU7" s="568"/>
      <c r="DV7" s="568"/>
      <c r="DW7" s="568"/>
      <c r="DX7" s="568"/>
      <c r="DY7" s="568"/>
      <c r="DZ7" s="568"/>
      <c r="EA7" s="568"/>
      <c r="EB7" s="568"/>
      <c r="EC7" s="568"/>
      <c r="ED7" s="568"/>
      <c r="EE7" s="568"/>
      <c r="EF7" s="568"/>
      <c r="EG7" s="568"/>
      <c r="EH7" s="568"/>
      <c r="EI7" s="568"/>
      <c r="EJ7" s="568"/>
      <c r="EK7" s="568"/>
      <c r="EL7" s="567"/>
      <c r="EM7" s="567"/>
      <c r="EN7" s="567"/>
      <c r="EO7" s="567"/>
      <c r="EP7" s="567"/>
      <c r="EQ7" s="567"/>
      <c r="ER7" s="567"/>
      <c r="ES7" s="567"/>
      <c r="ET7" s="567"/>
      <c r="EU7" s="567"/>
      <c r="EV7" s="567"/>
      <c r="EW7" s="567"/>
      <c r="EX7" s="567"/>
      <c r="EY7" s="567"/>
      <c r="EZ7" s="567"/>
      <c r="FA7" s="567"/>
      <c r="FB7" s="567"/>
      <c r="FC7" s="567"/>
      <c r="FD7" s="567"/>
      <c r="FE7" s="567"/>
      <c r="FF7" s="567"/>
      <c r="FG7" s="567"/>
      <c r="FH7" s="567"/>
      <c r="FI7" s="567"/>
      <c r="FJ7" s="567"/>
      <c r="FK7" s="567"/>
      <c r="FL7" s="567"/>
      <c r="FM7" s="567"/>
      <c r="FN7" s="567"/>
      <c r="FO7" s="567"/>
      <c r="FP7" s="567"/>
      <c r="FQ7" s="567"/>
      <c r="FR7" s="567"/>
      <c r="FS7" s="567"/>
      <c r="FT7" s="567"/>
      <c r="FU7" s="567"/>
      <c r="FV7" s="567"/>
      <c r="FW7" s="567"/>
      <c r="FX7" s="567"/>
      <c r="FY7" s="567"/>
      <c r="FZ7" s="567"/>
      <c r="GA7" s="567"/>
      <c r="GB7" s="567"/>
      <c r="GC7" s="567"/>
      <c r="GD7" s="567"/>
      <c r="GE7" s="567"/>
      <c r="GF7" s="567"/>
      <c r="GG7" s="567"/>
      <c r="GH7" s="567"/>
      <c r="GI7" s="567"/>
      <c r="GJ7" s="567"/>
      <c r="GK7" s="567"/>
      <c r="GL7" s="567"/>
      <c r="GM7" s="567"/>
      <c r="GN7" s="567"/>
      <c r="GO7" s="567"/>
      <c r="GP7" s="567"/>
      <c r="GQ7" s="567"/>
      <c r="GR7" s="567"/>
      <c r="GS7" s="567"/>
      <c r="GT7" s="567"/>
      <c r="GU7" s="567"/>
      <c r="GV7" s="567"/>
      <c r="GW7" s="567"/>
      <c r="GX7" s="567"/>
      <c r="GY7" s="567"/>
      <c r="GZ7" s="567"/>
      <c r="HA7" s="567"/>
      <c r="HB7" s="567"/>
      <c r="HC7" s="567"/>
      <c r="HD7" s="567"/>
      <c r="HE7" s="567"/>
      <c r="HF7" s="567"/>
      <c r="HG7" s="567"/>
      <c r="HH7" s="567"/>
      <c r="HI7" s="567"/>
      <c r="HJ7" s="567"/>
      <c r="HK7" s="567"/>
      <c r="HL7" s="567"/>
      <c r="HM7" s="567"/>
      <c r="HN7" s="567"/>
      <c r="HO7" s="567"/>
      <c r="HP7" s="567"/>
      <c r="HQ7" s="567"/>
      <c r="HR7" s="567"/>
      <c r="HS7" s="567"/>
      <c r="HT7" s="567"/>
      <c r="HU7" s="567"/>
      <c r="HV7" s="567"/>
      <c r="HW7" s="567"/>
      <c r="HX7" s="567"/>
      <c r="HY7" s="567"/>
      <c r="HZ7" s="567"/>
      <c r="IA7" s="567"/>
      <c r="IB7" s="567"/>
      <c r="IC7" s="567"/>
      <c r="ID7" s="567"/>
      <c r="IE7" s="567"/>
      <c r="IF7" s="567"/>
      <c r="IG7" s="567"/>
      <c r="IH7" s="567"/>
      <c r="II7" s="567"/>
      <c r="IJ7" s="567"/>
      <c r="IK7" s="567"/>
      <c r="IL7" s="567"/>
      <c r="IM7" s="567"/>
      <c r="IN7" s="567"/>
      <c r="IO7" s="567"/>
      <c r="IP7" s="567"/>
      <c r="IQ7" s="567"/>
      <c r="IR7" s="567"/>
      <c r="IS7" s="567"/>
      <c r="IT7" s="567"/>
      <c r="IU7" s="567"/>
    </row>
    <row r="8" spans="1:255" x14ac:dyDescent="0.25">
      <c r="A8" s="668">
        <v>11</v>
      </c>
      <c r="B8" s="599">
        <v>11</v>
      </c>
      <c r="C8" s="587" t="s">
        <v>651</v>
      </c>
      <c r="D8" s="589" t="s">
        <v>652</v>
      </c>
      <c r="E8" s="573">
        <v>52628</v>
      </c>
      <c r="F8" s="574">
        <v>153094</v>
      </c>
      <c r="G8" s="574">
        <v>71241</v>
      </c>
      <c r="H8" s="574">
        <v>286141</v>
      </c>
      <c r="I8" s="574">
        <v>272215</v>
      </c>
      <c r="J8" s="574">
        <v>154129</v>
      </c>
      <c r="K8" s="575">
        <v>0</v>
      </c>
      <c r="L8" s="572">
        <v>48455</v>
      </c>
      <c r="M8" s="572">
        <v>19782</v>
      </c>
      <c r="N8" s="571">
        <v>0</v>
      </c>
      <c r="O8" s="571">
        <v>105734</v>
      </c>
      <c r="P8" s="571">
        <v>120280</v>
      </c>
      <c r="Q8" s="571">
        <v>35322</v>
      </c>
      <c r="R8" s="571">
        <v>0</v>
      </c>
      <c r="S8" s="571">
        <v>0</v>
      </c>
      <c r="T8" s="571">
        <v>144776</v>
      </c>
      <c r="U8" s="571">
        <v>0</v>
      </c>
      <c r="V8" s="571">
        <v>43096</v>
      </c>
      <c r="W8" s="571">
        <v>0</v>
      </c>
      <c r="X8" s="571">
        <v>45443</v>
      </c>
      <c r="Y8" s="571">
        <v>0</v>
      </c>
      <c r="Z8" s="571">
        <v>9862</v>
      </c>
      <c r="AA8" s="571">
        <v>1438172</v>
      </c>
      <c r="AB8" s="572">
        <v>28980</v>
      </c>
      <c r="AC8" s="572">
        <v>238215</v>
      </c>
      <c r="AD8" s="572">
        <v>112057</v>
      </c>
      <c r="AE8" s="572">
        <v>170082</v>
      </c>
      <c r="AF8" s="572">
        <v>814928</v>
      </c>
      <c r="AG8" s="572">
        <v>35371</v>
      </c>
      <c r="AH8" s="572">
        <v>166687</v>
      </c>
      <c r="AI8" s="572">
        <v>47</v>
      </c>
      <c r="AJ8" s="572">
        <v>535697</v>
      </c>
      <c r="AK8" s="572">
        <v>3829</v>
      </c>
      <c r="AL8" s="572">
        <v>108504</v>
      </c>
      <c r="AM8" s="572">
        <v>9766</v>
      </c>
      <c r="AN8" s="572">
        <v>14075</v>
      </c>
      <c r="AO8" s="572">
        <v>0</v>
      </c>
      <c r="AP8" s="572">
        <v>35528</v>
      </c>
      <c r="AQ8" s="572">
        <v>0</v>
      </c>
      <c r="AR8" s="572">
        <v>100517</v>
      </c>
      <c r="AS8" s="572">
        <v>0</v>
      </c>
      <c r="AT8" s="572">
        <v>43621</v>
      </c>
      <c r="AU8" s="572">
        <v>141550</v>
      </c>
      <c r="AV8" s="572">
        <v>177637</v>
      </c>
      <c r="AW8" s="572">
        <v>352320</v>
      </c>
      <c r="AX8" s="572">
        <v>55053</v>
      </c>
      <c r="AY8" s="572">
        <v>0</v>
      </c>
      <c r="AZ8" s="572">
        <v>721774</v>
      </c>
      <c r="BA8" s="572">
        <v>163819</v>
      </c>
      <c r="BB8" s="572">
        <v>0</v>
      </c>
      <c r="BC8" s="572">
        <v>38880</v>
      </c>
      <c r="BD8" s="572">
        <v>77020</v>
      </c>
      <c r="BE8" s="572">
        <v>63839</v>
      </c>
      <c r="BF8" s="572">
        <v>16783</v>
      </c>
      <c r="BG8" s="572">
        <v>86466</v>
      </c>
      <c r="BH8" s="572">
        <v>0</v>
      </c>
      <c r="BI8" s="572">
        <v>118561</v>
      </c>
      <c r="BJ8" s="572">
        <v>48462</v>
      </c>
      <c r="BK8" s="572">
        <v>0</v>
      </c>
      <c r="BL8" s="572">
        <v>193008</v>
      </c>
      <c r="BM8" s="572">
        <v>6698</v>
      </c>
      <c r="BN8" s="572">
        <v>0</v>
      </c>
      <c r="BO8" s="572">
        <v>0</v>
      </c>
      <c r="BP8" s="572">
        <v>0</v>
      </c>
      <c r="BQ8" s="572">
        <v>63751</v>
      </c>
      <c r="BR8" s="572">
        <v>0</v>
      </c>
      <c r="BS8" s="572">
        <v>0</v>
      </c>
      <c r="BT8" s="572">
        <v>40167</v>
      </c>
      <c r="BU8" s="572">
        <v>0</v>
      </c>
      <c r="BV8" s="572">
        <v>58080</v>
      </c>
      <c r="BW8" s="572">
        <v>49169</v>
      </c>
      <c r="BX8" s="572">
        <v>514772</v>
      </c>
      <c r="BY8" s="572">
        <v>0</v>
      </c>
      <c r="BZ8" s="572">
        <v>0</v>
      </c>
      <c r="CA8" s="572">
        <v>390805</v>
      </c>
      <c r="CB8" s="572">
        <v>0</v>
      </c>
      <c r="CC8" s="572">
        <v>0</v>
      </c>
      <c r="CD8" s="572">
        <v>349130</v>
      </c>
      <c r="CE8" s="572">
        <v>0</v>
      </c>
      <c r="CF8" s="572">
        <v>0</v>
      </c>
      <c r="CG8" s="572">
        <v>138728</v>
      </c>
      <c r="CH8" s="572">
        <v>2707784</v>
      </c>
      <c r="CI8" s="572">
        <v>506239</v>
      </c>
      <c r="CJ8" s="572">
        <v>109497</v>
      </c>
      <c r="CK8" s="572">
        <v>109399</v>
      </c>
      <c r="CL8" s="572">
        <v>46868</v>
      </c>
      <c r="CM8" s="572">
        <v>121787</v>
      </c>
      <c r="CN8" s="572">
        <v>19960</v>
      </c>
      <c r="CO8" s="572">
        <v>252002</v>
      </c>
      <c r="CP8" s="572">
        <v>28484</v>
      </c>
      <c r="CQ8" s="572">
        <v>209868</v>
      </c>
      <c r="CR8" s="588"/>
      <c r="CS8" s="588"/>
      <c r="CT8" s="588"/>
      <c r="CU8" s="588"/>
      <c r="CV8" s="588"/>
      <c r="CW8" s="588"/>
      <c r="CX8" s="588"/>
      <c r="CY8" s="588"/>
      <c r="CZ8" s="588"/>
      <c r="DA8" s="588"/>
      <c r="DB8" s="588"/>
      <c r="DC8" s="588"/>
      <c r="DD8" s="588"/>
      <c r="DE8" s="588"/>
      <c r="DF8" s="588"/>
      <c r="DG8" s="588"/>
      <c r="DH8" s="588"/>
      <c r="DI8" s="588"/>
      <c r="DJ8" s="588"/>
      <c r="DK8" s="588"/>
      <c r="DL8" s="588"/>
      <c r="DM8" s="588"/>
      <c r="DN8" s="588"/>
      <c r="DO8" s="588"/>
      <c r="DP8" s="588"/>
      <c r="DQ8" s="588"/>
      <c r="DR8" s="588"/>
      <c r="DS8" s="588"/>
      <c r="DT8" s="588"/>
      <c r="DU8" s="588"/>
      <c r="DV8" s="588"/>
      <c r="DW8" s="588"/>
      <c r="DX8" s="588"/>
      <c r="DY8" s="588"/>
      <c r="DZ8" s="588"/>
      <c r="EA8" s="588"/>
      <c r="EB8" s="588"/>
      <c r="EC8" s="588"/>
      <c r="ED8" s="588"/>
      <c r="EE8" s="588"/>
      <c r="EF8" s="588"/>
      <c r="EG8" s="588"/>
      <c r="EH8" s="588"/>
      <c r="EI8" s="588"/>
      <c r="EJ8" s="588"/>
      <c r="EK8" s="588"/>
      <c r="EL8" s="588"/>
      <c r="EM8" s="588"/>
      <c r="EN8" s="589"/>
      <c r="EO8" s="589"/>
      <c r="EP8" s="589"/>
      <c r="EQ8" s="589"/>
      <c r="ER8" s="589"/>
      <c r="ES8" s="589"/>
      <c r="ET8" s="589"/>
      <c r="EU8" s="589"/>
      <c r="EV8" s="589"/>
      <c r="EW8" s="589"/>
      <c r="EX8" s="589"/>
      <c r="EY8" s="589"/>
      <c r="EZ8" s="589"/>
      <c r="FA8" s="589"/>
      <c r="FB8" s="589"/>
      <c r="FC8" s="589"/>
      <c r="FD8" s="589"/>
      <c r="FE8" s="589"/>
      <c r="FF8" s="589"/>
      <c r="FG8" s="589"/>
      <c r="FH8" s="589"/>
      <c r="FI8" s="589"/>
      <c r="FJ8" s="589"/>
      <c r="FK8" s="589"/>
      <c r="FL8" s="589"/>
      <c r="FM8" s="589"/>
      <c r="FN8" s="589"/>
      <c r="FO8" s="589"/>
      <c r="FP8" s="589"/>
      <c r="FQ8" s="589"/>
      <c r="FR8" s="589"/>
      <c r="FS8" s="589"/>
      <c r="FT8" s="589"/>
      <c r="FU8" s="589"/>
      <c r="FV8" s="589"/>
      <c r="FW8" s="589"/>
      <c r="FX8" s="589"/>
      <c r="FY8" s="589"/>
      <c r="FZ8" s="589"/>
      <c r="GA8" s="589"/>
      <c r="GB8" s="589"/>
      <c r="GC8" s="589"/>
      <c r="GD8" s="589"/>
      <c r="GE8" s="589"/>
      <c r="GF8" s="589"/>
      <c r="GG8" s="589"/>
      <c r="GH8" s="589"/>
      <c r="GI8" s="589"/>
      <c r="GJ8" s="589"/>
      <c r="GK8" s="589"/>
      <c r="GL8" s="589"/>
      <c r="GM8" s="589"/>
      <c r="GN8" s="589"/>
      <c r="GO8" s="589"/>
      <c r="GP8" s="589"/>
      <c r="GQ8" s="589"/>
      <c r="GR8" s="589"/>
      <c r="GS8" s="589"/>
      <c r="GT8" s="589"/>
      <c r="GU8" s="589"/>
      <c r="GV8" s="589"/>
      <c r="GW8" s="589"/>
      <c r="GX8" s="589"/>
      <c r="GY8" s="589"/>
      <c r="GZ8" s="589"/>
      <c r="HA8" s="589"/>
      <c r="HB8" s="589"/>
      <c r="HC8" s="589"/>
      <c r="HD8" s="589"/>
      <c r="HE8" s="589"/>
      <c r="HF8" s="589"/>
      <c r="HG8" s="589"/>
      <c r="HH8" s="589"/>
      <c r="HI8" s="589"/>
      <c r="HJ8" s="589"/>
      <c r="HK8" s="589"/>
      <c r="HL8" s="589"/>
      <c r="HM8" s="589"/>
      <c r="HN8" s="589"/>
      <c r="HO8" s="589"/>
      <c r="HP8" s="589"/>
      <c r="HQ8" s="589"/>
      <c r="HR8" s="589"/>
      <c r="HS8" s="589"/>
      <c r="HT8" s="589"/>
      <c r="HU8" s="589"/>
      <c r="HV8" s="589"/>
      <c r="HW8" s="589"/>
      <c r="HX8" s="589"/>
      <c r="HY8" s="589"/>
      <c r="HZ8" s="589"/>
      <c r="IA8" s="589"/>
      <c r="IB8" s="589"/>
      <c r="IC8" s="589"/>
      <c r="ID8" s="589"/>
      <c r="IE8" s="589"/>
      <c r="IF8" s="589"/>
      <c r="IG8" s="589"/>
      <c r="IH8" s="589"/>
      <c r="II8" s="589"/>
      <c r="IJ8" s="589"/>
      <c r="IK8" s="589"/>
      <c r="IL8" s="589"/>
      <c r="IM8" s="589"/>
      <c r="IN8" s="589"/>
      <c r="IO8" s="589"/>
      <c r="IP8" s="589"/>
      <c r="IQ8" s="589"/>
      <c r="IR8" s="589"/>
      <c r="IS8" s="589"/>
      <c r="IT8" s="589"/>
      <c r="IU8" s="589"/>
    </row>
    <row r="9" spans="1:255" ht="45" x14ac:dyDescent="0.25">
      <c r="A9" s="668"/>
      <c r="B9" s="569">
        <v>12</v>
      </c>
      <c r="C9" s="570" t="s">
        <v>653</v>
      </c>
      <c r="D9" s="567" t="s">
        <v>654</v>
      </c>
      <c r="E9" s="573"/>
      <c r="F9" s="574"/>
      <c r="G9" s="574"/>
      <c r="H9" s="574"/>
      <c r="I9" s="574"/>
      <c r="J9" s="574"/>
      <c r="K9" s="575"/>
      <c r="L9" s="572"/>
      <c r="M9" s="572"/>
      <c r="N9" s="571"/>
      <c r="O9" s="571"/>
      <c r="P9" s="571"/>
      <c r="Q9" s="571"/>
      <c r="R9" s="571"/>
      <c r="S9" s="571"/>
      <c r="T9" s="571"/>
      <c r="U9" s="571"/>
      <c r="V9" s="571"/>
      <c r="W9" s="571"/>
      <c r="X9" s="571"/>
      <c r="Y9" s="571"/>
      <c r="Z9" s="571"/>
      <c r="AA9" s="571"/>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c r="CI9" s="572"/>
      <c r="CJ9" s="572"/>
      <c r="CK9" s="572"/>
      <c r="CL9" s="572"/>
      <c r="CM9" s="572"/>
      <c r="CN9" s="572"/>
      <c r="CO9" s="572"/>
      <c r="CP9" s="572"/>
      <c r="CQ9" s="572"/>
      <c r="CR9" s="567"/>
      <c r="CS9" s="567"/>
      <c r="CT9" s="567"/>
      <c r="CU9" s="567"/>
      <c r="CV9" s="567"/>
      <c r="CW9" s="567"/>
      <c r="CX9" s="567"/>
      <c r="CY9" s="567"/>
      <c r="CZ9" s="567"/>
      <c r="DA9" s="567"/>
      <c r="DB9" s="567"/>
      <c r="DC9" s="567"/>
      <c r="DD9" s="567"/>
      <c r="DE9" s="567"/>
      <c r="DF9" s="567"/>
      <c r="DG9" s="567"/>
      <c r="DH9" s="567"/>
      <c r="DI9" s="567"/>
      <c r="DJ9" s="567"/>
      <c r="DK9" s="567"/>
      <c r="DL9" s="567"/>
      <c r="DM9" s="567"/>
      <c r="DN9" s="567"/>
      <c r="DO9" s="567"/>
      <c r="DP9" s="567"/>
      <c r="DQ9" s="567"/>
      <c r="DR9" s="567"/>
      <c r="DS9" s="567"/>
      <c r="DT9" s="567"/>
      <c r="DU9" s="567"/>
      <c r="DV9" s="567"/>
      <c r="DW9" s="567"/>
      <c r="DX9" s="567"/>
      <c r="DY9" s="567"/>
      <c r="DZ9" s="567"/>
      <c r="EA9" s="567"/>
      <c r="EB9" s="567"/>
      <c r="EC9" s="567"/>
      <c r="ED9" s="567"/>
      <c r="EE9" s="567"/>
      <c r="EF9" s="567"/>
      <c r="EG9" s="567"/>
      <c r="EH9" s="567"/>
      <c r="EI9" s="567"/>
      <c r="EJ9" s="567"/>
      <c r="EK9" s="567"/>
      <c r="EL9" s="567"/>
      <c r="EM9" s="567"/>
      <c r="EN9" s="567"/>
      <c r="EO9" s="567"/>
      <c r="EP9" s="567"/>
      <c r="EQ9" s="567"/>
      <c r="ER9" s="567"/>
      <c r="ES9" s="567"/>
      <c r="ET9" s="567"/>
      <c r="EU9" s="567"/>
      <c r="EV9" s="567"/>
      <c r="EW9" s="567"/>
      <c r="EX9" s="567"/>
      <c r="EY9" s="567"/>
      <c r="EZ9" s="567"/>
      <c r="FA9" s="567"/>
      <c r="FB9" s="567"/>
      <c r="FC9" s="567"/>
      <c r="FD9" s="567"/>
      <c r="FE9" s="567"/>
      <c r="FF9" s="567"/>
      <c r="FG9" s="567"/>
      <c r="FH9" s="567"/>
      <c r="FI9" s="567"/>
      <c r="FJ9" s="567"/>
      <c r="FK9" s="567"/>
      <c r="FL9" s="567"/>
      <c r="FM9" s="567"/>
      <c r="FN9" s="567"/>
      <c r="FO9" s="567"/>
      <c r="FP9" s="567"/>
      <c r="FQ9" s="567"/>
      <c r="FR9" s="567"/>
      <c r="FS9" s="567"/>
      <c r="FT9" s="567"/>
      <c r="FU9" s="567"/>
      <c r="FV9" s="567"/>
      <c r="FW9" s="567"/>
      <c r="FX9" s="567"/>
      <c r="FY9" s="567"/>
      <c r="FZ9" s="567"/>
      <c r="GA9" s="567"/>
      <c r="GB9" s="567"/>
      <c r="GC9" s="567"/>
      <c r="GD9" s="567"/>
      <c r="GE9" s="567"/>
      <c r="GF9" s="567"/>
      <c r="GG9" s="567"/>
      <c r="GH9" s="567"/>
      <c r="GI9" s="567"/>
      <c r="GJ9" s="567"/>
      <c r="GK9" s="567"/>
      <c r="GL9" s="567"/>
      <c r="GM9" s="567"/>
      <c r="GN9" s="567"/>
      <c r="GO9" s="567"/>
      <c r="GP9" s="567"/>
      <c r="GQ9" s="567"/>
      <c r="GR9" s="567"/>
      <c r="GS9" s="567"/>
      <c r="GT9" s="567"/>
      <c r="GU9" s="567"/>
      <c r="GV9" s="567"/>
      <c r="GW9" s="567"/>
      <c r="GX9" s="567"/>
      <c r="GY9" s="567"/>
      <c r="GZ9" s="567"/>
      <c r="HA9" s="567"/>
      <c r="HB9" s="567"/>
      <c r="HC9" s="567"/>
      <c r="HD9" s="567"/>
      <c r="HE9" s="567"/>
      <c r="HF9" s="567"/>
      <c r="HG9" s="567"/>
      <c r="HH9" s="567"/>
      <c r="HI9" s="567"/>
      <c r="HJ9" s="567"/>
      <c r="HK9" s="567"/>
      <c r="HL9" s="567"/>
      <c r="HM9" s="567"/>
      <c r="HN9" s="567"/>
      <c r="HO9" s="567"/>
      <c r="HP9" s="567"/>
      <c r="HQ9" s="567"/>
      <c r="HR9" s="567"/>
      <c r="HS9" s="567"/>
      <c r="HT9" s="567"/>
      <c r="HU9" s="567"/>
      <c r="HV9" s="567"/>
      <c r="HW9" s="567"/>
      <c r="HX9" s="567"/>
      <c r="HY9" s="567"/>
      <c r="HZ9" s="567"/>
      <c r="IA9" s="567"/>
      <c r="IB9" s="567"/>
      <c r="IC9" s="567"/>
      <c r="ID9" s="567"/>
      <c r="IE9" s="567"/>
      <c r="IF9" s="567"/>
      <c r="IG9" s="567"/>
      <c r="IH9" s="567"/>
      <c r="II9" s="567"/>
      <c r="IJ9" s="567"/>
      <c r="IK9" s="567"/>
      <c r="IL9" s="567"/>
      <c r="IM9" s="567"/>
      <c r="IN9" s="567"/>
      <c r="IO9" s="567"/>
      <c r="IP9" s="567"/>
      <c r="IQ9" s="567"/>
      <c r="IR9" s="567"/>
      <c r="IS9" s="567"/>
      <c r="IT9" s="567"/>
      <c r="IU9" s="567"/>
    </row>
    <row r="10" spans="1:255" ht="45" x14ac:dyDescent="0.25">
      <c r="A10" s="668"/>
      <c r="B10" s="569">
        <v>13</v>
      </c>
      <c r="C10" s="570" t="s">
        <v>655</v>
      </c>
      <c r="D10" s="567" t="s">
        <v>656</v>
      </c>
      <c r="E10" s="573"/>
      <c r="F10" s="574"/>
      <c r="G10" s="574"/>
      <c r="H10" s="574"/>
      <c r="I10" s="574"/>
      <c r="J10" s="574"/>
      <c r="K10" s="575"/>
      <c r="L10" s="572"/>
      <c r="M10" s="572"/>
      <c r="N10" s="571"/>
      <c r="O10" s="571"/>
      <c r="P10" s="571"/>
      <c r="Q10" s="571"/>
      <c r="R10" s="571"/>
      <c r="S10" s="571"/>
      <c r="T10" s="571"/>
      <c r="U10" s="571"/>
      <c r="V10" s="571"/>
      <c r="W10" s="571"/>
      <c r="X10" s="571"/>
      <c r="Y10" s="571"/>
      <c r="Z10" s="571"/>
      <c r="AA10" s="571"/>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67"/>
      <c r="CS10" s="567"/>
      <c r="CT10" s="567"/>
      <c r="CU10" s="567"/>
      <c r="CV10" s="567"/>
      <c r="CW10" s="567"/>
      <c r="CX10" s="567"/>
      <c r="CY10" s="567"/>
      <c r="CZ10" s="567"/>
      <c r="DA10" s="567"/>
      <c r="DB10" s="567"/>
      <c r="DC10" s="567"/>
      <c r="DD10" s="567"/>
      <c r="DE10" s="567"/>
      <c r="DF10" s="567"/>
      <c r="DG10" s="567"/>
      <c r="DH10" s="567"/>
      <c r="DI10" s="567"/>
      <c r="DJ10" s="567"/>
      <c r="DK10" s="567"/>
      <c r="DL10" s="567"/>
      <c r="DM10" s="567"/>
      <c r="DN10" s="567"/>
      <c r="DO10" s="567"/>
      <c r="DP10" s="567"/>
      <c r="DQ10" s="567"/>
      <c r="DR10" s="567"/>
      <c r="DS10" s="567"/>
      <c r="DT10" s="567"/>
      <c r="DU10" s="567"/>
      <c r="DV10" s="567"/>
      <c r="DW10" s="567"/>
      <c r="DX10" s="567"/>
      <c r="DY10" s="567"/>
      <c r="DZ10" s="567"/>
      <c r="EA10" s="567"/>
      <c r="EB10" s="567"/>
      <c r="EC10" s="567"/>
      <c r="ED10" s="567"/>
      <c r="EE10" s="567"/>
      <c r="EF10" s="567"/>
      <c r="EG10" s="567"/>
      <c r="EH10" s="567"/>
      <c r="EI10" s="567"/>
      <c r="EJ10" s="567"/>
      <c r="EK10" s="567"/>
      <c r="EL10" s="567"/>
      <c r="EM10" s="567"/>
      <c r="EN10" s="567"/>
      <c r="EO10" s="567"/>
      <c r="EP10" s="567"/>
      <c r="EQ10" s="567"/>
      <c r="ER10" s="567"/>
      <c r="ES10" s="567"/>
      <c r="ET10" s="567"/>
      <c r="EU10" s="567"/>
      <c r="EV10" s="567"/>
      <c r="EW10" s="567"/>
      <c r="EX10" s="567"/>
      <c r="EY10" s="567"/>
      <c r="EZ10" s="567"/>
      <c r="FA10" s="567"/>
      <c r="FB10" s="567"/>
      <c r="FC10" s="567"/>
      <c r="FD10" s="567"/>
      <c r="FE10" s="567"/>
      <c r="FF10" s="567"/>
      <c r="FG10" s="567"/>
      <c r="FH10" s="567"/>
      <c r="FI10" s="567"/>
      <c r="FJ10" s="567"/>
      <c r="FK10" s="567"/>
      <c r="FL10" s="567"/>
      <c r="FM10" s="567"/>
      <c r="FN10" s="567"/>
      <c r="FO10" s="567"/>
      <c r="FP10" s="567"/>
      <c r="FQ10" s="567"/>
      <c r="FR10" s="567"/>
      <c r="FS10" s="567"/>
      <c r="FT10" s="567"/>
      <c r="FU10" s="567"/>
      <c r="FV10" s="567"/>
      <c r="FW10" s="567"/>
      <c r="FX10" s="567"/>
      <c r="FY10" s="567"/>
      <c r="FZ10" s="567"/>
      <c r="GA10" s="567"/>
      <c r="GB10" s="567"/>
      <c r="GC10" s="567"/>
      <c r="GD10" s="567"/>
      <c r="GE10" s="567"/>
      <c r="GF10" s="567"/>
      <c r="GG10" s="567"/>
      <c r="GH10" s="567"/>
      <c r="GI10" s="567"/>
      <c r="GJ10" s="567"/>
      <c r="GK10" s="567"/>
      <c r="GL10" s="567"/>
      <c r="GM10" s="567"/>
      <c r="GN10" s="567"/>
      <c r="GO10" s="567"/>
      <c r="GP10" s="567"/>
      <c r="GQ10" s="567"/>
      <c r="GR10" s="567"/>
      <c r="GS10" s="567"/>
      <c r="GT10" s="567"/>
      <c r="GU10" s="567"/>
      <c r="GV10" s="567"/>
      <c r="GW10" s="567"/>
      <c r="GX10" s="567"/>
      <c r="GY10" s="567"/>
      <c r="GZ10" s="567"/>
      <c r="HA10" s="567"/>
      <c r="HB10" s="567"/>
      <c r="HC10" s="567"/>
      <c r="HD10" s="567"/>
      <c r="HE10" s="567"/>
      <c r="HF10" s="567"/>
      <c r="HG10" s="567"/>
      <c r="HH10" s="567"/>
      <c r="HI10" s="567"/>
      <c r="HJ10" s="567"/>
      <c r="HK10" s="567"/>
      <c r="HL10" s="567"/>
      <c r="HM10" s="567"/>
      <c r="HN10" s="567"/>
      <c r="HO10" s="567"/>
      <c r="HP10" s="567"/>
      <c r="HQ10" s="567"/>
      <c r="HR10" s="567"/>
      <c r="HS10" s="567"/>
      <c r="HT10" s="567"/>
      <c r="HU10" s="567"/>
      <c r="HV10" s="567"/>
      <c r="HW10" s="567"/>
      <c r="HX10" s="567"/>
      <c r="HY10" s="567"/>
      <c r="HZ10" s="567"/>
      <c r="IA10" s="567"/>
      <c r="IB10" s="567"/>
      <c r="IC10" s="567"/>
      <c r="ID10" s="567"/>
      <c r="IE10" s="567"/>
      <c r="IF10" s="567"/>
      <c r="IG10" s="567"/>
      <c r="IH10" s="567"/>
      <c r="II10" s="567"/>
      <c r="IJ10" s="567"/>
      <c r="IK10" s="567"/>
      <c r="IL10" s="567"/>
      <c r="IM10" s="567"/>
      <c r="IN10" s="567"/>
      <c r="IO10" s="567"/>
      <c r="IP10" s="567"/>
      <c r="IQ10" s="567"/>
      <c r="IR10" s="567"/>
      <c r="IS10" s="567"/>
      <c r="IT10" s="567"/>
      <c r="IU10" s="567"/>
    </row>
    <row r="11" spans="1:255" ht="45" x14ac:dyDescent="0.25">
      <c r="A11" s="668"/>
      <c r="B11" s="569">
        <v>14</v>
      </c>
      <c r="C11" s="570" t="s">
        <v>657</v>
      </c>
      <c r="D11" s="567" t="s">
        <v>658</v>
      </c>
      <c r="E11" s="573"/>
      <c r="F11" s="574"/>
      <c r="G11" s="574"/>
      <c r="H11" s="574"/>
      <c r="I11" s="574"/>
      <c r="J11" s="574"/>
      <c r="K11" s="575"/>
      <c r="L11" s="572"/>
      <c r="M11" s="572"/>
      <c r="N11" s="571"/>
      <c r="O11" s="571"/>
      <c r="P11" s="571"/>
      <c r="Q11" s="571"/>
      <c r="R11" s="571"/>
      <c r="S11" s="571"/>
      <c r="T11" s="571"/>
      <c r="U11" s="571"/>
      <c r="V11" s="571"/>
      <c r="W11" s="571"/>
      <c r="X11" s="571"/>
      <c r="Y11" s="571"/>
      <c r="Z11" s="571"/>
      <c r="AA11" s="571"/>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67"/>
      <c r="CS11" s="567"/>
      <c r="CT11" s="567"/>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67"/>
      <c r="DW11" s="567"/>
      <c r="DX11" s="567"/>
      <c r="DY11" s="567"/>
      <c r="DZ11" s="567"/>
      <c r="EA11" s="567"/>
      <c r="EB11" s="567"/>
      <c r="EC11" s="567"/>
      <c r="ED11" s="567"/>
      <c r="EE11" s="567"/>
      <c r="EF11" s="567"/>
      <c r="EG11" s="567"/>
      <c r="EH11" s="567"/>
      <c r="EI11" s="567"/>
      <c r="EJ11" s="567"/>
      <c r="EK11" s="567"/>
      <c r="EL11" s="567"/>
      <c r="EM11" s="567"/>
      <c r="EN11" s="567"/>
      <c r="EO11" s="567"/>
      <c r="EP11" s="567"/>
      <c r="EQ11" s="567"/>
      <c r="ER11" s="567"/>
      <c r="ES11" s="567"/>
      <c r="ET11" s="567"/>
      <c r="EU11" s="567"/>
      <c r="EV11" s="567"/>
      <c r="EW11" s="567"/>
      <c r="EX11" s="567"/>
      <c r="EY11" s="567"/>
      <c r="EZ11" s="567"/>
      <c r="FA11" s="567"/>
      <c r="FB11" s="567"/>
      <c r="FC11" s="567"/>
      <c r="FD11" s="567"/>
      <c r="FE11" s="567"/>
      <c r="FF11" s="567"/>
      <c r="FG11" s="567"/>
      <c r="FH11" s="567"/>
      <c r="FI11" s="567"/>
      <c r="FJ11" s="567"/>
      <c r="FK11" s="567"/>
      <c r="FL11" s="567"/>
      <c r="FM11" s="567"/>
      <c r="FN11" s="567"/>
      <c r="FO11" s="567"/>
      <c r="FP11" s="567"/>
      <c r="FQ11" s="567"/>
      <c r="FR11" s="567"/>
      <c r="FS11" s="567"/>
      <c r="FT11" s="567"/>
      <c r="FU11" s="567"/>
      <c r="FV11" s="567"/>
      <c r="FW11" s="567"/>
      <c r="FX11" s="567"/>
      <c r="FY11" s="567"/>
      <c r="FZ11" s="567"/>
      <c r="GA11" s="567"/>
      <c r="GB11" s="567"/>
      <c r="GC11" s="567"/>
      <c r="GD11" s="567"/>
      <c r="GE11" s="567"/>
      <c r="GF11" s="567"/>
      <c r="GG11" s="567"/>
      <c r="GH11" s="567"/>
      <c r="GI11" s="567"/>
      <c r="GJ11" s="567"/>
      <c r="GK11" s="567"/>
      <c r="GL11" s="567"/>
      <c r="GM11" s="567"/>
      <c r="GN11" s="567"/>
      <c r="GO11" s="567"/>
      <c r="GP11" s="567"/>
      <c r="GQ11" s="567"/>
      <c r="GR11" s="567"/>
      <c r="GS11" s="567"/>
      <c r="GT11" s="567"/>
      <c r="GU11" s="567"/>
      <c r="GV11" s="567"/>
      <c r="GW11" s="567"/>
      <c r="GX11" s="567"/>
      <c r="GY11" s="567"/>
      <c r="GZ11" s="567"/>
      <c r="HA11" s="567"/>
      <c r="HB11" s="567"/>
      <c r="HC11" s="567"/>
      <c r="HD11" s="567"/>
      <c r="HE11" s="567"/>
      <c r="HF11" s="567"/>
      <c r="HG11" s="567"/>
      <c r="HH11" s="567"/>
      <c r="HI11" s="567"/>
      <c r="HJ11" s="567"/>
      <c r="HK11" s="567"/>
      <c r="HL11" s="567"/>
      <c r="HM11" s="567"/>
      <c r="HN11" s="567"/>
      <c r="HO11" s="567"/>
      <c r="HP11" s="567"/>
      <c r="HQ11" s="567"/>
      <c r="HR11" s="567"/>
      <c r="HS11" s="567"/>
      <c r="HT11" s="567"/>
      <c r="HU11" s="567"/>
      <c r="HV11" s="567"/>
      <c r="HW11" s="567"/>
      <c r="HX11" s="567"/>
      <c r="HY11" s="567"/>
      <c r="HZ11" s="567"/>
      <c r="IA11" s="567"/>
      <c r="IB11" s="567"/>
      <c r="IC11" s="567"/>
      <c r="ID11" s="567"/>
      <c r="IE11" s="567"/>
      <c r="IF11" s="567"/>
      <c r="IG11" s="567"/>
      <c r="IH11" s="567"/>
      <c r="II11" s="567"/>
      <c r="IJ11" s="567"/>
      <c r="IK11" s="567"/>
      <c r="IL11" s="567"/>
      <c r="IM11" s="567"/>
      <c r="IN11" s="567"/>
      <c r="IO11" s="567"/>
      <c r="IP11" s="567"/>
      <c r="IQ11" s="567"/>
      <c r="IR11" s="567"/>
      <c r="IS11" s="567"/>
      <c r="IT11" s="567"/>
      <c r="IU11" s="567"/>
    </row>
    <row r="12" spans="1:255" x14ac:dyDescent="0.25">
      <c r="A12" s="668">
        <v>16</v>
      </c>
      <c r="B12" s="569">
        <v>16</v>
      </c>
      <c r="C12" s="570" t="s">
        <v>291</v>
      </c>
      <c r="D12" s="567" t="s">
        <v>659</v>
      </c>
      <c r="E12" s="573">
        <v>204654</v>
      </c>
      <c r="F12" s="574">
        <v>6679702</v>
      </c>
      <c r="G12" s="574">
        <v>939881</v>
      </c>
      <c r="H12" s="574">
        <v>2822028</v>
      </c>
      <c r="I12" s="574">
        <v>528159</v>
      </c>
      <c r="J12" s="574">
        <v>735684</v>
      </c>
      <c r="K12" s="575">
        <v>27511452</v>
      </c>
      <c r="L12" s="572">
        <v>654283</v>
      </c>
      <c r="M12" s="572">
        <v>498473</v>
      </c>
      <c r="N12" s="571">
        <v>398951</v>
      </c>
      <c r="O12" s="571">
        <v>1396941</v>
      </c>
      <c r="P12" s="571">
        <v>63568</v>
      </c>
      <c r="Q12" s="571">
        <v>283119</v>
      </c>
      <c r="R12" s="571">
        <v>1658604</v>
      </c>
      <c r="S12" s="571">
        <v>1298538</v>
      </c>
      <c r="T12" s="571">
        <v>6489650</v>
      </c>
      <c r="U12" s="571">
        <v>0</v>
      </c>
      <c r="V12" s="571">
        <v>3466014</v>
      </c>
      <c r="W12" s="571">
        <v>478962</v>
      </c>
      <c r="X12" s="571">
        <v>3784398</v>
      </c>
      <c r="Y12" s="571">
        <v>3751046</v>
      </c>
      <c r="Z12" s="571">
        <v>47559</v>
      </c>
      <c r="AA12" s="571">
        <v>8286469</v>
      </c>
      <c r="AB12" s="572">
        <v>2011547</v>
      </c>
      <c r="AC12" s="572">
        <v>819900</v>
      </c>
      <c r="AD12" s="572">
        <v>311827</v>
      </c>
      <c r="AE12" s="572">
        <v>21986465</v>
      </c>
      <c r="AF12" s="572">
        <v>631856</v>
      </c>
      <c r="AG12" s="572">
        <v>2730799</v>
      </c>
      <c r="AH12" s="572">
        <v>1870649</v>
      </c>
      <c r="AI12" s="572">
        <v>128818</v>
      </c>
      <c r="AJ12" s="572">
        <v>3210023</v>
      </c>
      <c r="AK12" s="572">
        <v>3562350</v>
      </c>
      <c r="AL12" s="572">
        <v>3298246</v>
      </c>
      <c r="AM12" s="572">
        <v>1804400</v>
      </c>
      <c r="AN12" s="572">
        <v>156469</v>
      </c>
      <c r="AO12" s="572">
        <v>450087</v>
      </c>
      <c r="AP12" s="572">
        <v>4725397</v>
      </c>
      <c r="AQ12" s="572">
        <v>0</v>
      </c>
      <c r="AR12" s="572">
        <v>119566</v>
      </c>
      <c r="AS12" s="572">
        <v>233741</v>
      </c>
      <c r="AT12" s="572">
        <v>745578</v>
      </c>
      <c r="AU12" s="572">
        <v>77464</v>
      </c>
      <c r="AV12" s="572">
        <v>275031</v>
      </c>
      <c r="AW12" s="572">
        <v>4423207</v>
      </c>
      <c r="AX12" s="572">
        <v>405451</v>
      </c>
      <c r="AY12" s="572">
        <v>40880330</v>
      </c>
      <c r="AZ12" s="572">
        <v>1763999</v>
      </c>
      <c r="BA12" s="572">
        <v>4232474</v>
      </c>
      <c r="BB12" s="572">
        <v>1032453</v>
      </c>
      <c r="BC12" s="572">
        <v>1035695</v>
      </c>
      <c r="BD12" s="572">
        <v>2243820</v>
      </c>
      <c r="BE12" s="572">
        <v>132490</v>
      </c>
      <c r="BF12" s="572">
        <v>1036693</v>
      </c>
      <c r="BG12" s="572">
        <v>2895374</v>
      </c>
      <c r="BH12" s="572">
        <v>11409019</v>
      </c>
      <c r="BI12" s="572">
        <v>308179</v>
      </c>
      <c r="BJ12" s="572">
        <v>89851</v>
      </c>
      <c r="BK12" s="572">
        <v>11220701</v>
      </c>
      <c r="BL12" s="572">
        <v>12579969</v>
      </c>
      <c r="BM12" s="572">
        <v>6633916</v>
      </c>
      <c r="BN12" s="572">
        <v>78933</v>
      </c>
      <c r="BO12" s="572">
        <v>2108740</v>
      </c>
      <c r="BP12" s="572">
        <v>0</v>
      </c>
      <c r="BQ12" s="572">
        <v>6342672</v>
      </c>
      <c r="BR12" s="572">
        <v>777630</v>
      </c>
      <c r="BS12" s="572">
        <v>714867</v>
      </c>
      <c r="BT12" s="572">
        <v>2342676</v>
      </c>
      <c r="BU12" s="572">
        <v>3391044</v>
      </c>
      <c r="BV12" s="572">
        <v>563260</v>
      </c>
      <c r="BW12" s="572">
        <v>1650219</v>
      </c>
      <c r="BX12" s="572">
        <v>5906327</v>
      </c>
      <c r="BY12" s="572">
        <v>151116</v>
      </c>
      <c r="BZ12" s="572">
        <v>0</v>
      </c>
      <c r="CA12" s="572">
        <v>5949942</v>
      </c>
      <c r="CB12" s="572">
        <v>102976932</v>
      </c>
      <c r="CC12" s="572">
        <v>47932737</v>
      </c>
      <c r="CD12" s="572">
        <v>1312598</v>
      </c>
      <c r="CE12" s="572">
        <v>1858773</v>
      </c>
      <c r="CF12" s="572">
        <v>0</v>
      </c>
      <c r="CG12" s="572">
        <v>1461560</v>
      </c>
      <c r="CH12" s="572">
        <v>194409936</v>
      </c>
      <c r="CI12" s="572">
        <v>7939025</v>
      </c>
      <c r="CJ12" s="572">
        <v>502145</v>
      </c>
      <c r="CK12" s="572">
        <v>3778703</v>
      </c>
      <c r="CL12" s="572">
        <v>470083</v>
      </c>
      <c r="CM12" s="572">
        <v>11390719</v>
      </c>
      <c r="CN12" s="572">
        <v>2788298</v>
      </c>
      <c r="CO12" s="572">
        <v>932024</v>
      </c>
      <c r="CP12" s="572">
        <v>1983409</v>
      </c>
      <c r="CQ12" s="572">
        <v>10431499</v>
      </c>
      <c r="CR12" s="567"/>
      <c r="CS12" s="567"/>
      <c r="CT12" s="567"/>
      <c r="CU12" s="567"/>
      <c r="CV12" s="567"/>
      <c r="CW12" s="567"/>
      <c r="CX12" s="567"/>
      <c r="CY12" s="567"/>
      <c r="CZ12" s="567"/>
      <c r="DA12" s="567"/>
      <c r="DB12" s="567"/>
      <c r="DC12" s="567"/>
      <c r="DD12" s="567"/>
      <c r="DE12" s="567"/>
      <c r="DF12" s="567"/>
      <c r="DG12" s="567"/>
      <c r="DH12" s="567"/>
      <c r="DI12" s="567"/>
      <c r="DJ12" s="567"/>
      <c r="DK12" s="567"/>
      <c r="DL12" s="567"/>
      <c r="DM12" s="567"/>
      <c r="DN12" s="567"/>
      <c r="DO12" s="567"/>
      <c r="DP12" s="567"/>
      <c r="DQ12" s="567"/>
      <c r="DR12" s="567"/>
      <c r="DS12" s="567"/>
      <c r="DT12" s="567"/>
      <c r="DU12" s="567"/>
      <c r="DV12" s="567"/>
      <c r="DW12" s="567"/>
      <c r="DX12" s="567"/>
      <c r="DY12" s="567"/>
      <c r="DZ12" s="567"/>
      <c r="EA12" s="567"/>
      <c r="EB12" s="567"/>
      <c r="EC12" s="567"/>
      <c r="ED12" s="567"/>
      <c r="EE12" s="567"/>
      <c r="EF12" s="567"/>
      <c r="EG12" s="567"/>
      <c r="EH12" s="567"/>
      <c r="EI12" s="567"/>
      <c r="EJ12" s="567"/>
      <c r="EK12" s="567"/>
      <c r="EL12" s="567"/>
      <c r="EM12" s="567"/>
      <c r="EN12" s="567"/>
      <c r="EO12" s="567"/>
      <c r="EP12" s="567"/>
      <c r="EQ12" s="567"/>
      <c r="ER12" s="567"/>
      <c r="ES12" s="567"/>
      <c r="ET12" s="567"/>
      <c r="EU12" s="567"/>
      <c r="EV12" s="567"/>
      <c r="EW12" s="567"/>
      <c r="EX12" s="567"/>
      <c r="EY12" s="567"/>
      <c r="EZ12" s="567"/>
      <c r="FA12" s="567"/>
      <c r="FB12" s="567"/>
      <c r="FC12" s="567"/>
      <c r="FD12" s="567"/>
      <c r="FE12" s="567"/>
      <c r="FF12" s="567"/>
      <c r="FG12" s="567"/>
      <c r="FH12" s="567"/>
      <c r="FI12" s="567"/>
      <c r="FJ12" s="567"/>
      <c r="FK12" s="567"/>
      <c r="FL12" s="567"/>
      <c r="FM12" s="567"/>
      <c r="FN12" s="567"/>
      <c r="FO12" s="567"/>
      <c r="FP12" s="567"/>
      <c r="FQ12" s="567"/>
      <c r="FR12" s="567"/>
      <c r="FS12" s="567"/>
      <c r="FT12" s="567"/>
      <c r="FU12" s="567"/>
      <c r="FV12" s="567"/>
      <c r="FW12" s="567"/>
      <c r="FX12" s="567"/>
      <c r="FY12" s="567"/>
      <c r="FZ12" s="567"/>
      <c r="GA12" s="567"/>
      <c r="GB12" s="567"/>
      <c r="GC12" s="567"/>
      <c r="GD12" s="567"/>
      <c r="GE12" s="567"/>
      <c r="GF12" s="567"/>
      <c r="GG12" s="567"/>
      <c r="GH12" s="567"/>
      <c r="GI12" s="567"/>
      <c r="GJ12" s="567"/>
      <c r="GK12" s="567"/>
      <c r="GL12" s="567"/>
      <c r="GM12" s="567"/>
      <c r="GN12" s="567"/>
      <c r="GO12" s="567"/>
      <c r="GP12" s="567"/>
      <c r="GQ12" s="567"/>
      <c r="GR12" s="567"/>
      <c r="GS12" s="567"/>
      <c r="GT12" s="567"/>
      <c r="GU12" s="567"/>
      <c r="GV12" s="567"/>
      <c r="GW12" s="567"/>
      <c r="GX12" s="567"/>
      <c r="GY12" s="567"/>
      <c r="GZ12" s="567"/>
      <c r="HA12" s="567"/>
      <c r="HB12" s="567"/>
      <c r="HC12" s="567"/>
      <c r="HD12" s="567"/>
      <c r="HE12" s="567"/>
      <c r="HF12" s="567"/>
      <c r="HG12" s="567"/>
      <c r="HH12" s="567"/>
      <c r="HI12" s="567"/>
      <c r="HJ12" s="567"/>
      <c r="HK12" s="567"/>
      <c r="HL12" s="567"/>
      <c r="HM12" s="567"/>
      <c r="HN12" s="567"/>
      <c r="HO12" s="567"/>
      <c r="HP12" s="567"/>
      <c r="HQ12" s="567"/>
      <c r="HR12" s="567"/>
      <c r="HS12" s="567"/>
      <c r="HT12" s="567"/>
      <c r="HU12" s="567"/>
      <c r="HV12" s="567"/>
      <c r="HW12" s="567"/>
      <c r="HX12" s="567"/>
      <c r="HY12" s="567"/>
      <c r="HZ12" s="567"/>
      <c r="IA12" s="567"/>
      <c r="IB12" s="567"/>
      <c r="IC12" s="567"/>
      <c r="ID12" s="567"/>
      <c r="IE12" s="567"/>
      <c r="IF12" s="567"/>
      <c r="IG12" s="567"/>
      <c r="IH12" s="567"/>
      <c r="II12" s="567"/>
      <c r="IJ12" s="567"/>
      <c r="IK12" s="567"/>
      <c r="IL12" s="567"/>
      <c r="IM12" s="567"/>
      <c r="IN12" s="567"/>
      <c r="IO12" s="567"/>
      <c r="IP12" s="567"/>
      <c r="IQ12" s="567"/>
      <c r="IR12" s="567"/>
      <c r="IS12" s="567"/>
      <c r="IT12" s="567"/>
      <c r="IU12" s="567"/>
    </row>
    <row r="13" spans="1:255" x14ac:dyDescent="0.25">
      <c r="A13" s="668">
        <v>17</v>
      </c>
      <c r="B13" s="569">
        <v>17</v>
      </c>
      <c r="C13" s="570" t="s">
        <v>294</v>
      </c>
      <c r="D13" s="567" t="s">
        <v>660</v>
      </c>
      <c r="E13" s="573">
        <v>273</v>
      </c>
      <c r="F13" s="574">
        <v>0</v>
      </c>
      <c r="G13" s="574">
        <v>0</v>
      </c>
      <c r="H13" s="574">
        <v>0</v>
      </c>
      <c r="I13" s="574">
        <v>270000</v>
      </c>
      <c r="J13" s="574">
        <v>0</v>
      </c>
      <c r="K13" s="575">
        <v>1440089</v>
      </c>
      <c r="L13" s="572">
        <v>0</v>
      </c>
      <c r="M13" s="572">
        <v>0</v>
      </c>
      <c r="N13" s="571">
        <v>0</v>
      </c>
      <c r="O13" s="571">
        <v>24000</v>
      </c>
      <c r="P13" s="571">
        <v>0</v>
      </c>
      <c r="Q13" s="571">
        <v>0</v>
      </c>
      <c r="R13" s="571">
        <v>0</v>
      </c>
      <c r="S13" s="571">
        <v>0</v>
      </c>
      <c r="T13" s="571">
        <v>120103</v>
      </c>
      <c r="U13" s="571">
        <v>0</v>
      </c>
      <c r="V13" s="571">
        <v>144132</v>
      </c>
      <c r="W13" s="571">
        <v>0</v>
      </c>
      <c r="X13" s="571">
        <v>0</v>
      </c>
      <c r="Y13" s="571">
        <v>0</v>
      </c>
      <c r="Z13" s="571">
        <v>0</v>
      </c>
      <c r="AA13" s="571">
        <v>1669977</v>
      </c>
      <c r="AB13" s="572">
        <v>0</v>
      </c>
      <c r="AC13" s="572">
        <v>0</v>
      </c>
      <c r="AD13" s="572">
        <v>0</v>
      </c>
      <c r="AE13" s="572">
        <v>3422</v>
      </c>
      <c r="AF13" s="572">
        <v>0</v>
      </c>
      <c r="AG13" s="572">
        <v>0</v>
      </c>
      <c r="AH13" s="572">
        <v>0</v>
      </c>
      <c r="AI13" s="572">
        <v>0</v>
      </c>
      <c r="AJ13" s="572">
        <v>0</v>
      </c>
      <c r="AK13" s="572">
        <v>0</v>
      </c>
      <c r="AL13" s="572">
        <v>200000</v>
      </c>
      <c r="AM13" s="572">
        <v>0</v>
      </c>
      <c r="AN13" s="572">
        <v>0</v>
      </c>
      <c r="AO13" s="572">
        <v>0</v>
      </c>
      <c r="AP13" s="572">
        <v>744388</v>
      </c>
      <c r="AQ13" s="572">
        <v>0</v>
      </c>
      <c r="AR13" s="572">
        <v>0</v>
      </c>
      <c r="AS13" s="572">
        <v>0</v>
      </c>
      <c r="AT13" s="572">
        <v>0</v>
      </c>
      <c r="AU13" s="572">
        <v>0</v>
      </c>
      <c r="AV13" s="572">
        <v>0</v>
      </c>
      <c r="AW13" s="572">
        <v>0</v>
      </c>
      <c r="AX13" s="572">
        <v>32720</v>
      </c>
      <c r="AY13" s="572">
        <v>569351</v>
      </c>
      <c r="AZ13" s="572">
        <v>101270</v>
      </c>
      <c r="BA13" s="572">
        <v>0</v>
      </c>
      <c r="BB13" s="572">
        <v>0</v>
      </c>
      <c r="BC13" s="572">
        <v>0</v>
      </c>
      <c r="BD13" s="572">
        <v>0</v>
      </c>
      <c r="BE13" s="572">
        <v>0</v>
      </c>
      <c r="BF13" s="572">
        <v>0</v>
      </c>
      <c r="BG13" s="572">
        <v>0</v>
      </c>
      <c r="BH13" s="572">
        <v>1853666</v>
      </c>
      <c r="BI13" s="572">
        <v>0</v>
      </c>
      <c r="BJ13" s="572">
        <v>0</v>
      </c>
      <c r="BK13" s="572">
        <v>0</v>
      </c>
      <c r="BL13" s="572">
        <v>1489610</v>
      </c>
      <c r="BM13" s="572">
        <v>0</v>
      </c>
      <c r="BN13" s="572">
        <v>0</v>
      </c>
      <c r="BO13" s="572">
        <v>0</v>
      </c>
      <c r="BP13" s="572">
        <v>0</v>
      </c>
      <c r="BQ13" s="572">
        <v>0</v>
      </c>
      <c r="BR13" s="572">
        <v>0</v>
      </c>
      <c r="BS13" s="572">
        <v>0</v>
      </c>
      <c r="BT13" s="572">
        <v>0</v>
      </c>
      <c r="BU13" s="572">
        <v>22482</v>
      </c>
      <c r="BV13" s="572">
        <v>0</v>
      </c>
      <c r="BW13" s="572">
        <v>6455</v>
      </c>
      <c r="BX13" s="572">
        <v>3316</v>
      </c>
      <c r="BY13" s="572">
        <v>0</v>
      </c>
      <c r="BZ13" s="572">
        <v>0</v>
      </c>
      <c r="CA13" s="572">
        <v>0</v>
      </c>
      <c r="CB13" s="572">
        <v>0</v>
      </c>
      <c r="CC13" s="572">
        <v>3473660</v>
      </c>
      <c r="CD13" s="572">
        <v>109278</v>
      </c>
      <c r="CE13" s="572">
        <v>948400</v>
      </c>
      <c r="CF13" s="572">
        <v>0</v>
      </c>
      <c r="CG13" s="572">
        <v>57318</v>
      </c>
      <c r="CH13" s="572">
        <v>8434991</v>
      </c>
      <c r="CI13" s="572">
        <v>311000</v>
      </c>
      <c r="CJ13" s="572">
        <v>53340</v>
      </c>
      <c r="CK13" s="572">
        <v>0</v>
      </c>
      <c r="CL13" s="572">
        <v>0</v>
      </c>
      <c r="CM13" s="572">
        <v>142250</v>
      </c>
      <c r="CN13" s="572">
        <v>5942</v>
      </c>
      <c r="CO13" s="572">
        <v>0</v>
      </c>
      <c r="CP13" s="572">
        <v>0</v>
      </c>
      <c r="CQ13" s="572">
        <v>0</v>
      </c>
      <c r="CR13" s="567"/>
      <c r="CS13" s="567"/>
      <c r="CT13" s="567"/>
      <c r="CU13" s="567"/>
      <c r="CV13" s="567"/>
      <c r="CW13" s="567"/>
      <c r="CX13" s="567"/>
      <c r="CY13" s="567"/>
      <c r="CZ13" s="567"/>
      <c r="DA13" s="567"/>
      <c r="DB13" s="567"/>
      <c r="DC13" s="567"/>
      <c r="DD13" s="567"/>
      <c r="DE13" s="567"/>
      <c r="DF13" s="567"/>
      <c r="DG13" s="567"/>
      <c r="DH13" s="567"/>
      <c r="DI13" s="567"/>
      <c r="DJ13" s="567"/>
      <c r="DK13" s="567"/>
      <c r="DL13" s="567"/>
      <c r="DM13" s="567"/>
      <c r="DN13" s="567"/>
      <c r="DO13" s="567"/>
      <c r="DP13" s="567"/>
      <c r="DQ13" s="567"/>
      <c r="DR13" s="567"/>
      <c r="DS13" s="567"/>
      <c r="DT13" s="567"/>
      <c r="DU13" s="567"/>
      <c r="DV13" s="567"/>
      <c r="DW13" s="567"/>
      <c r="DX13" s="567"/>
      <c r="DY13" s="567"/>
      <c r="DZ13" s="567"/>
      <c r="EA13" s="567"/>
      <c r="EB13" s="567"/>
      <c r="EC13" s="567"/>
      <c r="ED13" s="567"/>
      <c r="EE13" s="567"/>
      <c r="EF13" s="567"/>
      <c r="EG13" s="567"/>
      <c r="EH13" s="567"/>
      <c r="EI13" s="567"/>
      <c r="EJ13" s="567"/>
      <c r="EK13" s="567"/>
      <c r="EL13" s="567"/>
      <c r="EM13" s="567"/>
      <c r="EN13" s="567"/>
      <c r="EO13" s="567"/>
      <c r="EP13" s="567"/>
      <c r="EQ13" s="567"/>
      <c r="ER13" s="567"/>
      <c r="ES13" s="567"/>
      <c r="ET13" s="567"/>
      <c r="EU13" s="567"/>
      <c r="EV13" s="567"/>
      <c r="EW13" s="567"/>
      <c r="EX13" s="567"/>
      <c r="EY13" s="567"/>
      <c r="EZ13" s="567"/>
      <c r="FA13" s="567"/>
      <c r="FB13" s="567"/>
      <c r="FC13" s="567"/>
      <c r="FD13" s="567"/>
      <c r="FE13" s="567"/>
      <c r="FF13" s="567"/>
      <c r="FG13" s="567"/>
      <c r="FH13" s="567"/>
      <c r="FI13" s="567"/>
      <c r="FJ13" s="567"/>
      <c r="FK13" s="567"/>
      <c r="FL13" s="567"/>
      <c r="FM13" s="567"/>
      <c r="FN13" s="567"/>
      <c r="FO13" s="567"/>
      <c r="FP13" s="567"/>
      <c r="FQ13" s="567"/>
      <c r="FR13" s="567"/>
      <c r="FS13" s="567"/>
      <c r="FT13" s="567"/>
      <c r="FU13" s="567"/>
      <c r="FV13" s="567"/>
      <c r="FW13" s="567"/>
      <c r="FX13" s="567"/>
      <c r="FY13" s="567"/>
      <c r="FZ13" s="567"/>
      <c r="GA13" s="567"/>
      <c r="GB13" s="567"/>
      <c r="GC13" s="567"/>
      <c r="GD13" s="567"/>
      <c r="GE13" s="567"/>
      <c r="GF13" s="567"/>
      <c r="GG13" s="567"/>
      <c r="GH13" s="567"/>
      <c r="GI13" s="567"/>
      <c r="GJ13" s="567"/>
      <c r="GK13" s="567"/>
      <c r="GL13" s="567"/>
      <c r="GM13" s="567"/>
      <c r="GN13" s="567"/>
      <c r="GO13" s="567"/>
      <c r="GP13" s="567"/>
      <c r="GQ13" s="567"/>
      <c r="GR13" s="567"/>
      <c r="GS13" s="567"/>
      <c r="GT13" s="567"/>
      <c r="GU13" s="567"/>
      <c r="GV13" s="567"/>
      <c r="GW13" s="567"/>
      <c r="GX13" s="567"/>
      <c r="GY13" s="567"/>
      <c r="GZ13" s="567"/>
      <c r="HA13" s="567"/>
      <c r="HB13" s="567"/>
      <c r="HC13" s="567"/>
      <c r="HD13" s="567"/>
      <c r="HE13" s="567"/>
      <c r="HF13" s="567"/>
      <c r="HG13" s="567"/>
      <c r="HH13" s="567"/>
      <c r="HI13" s="567"/>
      <c r="HJ13" s="567"/>
      <c r="HK13" s="567"/>
      <c r="HL13" s="567"/>
      <c r="HM13" s="567"/>
      <c r="HN13" s="567"/>
      <c r="HO13" s="567"/>
      <c r="HP13" s="567"/>
      <c r="HQ13" s="567"/>
      <c r="HR13" s="567"/>
      <c r="HS13" s="567"/>
      <c r="HT13" s="567"/>
      <c r="HU13" s="567"/>
      <c r="HV13" s="567"/>
      <c r="HW13" s="567"/>
      <c r="HX13" s="567"/>
      <c r="HY13" s="567"/>
      <c r="HZ13" s="567"/>
      <c r="IA13" s="567"/>
      <c r="IB13" s="567"/>
      <c r="IC13" s="567"/>
      <c r="ID13" s="567"/>
      <c r="IE13" s="567"/>
      <c r="IF13" s="567"/>
      <c r="IG13" s="567"/>
      <c r="IH13" s="567"/>
      <c r="II13" s="567"/>
      <c r="IJ13" s="567"/>
      <c r="IK13" s="567"/>
      <c r="IL13" s="567"/>
      <c r="IM13" s="567"/>
      <c r="IN13" s="567"/>
      <c r="IO13" s="567"/>
      <c r="IP13" s="567"/>
      <c r="IQ13" s="567"/>
      <c r="IR13" s="567"/>
      <c r="IS13" s="567"/>
      <c r="IT13" s="567"/>
      <c r="IU13" s="567"/>
    </row>
    <row r="14" spans="1:255" x14ac:dyDescent="0.25">
      <c r="A14" s="668"/>
      <c r="B14" s="569">
        <v>19</v>
      </c>
      <c r="C14" s="570" t="s">
        <v>661</v>
      </c>
      <c r="D14" s="567" t="s">
        <v>662</v>
      </c>
      <c r="E14" s="573"/>
      <c r="F14" s="574"/>
      <c r="G14" s="574"/>
      <c r="H14" s="574"/>
      <c r="I14" s="574"/>
      <c r="J14" s="574"/>
      <c r="K14" s="575"/>
      <c r="L14" s="572"/>
      <c r="M14" s="572"/>
      <c r="N14" s="571"/>
      <c r="O14" s="571"/>
      <c r="P14" s="571"/>
      <c r="Q14" s="571"/>
      <c r="R14" s="571"/>
      <c r="S14" s="571"/>
      <c r="T14" s="571"/>
      <c r="U14" s="571"/>
      <c r="V14" s="571"/>
      <c r="W14" s="571"/>
      <c r="X14" s="571"/>
      <c r="Y14" s="571"/>
      <c r="Z14" s="571"/>
      <c r="AA14" s="571"/>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c r="CE14" s="572"/>
      <c r="CF14" s="572"/>
      <c r="CG14" s="572"/>
      <c r="CH14" s="572"/>
      <c r="CI14" s="572"/>
      <c r="CJ14" s="572"/>
      <c r="CK14" s="572"/>
      <c r="CL14" s="572"/>
      <c r="CM14" s="572"/>
      <c r="CN14" s="572"/>
      <c r="CO14" s="572"/>
      <c r="CP14" s="572"/>
      <c r="CQ14" s="572"/>
      <c r="CR14" s="567"/>
      <c r="CS14" s="567"/>
      <c r="CT14" s="567"/>
      <c r="CU14" s="567"/>
      <c r="CV14" s="567"/>
      <c r="CW14" s="567"/>
      <c r="CX14" s="567"/>
      <c r="CY14" s="567"/>
      <c r="CZ14" s="567"/>
      <c r="DA14" s="567"/>
      <c r="DB14" s="567"/>
      <c r="DC14" s="567"/>
      <c r="DD14" s="567"/>
      <c r="DE14" s="567"/>
      <c r="DF14" s="567"/>
      <c r="DG14" s="567"/>
      <c r="DH14" s="567"/>
      <c r="DI14" s="567"/>
      <c r="DJ14" s="567"/>
      <c r="DK14" s="567"/>
      <c r="DL14" s="567"/>
      <c r="DM14" s="567"/>
      <c r="DN14" s="567"/>
      <c r="DO14" s="567"/>
      <c r="DP14" s="567"/>
      <c r="DQ14" s="567"/>
      <c r="DR14" s="567"/>
      <c r="DS14" s="567"/>
      <c r="DT14" s="567"/>
      <c r="DU14" s="567"/>
      <c r="DV14" s="567"/>
      <c r="DW14" s="567"/>
      <c r="DX14" s="567"/>
      <c r="DY14" s="567"/>
      <c r="DZ14" s="567"/>
      <c r="EA14" s="567"/>
      <c r="EB14" s="567"/>
      <c r="EC14" s="567"/>
      <c r="ED14" s="567"/>
      <c r="EE14" s="567"/>
      <c r="EF14" s="567"/>
      <c r="EG14" s="567"/>
      <c r="EH14" s="567"/>
      <c r="EI14" s="567"/>
      <c r="EJ14" s="567"/>
      <c r="EK14" s="567"/>
      <c r="EL14" s="567"/>
      <c r="EM14" s="567"/>
      <c r="EN14" s="567"/>
      <c r="EO14" s="567"/>
      <c r="EP14" s="567"/>
      <c r="EQ14" s="567"/>
      <c r="ER14" s="567"/>
      <c r="ES14" s="567"/>
      <c r="ET14" s="567"/>
      <c r="EU14" s="567"/>
      <c r="EV14" s="567"/>
      <c r="EW14" s="567"/>
      <c r="EX14" s="567"/>
      <c r="EY14" s="567"/>
      <c r="EZ14" s="567"/>
      <c r="FA14" s="567"/>
      <c r="FB14" s="567"/>
      <c r="FC14" s="567"/>
      <c r="FD14" s="567"/>
      <c r="FE14" s="567"/>
      <c r="FF14" s="567"/>
      <c r="FG14" s="567"/>
      <c r="FH14" s="567"/>
      <c r="FI14" s="567"/>
      <c r="FJ14" s="567"/>
      <c r="FK14" s="567"/>
      <c r="FL14" s="567"/>
      <c r="FM14" s="567"/>
      <c r="FN14" s="567"/>
      <c r="FO14" s="567"/>
      <c r="FP14" s="567"/>
      <c r="FQ14" s="567"/>
      <c r="FR14" s="567"/>
      <c r="FS14" s="567"/>
      <c r="FT14" s="567"/>
      <c r="FU14" s="567"/>
      <c r="FV14" s="567"/>
      <c r="FW14" s="567"/>
      <c r="FX14" s="567"/>
      <c r="FY14" s="567"/>
      <c r="FZ14" s="567"/>
      <c r="GA14" s="567"/>
      <c r="GB14" s="567"/>
      <c r="GC14" s="567"/>
      <c r="GD14" s="567"/>
      <c r="GE14" s="567"/>
      <c r="GF14" s="567"/>
      <c r="GG14" s="567"/>
      <c r="GH14" s="567"/>
      <c r="GI14" s="567"/>
      <c r="GJ14" s="567"/>
      <c r="GK14" s="567"/>
      <c r="GL14" s="567"/>
      <c r="GM14" s="567"/>
      <c r="GN14" s="567"/>
      <c r="GO14" s="567"/>
      <c r="GP14" s="567"/>
      <c r="GQ14" s="567"/>
      <c r="GR14" s="567"/>
      <c r="GS14" s="567"/>
      <c r="GT14" s="567"/>
      <c r="GU14" s="567"/>
      <c r="GV14" s="567"/>
      <c r="GW14" s="567"/>
      <c r="GX14" s="567"/>
      <c r="GY14" s="567"/>
      <c r="GZ14" s="567"/>
      <c r="HA14" s="567"/>
      <c r="HB14" s="567"/>
      <c r="HC14" s="567"/>
      <c r="HD14" s="567"/>
      <c r="HE14" s="567"/>
      <c r="HF14" s="567"/>
      <c r="HG14" s="567"/>
      <c r="HH14" s="567"/>
      <c r="HI14" s="567"/>
      <c r="HJ14" s="567"/>
      <c r="HK14" s="567"/>
      <c r="HL14" s="567"/>
      <c r="HM14" s="567"/>
      <c r="HN14" s="567"/>
      <c r="HO14" s="567"/>
      <c r="HP14" s="567"/>
      <c r="HQ14" s="567"/>
      <c r="HR14" s="567"/>
      <c r="HS14" s="567"/>
      <c r="HT14" s="567"/>
      <c r="HU14" s="567"/>
      <c r="HV14" s="567"/>
      <c r="HW14" s="567"/>
      <c r="HX14" s="567"/>
      <c r="HY14" s="567"/>
      <c r="HZ14" s="567"/>
      <c r="IA14" s="567"/>
      <c r="IB14" s="567"/>
      <c r="IC14" s="567"/>
      <c r="ID14" s="567"/>
      <c r="IE14" s="567"/>
      <c r="IF14" s="567"/>
      <c r="IG14" s="567"/>
      <c r="IH14" s="567"/>
      <c r="II14" s="567"/>
      <c r="IJ14" s="567"/>
      <c r="IK14" s="567"/>
      <c r="IL14" s="567"/>
      <c r="IM14" s="567"/>
      <c r="IN14" s="567"/>
      <c r="IO14" s="567"/>
      <c r="IP14" s="567"/>
      <c r="IQ14" s="567"/>
      <c r="IR14" s="567"/>
      <c r="IS14" s="567"/>
      <c r="IT14" s="567"/>
      <c r="IU14" s="567"/>
    </row>
    <row r="15" spans="1:255" x14ac:dyDescent="0.25">
      <c r="A15" s="668">
        <v>20</v>
      </c>
      <c r="B15" s="569">
        <v>20</v>
      </c>
      <c r="C15" s="570" t="s">
        <v>295</v>
      </c>
      <c r="D15" s="567" t="s">
        <v>663</v>
      </c>
      <c r="E15" s="573">
        <v>0</v>
      </c>
      <c r="F15" s="574">
        <v>1293465</v>
      </c>
      <c r="G15" s="574">
        <v>0</v>
      </c>
      <c r="H15" s="574">
        <v>0</v>
      </c>
      <c r="I15" s="574">
        <v>0</v>
      </c>
      <c r="J15" s="574">
        <v>0</v>
      </c>
      <c r="K15" s="575">
        <v>2389088</v>
      </c>
      <c r="L15" s="572">
        <v>0</v>
      </c>
      <c r="M15" s="572">
        <v>0</v>
      </c>
      <c r="N15" s="571">
        <v>0</v>
      </c>
      <c r="O15" s="571">
        <v>0</v>
      </c>
      <c r="P15" s="571">
        <v>0</v>
      </c>
      <c r="Q15" s="571">
        <v>10007</v>
      </c>
      <c r="R15" s="571">
        <v>0</v>
      </c>
      <c r="S15" s="571">
        <v>0</v>
      </c>
      <c r="T15" s="571">
        <v>492500</v>
      </c>
      <c r="U15" s="571">
        <v>0</v>
      </c>
      <c r="V15" s="571">
        <v>20000</v>
      </c>
      <c r="W15" s="571">
        <v>0</v>
      </c>
      <c r="X15" s="571">
        <v>0</v>
      </c>
      <c r="Y15" s="571">
        <v>38258</v>
      </c>
      <c r="Z15" s="571">
        <v>0</v>
      </c>
      <c r="AA15" s="571">
        <v>0</v>
      </c>
      <c r="AB15" s="572">
        <v>0</v>
      </c>
      <c r="AC15" s="572">
        <v>0</v>
      </c>
      <c r="AD15" s="572">
        <v>0</v>
      </c>
      <c r="AE15" s="572">
        <v>352076</v>
      </c>
      <c r="AF15" s="572">
        <v>0</v>
      </c>
      <c r="AG15" s="572">
        <v>20000</v>
      </c>
      <c r="AH15" s="572">
        <v>0</v>
      </c>
      <c r="AI15" s="572">
        <v>0</v>
      </c>
      <c r="AJ15" s="572">
        <v>1144641</v>
      </c>
      <c r="AK15" s="572">
        <v>0</v>
      </c>
      <c r="AL15" s="572">
        <v>30101</v>
      </c>
      <c r="AM15" s="572">
        <v>0</v>
      </c>
      <c r="AN15" s="572">
        <v>0</v>
      </c>
      <c r="AO15" s="572">
        <v>0</v>
      </c>
      <c r="AP15" s="572">
        <v>28375</v>
      </c>
      <c r="AQ15" s="572">
        <v>0</v>
      </c>
      <c r="AR15" s="572">
        <v>0</v>
      </c>
      <c r="AS15" s="572">
        <v>0</v>
      </c>
      <c r="AT15" s="572">
        <v>0</v>
      </c>
      <c r="AU15" s="572">
        <v>0</v>
      </c>
      <c r="AV15" s="572">
        <v>4169</v>
      </c>
      <c r="AW15" s="572">
        <v>4600</v>
      </c>
      <c r="AX15" s="572">
        <v>12702</v>
      </c>
      <c r="AY15" s="572">
        <v>5638279</v>
      </c>
      <c r="AZ15" s="572">
        <v>99112</v>
      </c>
      <c r="BA15" s="572">
        <v>0</v>
      </c>
      <c r="BB15" s="572">
        <v>432576</v>
      </c>
      <c r="BC15" s="572">
        <v>123209</v>
      </c>
      <c r="BD15" s="572">
        <v>156102</v>
      </c>
      <c r="BE15" s="572">
        <v>0</v>
      </c>
      <c r="BF15" s="572">
        <v>9305</v>
      </c>
      <c r="BG15" s="572">
        <v>0</v>
      </c>
      <c r="BH15" s="572">
        <v>776342</v>
      </c>
      <c r="BI15" s="572">
        <v>0</v>
      </c>
      <c r="BJ15" s="572">
        <v>0</v>
      </c>
      <c r="BK15" s="572">
        <v>1033000</v>
      </c>
      <c r="BL15" s="572">
        <v>0</v>
      </c>
      <c r="BM15" s="572">
        <v>0</v>
      </c>
      <c r="BN15" s="572">
        <v>0</v>
      </c>
      <c r="BO15" s="572">
        <v>0</v>
      </c>
      <c r="BP15" s="572">
        <v>0</v>
      </c>
      <c r="BQ15" s="572">
        <v>0</v>
      </c>
      <c r="BR15" s="572">
        <v>20000</v>
      </c>
      <c r="BS15" s="572">
        <v>0</v>
      </c>
      <c r="BT15" s="572">
        <v>0</v>
      </c>
      <c r="BU15" s="572">
        <v>52000</v>
      </c>
      <c r="BV15" s="572">
        <v>0</v>
      </c>
      <c r="BW15" s="572">
        <v>81986</v>
      </c>
      <c r="BX15" s="572">
        <v>940209</v>
      </c>
      <c r="BY15" s="572">
        <v>20000</v>
      </c>
      <c r="BZ15" s="572">
        <v>0</v>
      </c>
      <c r="CA15" s="572">
        <v>32583</v>
      </c>
      <c r="CB15" s="572">
        <v>18671763</v>
      </c>
      <c r="CC15" s="572">
        <v>1549790</v>
      </c>
      <c r="CD15" s="572">
        <v>0</v>
      </c>
      <c r="CE15" s="572">
        <v>7506</v>
      </c>
      <c r="CF15" s="572">
        <v>0</v>
      </c>
      <c r="CG15" s="572">
        <v>0</v>
      </c>
      <c r="CH15" s="572">
        <v>5648378</v>
      </c>
      <c r="CI15" s="572">
        <v>0</v>
      </c>
      <c r="CJ15" s="572">
        <v>0</v>
      </c>
      <c r="CK15" s="572">
        <v>0</v>
      </c>
      <c r="CL15" s="572">
        <v>50000</v>
      </c>
      <c r="CM15" s="572">
        <v>1079777</v>
      </c>
      <c r="CN15" s="572">
        <v>36800</v>
      </c>
      <c r="CO15" s="572">
        <v>0</v>
      </c>
      <c r="CP15" s="572">
        <v>44000</v>
      </c>
      <c r="CQ15" s="572">
        <v>782328</v>
      </c>
      <c r="CR15" s="567"/>
      <c r="CS15" s="567"/>
      <c r="CT15" s="567"/>
      <c r="CU15" s="567"/>
      <c r="CV15" s="567"/>
      <c r="CW15" s="567"/>
      <c r="CX15" s="567"/>
      <c r="CY15" s="567"/>
      <c r="CZ15" s="567"/>
      <c r="DA15" s="567"/>
      <c r="DB15" s="567"/>
      <c r="DC15" s="567"/>
      <c r="DD15" s="567"/>
      <c r="DE15" s="567"/>
      <c r="DF15" s="567"/>
      <c r="DG15" s="567"/>
      <c r="DH15" s="567"/>
      <c r="DI15" s="567"/>
      <c r="DJ15" s="567"/>
      <c r="DK15" s="567"/>
      <c r="DL15" s="567"/>
      <c r="DM15" s="567"/>
      <c r="DN15" s="567"/>
      <c r="DO15" s="567"/>
      <c r="DP15" s="567"/>
      <c r="DQ15" s="567"/>
      <c r="DR15" s="567"/>
      <c r="DS15" s="567"/>
      <c r="DT15" s="567"/>
      <c r="DU15" s="567"/>
      <c r="DV15" s="567"/>
      <c r="DW15" s="567"/>
      <c r="DX15" s="567"/>
      <c r="DY15" s="567"/>
      <c r="DZ15" s="567"/>
      <c r="EA15" s="567"/>
      <c r="EB15" s="567"/>
      <c r="EC15" s="567"/>
      <c r="ED15" s="567"/>
      <c r="EE15" s="567"/>
      <c r="EF15" s="567"/>
      <c r="EG15" s="567"/>
      <c r="EH15" s="567"/>
      <c r="EI15" s="567"/>
      <c r="EJ15" s="567"/>
      <c r="EK15" s="567"/>
      <c r="EL15" s="567"/>
      <c r="EM15" s="567"/>
      <c r="EN15" s="567"/>
      <c r="EO15" s="567"/>
      <c r="EP15" s="567"/>
      <c r="EQ15" s="567"/>
      <c r="ER15" s="567"/>
      <c r="ES15" s="567"/>
      <c r="ET15" s="567"/>
      <c r="EU15" s="567"/>
      <c r="EV15" s="567"/>
      <c r="EW15" s="567"/>
      <c r="EX15" s="567"/>
      <c r="EY15" s="567"/>
      <c r="EZ15" s="567"/>
      <c r="FA15" s="567"/>
      <c r="FB15" s="567"/>
      <c r="FC15" s="567"/>
      <c r="FD15" s="567"/>
      <c r="FE15" s="567"/>
      <c r="FF15" s="567"/>
      <c r="FG15" s="567"/>
      <c r="FH15" s="567"/>
      <c r="FI15" s="567"/>
      <c r="FJ15" s="567"/>
      <c r="FK15" s="567"/>
      <c r="FL15" s="567"/>
      <c r="FM15" s="567"/>
      <c r="FN15" s="567"/>
      <c r="FO15" s="567"/>
      <c r="FP15" s="567"/>
      <c r="FQ15" s="567"/>
      <c r="FR15" s="567"/>
      <c r="FS15" s="567"/>
      <c r="FT15" s="567"/>
      <c r="FU15" s="567"/>
      <c r="FV15" s="567"/>
      <c r="FW15" s="567"/>
      <c r="FX15" s="567"/>
      <c r="FY15" s="567"/>
      <c r="FZ15" s="567"/>
      <c r="GA15" s="567"/>
      <c r="GB15" s="567"/>
      <c r="GC15" s="567"/>
      <c r="GD15" s="567"/>
      <c r="GE15" s="567"/>
      <c r="GF15" s="567"/>
      <c r="GG15" s="567"/>
      <c r="GH15" s="567"/>
      <c r="GI15" s="567"/>
      <c r="GJ15" s="567"/>
      <c r="GK15" s="567"/>
      <c r="GL15" s="567"/>
      <c r="GM15" s="567"/>
      <c r="GN15" s="567"/>
      <c r="GO15" s="567"/>
      <c r="GP15" s="567"/>
      <c r="GQ15" s="567"/>
      <c r="GR15" s="567"/>
      <c r="GS15" s="567"/>
      <c r="GT15" s="567"/>
      <c r="GU15" s="567"/>
      <c r="GV15" s="567"/>
      <c r="GW15" s="567"/>
      <c r="GX15" s="567"/>
      <c r="GY15" s="567"/>
      <c r="GZ15" s="567"/>
      <c r="HA15" s="567"/>
      <c r="HB15" s="567"/>
      <c r="HC15" s="567"/>
      <c r="HD15" s="567"/>
      <c r="HE15" s="567"/>
      <c r="HF15" s="567"/>
      <c r="HG15" s="567"/>
      <c r="HH15" s="567"/>
      <c r="HI15" s="567"/>
      <c r="HJ15" s="567"/>
      <c r="HK15" s="567"/>
      <c r="HL15" s="567"/>
      <c r="HM15" s="567"/>
      <c r="HN15" s="567"/>
      <c r="HO15" s="567"/>
      <c r="HP15" s="567"/>
      <c r="HQ15" s="567"/>
      <c r="HR15" s="567"/>
      <c r="HS15" s="567"/>
      <c r="HT15" s="567"/>
      <c r="HU15" s="567"/>
      <c r="HV15" s="567"/>
      <c r="HW15" s="567"/>
      <c r="HX15" s="567"/>
      <c r="HY15" s="567"/>
      <c r="HZ15" s="567"/>
      <c r="IA15" s="567"/>
      <c r="IB15" s="567"/>
      <c r="IC15" s="567"/>
      <c r="ID15" s="567"/>
      <c r="IE15" s="567"/>
      <c r="IF15" s="567"/>
      <c r="IG15" s="567"/>
      <c r="IH15" s="567"/>
      <c r="II15" s="567"/>
      <c r="IJ15" s="567"/>
      <c r="IK15" s="567"/>
      <c r="IL15" s="567"/>
      <c r="IM15" s="567"/>
      <c r="IN15" s="567"/>
      <c r="IO15" s="567"/>
      <c r="IP15" s="567"/>
      <c r="IQ15" s="567"/>
      <c r="IR15" s="567"/>
      <c r="IS15" s="567"/>
      <c r="IT15" s="567"/>
      <c r="IU15" s="567"/>
    </row>
    <row r="16" spans="1:255" ht="45" x14ac:dyDescent="0.25">
      <c r="A16" s="668"/>
      <c r="B16" s="569">
        <v>21</v>
      </c>
      <c r="C16" s="570" t="s">
        <v>664</v>
      </c>
      <c r="D16" s="567" t="s">
        <v>665</v>
      </c>
      <c r="E16" s="573"/>
      <c r="F16" s="574"/>
      <c r="G16" s="574"/>
      <c r="H16" s="574"/>
      <c r="I16" s="574"/>
      <c r="J16" s="574"/>
      <c r="K16" s="575"/>
      <c r="L16" s="572"/>
      <c r="M16" s="572"/>
      <c r="N16" s="571"/>
      <c r="O16" s="571"/>
      <c r="P16" s="571"/>
      <c r="Q16" s="571"/>
      <c r="R16" s="571"/>
      <c r="S16" s="571"/>
      <c r="T16" s="571"/>
      <c r="U16" s="571"/>
      <c r="V16" s="571"/>
      <c r="W16" s="571"/>
      <c r="X16" s="571"/>
      <c r="Y16" s="571"/>
      <c r="Z16" s="571"/>
      <c r="AA16" s="571"/>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c r="BJ16" s="572"/>
      <c r="BK16" s="572"/>
      <c r="BL16" s="572"/>
      <c r="BM16" s="572"/>
      <c r="BN16" s="572"/>
      <c r="BO16" s="572"/>
      <c r="BP16" s="572"/>
      <c r="BQ16" s="572"/>
      <c r="BR16" s="572"/>
      <c r="BS16" s="572"/>
      <c r="BT16" s="572"/>
      <c r="BU16" s="572"/>
      <c r="BV16" s="572"/>
      <c r="BW16" s="572"/>
      <c r="BX16" s="572"/>
      <c r="BY16" s="572"/>
      <c r="BZ16" s="572"/>
      <c r="CA16" s="572"/>
      <c r="CB16" s="572"/>
      <c r="CC16" s="572"/>
      <c r="CD16" s="572"/>
      <c r="CE16" s="572"/>
      <c r="CF16" s="572"/>
      <c r="CG16" s="572"/>
      <c r="CH16" s="572"/>
      <c r="CI16" s="572"/>
      <c r="CJ16" s="572"/>
      <c r="CK16" s="572"/>
      <c r="CL16" s="572"/>
      <c r="CM16" s="572"/>
      <c r="CN16" s="572"/>
      <c r="CO16" s="572"/>
      <c r="CP16" s="572"/>
      <c r="CQ16" s="572"/>
      <c r="CR16" s="567"/>
      <c r="CS16" s="567"/>
      <c r="CT16" s="567"/>
      <c r="CU16" s="567"/>
      <c r="CV16" s="567"/>
      <c r="CW16" s="567"/>
      <c r="CX16" s="567"/>
      <c r="CY16" s="567"/>
      <c r="CZ16" s="567"/>
      <c r="DA16" s="567"/>
      <c r="DB16" s="567"/>
      <c r="DC16" s="567"/>
      <c r="DD16" s="567"/>
      <c r="DE16" s="567"/>
      <c r="DF16" s="567"/>
      <c r="DG16" s="567"/>
      <c r="DH16" s="567"/>
      <c r="DI16" s="567"/>
      <c r="DJ16" s="567"/>
      <c r="DK16" s="567"/>
      <c r="DL16" s="567"/>
      <c r="DM16" s="567"/>
      <c r="DN16" s="567"/>
      <c r="DO16" s="567"/>
      <c r="DP16" s="567"/>
      <c r="DQ16" s="567"/>
      <c r="DR16" s="567"/>
      <c r="DS16" s="567"/>
      <c r="DT16" s="567"/>
      <c r="DU16" s="567"/>
      <c r="DV16" s="567"/>
      <c r="DW16" s="567"/>
      <c r="DX16" s="567"/>
      <c r="DY16" s="567"/>
      <c r="DZ16" s="567"/>
      <c r="EA16" s="567"/>
      <c r="EB16" s="567"/>
      <c r="EC16" s="567"/>
      <c r="ED16" s="567"/>
      <c r="EE16" s="567"/>
      <c r="EF16" s="567"/>
      <c r="EG16" s="567"/>
      <c r="EH16" s="567"/>
      <c r="EI16" s="567"/>
      <c r="EJ16" s="567"/>
      <c r="EK16" s="567"/>
      <c r="EL16" s="567"/>
      <c r="EM16" s="567"/>
      <c r="EN16" s="567"/>
      <c r="EO16" s="567"/>
      <c r="EP16" s="567"/>
      <c r="EQ16" s="567"/>
      <c r="ER16" s="567"/>
      <c r="ES16" s="567"/>
      <c r="ET16" s="567"/>
      <c r="EU16" s="567"/>
      <c r="EV16" s="567"/>
      <c r="EW16" s="567"/>
      <c r="EX16" s="567"/>
      <c r="EY16" s="567"/>
      <c r="EZ16" s="567"/>
      <c r="FA16" s="567"/>
      <c r="FB16" s="567"/>
      <c r="FC16" s="567"/>
      <c r="FD16" s="567"/>
      <c r="FE16" s="567"/>
      <c r="FF16" s="567"/>
      <c r="FG16" s="567"/>
      <c r="FH16" s="567"/>
      <c r="FI16" s="567"/>
      <c r="FJ16" s="567"/>
      <c r="FK16" s="567"/>
      <c r="FL16" s="567"/>
      <c r="FM16" s="567"/>
      <c r="FN16" s="567"/>
      <c r="FO16" s="567"/>
      <c r="FP16" s="567"/>
      <c r="FQ16" s="567"/>
      <c r="FR16" s="567"/>
      <c r="FS16" s="567"/>
      <c r="FT16" s="567"/>
      <c r="FU16" s="567"/>
      <c r="FV16" s="567"/>
      <c r="FW16" s="567"/>
      <c r="FX16" s="567"/>
      <c r="FY16" s="567"/>
      <c r="FZ16" s="567"/>
      <c r="GA16" s="567"/>
      <c r="GB16" s="567"/>
      <c r="GC16" s="567"/>
      <c r="GD16" s="567"/>
      <c r="GE16" s="567"/>
      <c r="GF16" s="567"/>
      <c r="GG16" s="567"/>
      <c r="GH16" s="567"/>
      <c r="GI16" s="567"/>
      <c r="GJ16" s="567"/>
      <c r="GK16" s="567"/>
      <c r="GL16" s="567"/>
      <c r="GM16" s="567"/>
      <c r="GN16" s="567"/>
      <c r="GO16" s="567"/>
      <c r="GP16" s="567"/>
      <c r="GQ16" s="567"/>
      <c r="GR16" s="567"/>
      <c r="GS16" s="567"/>
      <c r="GT16" s="567"/>
      <c r="GU16" s="567"/>
      <c r="GV16" s="567"/>
      <c r="GW16" s="567"/>
      <c r="GX16" s="567"/>
      <c r="GY16" s="567"/>
      <c r="GZ16" s="567"/>
      <c r="HA16" s="567"/>
      <c r="HB16" s="567"/>
      <c r="HC16" s="567"/>
      <c r="HD16" s="567"/>
      <c r="HE16" s="567"/>
      <c r="HF16" s="567"/>
      <c r="HG16" s="567"/>
      <c r="HH16" s="567"/>
      <c r="HI16" s="567"/>
      <c r="HJ16" s="567"/>
      <c r="HK16" s="567"/>
      <c r="HL16" s="567"/>
      <c r="HM16" s="567"/>
      <c r="HN16" s="567"/>
      <c r="HO16" s="567"/>
      <c r="HP16" s="567"/>
      <c r="HQ16" s="567"/>
      <c r="HR16" s="567"/>
      <c r="HS16" s="567"/>
      <c r="HT16" s="567"/>
      <c r="HU16" s="567"/>
      <c r="HV16" s="567"/>
      <c r="HW16" s="567"/>
      <c r="HX16" s="567"/>
      <c r="HY16" s="567"/>
      <c r="HZ16" s="567"/>
      <c r="IA16" s="567"/>
      <c r="IB16" s="567"/>
      <c r="IC16" s="567"/>
      <c r="ID16" s="567"/>
      <c r="IE16" s="567"/>
      <c r="IF16" s="567"/>
      <c r="IG16" s="567"/>
      <c r="IH16" s="567"/>
      <c r="II16" s="567"/>
      <c r="IJ16" s="567"/>
      <c r="IK16" s="567"/>
      <c r="IL16" s="567"/>
      <c r="IM16" s="567"/>
      <c r="IN16" s="567"/>
      <c r="IO16" s="567"/>
      <c r="IP16" s="567"/>
      <c r="IQ16" s="567"/>
      <c r="IR16" s="567"/>
      <c r="IS16" s="567"/>
      <c r="IT16" s="567"/>
      <c r="IU16" s="567"/>
    </row>
    <row r="17" spans="1:95" x14ac:dyDescent="0.25">
      <c r="A17" s="668">
        <v>22</v>
      </c>
      <c r="B17" s="569">
        <v>22</v>
      </c>
      <c r="C17" s="570" t="s">
        <v>297</v>
      </c>
      <c r="D17" s="567" t="s">
        <v>666</v>
      </c>
      <c r="E17" s="573">
        <v>0</v>
      </c>
      <c r="F17" s="574">
        <v>0</v>
      </c>
      <c r="G17" s="574">
        <v>0</v>
      </c>
      <c r="H17" s="574">
        <v>0</v>
      </c>
      <c r="I17" s="574">
        <v>11174</v>
      </c>
      <c r="J17" s="574">
        <v>0</v>
      </c>
      <c r="K17" s="575">
        <v>0</v>
      </c>
      <c r="L17" s="572">
        <v>0</v>
      </c>
      <c r="M17" s="572">
        <v>0</v>
      </c>
      <c r="N17" s="571">
        <v>0</v>
      </c>
      <c r="O17" s="571">
        <v>0</v>
      </c>
      <c r="P17" s="571">
        <v>0</v>
      </c>
      <c r="Q17" s="571">
        <v>0</v>
      </c>
      <c r="R17" s="571">
        <v>55542</v>
      </c>
      <c r="S17" s="571">
        <v>0</v>
      </c>
      <c r="T17" s="571">
        <v>58804</v>
      </c>
      <c r="U17" s="571">
        <v>0</v>
      </c>
      <c r="V17" s="571">
        <v>50486</v>
      </c>
      <c r="W17" s="571">
        <v>0</v>
      </c>
      <c r="X17" s="571">
        <v>48217</v>
      </c>
      <c r="Y17" s="571">
        <v>18600</v>
      </c>
      <c r="Z17" s="571">
        <v>0</v>
      </c>
      <c r="AA17" s="571">
        <v>0</v>
      </c>
      <c r="AB17" s="572">
        <v>0</v>
      </c>
      <c r="AC17" s="572">
        <v>0</v>
      </c>
      <c r="AD17" s="572">
        <v>0</v>
      </c>
      <c r="AE17" s="572">
        <v>0</v>
      </c>
      <c r="AF17" s="572">
        <v>0</v>
      </c>
      <c r="AG17" s="572">
        <v>0</v>
      </c>
      <c r="AH17" s="572">
        <v>0</v>
      </c>
      <c r="AI17" s="572">
        <v>0</v>
      </c>
      <c r="AJ17" s="572">
        <v>0</v>
      </c>
      <c r="AK17" s="572">
        <v>1000</v>
      </c>
      <c r="AL17" s="572">
        <v>0</v>
      </c>
      <c r="AM17" s="572">
        <v>2227</v>
      </c>
      <c r="AN17" s="572">
        <v>0</v>
      </c>
      <c r="AO17" s="572">
        <v>0</v>
      </c>
      <c r="AP17" s="572">
        <v>1</v>
      </c>
      <c r="AQ17" s="572">
        <v>0</v>
      </c>
      <c r="AR17" s="572">
        <v>0</v>
      </c>
      <c r="AS17" s="572">
        <v>0</v>
      </c>
      <c r="AT17" s="572">
        <v>0</v>
      </c>
      <c r="AU17" s="572">
        <v>0</v>
      </c>
      <c r="AV17" s="572">
        <v>205494</v>
      </c>
      <c r="AW17" s="572">
        <v>28699</v>
      </c>
      <c r="AX17" s="572">
        <v>0</v>
      </c>
      <c r="AY17" s="572">
        <v>0</v>
      </c>
      <c r="AZ17" s="572">
        <v>0</v>
      </c>
      <c r="BA17" s="572">
        <v>0</v>
      </c>
      <c r="BB17" s="572">
        <v>0</v>
      </c>
      <c r="BC17" s="572">
        <v>0</v>
      </c>
      <c r="BD17" s="572">
        <v>0</v>
      </c>
      <c r="BE17" s="572">
        <v>0</v>
      </c>
      <c r="BF17" s="572">
        <v>1500</v>
      </c>
      <c r="BG17" s="572">
        <v>0</v>
      </c>
      <c r="BH17" s="572">
        <v>0</v>
      </c>
      <c r="BI17" s="572">
        <v>0</v>
      </c>
      <c r="BJ17" s="572">
        <v>0</v>
      </c>
      <c r="BK17" s="572">
        <v>9728</v>
      </c>
      <c r="BL17" s="572">
        <v>27273</v>
      </c>
      <c r="BM17" s="572">
        <v>568630</v>
      </c>
      <c r="BN17" s="572">
        <v>0</v>
      </c>
      <c r="BO17" s="572">
        <v>0</v>
      </c>
      <c r="BP17" s="572">
        <v>0</v>
      </c>
      <c r="BQ17" s="572">
        <v>116824</v>
      </c>
      <c r="BR17" s="572">
        <v>0</v>
      </c>
      <c r="BS17" s="572">
        <v>0</v>
      </c>
      <c r="BT17" s="572">
        <v>0</v>
      </c>
      <c r="BU17" s="572">
        <v>0</v>
      </c>
      <c r="BV17" s="572">
        <v>0</v>
      </c>
      <c r="BW17" s="572">
        <v>0</v>
      </c>
      <c r="BX17" s="572">
        <v>0</v>
      </c>
      <c r="BY17" s="572">
        <v>0</v>
      </c>
      <c r="BZ17" s="572">
        <v>0</v>
      </c>
      <c r="CA17" s="572">
        <v>10358</v>
      </c>
      <c r="CB17" s="572">
        <v>0</v>
      </c>
      <c r="CC17" s="572">
        <v>460697</v>
      </c>
      <c r="CD17" s="572">
        <v>0</v>
      </c>
      <c r="CE17" s="572">
        <v>42729</v>
      </c>
      <c r="CF17" s="572">
        <v>0</v>
      </c>
      <c r="CG17" s="572">
        <v>0</v>
      </c>
      <c r="CH17" s="572">
        <v>0</v>
      </c>
      <c r="CI17" s="572">
        <v>0</v>
      </c>
      <c r="CJ17" s="572">
        <v>0</v>
      </c>
      <c r="CK17" s="572">
        <v>0</v>
      </c>
      <c r="CL17" s="572">
        <v>0</v>
      </c>
      <c r="CM17" s="572">
        <v>0</v>
      </c>
      <c r="CN17" s="572">
        <v>0</v>
      </c>
      <c r="CO17" s="572">
        <v>0</v>
      </c>
      <c r="CP17" s="572">
        <v>0</v>
      </c>
      <c r="CQ17" s="572">
        <v>0</v>
      </c>
    </row>
    <row r="18" spans="1:95" ht="30" x14ac:dyDescent="0.25">
      <c r="A18" s="668">
        <v>23</v>
      </c>
      <c r="B18" s="569">
        <v>23</v>
      </c>
      <c r="C18" s="570" t="s">
        <v>300</v>
      </c>
      <c r="D18" s="567" t="s">
        <v>667</v>
      </c>
      <c r="E18" s="573">
        <v>80329</v>
      </c>
      <c r="F18" s="574">
        <v>-1137071</v>
      </c>
      <c r="G18" s="574">
        <v>145735</v>
      </c>
      <c r="H18" s="574">
        <v>-440766</v>
      </c>
      <c r="I18" s="574">
        <v>95347</v>
      </c>
      <c r="J18" s="574">
        <v>134276</v>
      </c>
      <c r="K18" s="575">
        <v>-2562099</v>
      </c>
      <c r="L18" s="572">
        <v>-53662</v>
      </c>
      <c r="M18" s="572">
        <v>21722</v>
      </c>
      <c r="N18" s="571">
        <v>149450</v>
      </c>
      <c r="O18" s="571">
        <v>123523</v>
      </c>
      <c r="P18" s="571">
        <v>16530</v>
      </c>
      <c r="Q18" s="571">
        <v>29500</v>
      </c>
      <c r="R18" s="571">
        <v>-58027</v>
      </c>
      <c r="S18" s="571">
        <v>-587076</v>
      </c>
      <c r="T18" s="571">
        <v>423594</v>
      </c>
      <c r="U18" s="571">
        <v>0</v>
      </c>
      <c r="V18" s="571">
        <v>30742</v>
      </c>
      <c r="W18" s="571">
        <v>331228</v>
      </c>
      <c r="X18" s="571">
        <v>699704</v>
      </c>
      <c r="Y18" s="571">
        <v>206819</v>
      </c>
      <c r="Z18" s="571">
        <v>-11389</v>
      </c>
      <c r="AA18" s="571">
        <v>33603</v>
      </c>
      <c r="AB18" s="572">
        <v>256543</v>
      </c>
      <c r="AC18" s="572">
        <v>199982</v>
      </c>
      <c r="AD18" s="572">
        <v>26045</v>
      </c>
      <c r="AE18" s="572">
        <v>1058677</v>
      </c>
      <c r="AF18" s="572">
        <v>31906</v>
      </c>
      <c r="AG18" s="572">
        <v>-22430</v>
      </c>
      <c r="AH18" s="572">
        <v>-931707</v>
      </c>
      <c r="AI18" s="572">
        <v>-32672</v>
      </c>
      <c r="AJ18" s="572">
        <v>379010</v>
      </c>
      <c r="AK18" s="572">
        <v>399220</v>
      </c>
      <c r="AL18" s="572">
        <v>-174124</v>
      </c>
      <c r="AM18" s="572">
        <v>254755</v>
      </c>
      <c r="AN18" s="572">
        <v>836</v>
      </c>
      <c r="AO18" s="572">
        <v>180776</v>
      </c>
      <c r="AP18" s="572">
        <v>-175488</v>
      </c>
      <c r="AQ18" s="572">
        <v>0</v>
      </c>
      <c r="AR18" s="572">
        <v>25259</v>
      </c>
      <c r="AS18" s="572">
        <v>107975</v>
      </c>
      <c r="AT18" s="572">
        <v>14572</v>
      </c>
      <c r="AU18" s="572">
        <v>8609</v>
      </c>
      <c r="AV18" s="572">
        <v>1474</v>
      </c>
      <c r="AW18" s="572">
        <v>567646</v>
      </c>
      <c r="AX18" s="572">
        <v>102164</v>
      </c>
      <c r="AY18" s="572">
        <v>566921</v>
      </c>
      <c r="AZ18" s="572">
        <v>283855</v>
      </c>
      <c r="BA18" s="572">
        <v>236080</v>
      </c>
      <c r="BB18" s="572">
        <v>53113</v>
      </c>
      <c r="BC18" s="572">
        <v>78309</v>
      </c>
      <c r="BD18" s="572">
        <v>137067</v>
      </c>
      <c r="BE18" s="572">
        <v>8460</v>
      </c>
      <c r="BF18" s="572">
        <v>38752</v>
      </c>
      <c r="BG18" s="572">
        <v>272193</v>
      </c>
      <c r="BH18" s="572">
        <v>1250948</v>
      </c>
      <c r="BI18" s="572">
        <v>42657</v>
      </c>
      <c r="BJ18" s="572">
        <v>31264</v>
      </c>
      <c r="BK18" s="572">
        <v>572014</v>
      </c>
      <c r="BL18" s="572">
        <v>354974</v>
      </c>
      <c r="BM18" s="572">
        <v>725329</v>
      </c>
      <c r="BN18" s="572">
        <v>-4411</v>
      </c>
      <c r="BO18" s="572">
        <v>295837</v>
      </c>
      <c r="BP18" s="572">
        <v>0</v>
      </c>
      <c r="BQ18" s="572">
        <v>-231888</v>
      </c>
      <c r="BR18" s="572">
        <v>279811</v>
      </c>
      <c r="BS18" s="572">
        <v>-60654</v>
      </c>
      <c r="BT18" s="572">
        <v>197198</v>
      </c>
      <c r="BU18" s="572">
        <v>374376</v>
      </c>
      <c r="BV18" s="572">
        <v>-13959</v>
      </c>
      <c r="BW18" s="572">
        <v>-614524</v>
      </c>
      <c r="BX18" s="572">
        <v>-517522</v>
      </c>
      <c r="BY18" s="572">
        <v>-21989</v>
      </c>
      <c r="BZ18" s="572">
        <v>0</v>
      </c>
      <c r="CA18" s="572">
        <v>390630</v>
      </c>
      <c r="CB18" s="572">
        <v>-2602902</v>
      </c>
      <c r="CC18" s="572">
        <v>1047016</v>
      </c>
      <c r="CD18" s="572">
        <v>121981</v>
      </c>
      <c r="CE18" s="572">
        <v>42790</v>
      </c>
      <c r="CF18" s="572">
        <v>0</v>
      </c>
      <c r="CG18" s="572">
        <v>36478</v>
      </c>
      <c r="CH18" s="572">
        <v>626914</v>
      </c>
      <c r="CI18" s="572">
        <v>523906</v>
      </c>
      <c r="CJ18" s="572">
        <v>92513</v>
      </c>
      <c r="CK18" s="572">
        <v>-235342</v>
      </c>
      <c r="CL18" s="572">
        <v>36420</v>
      </c>
      <c r="CM18" s="572">
        <v>1271068</v>
      </c>
      <c r="CN18" s="572">
        <v>315861</v>
      </c>
      <c r="CO18" s="572">
        <v>255205</v>
      </c>
      <c r="CP18" s="572">
        <v>169436</v>
      </c>
      <c r="CQ18" s="572">
        <v>215997</v>
      </c>
    </row>
    <row r="19" spans="1:95" x14ac:dyDescent="0.25">
      <c r="A19" s="668"/>
      <c r="B19" s="569">
        <v>31</v>
      </c>
      <c r="C19" s="570" t="s">
        <v>668</v>
      </c>
      <c r="D19" s="567" t="s">
        <v>669</v>
      </c>
      <c r="E19" s="573"/>
      <c r="F19" s="574"/>
      <c r="G19" s="574"/>
      <c r="H19" s="574"/>
      <c r="I19" s="574"/>
      <c r="J19" s="574"/>
      <c r="K19" s="575"/>
      <c r="L19" s="572"/>
      <c r="M19" s="572"/>
      <c r="N19" s="571"/>
      <c r="O19" s="571"/>
      <c r="P19" s="571"/>
      <c r="Q19" s="571"/>
      <c r="R19" s="571"/>
      <c r="S19" s="571"/>
      <c r="T19" s="571"/>
      <c r="U19" s="571"/>
      <c r="V19" s="571"/>
      <c r="W19" s="571"/>
      <c r="X19" s="571"/>
      <c r="Y19" s="571"/>
      <c r="Z19" s="571"/>
      <c r="AA19" s="571"/>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c r="BU19" s="572"/>
      <c r="BV19" s="572"/>
      <c r="BW19" s="572"/>
      <c r="BX19" s="572"/>
      <c r="BY19" s="572"/>
      <c r="BZ19" s="572"/>
      <c r="CA19" s="572"/>
      <c r="CB19" s="572"/>
      <c r="CC19" s="572"/>
      <c r="CD19" s="572"/>
      <c r="CE19" s="572"/>
      <c r="CF19" s="572"/>
      <c r="CG19" s="572"/>
      <c r="CH19" s="572"/>
      <c r="CI19" s="572"/>
      <c r="CJ19" s="572"/>
      <c r="CK19" s="572"/>
      <c r="CL19" s="572"/>
      <c r="CM19" s="572"/>
      <c r="CN19" s="572"/>
      <c r="CO19" s="572"/>
      <c r="CP19" s="572"/>
      <c r="CQ19" s="572"/>
    </row>
    <row r="20" spans="1:95" ht="60" x14ac:dyDescent="0.25">
      <c r="A20" s="668"/>
      <c r="B20" s="569">
        <v>32</v>
      </c>
      <c r="C20" s="600" t="s">
        <v>670</v>
      </c>
      <c r="D20" s="567" t="s">
        <v>671</v>
      </c>
      <c r="E20" s="573"/>
      <c r="F20" s="574"/>
      <c r="G20" s="574"/>
      <c r="H20" s="574"/>
      <c r="I20" s="574"/>
      <c r="J20" s="574"/>
      <c r="K20" s="575"/>
      <c r="L20" s="572"/>
      <c r="M20" s="572"/>
      <c r="N20" s="571"/>
      <c r="O20" s="571"/>
      <c r="P20" s="571"/>
      <c r="Q20" s="571"/>
      <c r="R20" s="571"/>
      <c r="S20" s="571"/>
      <c r="T20" s="571"/>
      <c r="U20" s="571"/>
      <c r="V20" s="571"/>
      <c r="W20" s="571"/>
      <c r="X20" s="571"/>
      <c r="Y20" s="571"/>
      <c r="Z20" s="571"/>
      <c r="AA20" s="571"/>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c r="BJ20" s="572"/>
      <c r="BK20" s="572"/>
      <c r="BL20" s="572"/>
      <c r="BM20" s="572"/>
      <c r="BN20" s="572"/>
      <c r="BO20" s="572"/>
      <c r="BP20" s="572"/>
      <c r="BQ20" s="572"/>
      <c r="BR20" s="572"/>
      <c r="BS20" s="572"/>
      <c r="BT20" s="572"/>
      <c r="BU20" s="572"/>
      <c r="BV20" s="572"/>
      <c r="BW20" s="572"/>
      <c r="BX20" s="572"/>
      <c r="BY20" s="572"/>
      <c r="BZ20" s="572"/>
      <c r="CA20" s="572"/>
      <c r="CB20" s="572"/>
      <c r="CC20" s="572"/>
      <c r="CD20" s="572"/>
      <c r="CE20" s="572"/>
      <c r="CF20" s="572"/>
      <c r="CG20" s="572"/>
      <c r="CH20" s="572"/>
      <c r="CI20" s="572"/>
      <c r="CJ20" s="572"/>
      <c r="CK20" s="572"/>
      <c r="CL20" s="572"/>
      <c r="CM20" s="572"/>
      <c r="CN20" s="572"/>
      <c r="CO20" s="572"/>
      <c r="CP20" s="572"/>
      <c r="CQ20" s="572"/>
    </row>
    <row r="21" spans="1:95" ht="45" x14ac:dyDescent="0.25">
      <c r="A21" s="668"/>
      <c r="B21" s="569">
        <v>33</v>
      </c>
      <c r="C21" s="600" t="s">
        <v>672</v>
      </c>
      <c r="D21" s="567" t="s">
        <v>673</v>
      </c>
      <c r="E21" s="573"/>
      <c r="F21" s="574"/>
      <c r="G21" s="574"/>
      <c r="H21" s="574"/>
      <c r="I21" s="574"/>
      <c r="J21" s="574"/>
      <c r="K21" s="575"/>
      <c r="L21" s="572"/>
      <c r="M21" s="572"/>
      <c r="N21" s="571"/>
      <c r="O21" s="571"/>
      <c r="P21" s="571"/>
      <c r="Q21" s="571"/>
      <c r="R21" s="571"/>
      <c r="S21" s="571"/>
      <c r="T21" s="571"/>
      <c r="U21" s="571"/>
      <c r="V21" s="571"/>
      <c r="W21" s="571"/>
      <c r="X21" s="571"/>
      <c r="Y21" s="571"/>
      <c r="Z21" s="571"/>
      <c r="AA21" s="571"/>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2"/>
      <c r="AY21" s="572"/>
      <c r="AZ21" s="572"/>
      <c r="BA21" s="572"/>
      <c r="BB21" s="572"/>
      <c r="BC21" s="572"/>
      <c r="BD21" s="572"/>
      <c r="BE21" s="572"/>
      <c r="BF21" s="572"/>
      <c r="BG21" s="572"/>
      <c r="BH21" s="572"/>
      <c r="BI21" s="572"/>
      <c r="BJ21" s="572"/>
      <c r="BK21" s="572"/>
      <c r="BL21" s="572"/>
      <c r="BM21" s="572"/>
      <c r="BN21" s="572"/>
      <c r="BO21" s="572"/>
      <c r="BP21" s="572"/>
      <c r="BQ21" s="572"/>
      <c r="BR21" s="572"/>
      <c r="BS21" s="572"/>
      <c r="BT21" s="572"/>
      <c r="BU21" s="572"/>
      <c r="BV21" s="572"/>
      <c r="BW21" s="572"/>
      <c r="BX21" s="572"/>
      <c r="BY21" s="572"/>
      <c r="BZ21" s="572"/>
      <c r="CA21" s="572"/>
      <c r="CB21" s="572"/>
      <c r="CC21" s="572"/>
      <c r="CD21" s="572"/>
      <c r="CE21" s="572"/>
      <c r="CF21" s="572"/>
      <c r="CG21" s="572"/>
      <c r="CH21" s="572"/>
      <c r="CI21" s="572"/>
      <c r="CJ21" s="572"/>
      <c r="CK21" s="572"/>
      <c r="CL21" s="572"/>
      <c r="CM21" s="572"/>
      <c r="CN21" s="572"/>
      <c r="CO21" s="572"/>
      <c r="CP21" s="572"/>
      <c r="CQ21" s="572"/>
    </row>
    <row r="22" spans="1:95" ht="25.5" x14ac:dyDescent="0.25">
      <c r="A22" s="668"/>
      <c r="B22" s="569">
        <v>34</v>
      </c>
      <c r="C22" s="601" t="s">
        <v>674</v>
      </c>
      <c r="D22" s="567" t="s">
        <v>675</v>
      </c>
      <c r="E22" s="573"/>
      <c r="F22" s="574"/>
      <c r="G22" s="574"/>
      <c r="H22" s="574"/>
      <c r="I22" s="574"/>
      <c r="J22" s="574"/>
      <c r="K22" s="575"/>
      <c r="L22" s="572"/>
      <c r="M22" s="572"/>
      <c r="N22" s="571"/>
      <c r="O22" s="571"/>
      <c r="P22" s="571"/>
      <c r="Q22" s="571"/>
      <c r="R22" s="571"/>
      <c r="S22" s="571"/>
      <c r="T22" s="571"/>
      <c r="U22" s="571"/>
      <c r="V22" s="571"/>
      <c r="W22" s="571"/>
      <c r="X22" s="571"/>
      <c r="Y22" s="571"/>
      <c r="Z22" s="571"/>
      <c r="AA22" s="571"/>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572"/>
      <c r="BV22" s="572"/>
      <c r="BW22" s="572"/>
      <c r="BX22" s="572"/>
      <c r="BY22" s="572"/>
      <c r="BZ22" s="572"/>
      <c r="CA22" s="572"/>
      <c r="CB22" s="572"/>
      <c r="CC22" s="572"/>
      <c r="CD22" s="572"/>
      <c r="CE22" s="572"/>
      <c r="CF22" s="572"/>
      <c r="CG22" s="572"/>
      <c r="CH22" s="572"/>
      <c r="CI22" s="572"/>
      <c r="CJ22" s="572"/>
      <c r="CK22" s="572"/>
      <c r="CL22" s="572"/>
      <c r="CM22" s="572"/>
      <c r="CN22" s="572"/>
      <c r="CO22" s="572"/>
      <c r="CP22" s="572"/>
      <c r="CQ22" s="572"/>
    </row>
    <row r="23" spans="1:95" ht="25.5" x14ac:dyDescent="0.25">
      <c r="A23" s="668"/>
      <c r="B23" s="569">
        <v>35</v>
      </c>
      <c r="C23" s="601" t="s">
        <v>676</v>
      </c>
      <c r="D23" s="567" t="s">
        <v>677</v>
      </c>
      <c r="E23" s="573"/>
      <c r="F23" s="574"/>
      <c r="G23" s="574"/>
      <c r="H23" s="574"/>
      <c r="I23" s="574"/>
      <c r="J23" s="574"/>
      <c r="K23" s="575"/>
      <c r="L23" s="572"/>
      <c r="M23" s="572"/>
      <c r="N23" s="571"/>
      <c r="O23" s="571"/>
      <c r="P23" s="571"/>
      <c r="Q23" s="571"/>
      <c r="R23" s="571"/>
      <c r="S23" s="571"/>
      <c r="T23" s="571"/>
      <c r="U23" s="571"/>
      <c r="V23" s="571"/>
      <c r="W23" s="571"/>
      <c r="X23" s="571"/>
      <c r="Y23" s="571"/>
      <c r="Z23" s="571"/>
      <c r="AA23" s="571"/>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c r="BC23" s="572"/>
      <c r="BD23" s="572"/>
      <c r="BE23" s="572"/>
      <c r="BF23" s="572"/>
      <c r="BG23" s="572"/>
      <c r="BH23" s="572"/>
      <c r="BI23" s="572"/>
      <c r="BJ23" s="572"/>
      <c r="BK23" s="572"/>
      <c r="BL23" s="572"/>
      <c r="BM23" s="572"/>
      <c r="BN23" s="572"/>
      <c r="BO23" s="572"/>
      <c r="BP23" s="572"/>
      <c r="BQ23" s="572"/>
      <c r="BR23" s="572"/>
      <c r="BS23" s="572"/>
      <c r="BT23" s="572"/>
      <c r="BU23" s="572"/>
      <c r="BV23" s="572"/>
      <c r="BW23" s="572"/>
      <c r="BX23" s="572"/>
      <c r="BY23" s="572"/>
      <c r="BZ23" s="572"/>
      <c r="CA23" s="572"/>
      <c r="CB23" s="572"/>
      <c r="CC23" s="572"/>
      <c r="CD23" s="572"/>
      <c r="CE23" s="572"/>
      <c r="CF23" s="572"/>
      <c r="CG23" s="572"/>
      <c r="CH23" s="572"/>
      <c r="CI23" s="572"/>
      <c r="CJ23" s="572"/>
      <c r="CK23" s="572"/>
      <c r="CL23" s="572"/>
      <c r="CM23" s="572"/>
      <c r="CN23" s="572"/>
      <c r="CO23" s="572"/>
      <c r="CP23" s="572"/>
      <c r="CQ23" s="572"/>
    </row>
    <row r="24" spans="1:95" ht="38.25" x14ac:dyDescent="0.25">
      <c r="A24" s="668"/>
      <c r="B24" s="569">
        <v>36</v>
      </c>
      <c r="C24" s="601" t="s">
        <v>678</v>
      </c>
      <c r="D24" s="567" t="s">
        <v>679</v>
      </c>
      <c r="E24" s="573"/>
      <c r="F24" s="574"/>
      <c r="G24" s="574"/>
      <c r="H24" s="574"/>
      <c r="I24" s="574"/>
      <c r="J24" s="574"/>
      <c r="K24" s="575"/>
      <c r="L24" s="572"/>
      <c r="M24" s="572"/>
      <c r="N24" s="571"/>
      <c r="O24" s="571"/>
      <c r="P24" s="571"/>
      <c r="Q24" s="571"/>
      <c r="R24" s="571"/>
      <c r="S24" s="571"/>
      <c r="T24" s="571"/>
      <c r="U24" s="571"/>
      <c r="V24" s="571"/>
      <c r="W24" s="571"/>
      <c r="X24" s="571"/>
      <c r="Y24" s="571"/>
      <c r="Z24" s="571"/>
      <c r="AA24" s="571"/>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572"/>
      <c r="BD24" s="572"/>
      <c r="BE24" s="572"/>
      <c r="BF24" s="572"/>
      <c r="BG24" s="572"/>
      <c r="BH24" s="572"/>
      <c r="BI24" s="572"/>
      <c r="BJ24" s="572"/>
      <c r="BK24" s="572"/>
      <c r="BL24" s="572"/>
      <c r="BM24" s="572"/>
      <c r="BN24" s="572"/>
      <c r="BO24" s="572"/>
      <c r="BP24" s="572"/>
      <c r="BQ24" s="572"/>
      <c r="BR24" s="572"/>
      <c r="BS24" s="572"/>
      <c r="BT24" s="572"/>
      <c r="BU24" s="572"/>
      <c r="BV24" s="572"/>
      <c r="BW24" s="572"/>
      <c r="BX24" s="572"/>
      <c r="BY24" s="572"/>
      <c r="BZ24" s="572"/>
      <c r="CA24" s="572"/>
      <c r="CB24" s="572"/>
      <c r="CC24" s="572"/>
      <c r="CD24" s="572"/>
      <c r="CE24" s="572"/>
      <c r="CF24" s="572"/>
      <c r="CG24" s="572"/>
      <c r="CH24" s="572"/>
      <c r="CI24" s="572"/>
      <c r="CJ24" s="572"/>
      <c r="CK24" s="572"/>
      <c r="CL24" s="572"/>
      <c r="CM24" s="572"/>
      <c r="CN24" s="572"/>
      <c r="CO24" s="572"/>
      <c r="CP24" s="572"/>
      <c r="CQ24" s="572"/>
    </row>
    <row r="25" spans="1:95" ht="25.5" x14ac:dyDescent="0.25">
      <c r="A25" s="668"/>
      <c r="B25" s="569">
        <v>37</v>
      </c>
      <c r="C25" s="601" t="s">
        <v>680</v>
      </c>
      <c r="D25" s="567" t="s">
        <v>681</v>
      </c>
      <c r="E25" s="573"/>
      <c r="F25" s="574"/>
      <c r="G25" s="574"/>
      <c r="H25" s="574"/>
      <c r="I25" s="574"/>
      <c r="J25" s="574"/>
      <c r="K25" s="575"/>
      <c r="L25" s="572"/>
      <c r="M25" s="572"/>
      <c r="N25" s="571"/>
      <c r="O25" s="571"/>
      <c r="P25" s="571"/>
      <c r="Q25" s="571"/>
      <c r="R25" s="571"/>
      <c r="S25" s="571"/>
      <c r="T25" s="571"/>
      <c r="U25" s="571"/>
      <c r="V25" s="571"/>
      <c r="W25" s="571"/>
      <c r="X25" s="571"/>
      <c r="Y25" s="571"/>
      <c r="Z25" s="571"/>
      <c r="AA25" s="571"/>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2"/>
      <c r="AY25" s="572"/>
      <c r="AZ25" s="572"/>
      <c r="BA25" s="572"/>
      <c r="BB25" s="572"/>
      <c r="BC25" s="572"/>
      <c r="BD25" s="572"/>
      <c r="BE25" s="572"/>
      <c r="BF25" s="572"/>
      <c r="BG25" s="572"/>
      <c r="BH25" s="572"/>
      <c r="BI25" s="572"/>
      <c r="BJ25" s="572"/>
      <c r="BK25" s="572"/>
      <c r="BL25" s="572"/>
      <c r="BM25" s="572"/>
      <c r="BN25" s="572"/>
      <c r="BO25" s="572"/>
      <c r="BP25" s="572"/>
      <c r="BQ25" s="572"/>
      <c r="BR25" s="572"/>
      <c r="BS25" s="572"/>
      <c r="BT25" s="572"/>
      <c r="BU25" s="572"/>
      <c r="BV25" s="572"/>
      <c r="BW25" s="572"/>
      <c r="BX25" s="572"/>
      <c r="BY25" s="572"/>
      <c r="BZ25" s="572"/>
      <c r="CA25" s="572"/>
      <c r="CB25" s="572"/>
      <c r="CC25" s="572"/>
      <c r="CD25" s="572"/>
      <c r="CE25" s="572"/>
      <c r="CF25" s="572"/>
      <c r="CG25" s="572"/>
      <c r="CH25" s="572"/>
      <c r="CI25" s="572"/>
      <c r="CJ25" s="572"/>
      <c r="CK25" s="572"/>
      <c r="CL25" s="572"/>
      <c r="CM25" s="572"/>
      <c r="CN25" s="572"/>
      <c r="CO25" s="572"/>
      <c r="CP25" s="572"/>
      <c r="CQ25" s="572"/>
    </row>
    <row r="26" spans="1:95" ht="25.5" x14ac:dyDescent="0.25">
      <c r="A26" s="668"/>
      <c r="B26" s="569">
        <v>38</v>
      </c>
      <c r="C26" s="601" t="s">
        <v>682</v>
      </c>
      <c r="D26" s="567" t="s">
        <v>683</v>
      </c>
      <c r="E26" s="573"/>
      <c r="F26" s="574"/>
      <c r="G26" s="574"/>
      <c r="H26" s="574"/>
      <c r="I26" s="574"/>
      <c r="J26" s="574"/>
      <c r="K26" s="575"/>
      <c r="L26" s="572"/>
      <c r="M26" s="572"/>
      <c r="N26" s="571"/>
      <c r="O26" s="571"/>
      <c r="P26" s="571"/>
      <c r="Q26" s="571"/>
      <c r="R26" s="571"/>
      <c r="S26" s="571"/>
      <c r="T26" s="571"/>
      <c r="U26" s="571"/>
      <c r="V26" s="571"/>
      <c r="W26" s="571"/>
      <c r="X26" s="571"/>
      <c r="Y26" s="571"/>
      <c r="Z26" s="571"/>
      <c r="AA26" s="571"/>
      <c r="AB26" s="572"/>
      <c r="AC26" s="572"/>
      <c r="AD26" s="572"/>
      <c r="AE26" s="572"/>
      <c r="AF26" s="572"/>
      <c r="AG26" s="572"/>
      <c r="AH26" s="572"/>
      <c r="AI26" s="572"/>
      <c r="AJ26" s="572"/>
      <c r="AK26" s="572"/>
      <c r="AL26" s="572"/>
      <c r="AM26" s="572"/>
      <c r="AN26" s="572"/>
      <c r="AO26" s="572"/>
      <c r="AP26" s="572"/>
      <c r="AQ26" s="572"/>
      <c r="AR26" s="572"/>
      <c r="AS26" s="572"/>
      <c r="AT26" s="572"/>
      <c r="AU26" s="572"/>
      <c r="AV26" s="572"/>
      <c r="AW26" s="572"/>
      <c r="AX26" s="572"/>
      <c r="AY26" s="572"/>
      <c r="AZ26" s="572"/>
      <c r="BA26" s="572"/>
      <c r="BB26" s="572"/>
      <c r="BC26" s="572"/>
      <c r="BD26" s="572"/>
      <c r="BE26" s="572"/>
      <c r="BF26" s="572"/>
      <c r="BG26" s="572"/>
      <c r="BH26" s="572"/>
      <c r="BI26" s="572"/>
      <c r="BJ26" s="572"/>
      <c r="BK26" s="572"/>
      <c r="BL26" s="572"/>
      <c r="BM26" s="572"/>
      <c r="BN26" s="572"/>
      <c r="BO26" s="572"/>
      <c r="BP26" s="572"/>
      <c r="BQ26" s="572"/>
      <c r="BR26" s="572"/>
      <c r="BS26" s="572"/>
      <c r="BT26" s="572"/>
      <c r="BU26" s="572"/>
      <c r="BV26" s="572"/>
      <c r="BW26" s="572"/>
      <c r="BX26" s="572"/>
      <c r="BY26" s="572"/>
      <c r="BZ26" s="572"/>
      <c r="CA26" s="572"/>
      <c r="CB26" s="572"/>
      <c r="CC26" s="572"/>
      <c r="CD26" s="572"/>
      <c r="CE26" s="572"/>
      <c r="CF26" s="572"/>
      <c r="CG26" s="572"/>
      <c r="CH26" s="572"/>
      <c r="CI26" s="572"/>
      <c r="CJ26" s="572"/>
      <c r="CK26" s="572"/>
      <c r="CL26" s="572"/>
      <c r="CM26" s="572"/>
      <c r="CN26" s="572"/>
      <c r="CO26" s="572"/>
      <c r="CP26" s="572"/>
      <c r="CQ26" s="572"/>
    </row>
    <row r="27" spans="1:95" ht="25.5" x14ac:dyDescent="0.25">
      <c r="A27" s="668"/>
      <c r="B27" s="569">
        <v>39</v>
      </c>
      <c r="C27" s="601" t="s">
        <v>684</v>
      </c>
      <c r="D27" s="567" t="s">
        <v>685</v>
      </c>
      <c r="E27" s="573"/>
      <c r="F27" s="574"/>
      <c r="G27" s="574"/>
      <c r="H27" s="574"/>
      <c r="I27" s="574"/>
      <c r="J27" s="574"/>
      <c r="K27" s="575"/>
      <c r="L27" s="572"/>
      <c r="M27" s="572"/>
      <c r="N27" s="571"/>
      <c r="O27" s="571"/>
      <c r="P27" s="571"/>
      <c r="Q27" s="571"/>
      <c r="R27" s="571"/>
      <c r="S27" s="571"/>
      <c r="T27" s="571"/>
      <c r="U27" s="571"/>
      <c r="V27" s="571"/>
      <c r="W27" s="571"/>
      <c r="X27" s="571"/>
      <c r="Y27" s="571"/>
      <c r="Z27" s="571"/>
      <c r="AA27" s="571"/>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2"/>
      <c r="AY27" s="572"/>
      <c r="AZ27" s="572"/>
      <c r="BA27" s="572"/>
      <c r="BB27" s="572"/>
      <c r="BC27" s="572"/>
      <c r="BD27" s="572"/>
      <c r="BE27" s="572"/>
      <c r="BF27" s="572"/>
      <c r="BG27" s="572"/>
      <c r="BH27" s="572"/>
      <c r="BI27" s="572"/>
      <c r="BJ27" s="572"/>
      <c r="BK27" s="572"/>
      <c r="BL27" s="572"/>
      <c r="BM27" s="572"/>
      <c r="BN27" s="572"/>
      <c r="BO27" s="572"/>
      <c r="BP27" s="572"/>
      <c r="BQ27" s="572"/>
      <c r="BR27" s="572"/>
      <c r="BS27" s="572"/>
      <c r="BT27" s="572"/>
      <c r="BU27" s="572"/>
      <c r="BV27" s="572"/>
      <c r="BW27" s="572"/>
      <c r="BX27" s="572"/>
      <c r="BY27" s="572"/>
      <c r="BZ27" s="572"/>
      <c r="CA27" s="572"/>
      <c r="CB27" s="572"/>
      <c r="CC27" s="572"/>
      <c r="CD27" s="572"/>
      <c r="CE27" s="572"/>
      <c r="CF27" s="572"/>
      <c r="CG27" s="572"/>
      <c r="CH27" s="572"/>
      <c r="CI27" s="572"/>
      <c r="CJ27" s="572"/>
      <c r="CK27" s="572"/>
      <c r="CL27" s="572"/>
      <c r="CM27" s="572"/>
      <c r="CN27" s="572"/>
      <c r="CO27" s="572"/>
      <c r="CP27" s="572"/>
      <c r="CQ27" s="572"/>
    </row>
    <row r="28" spans="1:95" ht="25.5" x14ac:dyDescent="0.25">
      <c r="A28" s="668"/>
      <c r="B28" s="569">
        <v>40</v>
      </c>
      <c r="C28" s="601" t="s">
        <v>686</v>
      </c>
      <c r="D28" s="567" t="s">
        <v>687</v>
      </c>
      <c r="E28" s="573"/>
      <c r="F28" s="574"/>
      <c r="G28" s="574"/>
      <c r="H28" s="574"/>
      <c r="I28" s="574"/>
      <c r="J28" s="574"/>
      <c r="K28" s="575"/>
      <c r="L28" s="572"/>
      <c r="M28" s="572"/>
      <c r="N28" s="571"/>
      <c r="O28" s="571"/>
      <c r="P28" s="571"/>
      <c r="Q28" s="571"/>
      <c r="R28" s="571"/>
      <c r="S28" s="571"/>
      <c r="T28" s="571"/>
      <c r="U28" s="571"/>
      <c r="V28" s="571"/>
      <c r="W28" s="571"/>
      <c r="X28" s="571"/>
      <c r="Y28" s="571"/>
      <c r="Z28" s="571"/>
      <c r="AA28" s="571"/>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2"/>
      <c r="AY28" s="572"/>
      <c r="AZ28" s="572"/>
      <c r="BA28" s="572"/>
      <c r="BB28" s="572"/>
      <c r="BC28" s="572"/>
      <c r="BD28" s="572"/>
      <c r="BE28" s="572"/>
      <c r="BF28" s="572"/>
      <c r="BG28" s="572"/>
      <c r="BH28" s="572"/>
      <c r="BI28" s="572"/>
      <c r="BJ28" s="572"/>
      <c r="BK28" s="572"/>
      <c r="BL28" s="572"/>
      <c r="BM28" s="572"/>
      <c r="BN28" s="572"/>
      <c r="BO28" s="572"/>
      <c r="BP28" s="572"/>
      <c r="BQ28" s="572"/>
      <c r="BR28" s="572"/>
      <c r="BS28" s="572"/>
      <c r="BT28" s="572"/>
      <c r="BU28" s="572"/>
      <c r="BV28" s="572"/>
      <c r="BW28" s="572"/>
      <c r="BX28" s="572"/>
      <c r="BY28" s="572"/>
      <c r="BZ28" s="572"/>
      <c r="CA28" s="572"/>
      <c r="CB28" s="572"/>
      <c r="CC28" s="572"/>
      <c r="CD28" s="572"/>
      <c r="CE28" s="572"/>
      <c r="CF28" s="572"/>
      <c r="CG28" s="572"/>
      <c r="CH28" s="572"/>
      <c r="CI28" s="572"/>
      <c r="CJ28" s="572"/>
      <c r="CK28" s="572"/>
      <c r="CL28" s="572"/>
      <c r="CM28" s="572"/>
      <c r="CN28" s="572"/>
      <c r="CO28" s="572"/>
      <c r="CP28" s="572"/>
      <c r="CQ28" s="572"/>
    </row>
    <row r="29" spans="1:95" ht="25.5" x14ac:dyDescent="0.25">
      <c r="A29" s="668"/>
      <c r="B29" s="590">
        <v>41</v>
      </c>
      <c r="C29" s="601" t="s">
        <v>688</v>
      </c>
      <c r="D29" s="567" t="s">
        <v>689</v>
      </c>
      <c r="E29" s="573"/>
      <c r="F29" s="574"/>
      <c r="G29" s="574"/>
      <c r="H29" s="574"/>
      <c r="I29" s="574"/>
      <c r="J29" s="574"/>
      <c r="K29" s="575"/>
      <c r="L29" s="572"/>
      <c r="M29" s="572"/>
      <c r="N29" s="571"/>
      <c r="O29" s="571"/>
      <c r="P29" s="571"/>
      <c r="Q29" s="571"/>
      <c r="R29" s="571"/>
      <c r="S29" s="571"/>
      <c r="T29" s="571"/>
      <c r="U29" s="571"/>
      <c r="V29" s="571"/>
      <c r="W29" s="571"/>
      <c r="X29" s="571"/>
      <c r="Y29" s="571"/>
      <c r="Z29" s="571"/>
      <c r="AA29" s="571"/>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2"/>
      <c r="AY29" s="572"/>
      <c r="AZ29" s="572"/>
      <c r="BA29" s="572"/>
      <c r="BB29" s="572"/>
      <c r="BC29" s="572"/>
      <c r="BD29" s="572"/>
      <c r="BE29" s="572"/>
      <c r="BF29" s="572"/>
      <c r="BG29" s="572"/>
      <c r="BH29" s="572"/>
      <c r="BI29" s="572"/>
      <c r="BJ29" s="572"/>
      <c r="BK29" s="572"/>
      <c r="BL29" s="572"/>
      <c r="BM29" s="572"/>
      <c r="BN29" s="572"/>
      <c r="BO29" s="572"/>
      <c r="BP29" s="572"/>
      <c r="BQ29" s="572"/>
      <c r="BR29" s="572"/>
      <c r="BS29" s="572"/>
      <c r="BT29" s="572"/>
      <c r="BU29" s="572"/>
      <c r="BV29" s="572"/>
      <c r="BW29" s="572"/>
      <c r="BX29" s="572"/>
      <c r="BY29" s="572"/>
      <c r="BZ29" s="572"/>
      <c r="CA29" s="572"/>
      <c r="CB29" s="572"/>
      <c r="CC29" s="572"/>
      <c r="CD29" s="572"/>
      <c r="CE29" s="572"/>
      <c r="CF29" s="572"/>
      <c r="CG29" s="572"/>
      <c r="CH29" s="572"/>
      <c r="CI29" s="572"/>
      <c r="CJ29" s="572"/>
      <c r="CK29" s="572"/>
      <c r="CL29" s="572"/>
      <c r="CM29" s="572"/>
      <c r="CN29" s="572"/>
      <c r="CO29" s="572"/>
      <c r="CP29" s="572"/>
      <c r="CQ29" s="572"/>
    </row>
    <row r="30" spans="1:95" ht="45" x14ac:dyDescent="0.25">
      <c r="A30" s="668"/>
      <c r="B30" s="590">
        <v>43</v>
      </c>
      <c r="C30" s="570" t="s">
        <v>690</v>
      </c>
      <c r="D30" s="567" t="s">
        <v>691</v>
      </c>
      <c r="E30" s="573"/>
      <c r="F30" s="574"/>
      <c r="G30" s="574"/>
      <c r="H30" s="574"/>
      <c r="I30" s="574"/>
      <c r="J30" s="574"/>
      <c r="K30" s="575"/>
      <c r="L30" s="572"/>
      <c r="M30" s="572"/>
      <c r="N30" s="571"/>
      <c r="O30" s="571"/>
      <c r="P30" s="571"/>
      <c r="Q30" s="571"/>
      <c r="R30" s="571"/>
      <c r="S30" s="571"/>
      <c r="T30" s="571"/>
      <c r="U30" s="571"/>
      <c r="V30" s="571"/>
      <c r="W30" s="571"/>
      <c r="X30" s="571"/>
      <c r="Y30" s="571"/>
      <c r="Z30" s="571"/>
      <c r="AA30" s="571"/>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2"/>
      <c r="AY30" s="572"/>
      <c r="AZ30" s="572"/>
      <c r="BA30" s="572"/>
      <c r="BB30" s="572"/>
      <c r="BC30" s="572"/>
      <c r="BD30" s="572"/>
      <c r="BE30" s="572"/>
      <c r="BF30" s="572"/>
      <c r="BG30" s="572"/>
      <c r="BH30" s="572"/>
      <c r="BI30" s="572"/>
      <c r="BJ30" s="572"/>
      <c r="BK30" s="572"/>
      <c r="BL30" s="572"/>
      <c r="BM30" s="572"/>
      <c r="BN30" s="572"/>
      <c r="BO30" s="572"/>
      <c r="BP30" s="572"/>
      <c r="BQ30" s="572"/>
      <c r="BR30" s="572"/>
      <c r="BS30" s="572"/>
      <c r="BT30" s="572"/>
      <c r="BU30" s="572"/>
      <c r="BV30" s="572"/>
      <c r="BW30" s="572"/>
      <c r="BX30" s="572"/>
      <c r="BY30" s="572"/>
      <c r="BZ30" s="572"/>
      <c r="CA30" s="572"/>
      <c r="CB30" s="572"/>
      <c r="CC30" s="572"/>
      <c r="CD30" s="572"/>
      <c r="CE30" s="572"/>
      <c r="CF30" s="572"/>
      <c r="CG30" s="572"/>
      <c r="CH30" s="572"/>
      <c r="CI30" s="572"/>
      <c r="CJ30" s="572"/>
      <c r="CK30" s="572"/>
      <c r="CL30" s="572"/>
      <c r="CM30" s="572"/>
      <c r="CN30" s="572"/>
      <c r="CO30" s="572"/>
      <c r="CP30" s="572"/>
      <c r="CQ30" s="572"/>
    </row>
    <row r="31" spans="1:95" x14ac:dyDescent="0.25">
      <c r="A31" s="668">
        <v>44</v>
      </c>
      <c r="B31" s="590">
        <v>44</v>
      </c>
      <c r="C31" s="570" t="s">
        <v>692</v>
      </c>
      <c r="D31" s="567" t="s">
        <v>693</v>
      </c>
      <c r="E31" s="573">
        <v>0</v>
      </c>
      <c r="F31" s="574">
        <v>0</v>
      </c>
      <c r="G31" s="574">
        <v>414003</v>
      </c>
      <c r="H31" s="574">
        <v>1849717</v>
      </c>
      <c r="I31" s="574">
        <v>1770226</v>
      </c>
      <c r="J31" s="574">
        <v>169392</v>
      </c>
      <c r="K31" s="575">
        <v>19292840</v>
      </c>
      <c r="L31" s="572">
        <v>772329</v>
      </c>
      <c r="M31" s="572">
        <v>0</v>
      </c>
      <c r="N31" s="571">
        <v>1564045</v>
      </c>
      <c r="O31" s="571">
        <v>701860</v>
      </c>
      <c r="P31" s="571">
        <v>0</v>
      </c>
      <c r="Q31" s="571">
        <v>100160</v>
      </c>
      <c r="R31" s="571">
        <v>0</v>
      </c>
      <c r="S31" s="571">
        <v>0</v>
      </c>
      <c r="T31" s="571">
        <v>0</v>
      </c>
      <c r="U31" s="571">
        <v>0</v>
      </c>
      <c r="V31" s="571">
        <v>0</v>
      </c>
      <c r="W31" s="571">
        <v>2351914</v>
      </c>
      <c r="X31" s="571">
        <v>0</v>
      </c>
      <c r="Y31" s="571">
        <v>2258290</v>
      </c>
      <c r="Z31" s="571">
        <v>0</v>
      </c>
      <c r="AA31" s="571">
        <v>2965128</v>
      </c>
      <c r="AB31" s="572">
        <v>2416763</v>
      </c>
      <c r="AC31" s="572">
        <v>171021</v>
      </c>
      <c r="AD31" s="572">
        <v>200257</v>
      </c>
      <c r="AE31" s="572">
        <v>9812608</v>
      </c>
      <c r="AF31" s="572">
        <v>0</v>
      </c>
      <c r="AG31" s="572">
        <v>2131335</v>
      </c>
      <c r="AH31" s="572">
        <v>0</v>
      </c>
      <c r="AI31" s="572">
        <v>841225</v>
      </c>
      <c r="AJ31" s="572">
        <v>2204967</v>
      </c>
      <c r="AK31" s="572">
        <v>889858</v>
      </c>
      <c r="AL31" s="572">
        <v>1084703</v>
      </c>
      <c r="AM31" s="572">
        <v>1048451</v>
      </c>
      <c r="AN31" s="572">
        <v>52478</v>
      </c>
      <c r="AO31" s="572">
        <v>0</v>
      </c>
      <c r="AP31" s="572">
        <v>2019978</v>
      </c>
      <c r="AQ31" s="572">
        <v>0</v>
      </c>
      <c r="AR31" s="572">
        <v>0</v>
      </c>
      <c r="AS31" s="572">
        <v>0</v>
      </c>
      <c r="AT31" s="572">
        <v>0</v>
      </c>
      <c r="AU31" s="572">
        <v>0</v>
      </c>
      <c r="AV31" s="572">
        <v>311269</v>
      </c>
      <c r="AW31" s="572">
        <v>3465431</v>
      </c>
      <c r="AX31" s="572">
        <v>424698</v>
      </c>
      <c r="AY31" s="572">
        <v>0</v>
      </c>
      <c r="AZ31" s="572">
        <v>0</v>
      </c>
      <c r="BA31" s="572">
        <v>3316838</v>
      </c>
      <c r="BB31" s="572">
        <v>0</v>
      </c>
      <c r="BC31" s="572">
        <v>1566203</v>
      </c>
      <c r="BD31" s="572">
        <v>954401</v>
      </c>
      <c r="BE31" s="572">
        <v>109160</v>
      </c>
      <c r="BF31" s="572">
        <v>2928772</v>
      </c>
      <c r="BG31" s="572">
        <v>2140965</v>
      </c>
      <c r="BH31" s="572">
        <v>7296917</v>
      </c>
      <c r="BI31" s="572">
        <v>0</v>
      </c>
      <c r="BJ31" s="572">
        <v>0</v>
      </c>
      <c r="BK31" s="572">
        <v>0</v>
      </c>
      <c r="BL31" s="572">
        <v>4913493</v>
      </c>
      <c r="BM31" s="572">
        <v>3361969</v>
      </c>
      <c r="BN31" s="572">
        <v>0</v>
      </c>
      <c r="BO31" s="572">
        <v>0</v>
      </c>
      <c r="BP31" s="572">
        <v>0</v>
      </c>
      <c r="BQ31" s="572">
        <v>0</v>
      </c>
      <c r="BR31" s="572">
        <v>0</v>
      </c>
      <c r="BS31" s="572">
        <v>0</v>
      </c>
      <c r="BT31" s="572">
        <v>1270546</v>
      </c>
      <c r="BU31" s="572">
        <v>0</v>
      </c>
      <c r="BV31" s="572">
        <v>443307</v>
      </c>
      <c r="BW31" s="572">
        <v>1738526</v>
      </c>
      <c r="BX31" s="572">
        <v>2955201</v>
      </c>
      <c r="BY31" s="572">
        <v>125055</v>
      </c>
      <c r="BZ31" s="572">
        <v>0</v>
      </c>
      <c r="CA31" s="572">
        <v>6897143</v>
      </c>
      <c r="CB31" s="572">
        <v>0</v>
      </c>
      <c r="CC31" s="572">
        <v>19902663</v>
      </c>
      <c r="CD31" s="572">
        <v>11254</v>
      </c>
      <c r="CE31" s="572">
        <v>2190741</v>
      </c>
      <c r="CF31" s="572">
        <v>0</v>
      </c>
      <c r="CG31" s="572">
        <v>920874</v>
      </c>
      <c r="CH31" s="572">
        <v>97112165</v>
      </c>
      <c r="CI31" s="572">
        <v>2644373</v>
      </c>
      <c r="CJ31" s="572">
        <v>969093</v>
      </c>
      <c r="CK31" s="572">
        <v>0</v>
      </c>
      <c r="CL31" s="572">
        <v>683551</v>
      </c>
      <c r="CM31" s="572">
        <v>8079552</v>
      </c>
      <c r="CN31" s="572">
        <v>3245573</v>
      </c>
      <c r="CO31" s="572">
        <v>2244000</v>
      </c>
      <c r="CP31" s="572">
        <v>0</v>
      </c>
      <c r="CQ31" s="572">
        <v>0</v>
      </c>
    </row>
    <row r="32" spans="1:95" x14ac:dyDescent="0.25">
      <c r="A32" s="668">
        <v>45</v>
      </c>
      <c r="B32" s="590">
        <v>45</v>
      </c>
      <c r="C32" s="570" t="s">
        <v>694</v>
      </c>
      <c r="D32" s="567" t="s">
        <v>695</v>
      </c>
      <c r="E32" s="573">
        <v>0</v>
      </c>
      <c r="F32" s="574">
        <v>0</v>
      </c>
      <c r="G32" s="574">
        <v>18287</v>
      </c>
      <c r="H32" s="574">
        <v>564688</v>
      </c>
      <c r="I32" s="574">
        <v>83287</v>
      </c>
      <c r="J32" s="574">
        <v>135564</v>
      </c>
      <c r="K32" s="575">
        <v>2981066</v>
      </c>
      <c r="L32" s="572">
        <v>89651</v>
      </c>
      <c r="M32" s="572">
        <v>0</v>
      </c>
      <c r="N32" s="571">
        <v>36600</v>
      </c>
      <c r="O32" s="571">
        <v>176756</v>
      </c>
      <c r="P32" s="571">
        <v>0</v>
      </c>
      <c r="Q32" s="571">
        <v>24414</v>
      </c>
      <c r="R32" s="571">
        <v>0</v>
      </c>
      <c r="S32" s="571">
        <v>0</v>
      </c>
      <c r="T32" s="571">
        <v>0</v>
      </c>
      <c r="U32" s="571">
        <v>0</v>
      </c>
      <c r="V32" s="571">
        <v>0</v>
      </c>
      <c r="W32" s="571">
        <v>79684</v>
      </c>
      <c r="X32" s="571">
        <v>0</v>
      </c>
      <c r="Y32" s="571">
        <v>166982</v>
      </c>
      <c r="Z32" s="571">
        <v>0</v>
      </c>
      <c r="AA32" s="571">
        <v>192549</v>
      </c>
      <c r="AB32" s="572">
        <v>410969</v>
      </c>
      <c r="AC32" s="572">
        <v>247011</v>
      </c>
      <c r="AD32" s="572">
        <v>69368</v>
      </c>
      <c r="AE32" s="572">
        <v>3670892</v>
      </c>
      <c r="AF32" s="572">
        <v>0</v>
      </c>
      <c r="AG32" s="572">
        <v>381307</v>
      </c>
      <c r="AH32" s="572">
        <v>0</v>
      </c>
      <c r="AI32" s="572">
        <v>434128</v>
      </c>
      <c r="AJ32" s="572">
        <v>1225077</v>
      </c>
      <c r="AK32" s="572">
        <v>322554</v>
      </c>
      <c r="AL32" s="572">
        <v>299673</v>
      </c>
      <c r="AM32" s="572">
        <v>444240</v>
      </c>
      <c r="AN32" s="572">
        <v>2564</v>
      </c>
      <c r="AO32" s="572">
        <v>0</v>
      </c>
      <c r="AP32" s="572">
        <v>440793</v>
      </c>
      <c r="AQ32" s="572">
        <v>0</v>
      </c>
      <c r="AR32" s="572">
        <v>0</v>
      </c>
      <c r="AS32" s="572">
        <v>0</v>
      </c>
      <c r="AT32" s="572">
        <v>0</v>
      </c>
      <c r="AU32" s="572">
        <v>0</v>
      </c>
      <c r="AV32" s="572">
        <v>12649</v>
      </c>
      <c r="AW32" s="572">
        <v>228779</v>
      </c>
      <c r="AX32" s="572">
        <v>22941</v>
      </c>
      <c r="AY32" s="572">
        <v>0</v>
      </c>
      <c r="AZ32" s="572">
        <v>0</v>
      </c>
      <c r="BA32" s="572">
        <v>480612</v>
      </c>
      <c r="BB32" s="572">
        <v>0</v>
      </c>
      <c r="BC32" s="572">
        <v>155104</v>
      </c>
      <c r="BD32" s="572">
        <v>87439</v>
      </c>
      <c r="BE32" s="572">
        <v>12086</v>
      </c>
      <c r="BF32" s="572">
        <v>160232</v>
      </c>
      <c r="BG32" s="572">
        <v>194754</v>
      </c>
      <c r="BH32" s="572">
        <v>318180</v>
      </c>
      <c r="BI32" s="572">
        <v>0</v>
      </c>
      <c r="BJ32" s="572">
        <v>0</v>
      </c>
      <c r="BK32" s="572">
        <v>0</v>
      </c>
      <c r="BL32" s="572">
        <v>295233</v>
      </c>
      <c r="BM32" s="572">
        <v>285247</v>
      </c>
      <c r="BN32" s="572">
        <v>0</v>
      </c>
      <c r="BO32" s="572">
        <v>0</v>
      </c>
      <c r="BP32" s="572">
        <v>0</v>
      </c>
      <c r="BQ32" s="572">
        <v>0</v>
      </c>
      <c r="BR32" s="572">
        <v>0</v>
      </c>
      <c r="BS32" s="572">
        <v>0</v>
      </c>
      <c r="BT32" s="572">
        <v>128451</v>
      </c>
      <c r="BU32" s="572">
        <v>0</v>
      </c>
      <c r="BV32" s="572">
        <v>31522</v>
      </c>
      <c r="BW32" s="572">
        <v>224066</v>
      </c>
      <c r="BX32" s="572">
        <v>612663</v>
      </c>
      <c r="BY32" s="572">
        <v>11815</v>
      </c>
      <c r="BZ32" s="572">
        <v>0</v>
      </c>
      <c r="CA32" s="572">
        <v>830898</v>
      </c>
      <c r="CB32" s="572">
        <v>0</v>
      </c>
      <c r="CC32" s="572">
        <v>5109685</v>
      </c>
      <c r="CD32" s="572">
        <v>3117798</v>
      </c>
      <c r="CE32" s="572">
        <v>420031</v>
      </c>
      <c r="CF32" s="572">
        <v>0</v>
      </c>
      <c r="CG32" s="572">
        <v>311895</v>
      </c>
      <c r="CH32" s="572">
        <v>48113097</v>
      </c>
      <c r="CI32" s="572">
        <v>505434</v>
      </c>
      <c r="CJ32" s="572">
        <v>182061</v>
      </c>
      <c r="CK32" s="572">
        <v>0</v>
      </c>
      <c r="CL32" s="572">
        <v>25174</v>
      </c>
      <c r="CM32" s="572">
        <v>135162</v>
      </c>
      <c r="CN32" s="572">
        <v>148206</v>
      </c>
      <c r="CO32" s="572">
        <v>379802</v>
      </c>
      <c r="CP32" s="572">
        <v>0</v>
      </c>
      <c r="CQ32" s="572">
        <v>0</v>
      </c>
    </row>
    <row r="33" spans="1:95" ht="45" x14ac:dyDescent="0.25">
      <c r="A33" s="668"/>
      <c r="B33" s="590">
        <v>46</v>
      </c>
      <c r="C33" s="570" t="s">
        <v>696</v>
      </c>
      <c r="D33" s="567" t="s">
        <v>697</v>
      </c>
      <c r="E33" s="573"/>
      <c r="F33" s="574"/>
      <c r="G33" s="574"/>
      <c r="H33" s="574"/>
      <c r="I33" s="574"/>
      <c r="J33" s="574"/>
      <c r="K33" s="575"/>
      <c r="L33" s="572"/>
      <c r="M33" s="572"/>
      <c r="N33" s="571"/>
      <c r="O33" s="571"/>
      <c r="P33" s="571"/>
      <c r="Q33" s="571"/>
      <c r="R33" s="571"/>
      <c r="S33" s="571"/>
      <c r="T33" s="571"/>
      <c r="U33" s="571"/>
      <c r="V33" s="571"/>
      <c r="W33" s="571"/>
      <c r="X33" s="571"/>
      <c r="Y33" s="571"/>
      <c r="Z33" s="571"/>
      <c r="AA33" s="571"/>
      <c r="AB33" s="572"/>
      <c r="AC33" s="572"/>
      <c r="AD33" s="572"/>
      <c r="AE33" s="572"/>
      <c r="AF33" s="572"/>
      <c r="AG33" s="572"/>
      <c r="AH33" s="572"/>
      <c r="AI33" s="572"/>
      <c r="AJ33" s="572"/>
      <c r="AK33" s="572"/>
      <c r="AL33" s="572"/>
      <c r="AM33" s="572"/>
      <c r="AN33" s="572"/>
      <c r="AO33" s="572"/>
      <c r="AP33" s="572"/>
      <c r="AQ33" s="572"/>
      <c r="AR33" s="572"/>
      <c r="AS33" s="572"/>
      <c r="AT33" s="572"/>
      <c r="AU33" s="572"/>
      <c r="AV33" s="572"/>
      <c r="AW33" s="572"/>
      <c r="AX33" s="572"/>
      <c r="AY33" s="572"/>
      <c r="AZ33" s="572"/>
      <c r="BA33" s="572"/>
      <c r="BB33" s="572"/>
      <c r="BC33" s="572"/>
      <c r="BD33" s="572"/>
      <c r="BE33" s="572"/>
      <c r="BF33" s="572"/>
      <c r="BG33" s="572"/>
      <c r="BH33" s="572"/>
      <c r="BI33" s="572"/>
      <c r="BJ33" s="572"/>
      <c r="BK33" s="572"/>
      <c r="BL33" s="572"/>
      <c r="BM33" s="572"/>
      <c r="BN33" s="572"/>
      <c r="BO33" s="572"/>
      <c r="BP33" s="572"/>
      <c r="BQ33" s="572"/>
      <c r="BR33" s="572"/>
      <c r="BS33" s="572"/>
      <c r="BT33" s="572"/>
      <c r="BU33" s="572"/>
      <c r="BV33" s="572"/>
      <c r="BW33" s="572"/>
      <c r="BX33" s="572"/>
      <c r="BY33" s="572"/>
      <c r="BZ33" s="572"/>
      <c r="CA33" s="572"/>
      <c r="CB33" s="572"/>
      <c r="CC33" s="572"/>
      <c r="CD33" s="572"/>
      <c r="CE33" s="572"/>
      <c r="CF33" s="572"/>
      <c r="CG33" s="572"/>
      <c r="CH33" s="572"/>
      <c r="CI33" s="572"/>
      <c r="CJ33" s="572"/>
      <c r="CK33" s="572"/>
      <c r="CL33" s="572"/>
      <c r="CM33" s="572"/>
      <c r="CN33" s="572"/>
      <c r="CO33" s="572"/>
      <c r="CP33" s="572"/>
      <c r="CQ33" s="572"/>
    </row>
    <row r="34" spans="1:95" x14ac:dyDescent="0.25">
      <c r="A34" s="668">
        <v>47</v>
      </c>
      <c r="B34" s="590">
        <v>47</v>
      </c>
      <c r="C34" s="570" t="s">
        <v>698</v>
      </c>
      <c r="D34" s="567" t="s">
        <v>699</v>
      </c>
      <c r="E34" s="573">
        <v>0</v>
      </c>
      <c r="F34" s="574">
        <v>0</v>
      </c>
      <c r="G34" s="574">
        <v>0</v>
      </c>
      <c r="H34" s="574">
        <v>0</v>
      </c>
      <c r="I34" s="574">
        <v>3093757</v>
      </c>
      <c r="J34" s="574">
        <v>0</v>
      </c>
      <c r="K34" s="575">
        <v>31043992</v>
      </c>
      <c r="L34" s="572">
        <v>0</v>
      </c>
      <c r="M34" s="572">
        <v>0</v>
      </c>
      <c r="N34" s="571">
        <v>0</v>
      </c>
      <c r="O34" s="571">
        <v>0</v>
      </c>
      <c r="P34" s="571">
        <v>0</v>
      </c>
      <c r="Q34" s="571">
        <v>0</v>
      </c>
      <c r="R34" s="571">
        <v>0</v>
      </c>
      <c r="S34" s="571">
        <v>0</v>
      </c>
      <c r="T34" s="571">
        <v>0</v>
      </c>
      <c r="U34" s="571">
        <v>0</v>
      </c>
      <c r="V34" s="571">
        <v>0</v>
      </c>
      <c r="W34" s="571">
        <v>0</v>
      </c>
      <c r="X34" s="571">
        <v>0</v>
      </c>
      <c r="Y34" s="571">
        <v>0</v>
      </c>
      <c r="Z34" s="571">
        <v>0</v>
      </c>
      <c r="AA34" s="571">
        <v>16755784</v>
      </c>
      <c r="AB34" s="572">
        <v>0</v>
      </c>
      <c r="AC34" s="572">
        <v>0</v>
      </c>
      <c r="AD34" s="572">
        <v>0</v>
      </c>
      <c r="AE34" s="572">
        <v>0</v>
      </c>
      <c r="AF34" s="572">
        <v>0</v>
      </c>
      <c r="AG34" s="572">
        <v>0</v>
      </c>
      <c r="AH34" s="572">
        <v>0</v>
      </c>
      <c r="AI34" s="572">
        <v>0</v>
      </c>
      <c r="AJ34" s="572">
        <v>0</v>
      </c>
      <c r="AK34" s="572">
        <v>0</v>
      </c>
      <c r="AL34" s="572">
        <v>0</v>
      </c>
      <c r="AM34" s="572">
        <v>0</v>
      </c>
      <c r="AN34" s="572">
        <v>0</v>
      </c>
      <c r="AO34" s="572">
        <v>0</v>
      </c>
      <c r="AP34" s="572">
        <v>0</v>
      </c>
      <c r="AQ34" s="572">
        <v>0</v>
      </c>
      <c r="AR34" s="572">
        <v>0</v>
      </c>
      <c r="AS34" s="572">
        <v>0</v>
      </c>
      <c r="AT34" s="572">
        <v>0</v>
      </c>
      <c r="AU34" s="572">
        <v>0</v>
      </c>
      <c r="AV34" s="572">
        <v>0</v>
      </c>
      <c r="AW34" s="572">
        <v>0</v>
      </c>
      <c r="AX34" s="572">
        <v>0</v>
      </c>
      <c r="AY34" s="572">
        <v>8120677</v>
      </c>
      <c r="AZ34" s="572">
        <v>0</v>
      </c>
      <c r="BA34" s="572">
        <v>0</v>
      </c>
      <c r="BB34" s="572">
        <v>0</v>
      </c>
      <c r="BC34" s="572">
        <v>0</v>
      </c>
      <c r="BD34" s="572">
        <v>0</v>
      </c>
      <c r="BE34" s="572">
        <v>220835</v>
      </c>
      <c r="BF34" s="572">
        <v>0</v>
      </c>
      <c r="BG34" s="572">
        <v>0</v>
      </c>
      <c r="BH34" s="572">
        <v>19755774</v>
      </c>
      <c r="BI34" s="572">
        <v>0</v>
      </c>
      <c r="BJ34" s="572">
        <v>0</v>
      </c>
      <c r="BK34" s="572">
        <v>0</v>
      </c>
      <c r="BL34" s="572">
        <v>3116452</v>
      </c>
      <c r="BM34" s="572">
        <v>0</v>
      </c>
      <c r="BN34" s="572">
        <v>0</v>
      </c>
      <c r="BO34" s="572">
        <v>0</v>
      </c>
      <c r="BP34" s="572">
        <v>0</v>
      </c>
      <c r="BQ34" s="572">
        <v>0</v>
      </c>
      <c r="BR34" s="572">
        <v>0</v>
      </c>
      <c r="BS34" s="572">
        <v>0</v>
      </c>
      <c r="BT34" s="572">
        <v>0</v>
      </c>
      <c r="BU34" s="572">
        <v>0</v>
      </c>
      <c r="BV34" s="572">
        <v>0</v>
      </c>
      <c r="BW34" s="572">
        <v>0</v>
      </c>
      <c r="BX34" s="572">
        <v>0</v>
      </c>
      <c r="BY34" s="572">
        <v>0</v>
      </c>
      <c r="BZ34" s="572">
        <v>0</v>
      </c>
      <c r="CA34" s="572">
        <v>0</v>
      </c>
      <c r="CB34" s="572">
        <v>0</v>
      </c>
      <c r="CC34" s="572">
        <v>54382218</v>
      </c>
      <c r="CD34" s="572">
        <v>0</v>
      </c>
      <c r="CE34" s="572">
        <v>4075178</v>
      </c>
      <c r="CF34" s="572">
        <v>0</v>
      </c>
      <c r="CG34" s="572">
        <v>0</v>
      </c>
      <c r="CH34" s="572">
        <v>0</v>
      </c>
      <c r="CI34" s="572">
        <v>7498005</v>
      </c>
      <c r="CJ34" s="572">
        <v>0</v>
      </c>
      <c r="CK34" s="572">
        <v>0</v>
      </c>
      <c r="CL34" s="572">
        <v>0</v>
      </c>
      <c r="CM34" s="572">
        <v>0</v>
      </c>
      <c r="CN34" s="572">
        <v>0</v>
      </c>
      <c r="CO34" s="572">
        <v>0</v>
      </c>
      <c r="CP34" s="572">
        <v>0</v>
      </c>
      <c r="CQ34" s="572">
        <v>0</v>
      </c>
    </row>
    <row r="35" spans="1:95" ht="30" x14ac:dyDescent="0.25">
      <c r="A35" s="668">
        <v>48</v>
      </c>
      <c r="B35" s="590">
        <v>48</v>
      </c>
      <c r="C35" s="570" t="s">
        <v>145</v>
      </c>
      <c r="D35" s="567" t="s">
        <v>700</v>
      </c>
      <c r="E35" s="573">
        <v>0</v>
      </c>
      <c r="F35" s="574">
        <v>0</v>
      </c>
      <c r="G35" s="574">
        <v>0</v>
      </c>
      <c r="H35" s="574">
        <v>0</v>
      </c>
      <c r="I35" s="574">
        <v>200310</v>
      </c>
      <c r="J35" s="574">
        <v>0</v>
      </c>
      <c r="K35" s="575">
        <v>5263117</v>
      </c>
      <c r="L35" s="572">
        <v>0</v>
      </c>
      <c r="M35" s="572">
        <v>0</v>
      </c>
      <c r="N35" s="571">
        <v>0</v>
      </c>
      <c r="O35" s="571">
        <v>0</v>
      </c>
      <c r="P35" s="571">
        <v>0</v>
      </c>
      <c r="Q35" s="571">
        <v>0</v>
      </c>
      <c r="R35" s="571">
        <v>0</v>
      </c>
      <c r="S35" s="571">
        <v>0</v>
      </c>
      <c r="T35" s="571">
        <v>0</v>
      </c>
      <c r="U35" s="571">
        <v>0</v>
      </c>
      <c r="V35" s="571">
        <v>0</v>
      </c>
      <c r="W35" s="571">
        <v>0</v>
      </c>
      <c r="X35" s="571">
        <v>0</v>
      </c>
      <c r="Y35" s="571">
        <v>0</v>
      </c>
      <c r="Z35" s="571">
        <v>0</v>
      </c>
      <c r="AA35" s="571">
        <v>1815605</v>
      </c>
      <c r="AB35" s="572">
        <v>0</v>
      </c>
      <c r="AC35" s="572">
        <v>0</v>
      </c>
      <c r="AD35" s="572">
        <v>0</v>
      </c>
      <c r="AE35" s="572">
        <v>0</v>
      </c>
      <c r="AF35" s="572">
        <v>0</v>
      </c>
      <c r="AG35" s="572">
        <v>0</v>
      </c>
      <c r="AH35" s="572">
        <v>0</v>
      </c>
      <c r="AI35" s="572">
        <v>0</v>
      </c>
      <c r="AJ35" s="572">
        <v>0</v>
      </c>
      <c r="AK35" s="572">
        <v>0</v>
      </c>
      <c r="AL35" s="572">
        <v>0</v>
      </c>
      <c r="AM35" s="572">
        <v>0</v>
      </c>
      <c r="AN35" s="572">
        <v>0</v>
      </c>
      <c r="AO35" s="572">
        <v>0</v>
      </c>
      <c r="AP35" s="572">
        <v>0</v>
      </c>
      <c r="AQ35" s="572">
        <v>0</v>
      </c>
      <c r="AR35" s="572">
        <v>0</v>
      </c>
      <c r="AS35" s="572">
        <v>0</v>
      </c>
      <c r="AT35" s="572">
        <v>0</v>
      </c>
      <c r="AU35" s="572">
        <v>0</v>
      </c>
      <c r="AV35" s="572">
        <v>0</v>
      </c>
      <c r="AW35" s="572">
        <v>0</v>
      </c>
      <c r="AX35" s="572">
        <v>0</v>
      </c>
      <c r="AY35" s="572">
        <v>2648613</v>
      </c>
      <c r="AZ35" s="572">
        <v>0</v>
      </c>
      <c r="BA35" s="572">
        <v>0</v>
      </c>
      <c r="BB35" s="572">
        <v>0</v>
      </c>
      <c r="BC35" s="572">
        <v>0</v>
      </c>
      <c r="BD35" s="572">
        <v>0</v>
      </c>
      <c r="BE35" s="572">
        <v>13116</v>
      </c>
      <c r="BF35" s="572">
        <v>0</v>
      </c>
      <c r="BG35" s="572">
        <v>0</v>
      </c>
      <c r="BH35" s="572">
        <v>2484762</v>
      </c>
      <c r="BI35" s="572">
        <v>0</v>
      </c>
      <c r="BJ35" s="572">
        <v>0</v>
      </c>
      <c r="BK35" s="572">
        <v>0</v>
      </c>
      <c r="BL35" s="572">
        <v>735047</v>
      </c>
      <c r="BM35" s="572">
        <v>0</v>
      </c>
      <c r="BN35" s="572">
        <v>0</v>
      </c>
      <c r="BO35" s="572">
        <v>0</v>
      </c>
      <c r="BP35" s="572">
        <v>0</v>
      </c>
      <c r="BQ35" s="572">
        <v>0</v>
      </c>
      <c r="BR35" s="572">
        <v>0</v>
      </c>
      <c r="BS35" s="572">
        <v>0</v>
      </c>
      <c r="BT35" s="572">
        <v>0</v>
      </c>
      <c r="BU35" s="572">
        <v>0</v>
      </c>
      <c r="BV35" s="572">
        <v>0</v>
      </c>
      <c r="BW35" s="572">
        <v>0</v>
      </c>
      <c r="BX35" s="572">
        <v>0</v>
      </c>
      <c r="BY35" s="572">
        <v>0</v>
      </c>
      <c r="BZ35" s="572">
        <v>0</v>
      </c>
      <c r="CA35" s="572">
        <v>0</v>
      </c>
      <c r="CB35" s="572">
        <v>0</v>
      </c>
      <c r="CC35" s="572">
        <v>11312947</v>
      </c>
      <c r="CD35" s="572">
        <v>0</v>
      </c>
      <c r="CE35" s="572">
        <v>749709</v>
      </c>
      <c r="CF35" s="572">
        <v>0</v>
      </c>
      <c r="CG35" s="572">
        <v>0</v>
      </c>
      <c r="CH35" s="572">
        <v>0</v>
      </c>
      <c r="CI35" s="572">
        <v>402557</v>
      </c>
      <c r="CJ35" s="572">
        <v>0</v>
      </c>
      <c r="CK35" s="572">
        <v>0</v>
      </c>
      <c r="CL35" s="572">
        <v>0</v>
      </c>
      <c r="CM35" s="572">
        <v>0</v>
      </c>
      <c r="CN35" s="572">
        <v>0</v>
      </c>
      <c r="CO35" s="572">
        <v>0</v>
      </c>
      <c r="CP35" s="572">
        <v>0</v>
      </c>
      <c r="CQ35" s="572">
        <v>0</v>
      </c>
    </row>
    <row r="36" spans="1:95" ht="30" x14ac:dyDescent="0.25">
      <c r="A36" s="668">
        <v>49</v>
      </c>
      <c r="B36" s="590">
        <v>49</v>
      </c>
      <c r="C36" s="570" t="s">
        <v>313</v>
      </c>
      <c r="D36" s="567" t="s">
        <v>701</v>
      </c>
      <c r="E36" s="573">
        <v>0</v>
      </c>
      <c r="F36" s="574">
        <v>0</v>
      </c>
      <c r="G36" s="574">
        <v>128927</v>
      </c>
      <c r="H36" s="574">
        <v>389245</v>
      </c>
      <c r="I36" s="574">
        <v>306266</v>
      </c>
      <c r="J36" s="574">
        <v>44130</v>
      </c>
      <c r="K36" s="575">
        <v>3517990</v>
      </c>
      <c r="L36" s="572">
        <v>189378</v>
      </c>
      <c r="M36" s="572">
        <v>0</v>
      </c>
      <c r="N36" s="571">
        <v>112155</v>
      </c>
      <c r="O36" s="571">
        <v>154169</v>
      </c>
      <c r="P36" s="571">
        <v>0</v>
      </c>
      <c r="Q36" s="571">
        <v>86597</v>
      </c>
      <c r="R36" s="571">
        <v>0</v>
      </c>
      <c r="S36" s="571">
        <v>0</v>
      </c>
      <c r="T36" s="571">
        <v>0</v>
      </c>
      <c r="U36" s="571">
        <v>0</v>
      </c>
      <c r="V36" s="571">
        <v>0</v>
      </c>
      <c r="W36" s="571">
        <v>108393</v>
      </c>
      <c r="X36" s="571">
        <v>0</v>
      </c>
      <c r="Y36" s="571">
        <v>292463</v>
      </c>
      <c r="Z36" s="571">
        <v>0</v>
      </c>
      <c r="AA36" s="571">
        <v>1156987</v>
      </c>
      <c r="AB36" s="572">
        <v>627276</v>
      </c>
      <c r="AC36" s="572">
        <v>33245</v>
      </c>
      <c r="AD36" s="572">
        <v>96001</v>
      </c>
      <c r="AE36" s="572">
        <v>3430371</v>
      </c>
      <c r="AF36" s="572">
        <v>0</v>
      </c>
      <c r="AG36" s="572">
        <v>145502</v>
      </c>
      <c r="AH36" s="572">
        <v>0</v>
      </c>
      <c r="AI36" s="572">
        <v>72636</v>
      </c>
      <c r="AJ36" s="572">
        <v>778976</v>
      </c>
      <c r="AK36" s="572">
        <v>490953</v>
      </c>
      <c r="AL36" s="572">
        <v>242157</v>
      </c>
      <c r="AM36" s="572">
        <v>244764</v>
      </c>
      <c r="AN36" s="572">
        <v>10412</v>
      </c>
      <c r="AO36" s="572">
        <v>0</v>
      </c>
      <c r="AP36" s="572">
        <v>856470</v>
      </c>
      <c r="AQ36" s="572">
        <v>0</v>
      </c>
      <c r="AR36" s="572">
        <v>0</v>
      </c>
      <c r="AS36" s="572">
        <v>0</v>
      </c>
      <c r="AT36" s="572">
        <v>0</v>
      </c>
      <c r="AU36" s="572">
        <v>0</v>
      </c>
      <c r="AV36" s="572">
        <v>25947</v>
      </c>
      <c r="AW36" s="572">
        <v>364121</v>
      </c>
      <c r="AX36" s="572">
        <v>104053</v>
      </c>
      <c r="AY36" s="572">
        <v>0</v>
      </c>
      <c r="AZ36" s="572">
        <v>0</v>
      </c>
      <c r="BA36" s="572">
        <v>876217</v>
      </c>
      <c r="BB36" s="572">
        <v>0</v>
      </c>
      <c r="BC36" s="572">
        <v>134357</v>
      </c>
      <c r="BD36" s="572">
        <v>132062</v>
      </c>
      <c r="BE36" s="572">
        <v>64662</v>
      </c>
      <c r="BF36" s="572">
        <v>275890</v>
      </c>
      <c r="BG36" s="572">
        <v>553196</v>
      </c>
      <c r="BH36" s="572">
        <v>1486775</v>
      </c>
      <c r="BI36" s="572">
        <v>0</v>
      </c>
      <c r="BJ36" s="572">
        <v>0</v>
      </c>
      <c r="BK36" s="572">
        <v>0</v>
      </c>
      <c r="BL36" s="572">
        <v>1055766</v>
      </c>
      <c r="BM36" s="572">
        <v>349291</v>
      </c>
      <c r="BN36" s="572">
        <v>0</v>
      </c>
      <c r="BO36" s="572">
        <v>0</v>
      </c>
      <c r="BP36" s="572">
        <v>0</v>
      </c>
      <c r="BQ36" s="572">
        <v>0</v>
      </c>
      <c r="BR36" s="572">
        <v>0</v>
      </c>
      <c r="BS36" s="572">
        <v>0</v>
      </c>
      <c r="BT36" s="572">
        <v>303270</v>
      </c>
      <c r="BU36" s="572">
        <v>0</v>
      </c>
      <c r="BV36" s="572">
        <v>71275</v>
      </c>
      <c r="BW36" s="572">
        <v>131515</v>
      </c>
      <c r="BX36" s="572">
        <v>480918</v>
      </c>
      <c r="BY36" s="572">
        <v>17217</v>
      </c>
      <c r="BZ36" s="572">
        <v>0</v>
      </c>
      <c r="CA36" s="572">
        <v>632503</v>
      </c>
      <c r="CB36" s="572">
        <v>0</v>
      </c>
      <c r="CC36" s="572">
        <v>4209632</v>
      </c>
      <c r="CD36" s="572">
        <v>7564</v>
      </c>
      <c r="CE36" s="572">
        <v>219282</v>
      </c>
      <c r="CF36" s="572">
        <v>0</v>
      </c>
      <c r="CG36" s="572">
        <v>268369</v>
      </c>
      <c r="CH36" s="572">
        <v>26939559</v>
      </c>
      <c r="CI36" s="572">
        <v>200020</v>
      </c>
      <c r="CJ36" s="572">
        <v>173835</v>
      </c>
      <c r="CK36" s="572">
        <v>0</v>
      </c>
      <c r="CL36" s="572">
        <v>68170</v>
      </c>
      <c r="CM36" s="572">
        <v>223446</v>
      </c>
      <c r="CN36" s="572">
        <v>608348</v>
      </c>
      <c r="CO36" s="572">
        <v>313607</v>
      </c>
      <c r="CP36" s="572">
        <v>0</v>
      </c>
      <c r="CQ36" s="572">
        <v>0</v>
      </c>
    </row>
    <row r="37" spans="1:95" x14ac:dyDescent="0.25">
      <c r="A37" s="668">
        <v>50</v>
      </c>
      <c r="B37" s="590">
        <v>50</v>
      </c>
      <c r="C37" s="570" t="s">
        <v>119</v>
      </c>
      <c r="D37" s="567" t="s">
        <v>702</v>
      </c>
      <c r="E37" s="573">
        <v>0</v>
      </c>
      <c r="F37" s="574">
        <v>0</v>
      </c>
      <c r="G37" s="574">
        <v>-9288</v>
      </c>
      <c r="H37" s="574">
        <v>270703</v>
      </c>
      <c r="I37" s="574">
        <v>110192</v>
      </c>
      <c r="J37" s="574">
        <v>-25294</v>
      </c>
      <c r="K37" s="575">
        <v>1575395</v>
      </c>
      <c r="L37" s="572">
        <v>-134500</v>
      </c>
      <c r="M37" s="572">
        <v>0</v>
      </c>
      <c r="N37" s="571">
        <v>-24784</v>
      </c>
      <c r="O37" s="571">
        <v>45353</v>
      </c>
      <c r="P37" s="571">
        <v>0</v>
      </c>
      <c r="Q37" s="571">
        <v>-96425</v>
      </c>
      <c r="R37" s="571">
        <v>0</v>
      </c>
      <c r="S37" s="571">
        <v>0</v>
      </c>
      <c r="T37" s="571">
        <v>0</v>
      </c>
      <c r="U37" s="571">
        <v>0</v>
      </c>
      <c r="V37" s="571">
        <v>0</v>
      </c>
      <c r="W37" s="571">
        <v>324602</v>
      </c>
      <c r="X37" s="571">
        <v>0</v>
      </c>
      <c r="Y37" s="571">
        <v>61168</v>
      </c>
      <c r="Z37" s="571">
        <v>0</v>
      </c>
      <c r="AA37" s="571">
        <v>469901</v>
      </c>
      <c r="AB37" s="572">
        <v>287273</v>
      </c>
      <c r="AC37" s="572">
        <v>-88018</v>
      </c>
      <c r="AD37" s="572">
        <v>-45533</v>
      </c>
      <c r="AE37" s="572">
        <v>861419</v>
      </c>
      <c r="AF37" s="572">
        <v>0</v>
      </c>
      <c r="AG37" s="572">
        <v>271252</v>
      </c>
      <c r="AH37" s="572">
        <v>0</v>
      </c>
      <c r="AI37" s="572">
        <v>383252</v>
      </c>
      <c r="AJ37" s="572">
        <v>-431685</v>
      </c>
      <c r="AK37" s="572">
        <v>491283</v>
      </c>
      <c r="AL37" s="572">
        <v>251346</v>
      </c>
      <c r="AM37" s="572">
        <v>34446</v>
      </c>
      <c r="AN37" s="572">
        <v>9836</v>
      </c>
      <c r="AO37" s="572">
        <v>0</v>
      </c>
      <c r="AP37" s="572">
        <v>242105</v>
      </c>
      <c r="AQ37" s="572">
        <v>0</v>
      </c>
      <c r="AR37" s="572">
        <v>0</v>
      </c>
      <c r="AS37" s="572">
        <v>0</v>
      </c>
      <c r="AT37" s="572">
        <v>0</v>
      </c>
      <c r="AU37" s="572">
        <v>0</v>
      </c>
      <c r="AV37" s="572">
        <v>-27099</v>
      </c>
      <c r="AW37" s="572">
        <v>410178</v>
      </c>
      <c r="AX37" s="572">
        <v>-93330</v>
      </c>
      <c r="AY37" s="572">
        <v>0</v>
      </c>
      <c r="AZ37" s="572">
        <v>0</v>
      </c>
      <c r="BA37" s="572">
        <v>-40606</v>
      </c>
      <c r="BB37" s="572">
        <v>0</v>
      </c>
      <c r="BC37" s="572">
        <v>257213</v>
      </c>
      <c r="BD37" s="572">
        <v>-284137</v>
      </c>
      <c r="BE37" s="572">
        <v>-51164</v>
      </c>
      <c r="BF37" s="572">
        <v>-209556</v>
      </c>
      <c r="BG37" s="572">
        <v>1005174</v>
      </c>
      <c r="BH37" s="572">
        <v>469222</v>
      </c>
      <c r="BI37" s="572">
        <v>0</v>
      </c>
      <c r="BJ37" s="572">
        <v>0</v>
      </c>
      <c r="BK37" s="572">
        <v>0</v>
      </c>
      <c r="BL37" s="572">
        <v>441148</v>
      </c>
      <c r="BM37" s="572">
        <v>218376</v>
      </c>
      <c r="BN37" s="572">
        <v>0</v>
      </c>
      <c r="BO37" s="572">
        <v>0</v>
      </c>
      <c r="BP37" s="572">
        <v>0</v>
      </c>
      <c r="BQ37" s="572">
        <v>0</v>
      </c>
      <c r="BR37" s="572">
        <v>0</v>
      </c>
      <c r="BS37" s="572">
        <v>0</v>
      </c>
      <c r="BT37" s="572">
        <v>13002</v>
      </c>
      <c r="BU37" s="572">
        <v>0</v>
      </c>
      <c r="BV37" s="572">
        <v>32353</v>
      </c>
      <c r="BW37" s="572">
        <v>-127442</v>
      </c>
      <c r="BX37" s="572">
        <v>-266511</v>
      </c>
      <c r="BY37" s="572">
        <v>-8848</v>
      </c>
      <c r="BZ37" s="572">
        <v>0</v>
      </c>
      <c r="CA37" s="572">
        <v>-82310</v>
      </c>
      <c r="CB37" s="572">
        <v>0</v>
      </c>
      <c r="CC37" s="572">
        <v>7979143</v>
      </c>
      <c r="CD37" s="572">
        <v>-166693</v>
      </c>
      <c r="CE37" s="572">
        <v>-16349</v>
      </c>
      <c r="CF37" s="572">
        <v>0</v>
      </c>
      <c r="CG37" s="572">
        <v>100388</v>
      </c>
      <c r="CH37" s="572">
        <v>40494348</v>
      </c>
      <c r="CI37" s="572">
        <v>180050</v>
      </c>
      <c r="CJ37" s="572">
        <v>-66643</v>
      </c>
      <c r="CK37" s="572">
        <v>0</v>
      </c>
      <c r="CL37" s="572">
        <v>51641</v>
      </c>
      <c r="CM37" s="572">
        <v>591777</v>
      </c>
      <c r="CN37" s="572">
        <v>79073</v>
      </c>
      <c r="CO37" s="572">
        <v>154517</v>
      </c>
      <c r="CP37" s="572">
        <v>0</v>
      </c>
      <c r="CQ37" s="572">
        <v>0</v>
      </c>
    </row>
    <row r="38" spans="1:95" ht="30" x14ac:dyDescent="0.25">
      <c r="A38" s="668">
        <v>51</v>
      </c>
      <c r="B38" s="590">
        <v>51</v>
      </c>
      <c r="C38" s="570" t="s">
        <v>331</v>
      </c>
      <c r="D38" s="567" t="s">
        <v>703</v>
      </c>
      <c r="E38" s="573">
        <v>0</v>
      </c>
      <c r="F38" s="574">
        <v>0</v>
      </c>
      <c r="G38" s="574">
        <v>106097</v>
      </c>
      <c r="H38" s="574">
        <v>543798</v>
      </c>
      <c r="I38" s="574">
        <v>331617</v>
      </c>
      <c r="J38" s="574">
        <v>4757</v>
      </c>
      <c r="K38" s="575">
        <v>5941218</v>
      </c>
      <c r="L38" s="572">
        <v>101164</v>
      </c>
      <c r="M38" s="572">
        <v>0</v>
      </c>
      <c r="N38" s="571">
        <v>87018</v>
      </c>
      <c r="O38" s="571">
        <v>183046</v>
      </c>
      <c r="P38" s="571">
        <v>0</v>
      </c>
      <c r="Q38" s="571">
        <v>-6048</v>
      </c>
      <c r="R38" s="571">
        <v>0</v>
      </c>
      <c r="S38" s="571">
        <v>0</v>
      </c>
      <c r="T38" s="571">
        <v>0</v>
      </c>
      <c r="U38" s="571">
        <v>0</v>
      </c>
      <c r="V38" s="571">
        <v>0</v>
      </c>
      <c r="W38" s="571">
        <v>411429</v>
      </c>
      <c r="X38" s="571">
        <v>0</v>
      </c>
      <c r="Y38" s="571">
        <v>222555</v>
      </c>
      <c r="Z38" s="571">
        <v>0</v>
      </c>
      <c r="AA38" s="571">
        <v>402884</v>
      </c>
      <c r="AB38" s="572">
        <v>25038</v>
      </c>
      <c r="AC38" s="572">
        <v>-51466</v>
      </c>
      <c r="AD38" s="572">
        <v>63211</v>
      </c>
      <c r="AE38" s="572">
        <v>5285035</v>
      </c>
      <c r="AF38" s="572">
        <v>0</v>
      </c>
      <c r="AG38" s="572">
        <v>439407</v>
      </c>
      <c r="AH38" s="572">
        <v>0</v>
      </c>
      <c r="AI38" s="572">
        <v>19561</v>
      </c>
      <c r="AJ38" s="572">
        <v>-441220</v>
      </c>
      <c r="AK38" s="572">
        <v>1024662</v>
      </c>
      <c r="AL38" s="572">
        <v>291198</v>
      </c>
      <c r="AM38" s="572">
        <v>343539</v>
      </c>
      <c r="AN38" s="572">
        <v>20941</v>
      </c>
      <c r="AO38" s="572">
        <v>0</v>
      </c>
      <c r="AP38" s="572">
        <v>878305</v>
      </c>
      <c r="AQ38" s="572">
        <v>0</v>
      </c>
      <c r="AR38" s="572">
        <v>0</v>
      </c>
      <c r="AS38" s="572">
        <v>0</v>
      </c>
      <c r="AT38" s="572">
        <v>0</v>
      </c>
      <c r="AU38" s="572">
        <v>0</v>
      </c>
      <c r="AV38" s="572">
        <v>-2139</v>
      </c>
      <c r="AW38" s="572">
        <v>771913</v>
      </c>
      <c r="AX38" s="572">
        <v>40181</v>
      </c>
      <c r="AY38" s="572">
        <v>0</v>
      </c>
      <c r="AZ38" s="572">
        <v>0</v>
      </c>
      <c r="BA38" s="572">
        <v>523554</v>
      </c>
      <c r="BB38" s="572">
        <v>0</v>
      </c>
      <c r="BC38" s="572">
        <v>200219</v>
      </c>
      <c r="BD38" s="572">
        <v>127941</v>
      </c>
      <c r="BE38" s="572">
        <v>12939</v>
      </c>
      <c r="BF38" s="572">
        <v>49888</v>
      </c>
      <c r="BG38" s="572">
        <v>386530</v>
      </c>
      <c r="BH38" s="572">
        <v>1936603</v>
      </c>
      <c r="BI38" s="572">
        <v>0</v>
      </c>
      <c r="BJ38" s="572">
        <v>0</v>
      </c>
      <c r="BK38" s="572">
        <v>0</v>
      </c>
      <c r="BL38" s="572">
        <v>1478535</v>
      </c>
      <c r="BM38" s="572">
        <v>578143</v>
      </c>
      <c r="BN38" s="572">
        <v>0</v>
      </c>
      <c r="BO38" s="572">
        <v>0</v>
      </c>
      <c r="BP38" s="572">
        <v>0</v>
      </c>
      <c r="BQ38" s="572">
        <v>0</v>
      </c>
      <c r="BR38" s="572">
        <v>0</v>
      </c>
      <c r="BS38" s="572">
        <v>0</v>
      </c>
      <c r="BT38" s="572">
        <v>308765</v>
      </c>
      <c r="BU38" s="572">
        <v>0</v>
      </c>
      <c r="BV38" s="572">
        <v>166919</v>
      </c>
      <c r="BW38" s="572">
        <v>-120199</v>
      </c>
      <c r="BX38" s="572">
        <v>563139</v>
      </c>
      <c r="BY38" s="572">
        <v>7970</v>
      </c>
      <c r="BZ38" s="572">
        <v>0</v>
      </c>
      <c r="CA38" s="572">
        <v>672752</v>
      </c>
      <c r="CB38" s="572">
        <v>0</v>
      </c>
      <c r="CC38" s="572">
        <v>10042860</v>
      </c>
      <c r="CD38" s="572">
        <v>2659</v>
      </c>
      <c r="CE38" s="572">
        <v>163479</v>
      </c>
      <c r="CF38" s="572">
        <v>0</v>
      </c>
      <c r="CG38" s="572">
        <v>460953</v>
      </c>
      <c r="CH38" s="572">
        <v>63401581</v>
      </c>
      <c r="CI38" s="572">
        <v>362633</v>
      </c>
      <c r="CJ38" s="572">
        <v>141596</v>
      </c>
      <c r="CK38" s="572">
        <v>0</v>
      </c>
      <c r="CL38" s="572">
        <v>68738</v>
      </c>
      <c r="CM38" s="572">
        <v>678474</v>
      </c>
      <c r="CN38" s="572">
        <v>715142</v>
      </c>
      <c r="CO38" s="572">
        <v>534164</v>
      </c>
      <c r="CP38" s="572">
        <v>0</v>
      </c>
      <c r="CQ38" s="572">
        <v>0</v>
      </c>
    </row>
    <row r="39" spans="1:95" ht="30" x14ac:dyDescent="0.25">
      <c r="A39" s="668">
        <v>52</v>
      </c>
      <c r="B39" s="590">
        <v>52</v>
      </c>
      <c r="C39" s="570" t="s">
        <v>324</v>
      </c>
      <c r="D39" s="567" t="s">
        <v>704</v>
      </c>
      <c r="E39" s="573">
        <v>0</v>
      </c>
      <c r="F39" s="574">
        <v>0</v>
      </c>
      <c r="G39" s="574">
        <v>0</v>
      </c>
      <c r="H39" s="574">
        <v>0</v>
      </c>
      <c r="I39" s="574">
        <v>63941</v>
      </c>
      <c r="J39" s="574">
        <v>0</v>
      </c>
      <c r="K39" s="575">
        <v>1343348</v>
      </c>
      <c r="L39" s="572">
        <v>0</v>
      </c>
      <c r="M39" s="572">
        <v>0</v>
      </c>
      <c r="N39" s="571">
        <v>0</v>
      </c>
      <c r="O39" s="571">
        <v>0</v>
      </c>
      <c r="P39" s="571">
        <v>0</v>
      </c>
      <c r="Q39" s="571">
        <v>0</v>
      </c>
      <c r="R39" s="571">
        <v>0</v>
      </c>
      <c r="S39" s="571">
        <v>0</v>
      </c>
      <c r="T39" s="571">
        <v>0</v>
      </c>
      <c r="U39" s="571">
        <v>0</v>
      </c>
      <c r="V39" s="571">
        <v>0</v>
      </c>
      <c r="W39" s="571">
        <v>0</v>
      </c>
      <c r="X39" s="571">
        <v>0</v>
      </c>
      <c r="Y39" s="571">
        <v>0</v>
      </c>
      <c r="Z39" s="571">
        <v>0</v>
      </c>
      <c r="AA39" s="571">
        <v>1629097</v>
      </c>
      <c r="AB39" s="572">
        <v>0</v>
      </c>
      <c r="AC39" s="572">
        <v>0</v>
      </c>
      <c r="AD39" s="572">
        <v>0</v>
      </c>
      <c r="AE39" s="572">
        <v>0</v>
      </c>
      <c r="AF39" s="572">
        <v>0</v>
      </c>
      <c r="AG39" s="572">
        <v>0</v>
      </c>
      <c r="AH39" s="572">
        <v>0</v>
      </c>
      <c r="AI39" s="572">
        <v>0</v>
      </c>
      <c r="AJ39" s="572">
        <v>0</v>
      </c>
      <c r="AK39" s="572">
        <v>0</v>
      </c>
      <c r="AL39" s="572">
        <v>0</v>
      </c>
      <c r="AM39" s="572">
        <v>0</v>
      </c>
      <c r="AN39" s="572">
        <v>0</v>
      </c>
      <c r="AO39" s="572">
        <v>0</v>
      </c>
      <c r="AP39" s="572">
        <v>0</v>
      </c>
      <c r="AQ39" s="572">
        <v>0</v>
      </c>
      <c r="AR39" s="572">
        <v>0</v>
      </c>
      <c r="AS39" s="572">
        <v>0</v>
      </c>
      <c r="AT39" s="572">
        <v>0</v>
      </c>
      <c r="AU39" s="572">
        <v>0</v>
      </c>
      <c r="AV39" s="572">
        <v>0</v>
      </c>
      <c r="AW39" s="572">
        <v>0</v>
      </c>
      <c r="AX39" s="572">
        <v>0</v>
      </c>
      <c r="AY39" s="572">
        <v>1277834</v>
      </c>
      <c r="AZ39" s="572">
        <v>0</v>
      </c>
      <c r="BA39" s="572">
        <v>0</v>
      </c>
      <c r="BB39" s="572">
        <v>0</v>
      </c>
      <c r="BC39" s="572">
        <v>0</v>
      </c>
      <c r="BD39" s="572">
        <v>0</v>
      </c>
      <c r="BE39" s="572">
        <v>5148</v>
      </c>
      <c r="BF39" s="572">
        <v>0</v>
      </c>
      <c r="BG39" s="572">
        <v>0</v>
      </c>
      <c r="BH39" s="572">
        <v>1180169</v>
      </c>
      <c r="BI39" s="572">
        <v>0</v>
      </c>
      <c r="BJ39" s="572">
        <v>0</v>
      </c>
      <c r="BK39" s="572">
        <v>0</v>
      </c>
      <c r="BL39" s="572">
        <v>275679</v>
      </c>
      <c r="BM39" s="572">
        <v>0</v>
      </c>
      <c r="BN39" s="572">
        <v>0</v>
      </c>
      <c r="BO39" s="572">
        <v>0</v>
      </c>
      <c r="BP39" s="572">
        <v>0</v>
      </c>
      <c r="BQ39" s="572">
        <v>0</v>
      </c>
      <c r="BR39" s="572">
        <v>0</v>
      </c>
      <c r="BS39" s="572">
        <v>0</v>
      </c>
      <c r="BT39" s="572">
        <v>0</v>
      </c>
      <c r="BU39" s="572">
        <v>0</v>
      </c>
      <c r="BV39" s="572">
        <v>0</v>
      </c>
      <c r="BW39" s="572">
        <v>0</v>
      </c>
      <c r="BX39" s="572">
        <v>0</v>
      </c>
      <c r="BY39" s="572">
        <v>0</v>
      </c>
      <c r="BZ39" s="572">
        <v>0</v>
      </c>
      <c r="CA39" s="572">
        <v>0</v>
      </c>
      <c r="CB39" s="572">
        <v>0</v>
      </c>
      <c r="CC39" s="572">
        <v>5341750</v>
      </c>
      <c r="CD39" s="572">
        <v>0</v>
      </c>
      <c r="CE39" s="572">
        <v>170945</v>
      </c>
      <c r="CF39" s="572">
        <v>0</v>
      </c>
      <c r="CG39" s="572">
        <v>0</v>
      </c>
      <c r="CH39" s="572">
        <v>0</v>
      </c>
      <c r="CI39" s="572">
        <v>318210</v>
      </c>
      <c r="CJ39" s="572">
        <v>0</v>
      </c>
      <c r="CK39" s="572">
        <v>0</v>
      </c>
      <c r="CL39" s="572">
        <v>0</v>
      </c>
      <c r="CM39" s="572">
        <v>0</v>
      </c>
      <c r="CN39" s="572">
        <v>0</v>
      </c>
      <c r="CO39" s="572">
        <v>0</v>
      </c>
      <c r="CP39" s="572">
        <v>0</v>
      </c>
      <c r="CQ39" s="572">
        <v>0</v>
      </c>
    </row>
    <row r="40" spans="1:95" ht="30" x14ac:dyDescent="0.25">
      <c r="A40" s="668">
        <v>53</v>
      </c>
      <c r="B40" s="590">
        <v>53</v>
      </c>
      <c r="C40" s="570" t="s">
        <v>120</v>
      </c>
      <c r="D40" s="567" t="s">
        <v>705</v>
      </c>
      <c r="E40" s="573">
        <v>0</v>
      </c>
      <c r="F40" s="574">
        <v>0</v>
      </c>
      <c r="G40" s="574">
        <v>0</v>
      </c>
      <c r="H40" s="574">
        <v>0</v>
      </c>
      <c r="I40" s="574">
        <v>194286</v>
      </c>
      <c r="J40" s="574">
        <v>0</v>
      </c>
      <c r="K40" s="575">
        <v>4203964</v>
      </c>
      <c r="L40" s="572">
        <v>0</v>
      </c>
      <c r="M40" s="572">
        <v>0</v>
      </c>
      <c r="N40" s="571">
        <v>0</v>
      </c>
      <c r="O40" s="571">
        <v>0</v>
      </c>
      <c r="P40" s="571">
        <v>0</v>
      </c>
      <c r="Q40" s="571">
        <v>0</v>
      </c>
      <c r="R40" s="571">
        <v>0</v>
      </c>
      <c r="S40" s="571">
        <v>0</v>
      </c>
      <c r="T40" s="571">
        <v>0</v>
      </c>
      <c r="U40" s="571">
        <v>0</v>
      </c>
      <c r="V40" s="571">
        <v>0</v>
      </c>
      <c r="W40" s="571">
        <v>0</v>
      </c>
      <c r="X40" s="571">
        <v>0</v>
      </c>
      <c r="Y40" s="571">
        <v>0</v>
      </c>
      <c r="Z40" s="571">
        <v>0</v>
      </c>
      <c r="AA40" s="571">
        <v>2394510</v>
      </c>
      <c r="AB40" s="572">
        <v>0</v>
      </c>
      <c r="AC40" s="572">
        <v>0</v>
      </c>
      <c r="AD40" s="572">
        <v>0</v>
      </c>
      <c r="AE40" s="572">
        <v>0</v>
      </c>
      <c r="AF40" s="572">
        <v>0</v>
      </c>
      <c r="AG40" s="572">
        <v>0</v>
      </c>
      <c r="AH40" s="572">
        <v>0</v>
      </c>
      <c r="AI40" s="572">
        <v>0</v>
      </c>
      <c r="AJ40" s="572">
        <v>0</v>
      </c>
      <c r="AK40" s="572">
        <v>0</v>
      </c>
      <c r="AL40" s="572">
        <v>0</v>
      </c>
      <c r="AM40" s="572">
        <v>0</v>
      </c>
      <c r="AN40" s="572">
        <v>0</v>
      </c>
      <c r="AO40" s="572">
        <v>0</v>
      </c>
      <c r="AP40" s="572">
        <v>0</v>
      </c>
      <c r="AQ40" s="572">
        <v>0</v>
      </c>
      <c r="AR40" s="572">
        <v>0</v>
      </c>
      <c r="AS40" s="572">
        <v>0</v>
      </c>
      <c r="AT40" s="572">
        <v>0</v>
      </c>
      <c r="AU40" s="572">
        <v>0</v>
      </c>
      <c r="AV40" s="572">
        <v>0</v>
      </c>
      <c r="AW40" s="572">
        <v>0</v>
      </c>
      <c r="AX40" s="572">
        <v>0</v>
      </c>
      <c r="AY40" s="572">
        <v>928867</v>
      </c>
      <c r="AZ40" s="572">
        <v>0</v>
      </c>
      <c r="BA40" s="572">
        <v>0</v>
      </c>
      <c r="BB40" s="572">
        <v>0</v>
      </c>
      <c r="BC40" s="572">
        <v>0</v>
      </c>
      <c r="BD40" s="572">
        <v>0</v>
      </c>
      <c r="BE40" s="572">
        <v>32587</v>
      </c>
      <c r="BF40" s="572">
        <v>0</v>
      </c>
      <c r="BG40" s="572">
        <v>0</v>
      </c>
      <c r="BH40" s="572">
        <v>5257500</v>
      </c>
      <c r="BI40" s="572">
        <v>0</v>
      </c>
      <c r="BJ40" s="572">
        <v>0</v>
      </c>
      <c r="BK40" s="572">
        <v>0</v>
      </c>
      <c r="BL40" s="572">
        <v>618354</v>
      </c>
      <c r="BM40" s="572">
        <v>0</v>
      </c>
      <c r="BN40" s="572">
        <v>0</v>
      </c>
      <c r="BO40" s="572">
        <v>0</v>
      </c>
      <c r="BP40" s="572">
        <v>0</v>
      </c>
      <c r="BQ40" s="572">
        <v>0</v>
      </c>
      <c r="BR40" s="572">
        <v>0</v>
      </c>
      <c r="BS40" s="572">
        <v>0</v>
      </c>
      <c r="BT40" s="572">
        <v>0</v>
      </c>
      <c r="BU40" s="572">
        <v>0</v>
      </c>
      <c r="BV40" s="572">
        <v>0</v>
      </c>
      <c r="BW40" s="572">
        <v>0</v>
      </c>
      <c r="BX40" s="572">
        <v>0</v>
      </c>
      <c r="BY40" s="572">
        <v>0</v>
      </c>
      <c r="BZ40" s="572">
        <v>0</v>
      </c>
      <c r="CA40" s="572">
        <v>0</v>
      </c>
      <c r="CB40" s="572">
        <v>0</v>
      </c>
      <c r="CC40" s="572">
        <v>5291308</v>
      </c>
      <c r="CD40" s="572">
        <v>0</v>
      </c>
      <c r="CE40" s="572">
        <v>-174489</v>
      </c>
      <c r="CF40" s="572">
        <v>0</v>
      </c>
      <c r="CG40" s="572">
        <v>0</v>
      </c>
      <c r="CH40" s="572">
        <v>0</v>
      </c>
      <c r="CI40" s="572">
        <v>567837</v>
      </c>
      <c r="CJ40" s="572">
        <v>0</v>
      </c>
      <c r="CK40" s="572">
        <v>0</v>
      </c>
      <c r="CL40" s="572">
        <v>0</v>
      </c>
      <c r="CM40" s="572">
        <v>0</v>
      </c>
      <c r="CN40" s="572">
        <v>0</v>
      </c>
      <c r="CO40" s="572">
        <v>0</v>
      </c>
      <c r="CP40" s="572">
        <v>0</v>
      </c>
      <c r="CQ40" s="572">
        <v>0</v>
      </c>
    </row>
    <row r="41" spans="1:95" ht="30" x14ac:dyDescent="0.25">
      <c r="A41" s="668"/>
      <c r="B41" s="590">
        <v>54</v>
      </c>
      <c r="C41" s="570" t="s">
        <v>706</v>
      </c>
      <c r="D41" s="567" t="s">
        <v>707</v>
      </c>
      <c r="E41" s="573"/>
      <c r="F41" s="574"/>
      <c r="G41" s="574"/>
      <c r="H41" s="574"/>
      <c r="I41" s="574"/>
      <c r="J41" s="574"/>
      <c r="K41" s="575"/>
      <c r="L41" s="572"/>
      <c r="M41" s="572"/>
      <c r="N41" s="571"/>
      <c r="O41" s="571"/>
      <c r="P41" s="571"/>
      <c r="Q41" s="571"/>
      <c r="R41" s="571"/>
      <c r="S41" s="571"/>
      <c r="T41" s="571"/>
      <c r="U41" s="571"/>
      <c r="V41" s="571"/>
      <c r="W41" s="571"/>
      <c r="X41" s="571"/>
      <c r="Y41" s="571"/>
      <c r="Z41" s="571"/>
      <c r="AA41" s="571"/>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c r="BU41" s="572"/>
      <c r="BV41" s="572"/>
      <c r="BW41" s="572"/>
      <c r="BX41" s="572"/>
      <c r="BY41" s="572"/>
      <c r="BZ41" s="572"/>
      <c r="CA41" s="572"/>
      <c r="CB41" s="572"/>
      <c r="CC41" s="572"/>
      <c r="CD41" s="572"/>
      <c r="CE41" s="572"/>
      <c r="CF41" s="572"/>
      <c r="CG41" s="572"/>
      <c r="CH41" s="572"/>
      <c r="CI41" s="572"/>
      <c r="CJ41" s="572"/>
      <c r="CK41" s="572"/>
      <c r="CL41" s="572"/>
      <c r="CM41" s="572"/>
      <c r="CN41" s="572"/>
      <c r="CO41" s="572"/>
      <c r="CP41" s="572"/>
      <c r="CQ41" s="572"/>
    </row>
    <row r="42" spans="1:95" ht="30" x14ac:dyDescent="0.25">
      <c r="A42" s="668">
        <v>55</v>
      </c>
      <c r="B42" s="590">
        <v>55</v>
      </c>
      <c r="C42" s="570" t="s">
        <v>334</v>
      </c>
      <c r="D42" s="567" t="s">
        <v>708</v>
      </c>
      <c r="E42" s="573">
        <v>0</v>
      </c>
      <c r="F42" s="574">
        <v>0</v>
      </c>
      <c r="G42" s="574">
        <v>0</v>
      </c>
      <c r="H42" s="574">
        <v>0</v>
      </c>
      <c r="I42" s="574">
        <v>342624</v>
      </c>
      <c r="J42" s="574">
        <v>0</v>
      </c>
      <c r="K42" s="575">
        <v>5205330</v>
      </c>
      <c r="L42" s="572">
        <v>0</v>
      </c>
      <c r="M42" s="572">
        <v>0</v>
      </c>
      <c r="N42" s="571">
        <v>0</v>
      </c>
      <c r="O42" s="571">
        <v>0</v>
      </c>
      <c r="P42" s="571">
        <v>0</v>
      </c>
      <c r="Q42" s="571">
        <v>0</v>
      </c>
      <c r="R42" s="571">
        <v>0</v>
      </c>
      <c r="S42" s="571">
        <v>0</v>
      </c>
      <c r="T42" s="571">
        <v>0</v>
      </c>
      <c r="U42" s="571">
        <v>0</v>
      </c>
      <c r="V42" s="571">
        <v>0</v>
      </c>
      <c r="W42" s="571">
        <v>0</v>
      </c>
      <c r="X42" s="571">
        <v>0</v>
      </c>
      <c r="Y42" s="571">
        <v>0</v>
      </c>
      <c r="Z42" s="571">
        <v>0</v>
      </c>
      <c r="AA42" s="571">
        <v>6045990</v>
      </c>
      <c r="AB42" s="572">
        <v>0</v>
      </c>
      <c r="AC42" s="572">
        <v>0</v>
      </c>
      <c r="AD42" s="572">
        <v>0</v>
      </c>
      <c r="AE42" s="572">
        <v>0</v>
      </c>
      <c r="AF42" s="572">
        <v>0</v>
      </c>
      <c r="AG42" s="572">
        <v>0</v>
      </c>
      <c r="AH42" s="572">
        <v>0</v>
      </c>
      <c r="AI42" s="572">
        <v>0</v>
      </c>
      <c r="AJ42" s="572">
        <v>0</v>
      </c>
      <c r="AK42" s="572">
        <v>0</v>
      </c>
      <c r="AL42" s="572">
        <v>0</v>
      </c>
      <c r="AM42" s="572">
        <v>0</v>
      </c>
      <c r="AN42" s="572">
        <v>0</v>
      </c>
      <c r="AO42" s="572">
        <v>0</v>
      </c>
      <c r="AP42" s="572">
        <v>0</v>
      </c>
      <c r="AQ42" s="572">
        <v>0</v>
      </c>
      <c r="AR42" s="572">
        <v>0</v>
      </c>
      <c r="AS42" s="572">
        <v>0</v>
      </c>
      <c r="AT42" s="572">
        <v>0</v>
      </c>
      <c r="AU42" s="572">
        <v>0</v>
      </c>
      <c r="AV42" s="572">
        <v>0</v>
      </c>
      <c r="AW42" s="572">
        <v>0</v>
      </c>
      <c r="AX42" s="572">
        <v>0</v>
      </c>
      <c r="AY42" s="572">
        <v>2031107</v>
      </c>
      <c r="AZ42" s="572">
        <v>0</v>
      </c>
      <c r="BA42" s="572">
        <v>0</v>
      </c>
      <c r="BB42" s="572">
        <v>0</v>
      </c>
      <c r="BC42" s="572">
        <v>0</v>
      </c>
      <c r="BD42" s="572">
        <v>0</v>
      </c>
      <c r="BE42" s="572">
        <v>37021</v>
      </c>
      <c r="BF42" s="572">
        <v>0</v>
      </c>
      <c r="BG42" s="572">
        <v>0</v>
      </c>
      <c r="BH42" s="572">
        <v>8220930</v>
      </c>
      <c r="BI42" s="572">
        <v>0</v>
      </c>
      <c r="BJ42" s="572">
        <v>0</v>
      </c>
      <c r="BK42" s="572">
        <v>0</v>
      </c>
      <c r="BL42" s="572">
        <v>1985529</v>
      </c>
      <c r="BM42" s="572">
        <v>0</v>
      </c>
      <c r="BN42" s="572">
        <v>0</v>
      </c>
      <c r="BO42" s="572">
        <v>0</v>
      </c>
      <c r="BP42" s="572">
        <v>0</v>
      </c>
      <c r="BQ42" s="572">
        <v>0</v>
      </c>
      <c r="BR42" s="572">
        <v>0</v>
      </c>
      <c r="BS42" s="572">
        <v>0</v>
      </c>
      <c r="BT42" s="572">
        <v>0</v>
      </c>
      <c r="BU42" s="572">
        <v>0</v>
      </c>
      <c r="BV42" s="572">
        <v>0</v>
      </c>
      <c r="BW42" s="572">
        <v>0</v>
      </c>
      <c r="BX42" s="572">
        <v>0</v>
      </c>
      <c r="BY42" s="572">
        <v>0</v>
      </c>
      <c r="BZ42" s="572">
        <v>0</v>
      </c>
      <c r="CA42" s="572">
        <v>0</v>
      </c>
      <c r="CB42" s="572">
        <v>0</v>
      </c>
      <c r="CC42" s="572">
        <v>15525642</v>
      </c>
      <c r="CD42" s="572">
        <v>0</v>
      </c>
      <c r="CE42" s="572">
        <v>921122</v>
      </c>
      <c r="CF42" s="572">
        <v>0</v>
      </c>
      <c r="CG42" s="572">
        <v>0</v>
      </c>
      <c r="CH42" s="572">
        <v>0</v>
      </c>
      <c r="CI42" s="572">
        <v>1094717</v>
      </c>
      <c r="CJ42" s="572">
        <v>0</v>
      </c>
      <c r="CK42" s="572">
        <v>0</v>
      </c>
      <c r="CL42" s="572">
        <v>0</v>
      </c>
      <c r="CM42" s="572">
        <v>0</v>
      </c>
      <c r="CN42" s="572">
        <v>0</v>
      </c>
      <c r="CO42" s="572">
        <v>0</v>
      </c>
      <c r="CP42" s="572">
        <v>0</v>
      </c>
      <c r="CQ42" s="572">
        <v>0</v>
      </c>
    </row>
    <row r="43" spans="1:95" ht="30" x14ac:dyDescent="0.25">
      <c r="A43" s="668">
        <v>61</v>
      </c>
      <c r="B43" s="590">
        <v>61</v>
      </c>
      <c r="C43" s="570" t="s">
        <v>348</v>
      </c>
      <c r="D43" s="567" t="s">
        <v>709</v>
      </c>
      <c r="E43" s="578">
        <v>99.17</v>
      </c>
      <c r="F43" s="579">
        <v>99.84</v>
      </c>
      <c r="G43" s="579">
        <v>97.06</v>
      </c>
      <c r="H43" s="579">
        <v>99.29</v>
      </c>
      <c r="I43" s="579">
        <v>97.12</v>
      </c>
      <c r="J43" s="579">
        <v>96.58</v>
      </c>
      <c r="K43" s="580">
        <v>98.7</v>
      </c>
      <c r="L43" s="581">
        <v>98.76</v>
      </c>
      <c r="M43" s="581">
        <v>99.98</v>
      </c>
      <c r="N43" s="582">
        <v>0</v>
      </c>
      <c r="O43" s="582">
        <v>98.16</v>
      </c>
      <c r="P43" s="582">
        <v>94.64</v>
      </c>
      <c r="Q43" s="582">
        <v>97.48</v>
      </c>
      <c r="R43" s="582">
        <v>98.75</v>
      </c>
      <c r="S43" s="582">
        <v>99.58</v>
      </c>
      <c r="T43" s="582">
        <v>98.72</v>
      </c>
      <c r="U43" s="582">
        <v>0</v>
      </c>
      <c r="V43" s="582">
        <v>98.64</v>
      </c>
      <c r="W43" s="582">
        <v>0</v>
      </c>
      <c r="X43" s="582">
        <v>98.15</v>
      </c>
      <c r="Y43" s="582">
        <v>97.46</v>
      </c>
      <c r="Z43" s="582">
        <v>97.52</v>
      </c>
      <c r="AA43" s="582">
        <v>97.66</v>
      </c>
      <c r="AB43" s="581">
        <v>97.11</v>
      </c>
      <c r="AC43" s="581">
        <v>99.48</v>
      </c>
      <c r="AD43" s="581">
        <v>93.92</v>
      </c>
      <c r="AE43" s="581">
        <v>96.22</v>
      </c>
      <c r="AF43" s="581">
        <v>98.73</v>
      </c>
      <c r="AG43" s="581">
        <v>99.73</v>
      </c>
      <c r="AH43" s="581">
        <v>99.82</v>
      </c>
      <c r="AI43" s="581">
        <v>96.88</v>
      </c>
      <c r="AJ43" s="581">
        <v>99.38</v>
      </c>
      <c r="AK43" s="581">
        <v>99.47</v>
      </c>
      <c r="AL43" s="581">
        <v>97.17</v>
      </c>
      <c r="AM43" s="581">
        <v>98.96</v>
      </c>
      <c r="AN43" s="581">
        <v>98.58</v>
      </c>
      <c r="AO43" s="581">
        <v>97.8</v>
      </c>
      <c r="AP43" s="581">
        <v>96.39</v>
      </c>
      <c r="AQ43" s="581">
        <v>0</v>
      </c>
      <c r="AR43" s="581">
        <v>94.96</v>
      </c>
      <c r="AS43" s="581">
        <v>97.4</v>
      </c>
      <c r="AT43" s="581">
        <v>98.92</v>
      </c>
      <c r="AU43" s="581">
        <v>98.88</v>
      </c>
      <c r="AV43" s="581">
        <v>98.6</v>
      </c>
      <c r="AW43" s="581">
        <v>92.99</v>
      </c>
      <c r="AX43" s="581">
        <v>90.75</v>
      </c>
      <c r="AY43" s="581">
        <v>99.88</v>
      </c>
      <c r="AZ43" s="581">
        <v>98.8</v>
      </c>
      <c r="BA43" s="581">
        <v>92.84</v>
      </c>
      <c r="BB43" s="581">
        <v>98.17</v>
      </c>
      <c r="BC43" s="581">
        <v>97.83</v>
      </c>
      <c r="BD43" s="581">
        <v>99.68</v>
      </c>
      <c r="BE43" s="581">
        <v>97.69</v>
      </c>
      <c r="BF43" s="581">
        <v>98.47</v>
      </c>
      <c r="BG43" s="581">
        <v>97.1</v>
      </c>
      <c r="BH43" s="581">
        <v>98.04</v>
      </c>
      <c r="BI43" s="581">
        <v>99.57</v>
      </c>
      <c r="BJ43" s="581">
        <v>96.4</v>
      </c>
      <c r="BK43" s="581">
        <v>99.58</v>
      </c>
      <c r="BL43" s="581">
        <v>96.19</v>
      </c>
      <c r="BM43" s="581">
        <v>99.9</v>
      </c>
      <c r="BN43" s="581">
        <v>98.11</v>
      </c>
      <c r="BO43" s="581">
        <v>99.17</v>
      </c>
      <c r="BP43" s="581">
        <v>0</v>
      </c>
      <c r="BQ43" s="581">
        <v>99.82</v>
      </c>
      <c r="BR43" s="581">
        <v>0</v>
      </c>
      <c r="BS43" s="581">
        <v>99.88</v>
      </c>
      <c r="BT43" s="581">
        <v>98.1</v>
      </c>
      <c r="BU43" s="581">
        <v>99.95</v>
      </c>
      <c r="BV43" s="581">
        <v>94.75</v>
      </c>
      <c r="BW43" s="581">
        <v>97.39</v>
      </c>
      <c r="BX43" s="581">
        <v>98.86</v>
      </c>
      <c r="BY43" s="581">
        <v>98.57</v>
      </c>
      <c r="BZ43" s="581">
        <v>0</v>
      </c>
      <c r="CA43" s="581">
        <v>93.3</v>
      </c>
      <c r="CB43" s="581">
        <v>99.16</v>
      </c>
      <c r="CC43" s="581">
        <v>98.36</v>
      </c>
      <c r="CD43" s="581">
        <v>99.9</v>
      </c>
      <c r="CE43" s="581">
        <v>97.24</v>
      </c>
      <c r="CF43" s="581">
        <v>0</v>
      </c>
      <c r="CG43" s="581">
        <v>99.02</v>
      </c>
      <c r="CH43" s="581">
        <v>99.22</v>
      </c>
      <c r="CI43" s="581">
        <v>99.34</v>
      </c>
      <c r="CJ43" s="581">
        <v>82.57</v>
      </c>
      <c r="CK43" s="581">
        <v>99.69</v>
      </c>
      <c r="CL43" s="581">
        <v>91.16</v>
      </c>
      <c r="CM43" s="581">
        <v>99.7</v>
      </c>
      <c r="CN43" s="581">
        <v>98.24</v>
      </c>
      <c r="CO43" s="581">
        <v>98.63</v>
      </c>
      <c r="CP43" s="581">
        <v>97.81</v>
      </c>
      <c r="CQ43" s="581">
        <v>99.49</v>
      </c>
    </row>
    <row r="44" spans="1:95" ht="30" x14ac:dyDescent="0.25">
      <c r="A44" s="668">
        <v>80</v>
      </c>
      <c r="B44" s="590">
        <v>80</v>
      </c>
      <c r="C44" s="570" t="s">
        <v>303</v>
      </c>
      <c r="D44" s="567" t="s">
        <v>710</v>
      </c>
      <c r="E44" s="573">
        <v>0</v>
      </c>
      <c r="F44" s="574">
        <v>0</v>
      </c>
      <c r="G44" s="574">
        <v>370452</v>
      </c>
      <c r="H44" s="574">
        <v>1074706</v>
      </c>
      <c r="I44" s="574">
        <v>1660946</v>
      </c>
      <c r="J44" s="574">
        <v>61075</v>
      </c>
      <c r="K44" s="575">
        <v>17688650</v>
      </c>
      <c r="L44" s="572">
        <v>666103</v>
      </c>
      <c r="M44" s="572">
        <v>0</v>
      </c>
      <c r="N44" s="571">
        <v>1533577</v>
      </c>
      <c r="O44" s="571">
        <v>335132</v>
      </c>
      <c r="P44" s="571">
        <v>0</v>
      </c>
      <c r="Q44" s="571">
        <v>51009</v>
      </c>
      <c r="R44" s="571">
        <v>0</v>
      </c>
      <c r="S44" s="571">
        <v>0</v>
      </c>
      <c r="T44" s="571">
        <v>0</v>
      </c>
      <c r="U44" s="571">
        <v>0</v>
      </c>
      <c r="V44" s="571">
        <v>0</v>
      </c>
      <c r="W44" s="571">
        <v>2256225</v>
      </c>
      <c r="X44" s="571">
        <v>0</v>
      </c>
      <c r="Y44" s="571">
        <v>2147588</v>
      </c>
      <c r="Z44" s="571">
        <v>0</v>
      </c>
      <c r="AA44" s="571">
        <v>1746695</v>
      </c>
      <c r="AB44" s="572">
        <v>2007081</v>
      </c>
      <c r="AC44" s="572">
        <v>152954</v>
      </c>
      <c r="AD44" s="572">
        <v>182576</v>
      </c>
      <c r="AE44" s="572">
        <v>7220195</v>
      </c>
      <c r="AF44" s="572">
        <v>0</v>
      </c>
      <c r="AG44" s="572">
        <v>1920516</v>
      </c>
      <c r="AH44" s="572">
        <v>0</v>
      </c>
      <c r="AI44" s="572">
        <v>384160</v>
      </c>
      <c r="AJ44" s="572">
        <v>1570376</v>
      </c>
      <c r="AK44" s="572">
        <v>535330</v>
      </c>
      <c r="AL44" s="572">
        <v>689224</v>
      </c>
      <c r="AM44" s="572">
        <v>808544</v>
      </c>
      <c r="AN44" s="572">
        <v>47252</v>
      </c>
      <c r="AO44" s="572">
        <v>0</v>
      </c>
      <c r="AP44" s="572">
        <v>468680</v>
      </c>
      <c r="AQ44" s="572">
        <v>0</v>
      </c>
      <c r="AR44" s="572">
        <v>0</v>
      </c>
      <c r="AS44" s="572">
        <v>0</v>
      </c>
      <c r="AT44" s="572">
        <v>0</v>
      </c>
      <c r="AU44" s="572">
        <v>0</v>
      </c>
      <c r="AV44" s="572">
        <v>297290</v>
      </c>
      <c r="AW44" s="572">
        <v>2503870</v>
      </c>
      <c r="AX44" s="572">
        <v>389254</v>
      </c>
      <c r="AY44" s="572">
        <v>0</v>
      </c>
      <c r="AZ44" s="572">
        <v>0</v>
      </c>
      <c r="BA44" s="572">
        <v>2797348</v>
      </c>
      <c r="BB44" s="572">
        <v>0</v>
      </c>
      <c r="BC44" s="572">
        <v>1350758</v>
      </c>
      <c r="BD44" s="572">
        <v>872597</v>
      </c>
      <c r="BE44" s="572">
        <v>89259</v>
      </c>
      <c r="BF44" s="572">
        <v>505403</v>
      </c>
      <c r="BG44" s="572">
        <v>1714009</v>
      </c>
      <c r="BH44" s="572">
        <v>5997630</v>
      </c>
      <c r="BI44" s="572">
        <v>0</v>
      </c>
      <c r="BJ44" s="572">
        <v>0</v>
      </c>
      <c r="BK44" s="572">
        <v>0</v>
      </c>
      <c r="BL44" s="572">
        <v>3987063</v>
      </c>
      <c r="BM44" s="572">
        <v>2985995</v>
      </c>
      <c r="BN44" s="572">
        <v>0</v>
      </c>
      <c r="BO44" s="572">
        <v>0</v>
      </c>
      <c r="BP44" s="572">
        <v>0</v>
      </c>
      <c r="BQ44" s="572">
        <v>0</v>
      </c>
      <c r="BR44" s="572">
        <v>0</v>
      </c>
      <c r="BS44" s="572">
        <v>0</v>
      </c>
      <c r="BT44" s="572">
        <v>1160344</v>
      </c>
      <c r="BU44" s="572">
        <v>0</v>
      </c>
      <c r="BV44" s="572">
        <v>299044</v>
      </c>
      <c r="BW44" s="572">
        <v>1247163</v>
      </c>
      <c r="BX44" s="572">
        <v>2386431</v>
      </c>
      <c r="BY44" s="572">
        <v>123006</v>
      </c>
      <c r="BZ44" s="572">
        <v>0</v>
      </c>
      <c r="CA44" s="572">
        <v>6611591</v>
      </c>
      <c r="CB44" s="572">
        <v>0</v>
      </c>
      <c r="CC44" s="572">
        <v>16327842</v>
      </c>
      <c r="CD44" s="572">
        <v>11254</v>
      </c>
      <c r="CE44" s="572">
        <v>2038738</v>
      </c>
      <c r="CF44" s="572">
        <v>0</v>
      </c>
      <c r="CG44" s="572">
        <v>711611</v>
      </c>
      <c r="CH44" s="572">
        <v>79700734</v>
      </c>
      <c r="CI44" s="572">
        <v>2121388</v>
      </c>
      <c r="CJ44" s="572">
        <v>897344</v>
      </c>
      <c r="CK44" s="572">
        <v>0</v>
      </c>
      <c r="CL44" s="572">
        <v>434466</v>
      </c>
      <c r="CM44" s="572">
        <v>7315124</v>
      </c>
      <c r="CN44" s="572">
        <v>2739789</v>
      </c>
      <c r="CO44" s="572">
        <v>1790167</v>
      </c>
      <c r="CP44" s="572">
        <v>0</v>
      </c>
      <c r="CQ44" s="572">
        <v>0</v>
      </c>
    </row>
    <row r="45" spans="1:95" x14ac:dyDescent="0.25">
      <c r="A45" s="668">
        <v>81</v>
      </c>
      <c r="B45" s="590">
        <v>81</v>
      </c>
      <c r="C45" s="570" t="s">
        <v>304</v>
      </c>
      <c r="D45" s="567" t="s">
        <v>711</v>
      </c>
      <c r="E45" s="573">
        <v>0</v>
      </c>
      <c r="F45" s="574">
        <v>0</v>
      </c>
      <c r="G45" s="574">
        <v>37495</v>
      </c>
      <c r="H45" s="574">
        <v>302982</v>
      </c>
      <c r="I45" s="574">
        <v>105332</v>
      </c>
      <c r="J45" s="574">
        <v>108317</v>
      </c>
      <c r="K45" s="575">
        <v>1375932</v>
      </c>
      <c r="L45" s="572">
        <v>56226</v>
      </c>
      <c r="M45" s="572">
        <v>0</v>
      </c>
      <c r="N45" s="571">
        <v>9857</v>
      </c>
      <c r="O45" s="571">
        <v>79667</v>
      </c>
      <c r="P45" s="571">
        <v>0</v>
      </c>
      <c r="Q45" s="571">
        <v>46893</v>
      </c>
      <c r="R45" s="571">
        <v>0</v>
      </c>
      <c r="S45" s="571">
        <v>0</v>
      </c>
      <c r="T45" s="571">
        <v>0</v>
      </c>
      <c r="U45" s="571">
        <v>0</v>
      </c>
      <c r="V45" s="571">
        <v>0</v>
      </c>
      <c r="W45" s="571">
        <v>95030</v>
      </c>
      <c r="X45" s="571">
        <v>0</v>
      </c>
      <c r="Y45" s="571">
        <v>110702</v>
      </c>
      <c r="Z45" s="571">
        <v>0</v>
      </c>
      <c r="AA45" s="571">
        <v>1091495</v>
      </c>
      <c r="AB45" s="572">
        <v>363863</v>
      </c>
      <c r="AC45" s="572">
        <v>18067</v>
      </c>
      <c r="AD45" s="572">
        <v>17681</v>
      </c>
      <c r="AE45" s="572">
        <v>1957397</v>
      </c>
      <c r="AF45" s="572">
        <v>0</v>
      </c>
      <c r="AG45" s="572">
        <v>210819</v>
      </c>
      <c r="AH45" s="572">
        <v>0</v>
      </c>
      <c r="AI45" s="572">
        <v>17003</v>
      </c>
      <c r="AJ45" s="572">
        <v>84588</v>
      </c>
      <c r="AK45" s="572">
        <v>208664</v>
      </c>
      <c r="AL45" s="572">
        <v>312954</v>
      </c>
      <c r="AM45" s="572">
        <v>98005</v>
      </c>
      <c r="AN45" s="572">
        <v>5226</v>
      </c>
      <c r="AO45" s="572">
        <v>0</v>
      </c>
      <c r="AP45" s="572">
        <v>506592</v>
      </c>
      <c r="AQ45" s="572">
        <v>0</v>
      </c>
      <c r="AR45" s="572">
        <v>0</v>
      </c>
      <c r="AS45" s="572">
        <v>0</v>
      </c>
      <c r="AT45" s="572">
        <v>0</v>
      </c>
      <c r="AU45" s="572">
        <v>0</v>
      </c>
      <c r="AV45" s="572">
        <v>13979</v>
      </c>
      <c r="AW45" s="572">
        <v>301339</v>
      </c>
      <c r="AX45" s="572">
        <v>35444</v>
      </c>
      <c r="AY45" s="572">
        <v>0</v>
      </c>
      <c r="AZ45" s="572">
        <v>0</v>
      </c>
      <c r="BA45" s="572">
        <v>491190</v>
      </c>
      <c r="BB45" s="572">
        <v>0</v>
      </c>
      <c r="BC45" s="572">
        <v>198729</v>
      </c>
      <c r="BD45" s="572">
        <v>76371</v>
      </c>
      <c r="BE45" s="572">
        <v>16596</v>
      </c>
      <c r="BF45" s="572">
        <v>124257</v>
      </c>
      <c r="BG45" s="572">
        <v>244914</v>
      </c>
      <c r="BH45" s="572">
        <v>1065348</v>
      </c>
      <c r="BI45" s="572">
        <v>0</v>
      </c>
      <c r="BJ45" s="572">
        <v>0</v>
      </c>
      <c r="BK45" s="572">
        <v>0</v>
      </c>
      <c r="BL45" s="572">
        <v>693447</v>
      </c>
      <c r="BM45" s="572">
        <v>364244</v>
      </c>
      <c r="BN45" s="572">
        <v>0</v>
      </c>
      <c r="BO45" s="572">
        <v>0</v>
      </c>
      <c r="BP45" s="572">
        <v>0</v>
      </c>
      <c r="BQ45" s="572">
        <v>0</v>
      </c>
      <c r="BR45" s="572">
        <v>0</v>
      </c>
      <c r="BS45" s="572">
        <v>0</v>
      </c>
      <c r="BT45" s="572">
        <v>110202</v>
      </c>
      <c r="BU45" s="572">
        <v>0</v>
      </c>
      <c r="BV45" s="572">
        <v>58024</v>
      </c>
      <c r="BW45" s="572">
        <v>117250</v>
      </c>
      <c r="BX45" s="572">
        <v>546801</v>
      </c>
      <c r="BY45" s="572">
        <v>1527</v>
      </c>
      <c r="BZ45" s="572">
        <v>0</v>
      </c>
      <c r="CA45" s="572">
        <v>262938</v>
      </c>
      <c r="CB45" s="572">
        <v>0</v>
      </c>
      <c r="CC45" s="572">
        <v>3064667</v>
      </c>
      <c r="CD45" s="572">
        <v>0</v>
      </c>
      <c r="CE45" s="572">
        <v>115110</v>
      </c>
      <c r="CF45" s="572">
        <v>0</v>
      </c>
      <c r="CG45" s="572">
        <v>209263</v>
      </c>
      <c r="CH45" s="572">
        <v>13797214</v>
      </c>
      <c r="CI45" s="572">
        <v>429344</v>
      </c>
      <c r="CJ45" s="572">
        <v>61592</v>
      </c>
      <c r="CK45" s="572">
        <v>0</v>
      </c>
      <c r="CL45" s="572">
        <v>16276</v>
      </c>
      <c r="CM45" s="572">
        <v>540533</v>
      </c>
      <c r="CN45" s="572">
        <v>383224</v>
      </c>
      <c r="CO45" s="572">
        <v>437926</v>
      </c>
      <c r="CP45" s="572">
        <v>0</v>
      </c>
      <c r="CQ45" s="572">
        <v>0</v>
      </c>
    </row>
    <row r="46" spans="1:95" ht="30" x14ac:dyDescent="0.25">
      <c r="A46" s="668">
        <v>82</v>
      </c>
      <c r="B46" s="590">
        <v>82</v>
      </c>
      <c r="C46" s="570" t="s">
        <v>435</v>
      </c>
      <c r="D46" s="567" t="s">
        <v>712</v>
      </c>
      <c r="E46" s="573">
        <v>0</v>
      </c>
      <c r="F46" s="574">
        <v>0</v>
      </c>
      <c r="G46" s="574">
        <v>0</v>
      </c>
      <c r="H46" s="574">
        <v>5951738</v>
      </c>
      <c r="I46" s="574">
        <v>2676305</v>
      </c>
      <c r="J46" s="574">
        <v>0</v>
      </c>
      <c r="K46" s="575">
        <v>27481372</v>
      </c>
      <c r="L46" s="572">
        <v>713437</v>
      </c>
      <c r="M46" s="572">
        <v>0</v>
      </c>
      <c r="N46" s="571">
        <v>0</v>
      </c>
      <c r="O46" s="571">
        <v>366889</v>
      </c>
      <c r="P46" s="571">
        <v>0</v>
      </c>
      <c r="Q46" s="571">
        <v>566844</v>
      </c>
      <c r="R46" s="571">
        <v>0</v>
      </c>
      <c r="S46" s="571">
        <v>0</v>
      </c>
      <c r="T46" s="571">
        <v>0</v>
      </c>
      <c r="U46" s="571">
        <v>0</v>
      </c>
      <c r="V46" s="571">
        <v>0</v>
      </c>
      <c r="W46" s="571">
        <v>0</v>
      </c>
      <c r="X46" s="571">
        <v>0</v>
      </c>
      <c r="Y46" s="571">
        <v>1413010</v>
      </c>
      <c r="Z46" s="571">
        <v>0</v>
      </c>
      <c r="AA46" s="571">
        <v>493277</v>
      </c>
      <c r="AB46" s="572">
        <v>4270117</v>
      </c>
      <c r="AC46" s="572">
        <v>0</v>
      </c>
      <c r="AD46" s="572">
        <v>141102</v>
      </c>
      <c r="AE46" s="572">
        <v>36813924</v>
      </c>
      <c r="AF46" s="572">
        <v>0</v>
      </c>
      <c r="AG46" s="572">
        <v>3535608</v>
      </c>
      <c r="AH46" s="572">
        <v>0</v>
      </c>
      <c r="AI46" s="572">
        <v>0</v>
      </c>
      <c r="AJ46" s="572">
        <v>13202825</v>
      </c>
      <c r="AK46" s="572">
        <v>2203078</v>
      </c>
      <c r="AL46" s="572">
        <v>873786</v>
      </c>
      <c r="AM46" s="572">
        <v>2869770</v>
      </c>
      <c r="AN46" s="572">
        <v>0</v>
      </c>
      <c r="AO46" s="572">
        <v>0</v>
      </c>
      <c r="AP46" s="572">
        <v>2116539</v>
      </c>
      <c r="AQ46" s="572">
        <v>0</v>
      </c>
      <c r="AR46" s="572">
        <v>0</v>
      </c>
      <c r="AS46" s="572">
        <v>0</v>
      </c>
      <c r="AT46" s="572">
        <v>0</v>
      </c>
      <c r="AU46" s="572">
        <v>0</v>
      </c>
      <c r="AV46" s="572">
        <v>74500</v>
      </c>
      <c r="AW46" s="572">
        <v>378733</v>
      </c>
      <c r="AX46" s="572">
        <v>0</v>
      </c>
      <c r="AY46" s="572">
        <v>0</v>
      </c>
      <c r="AZ46" s="572">
        <v>0</v>
      </c>
      <c r="BA46" s="572">
        <v>5537791</v>
      </c>
      <c r="BB46" s="572">
        <v>0</v>
      </c>
      <c r="BC46" s="572">
        <v>751851</v>
      </c>
      <c r="BD46" s="572">
        <v>547714</v>
      </c>
      <c r="BE46" s="572">
        <v>0</v>
      </c>
      <c r="BF46" s="572">
        <v>2910371</v>
      </c>
      <c r="BG46" s="572">
        <v>2143554</v>
      </c>
      <c r="BH46" s="572">
        <v>2130593</v>
      </c>
      <c r="BI46" s="572">
        <v>0</v>
      </c>
      <c r="BJ46" s="572">
        <v>0</v>
      </c>
      <c r="BK46" s="572">
        <v>0</v>
      </c>
      <c r="BL46" s="572">
        <v>1237337</v>
      </c>
      <c r="BM46" s="572">
        <v>2149000</v>
      </c>
      <c r="BN46" s="572">
        <v>0</v>
      </c>
      <c r="BO46" s="572">
        <v>0</v>
      </c>
      <c r="BP46" s="572">
        <v>0</v>
      </c>
      <c r="BQ46" s="572">
        <v>0</v>
      </c>
      <c r="BR46" s="572">
        <v>0</v>
      </c>
      <c r="BS46" s="572">
        <v>0</v>
      </c>
      <c r="BT46" s="572">
        <v>443361</v>
      </c>
      <c r="BU46" s="572">
        <v>0</v>
      </c>
      <c r="BV46" s="572">
        <v>734741</v>
      </c>
      <c r="BW46" s="572">
        <v>322456</v>
      </c>
      <c r="BX46" s="572">
        <v>1491777</v>
      </c>
      <c r="BY46" s="572">
        <v>0</v>
      </c>
      <c r="BZ46" s="572">
        <v>0</v>
      </c>
      <c r="CA46" s="572">
        <v>5403423</v>
      </c>
      <c r="CB46" s="572">
        <v>0</v>
      </c>
      <c r="CC46" s="572">
        <v>23015127</v>
      </c>
      <c r="CD46" s="572">
        <v>3138238</v>
      </c>
      <c r="CE46" s="572">
        <v>645841</v>
      </c>
      <c r="CF46" s="572">
        <v>0</v>
      </c>
      <c r="CG46" s="572">
        <v>3883917</v>
      </c>
      <c r="CH46" s="572">
        <v>532249571</v>
      </c>
      <c r="CI46" s="572">
        <v>3184988</v>
      </c>
      <c r="CJ46" s="572">
        <v>79250</v>
      </c>
      <c r="CK46" s="572">
        <v>0</v>
      </c>
      <c r="CL46" s="572">
        <v>476405</v>
      </c>
      <c r="CM46" s="572">
        <v>0</v>
      </c>
      <c r="CN46" s="572">
        <v>0</v>
      </c>
      <c r="CO46" s="572">
        <v>2927549</v>
      </c>
      <c r="CP46" s="572">
        <v>0</v>
      </c>
      <c r="CQ46" s="572">
        <v>0</v>
      </c>
    </row>
    <row r="47" spans="1:95" x14ac:dyDescent="0.25">
      <c r="A47" s="668">
        <v>83</v>
      </c>
      <c r="B47" s="590">
        <v>83</v>
      </c>
      <c r="C47" s="570" t="s">
        <v>121</v>
      </c>
      <c r="D47" s="567" t="s">
        <v>713</v>
      </c>
      <c r="E47" s="573">
        <v>0</v>
      </c>
      <c r="F47" s="574">
        <v>0</v>
      </c>
      <c r="G47" s="574">
        <v>4347722</v>
      </c>
      <c r="H47" s="574">
        <v>8956004</v>
      </c>
      <c r="I47" s="574">
        <v>6183729</v>
      </c>
      <c r="J47" s="574">
        <v>1104248</v>
      </c>
      <c r="K47" s="575">
        <v>59622115</v>
      </c>
      <c r="L47" s="572">
        <v>4145297</v>
      </c>
      <c r="M47" s="572">
        <v>0</v>
      </c>
      <c r="N47" s="571">
        <v>4558043</v>
      </c>
      <c r="O47" s="571">
        <v>3881577</v>
      </c>
      <c r="P47" s="571">
        <v>0</v>
      </c>
      <c r="Q47" s="571">
        <v>3988986</v>
      </c>
      <c r="R47" s="571">
        <v>0</v>
      </c>
      <c r="S47" s="571">
        <v>0</v>
      </c>
      <c r="T47" s="571">
        <v>0</v>
      </c>
      <c r="U47" s="571">
        <v>0</v>
      </c>
      <c r="V47" s="571">
        <v>0</v>
      </c>
      <c r="W47" s="571">
        <v>4278762</v>
      </c>
      <c r="X47" s="571">
        <v>0</v>
      </c>
      <c r="Y47" s="571">
        <v>9171428</v>
      </c>
      <c r="Z47" s="571">
        <v>0</v>
      </c>
      <c r="AA47" s="571">
        <v>11283186</v>
      </c>
      <c r="AB47" s="572">
        <v>11983437</v>
      </c>
      <c r="AC47" s="572">
        <v>480988</v>
      </c>
      <c r="AD47" s="572">
        <v>2551936</v>
      </c>
      <c r="AE47" s="572">
        <v>15350331</v>
      </c>
      <c r="AF47" s="572">
        <v>0</v>
      </c>
      <c r="AG47" s="572">
        <v>4092847</v>
      </c>
      <c r="AH47" s="572">
        <v>0</v>
      </c>
      <c r="AI47" s="572">
        <v>3219572</v>
      </c>
      <c r="AJ47" s="572">
        <v>13086637</v>
      </c>
      <c r="AK47" s="572">
        <v>14208143</v>
      </c>
      <c r="AL47" s="572">
        <v>6238579</v>
      </c>
      <c r="AM47" s="572">
        <v>4009575</v>
      </c>
      <c r="AN47" s="572">
        <v>174732</v>
      </c>
      <c r="AO47" s="572">
        <v>0</v>
      </c>
      <c r="AP47" s="572">
        <v>20252056</v>
      </c>
      <c r="AQ47" s="572">
        <v>0</v>
      </c>
      <c r="AR47" s="572">
        <v>0</v>
      </c>
      <c r="AS47" s="572">
        <v>0</v>
      </c>
      <c r="AT47" s="572">
        <v>0</v>
      </c>
      <c r="AU47" s="572">
        <v>0</v>
      </c>
      <c r="AV47" s="572">
        <v>567189</v>
      </c>
      <c r="AW47" s="572">
        <v>12612106</v>
      </c>
      <c r="AX47" s="572">
        <v>3657171</v>
      </c>
      <c r="AY47" s="572">
        <v>0</v>
      </c>
      <c r="AZ47" s="572">
        <v>0</v>
      </c>
      <c r="BA47" s="572">
        <v>14630019</v>
      </c>
      <c r="BB47" s="572">
        <v>0</v>
      </c>
      <c r="BC47" s="572">
        <v>4298906</v>
      </c>
      <c r="BD47" s="572">
        <v>2478117</v>
      </c>
      <c r="BE47" s="572">
        <v>1537790</v>
      </c>
      <c r="BF47" s="572">
        <v>3446027</v>
      </c>
      <c r="BG47" s="572">
        <v>15307099</v>
      </c>
      <c r="BH47" s="572">
        <v>37383586</v>
      </c>
      <c r="BI47" s="572">
        <v>0</v>
      </c>
      <c r="BJ47" s="572">
        <v>0</v>
      </c>
      <c r="BK47" s="572">
        <v>0</v>
      </c>
      <c r="BL47" s="572">
        <v>23053372</v>
      </c>
      <c r="BM47" s="572">
        <v>9014822</v>
      </c>
      <c r="BN47" s="572">
        <v>0</v>
      </c>
      <c r="BO47" s="572">
        <v>0</v>
      </c>
      <c r="BP47" s="572">
        <v>0</v>
      </c>
      <c r="BQ47" s="572">
        <v>0</v>
      </c>
      <c r="BR47" s="572">
        <v>0</v>
      </c>
      <c r="BS47" s="572">
        <v>0</v>
      </c>
      <c r="BT47" s="572">
        <v>9681660</v>
      </c>
      <c r="BU47" s="572">
        <v>0</v>
      </c>
      <c r="BV47" s="572">
        <v>2016467</v>
      </c>
      <c r="BW47" s="572">
        <v>5372256</v>
      </c>
      <c r="BX47" s="572">
        <v>15913431</v>
      </c>
      <c r="BY47" s="572">
        <v>714565</v>
      </c>
      <c r="BZ47" s="572">
        <v>0</v>
      </c>
      <c r="CA47" s="572">
        <v>13996226</v>
      </c>
      <c r="CB47" s="572">
        <v>0</v>
      </c>
      <c r="CC47" s="572">
        <v>129927631</v>
      </c>
      <c r="CD47" s="572">
        <v>1324164</v>
      </c>
      <c r="CE47" s="572">
        <v>5773322</v>
      </c>
      <c r="CF47" s="572">
        <v>0</v>
      </c>
      <c r="CG47" s="572">
        <v>6189091</v>
      </c>
      <c r="CH47" s="572">
        <v>499820601</v>
      </c>
      <c r="CI47" s="572">
        <v>4359893</v>
      </c>
      <c r="CJ47" s="572">
        <v>4178166</v>
      </c>
      <c r="CK47" s="572">
        <v>0</v>
      </c>
      <c r="CL47" s="572">
        <v>1721756</v>
      </c>
      <c r="CM47" s="572">
        <v>11618717</v>
      </c>
      <c r="CN47" s="572">
        <v>14945608</v>
      </c>
      <c r="CO47" s="572">
        <v>8343669</v>
      </c>
      <c r="CP47" s="572">
        <v>0</v>
      </c>
      <c r="CQ47" s="572">
        <v>0</v>
      </c>
    </row>
    <row r="48" spans="1:95" ht="30" x14ac:dyDescent="0.25">
      <c r="A48" s="668">
        <v>84</v>
      </c>
      <c r="B48" s="590">
        <v>84</v>
      </c>
      <c r="C48" s="570" t="s">
        <v>312</v>
      </c>
      <c r="D48" s="567" t="s">
        <v>714</v>
      </c>
      <c r="E48" s="573">
        <v>0</v>
      </c>
      <c r="F48" s="574">
        <v>0</v>
      </c>
      <c r="G48" s="574">
        <v>434771</v>
      </c>
      <c r="H48" s="574">
        <v>2605628</v>
      </c>
      <c r="I48" s="574">
        <v>779243</v>
      </c>
      <c r="J48" s="574">
        <v>261126</v>
      </c>
      <c r="K48" s="575">
        <v>11358956</v>
      </c>
      <c r="L48" s="572">
        <v>500640</v>
      </c>
      <c r="M48" s="572">
        <v>0</v>
      </c>
      <c r="N48" s="571">
        <v>475615</v>
      </c>
      <c r="O48" s="571">
        <v>639267</v>
      </c>
      <c r="P48" s="571">
        <v>0</v>
      </c>
      <c r="Q48" s="571">
        <v>237132</v>
      </c>
      <c r="R48" s="571">
        <v>0</v>
      </c>
      <c r="S48" s="571">
        <v>0</v>
      </c>
      <c r="T48" s="571">
        <v>0</v>
      </c>
      <c r="U48" s="571">
        <v>0</v>
      </c>
      <c r="V48" s="571">
        <v>0</v>
      </c>
      <c r="W48" s="571">
        <v>1215517</v>
      </c>
      <c r="X48" s="571">
        <v>0</v>
      </c>
      <c r="Y48" s="571">
        <v>1523713</v>
      </c>
      <c r="Z48" s="571">
        <v>0</v>
      </c>
      <c r="AA48" s="571">
        <v>4321777</v>
      </c>
      <c r="AB48" s="572">
        <v>2534843</v>
      </c>
      <c r="AC48" s="572">
        <v>178728</v>
      </c>
      <c r="AD48" s="572">
        <v>222556</v>
      </c>
      <c r="AE48" s="572">
        <v>11986444</v>
      </c>
      <c r="AF48" s="572">
        <v>0</v>
      </c>
      <c r="AG48" s="572">
        <v>949324</v>
      </c>
      <c r="AH48" s="572">
        <v>0</v>
      </c>
      <c r="AI48" s="572">
        <v>166103</v>
      </c>
      <c r="AJ48" s="572">
        <v>805969</v>
      </c>
      <c r="AK48" s="572">
        <v>2357471</v>
      </c>
      <c r="AL48" s="572">
        <v>1742954</v>
      </c>
      <c r="AM48" s="572">
        <v>1567442</v>
      </c>
      <c r="AN48" s="572">
        <v>51357</v>
      </c>
      <c r="AO48" s="572">
        <v>0</v>
      </c>
      <c r="AP48" s="572">
        <v>4675456</v>
      </c>
      <c r="AQ48" s="572">
        <v>0</v>
      </c>
      <c r="AR48" s="572">
        <v>0</v>
      </c>
      <c r="AS48" s="572">
        <v>0</v>
      </c>
      <c r="AT48" s="572">
        <v>0</v>
      </c>
      <c r="AU48" s="572">
        <v>0</v>
      </c>
      <c r="AV48" s="572">
        <v>108076</v>
      </c>
      <c r="AW48" s="572">
        <v>2750376</v>
      </c>
      <c r="AX48" s="572">
        <v>235493</v>
      </c>
      <c r="AY48" s="572">
        <v>0</v>
      </c>
      <c r="AZ48" s="572">
        <v>0</v>
      </c>
      <c r="BA48" s="572">
        <v>3117056</v>
      </c>
      <c r="BB48" s="572">
        <v>0</v>
      </c>
      <c r="BC48" s="572">
        <v>791763</v>
      </c>
      <c r="BD48" s="572">
        <v>341619</v>
      </c>
      <c r="BE48" s="572">
        <v>189102</v>
      </c>
      <c r="BF48" s="572">
        <v>1716360</v>
      </c>
      <c r="BG48" s="572">
        <v>1253213</v>
      </c>
      <c r="BH48" s="572">
        <v>6558983</v>
      </c>
      <c r="BI48" s="572">
        <v>0</v>
      </c>
      <c r="BJ48" s="572">
        <v>0</v>
      </c>
      <c r="BK48" s="572">
        <v>0</v>
      </c>
      <c r="BL48" s="572">
        <v>5979200</v>
      </c>
      <c r="BM48" s="572">
        <v>1996961</v>
      </c>
      <c r="BN48" s="572">
        <v>0</v>
      </c>
      <c r="BO48" s="572">
        <v>0</v>
      </c>
      <c r="BP48" s="572">
        <v>0</v>
      </c>
      <c r="BQ48" s="572">
        <v>0</v>
      </c>
      <c r="BR48" s="572">
        <v>0</v>
      </c>
      <c r="BS48" s="572">
        <v>0</v>
      </c>
      <c r="BT48" s="572">
        <v>1039673</v>
      </c>
      <c r="BU48" s="572">
        <v>0</v>
      </c>
      <c r="BV48" s="572">
        <v>524523</v>
      </c>
      <c r="BW48" s="572">
        <v>1066864</v>
      </c>
      <c r="BX48" s="572">
        <v>2684499</v>
      </c>
      <c r="BY48" s="572">
        <v>21463</v>
      </c>
      <c r="BZ48" s="572">
        <v>0</v>
      </c>
      <c r="CA48" s="572">
        <v>4081029</v>
      </c>
      <c r="CB48" s="572">
        <v>0</v>
      </c>
      <c r="CC48" s="572">
        <v>26566818</v>
      </c>
      <c r="CD48" s="572">
        <v>2659</v>
      </c>
      <c r="CE48" s="572">
        <v>948317</v>
      </c>
      <c r="CF48" s="572">
        <v>0</v>
      </c>
      <c r="CG48" s="572">
        <v>1840245</v>
      </c>
      <c r="CH48" s="572">
        <v>109226819</v>
      </c>
      <c r="CI48" s="572">
        <v>3518247</v>
      </c>
      <c r="CJ48" s="572">
        <v>637078</v>
      </c>
      <c r="CK48" s="572">
        <v>0</v>
      </c>
      <c r="CL48" s="572">
        <v>213268</v>
      </c>
      <c r="CM48" s="572">
        <v>3051144</v>
      </c>
      <c r="CN48" s="572">
        <v>2494702</v>
      </c>
      <c r="CO48" s="572">
        <v>1691518</v>
      </c>
      <c r="CP48" s="572">
        <v>0</v>
      </c>
      <c r="CQ48" s="572">
        <v>0</v>
      </c>
    </row>
    <row r="49" spans="1:95" ht="30" x14ac:dyDescent="0.25">
      <c r="A49" s="668">
        <v>85</v>
      </c>
      <c r="B49" s="590">
        <v>85</v>
      </c>
      <c r="C49" s="570" t="s">
        <v>314</v>
      </c>
      <c r="D49" s="567" t="s">
        <v>715</v>
      </c>
      <c r="E49" s="573">
        <v>0</v>
      </c>
      <c r="F49" s="574">
        <v>0</v>
      </c>
      <c r="G49" s="574">
        <v>444620</v>
      </c>
      <c r="H49" s="574">
        <v>2283722</v>
      </c>
      <c r="I49" s="574">
        <v>748541</v>
      </c>
      <c r="J49" s="574">
        <v>301576</v>
      </c>
      <c r="K49" s="575">
        <v>10965234</v>
      </c>
      <c r="L49" s="572">
        <v>604467</v>
      </c>
      <c r="M49" s="572">
        <v>0</v>
      </c>
      <c r="N49" s="571">
        <v>509033</v>
      </c>
      <c r="O49" s="571">
        <v>694042</v>
      </c>
      <c r="P49" s="571">
        <v>0</v>
      </c>
      <c r="Q49" s="571">
        <v>327646</v>
      </c>
      <c r="R49" s="571">
        <v>0</v>
      </c>
      <c r="S49" s="571">
        <v>0</v>
      </c>
      <c r="T49" s="571">
        <v>0</v>
      </c>
      <c r="U49" s="571">
        <v>0</v>
      </c>
      <c r="V49" s="571">
        <v>0</v>
      </c>
      <c r="W49" s="571">
        <v>921505</v>
      </c>
      <c r="X49" s="571">
        <v>0</v>
      </c>
      <c r="Y49" s="571">
        <v>1591168</v>
      </c>
      <c r="Z49" s="571">
        <v>0</v>
      </c>
      <c r="AA49" s="571">
        <v>4776884</v>
      </c>
      <c r="AB49" s="572">
        <v>2618720</v>
      </c>
      <c r="AC49" s="572">
        <v>266746</v>
      </c>
      <c r="AD49" s="572">
        <v>262045</v>
      </c>
      <c r="AE49" s="572">
        <v>10379107</v>
      </c>
      <c r="AF49" s="572">
        <v>0</v>
      </c>
      <c r="AG49" s="572">
        <v>678188</v>
      </c>
      <c r="AH49" s="572">
        <v>0</v>
      </c>
      <c r="AI49" s="572">
        <v>222877</v>
      </c>
      <c r="AJ49" s="572">
        <v>1927128</v>
      </c>
      <c r="AK49" s="572">
        <v>1828835</v>
      </c>
      <c r="AL49" s="572">
        <v>1710071</v>
      </c>
      <c r="AM49" s="572">
        <v>1473569</v>
      </c>
      <c r="AN49" s="572">
        <v>41551</v>
      </c>
      <c r="AO49" s="572">
        <v>0</v>
      </c>
      <c r="AP49" s="572">
        <v>4460705</v>
      </c>
      <c r="AQ49" s="572">
        <v>0</v>
      </c>
      <c r="AR49" s="572">
        <v>0</v>
      </c>
      <c r="AS49" s="572">
        <v>0</v>
      </c>
      <c r="AT49" s="572">
        <v>0</v>
      </c>
      <c r="AU49" s="572">
        <v>0</v>
      </c>
      <c r="AV49" s="572">
        <v>136927</v>
      </c>
      <c r="AW49" s="572">
        <v>2409735</v>
      </c>
      <c r="AX49" s="572">
        <v>309338</v>
      </c>
      <c r="AY49" s="572">
        <v>0</v>
      </c>
      <c r="AZ49" s="572">
        <v>0</v>
      </c>
      <c r="BA49" s="572">
        <v>3240560</v>
      </c>
      <c r="BB49" s="572">
        <v>0</v>
      </c>
      <c r="BC49" s="572">
        <v>731437</v>
      </c>
      <c r="BD49" s="572">
        <v>349873</v>
      </c>
      <c r="BE49" s="572">
        <v>240447</v>
      </c>
      <c r="BF49" s="572">
        <v>1959919</v>
      </c>
      <c r="BG49" s="572">
        <v>1455153</v>
      </c>
      <c r="BH49" s="572">
        <v>6335480</v>
      </c>
      <c r="BI49" s="572">
        <v>0</v>
      </c>
      <c r="BJ49" s="572">
        <v>0</v>
      </c>
      <c r="BK49" s="572">
        <v>0</v>
      </c>
      <c r="BL49" s="572">
        <v>5342137</v>
      </c>
      <c r="BM49" s="572">
        <v>1764184</v>
      </c>
      <c r="BN49" s="572">
        <v>0</v>
      </c>
      <c r="BO49" s="572">
        <v>0</v>
      </c>
      <c r="BP49" s="572">
        <v>0</v>
      </c>
      <c r="BQ49" s="572">
        <v>0</v>
      </c>
      <c r="BR49" s="572">
        <v>0</v>
      </c>
      <c r="BS49" s="572">
        <v>0</v>
      </c>
      <c r="BT49" s="572">
        <v>1020711</v>
      </c>
      <c r="BU49" s="572">
        <v>0</v>
      </c>
      <c r="BV49" s="572">
        <v>462923</v>
      </c>
      <c r="BW49" s="572">
        <v>1390447</v>
      </c>
      <c r="BX49" s="572">
        <v>2638237</v>
      </c>
      <c r="BY49" s="572">
        <v>31078</v>
      </c>
      <c r="BZ49" s="572">
        <v>0</v>
      </c>
      <c r="CA49" s="572">
        <v>4080325</v>
      </c>
      <c r="CB49" s="572">
        <v>0</v>
      </c>
      <c r="CC49" s="572">
        <v>20809758</v>
      </c>
      <c r="CD49" s="572">
        <v>7564</v>
      </c>
      <c r="CE49" s="572">
        <v>1002036</v>
      </c>
      <c r="CF49" s="572">
        <v>0</v>
      </c>
      <c r="CG49" s="572">
        <v>1635430</v>
      </c>
      <c r="CH49" s="572">
        <v>70165794</v>
      </c>
      <c r="CI49" s="572">
        <v>3381083</v>
      </c>
      <c r="CJ49" s="572">
        <v>664543</v>
      </c>
      <c r="CK49" s="572">
        <v>0</v>
      </c>
      <c r="CL49" s="572">
        <v>212100</v>
      </c>
      <c r="CM49" s="572">
        <v>2497074</v>
      </c>
      <c r="CN49" s="572">
        <v>2419529</v>
      </c>
      <c r="CO49" s="572">
        <v>1484424</v>
      </c>
      <c r="CP49" s="572">
        <v>0</v>
      </c>
      <c r="CQ49" s="572">
        <v>0</v>
      </c>
    </row>
    <row r="50" spans="1:95" x14ac:dyDescent="0.25">
      <c r="A50" s="668">
        <v>88</v>
      </c>
      <c r="B50" s="590">
        <v>88</v>
      </c>
      <c r="C50" s="570" t="s">
        <v>311</v>
      </c>
      <c r="D50" s="567" t="s">
        <v>716</v>
      </c>
      <c r="E50" s="573">
        <v>0</v>
      </c>
      <c r="F50" s="574">
        <v>0</v>
      </c>
      <c r="G50" s="574">
        <v>380480</v>
      </c>
      <c r="H50" s="574">
        <v>2393515</v>
      </c>
      <c r="I50" s="574">
        <v>779243</v>
      </c>
      <c r="J50" s="574">
        <v>254077</v>
      </c>
      <c r="K50" s="575">
        <v>10499739</v>
      </c>
      <c r="L50" s="572">
        <v>481615</v>
      </c>
      <c r="M50" s="572">
        <v>0</v>
      </c>
      <c r="N50" s="571">
        <v>416200</v>
      </c>
      <c r="O50" s="571">
        <v>600129</v>
      </c>
      <c r="P50" s="571">
        <v>0</v>
      </c>
      <c r="Q50" s="571">
        <v>234692</v>
      </c>
      <c r="R50" s="571">
        <v>0</v>
      </c>
      <c r="S50" s="571">
        <v>0</v>
      </c>
      <c r="T50" s="571">
        <v>0</v>
      </c>
      <c r="U50" s="571">
        <v>0</v>
      </c>
      <c r="V50" s="571">
        <v>0</v>
      </c>
      <c r="W50" s="571">
        <v>948867</v>
      </c>
      <c r="X50" s="571">
        <v>0</v>
      </c>
      <c r="Y50" s="571">
        <v>1431439</v>
      </c>
      <c r="Z50" s="571">
        <v>0</v>
      </c>
      <c r="AA50" s="571">
        <v>4269059</v>
      </c>
      <c r="AB50" s="572">
        <v>2523529</v>
      </c>
      <c r="AC50" s="572">
        <v>177523</v>
      </c>
      <c r="AD50" s="572">
        <v>221409</v>
      </c>
      <c r="AE50" s="572">
        <v>11232408</v>
      </c>
      <c r="AF50" s="572">
        <v>0</v>
      </c>
      <c r="AG50" s="572">
        <v>820937</v>
      </c>
      <c r="AH50" s="572">
        <v>0</v>
      </c>
      <c r="AI50" s="572">
        <v>161587</v>
      </c>
      <c r="AJ50" s="572">
        <v>721862</v>
      </c>
      <c r="AK50" s="572">
        <v>2284955</v>
      </c>
      <c r="AL50" s="572">
        <v>1530168</v>
      </c>
      <c r="AM50" s="572">
        <v>1553657</v>
      </c>
      <c r="AN50" s="572">
        <v>49916</v>
      </c>
      <c r="AO50" s="572">
        <v>0</v>
      </c>
      <c r="AP50" s="572">
        <v>4002285</v>
      </c>
      <c r="AQ50" s="572">
        <v>0</v>
      </c>
      <c r="AR50" s="572">
        <v>0</v>
      </c>
      <c r="AS50" s="572">
        <v>0</v>
      </c>
      <c r="AT50" s="572">
        <v>0</v>
      </c>
      <c r="AU50" s="572">
        <v>0</v>
      </c>
      <c r="AV50" s="572">
        <v>90392</v>
      </c>
      <c r="AW50" s="572">
        <v>2671782</v>
      </c>
      <c r="AX50" s="572">
        <v>219967</v>
      </c>
      <c r="AY50" s="572">
        <v>0</v>
      </c>
      <c r="AZ50" s="572">
        <v>0</v>
      </c>
      <c r="BA50" s="572">
        <v>3024052</v>
      </c>
      <c r="BB50" s="572">
        <v>0</v>
      </c>
      <c r="BC50" s="572">
        <v>774050</v>
      </c>
      <c r="BD50" s="572">
        <v>334494</v>
      </c>
      <c r="BE50" s="572">
        <v>188837</v>
      </c>
      <c r="BF50" s="572">
        <v>1647506</v>
      </c>
      <c r="BG50" s="572">
        <v>1143331</v>
      </c>
      <c r="BH50" s="572">
        <v>6376539</v>
      </c>
      <c r="BI50" s="572">
        <v>0</v>
      </c>
      <c r="BJ50" s="572">
        <v>0</v>
      </c>
      <c r="BK50" s="572">
        <v>0</v>
      </c>
      <c r="BL50" s="572">
        <v>5979200</v>
      </c>
      <c r="BM50" s="572">
        <v>1814177</v>
      </c>
      <c r="BN50" s="572">
        <v>0</v>
      </c>
      <c r="BO50" s="572">
        <v>0</v>
      </c>
      <c r="BP50" s="572">
        <v>0</v>
      </c>
      <c r="BQ50" s="572">
        <v>0</v>
      </c>
      <c r="BR50" s="572">
        <v>0</v>
      </c>
      <c r="BS50" s="572">
        <v>0</v>
      </c>
      <c r="BT50" s="572">
        <v>1011389</v>
      </c>
      <c r="BU50" s="572">
        <v>0</v>
      </c>
      <c r="BV50" s="572">
        <v>506339</v>
      </c>
      <c r="BW50" s="572">
        <v>944386</v>
      </c>
      <c r="BX50" s="572">
        <v>2583599</v>
      </c>
      <c r="BY50" s="572">
        <v>19313</v>
      </c>
      <c r="BZ50" s="572">
        <v>0</v>
      </c>
      <c r="CA50" s="572">
        <v>4041142</v>
      </c>
      <c r="CB50" s="572">
        <v>0</v>
      </c>
      <c r="CC50" s="572">
        <v>24901324</v>
      </c>
      <c r="CD50" s="572">
        <v>0</v>
      </c>
      <c r="CE50" s="572">
        <v>937730</v>
      </c>
      <c r="CF50" s="572">
        <v>0</v>
      </c>
      <c r="CG50" s="572">
        <v>1693560</v>
      </c>
      <c r="CH50" s="572">
        <v>109198929</v>
      </c>
      <c r="CI50" s="572">
        <v>3508298</v>
      </c>
      <c r="CJ50" s="572">
        <v>612101</v>
      </c>
      <c r="CK50" s="572">
        <v>0</v>
      </c>
      <c r="CL50" s="572">
        <v>180837</v>
      </c>
      <c r="CM50" s="572">
        <v>2900790</v>
      </c>
      <c r="CN50" s="572">
        <v>2394700</v>
      </c>
      <c r="CO50" s="572">
        <v>1644421</v>
      </c>
      <c r="CP50" s="572">
        <v>0</v>
      </c>
      <c r="CQ50" s="572">
        <v>0</v>
      </c>
    </row>
    <row r="51" spans="1:95" x14ac:dyDescent="0.25">
      <c r="A51" s="668">
        <v>89</v>
      </c>
      <c r="B51" s="590">
        <v>89</v>
      </c>
      <c r="C51" s="570" t="s">
        <v>315</v>
      </c>
      <c r="D51" s="567" t="s">
        <v>717</v>
      </c>
      <c r="E51" s="573">
        <v>0</v>
      </c>
      <c r="F51" s="574">
        <v>0</v>
      </c>
      <c r="G51" s="574">
        <v>0</v>
      </c>
      <c r="H51" s="574">
        <v>54619</v>
      </c>
      <c r="I51" s="574">
        <v>74768</v>
      </c>
      <c r="J51" s="574">
        <v>0</v>
      </c>
      <c r="K51" s="575">
        <v>559347</v>
      </c>
      <c r="L51" s="572">
        <v>36591</v>
      </c>
      <c r="M51" s="572">
        <v>0</v>
      </c>
      <c r="N51" s="571">
        <v>0</v>
      </c>
      <c r="O51" s="571">
        <v>17926</v>
      </c>
      <c r="P51" s="571">
        <v>0</v>
      </c>
      <c r="Q51" s="571">
        <v>16740</v>
      </c>
      <c r="R51" s="571">
        <v>0</v>
      </c>
      <c r="S51" s="571">
        <v>0</v>
      </c>
      <c r="T51" s="571">
        <v>0</v>
      </c>
      <c r="U51" s="571">
        <v>0</v>
      </c>
      <c r="V51" s="571">
        <v>0</v>
      </c>
      <c r="W51" s="571">
        <v>0</v>
      </c>
      <c r="X51" s="571">
        <v>0</v>
      </c>
      <c r="Y51" s="571">
        <v>45354</v>
      </c>
      <c r="Z51" s="571">
        <v>0</v>
      </c>
      <c r="AA51" s="571">
        <v>1509</v>
      </c>
      <c r="AB51" s="572">
        <v>60014</v>
      </c>
      <c r="AC51" s="572">
        <v>0</v>
      </c>
      <c r="AD51" s="572">
        <v>6046</v>
      </c>
      <c r="AE51" s="572">
        <v>826519</v>
      </c>
      <c r="AF51" s="572">
        <v>0</v>
      </c>
      <c r="AG51" s="572">
        <v>22933</v>
      </c>
      <c r="AH51" s="572">
        <v>0</v>
      </c>
      <c r="AI51" s="572">
        <v>0</v>
      </c>
      <c r="AJ51" s="572">
        <v>462873</v>
      </c>
      <c r="AK51" s="572">
        <v>38135</v>
      </c>
      <c r="AL51" s="572">
        <v>18358</v>
      </c>
      <c r="AM51" s="572">
        <v>72845</v>
      </c>
      <c r="AN51" s="572">
        <v>0</v>
      </c>
      <c r="AO51" s="572">
        <v>0</v>
      </c>
      <c r="AP51" s="572">
        <v>83359</v>
      </c>
      <c r="AQ51" s="572">
        <v>0</v>
      </c>
      <c r="AR51" s="572">
        <v>0</v>
      </c>
      <c r="AS51" s="572">
        <v>0</v>
      </c>
      <c r="AT51" s="572">
        <v>0</v>
      </c>
      <c r="AU51" s="572">
        <v>0</v>
      </c>
      <c r="AV51" s="572">
        <v>5127</v>
      </c>
      <c r="AW51" s="572">
        <v>10702</v>
      </c>
      <c r="AX51" s="572">
        <v>0</v>
      </c>
      <c r="AY51" s="572">
        <v>0</v>
      </c>
      <c r="AZ51" s="572">
        <v>0</v>
      </c>
      <c r="BA51" s="572">
        <v>161082</v>
      </c>
      <c r="BB51" s="572">
        <v>0</v>
      </c>
      <c r="BC51" s="572">
        <v>19812</v>
      </c>
      <c r="BD51" s="572">
        <v>17327</v>
      </c>
      <c r="BE51" s="572">
        <v>0</v>
      </c>
      <c r="BF51" s="572">
        <v>6422</v>
      </c>
      <c r="BG51" s="572">
        <v>38416</v>
      </c>
      <c r="BH51" s="572">
        <v>24997</v>
      </c>
      <c r="BI51" s="572">
        <v>0</v>
      </c>
      <c r="BJ51" s="572">
        <v>0</v>
      </c>
      <c r="BK51" s="572">
        <v>0</v>
      </c>
      <c r="BL51" s="572">
        <v>19652</v>
      </c>
      <c r="BM51" s="572">
        <v>47338</v>
      </c>
      <c r="BN51" s="572">
        <v>0</v>
      </c>
      <c r="BO51" s="572">
        <v>0</v>
      </c>
      <c r="BP51" s="572">
        <v>0</v>
      </c>
      <c r="BQ51" s="572">
        <v>0</v>
      </c>
      <c r="BR51" s="572">
        <v>0</v>
      </c>
      <c r="BS51" s="572">
        <v>0</v>
      </c>
      <c r="BT51" s="572">
        <v>15375</v>
      </c>
      <c r="BU51" s="572">
        <v>0</v>
      </c>
      <c r="BV51" s="572">
        <v>29247</v>
      </c>
      <c r="BW51" s="572">
        <v>14424</v>
      </c>
      <c r="BX51" s="572">
        <v>37931</v>
      </c>
      <c r="BY51" s="572">
        <v>0</v>
      </c>
      <c r="BZ51" s="572">
        <v>0</v>
      </c>
      <c r="CA51" s="572">
        <v>117958</v>
      </c>
      <c r="CB51" s="572">
        <v>0</v>
      </c>
      <c r="CC51" s="572">
        <v>675876</v>
      </c>
      <c r="CD51" s="572">
        <v>67329</v>
      </c>
      <c r="CE51" s="572">
        <v>0</v>
      </c>
      <c r="CF51" s="572">
        <v>0</v>
      </c>
      <c r="CG51" s="572">
        <v>108378</v>
      </c>
      <c r="CH51" s="572">
        <v>17710379</v>
      </c>
      <c r="CI51" s="572">
        <v>80596</v>
      </c>
      <c r="CJ51" s="572">
        <v>3577</v>
      </c>
      <c r="CK51" s="572">
        <v>0</v>
      </c>
      <c r="CL51" s="572">
        <v>0</v>
      </c>
      <c r="CM51" s="572">
        <v>0</v>
      </c>
      <c r="CN51" s="572">
        <v>0</v>
      </c>
      <c r="CO51" s="572">
        <v>98625</v>
      </c>
      <c r="CP51" s="572">
        <v>0</v>
      </c>
      <c r="CQ51" s="572">
        <v>0</v>
      </c>
    </row>
    <row r="52" spans="1:95" ht="30" x14ac:dyDescent="0.25">
      <c r="A52" s="668">
        <v>90</v>
      </c>
      <c r="B52" s="590">
        <v>90</v>
      </c>
      <c r="C52" s="570" t="s">
        <v>308</v>
      </c>
      <c r="D52" s="567" t="s">
        <v>718</v>
      </c>
      <c r="E52" s="573">
        <v>0</v>
      </c>
      <c r="F52" s="574">
        <v>0</v>
      </c>
      <c r="G52" s="574">
        <v>0</v>
      </c>
      <c r="H52" s="574">
        <v>0</v>
      </c>
      <c r="I52" s="574">
        <v>2842240</v>
      </c>
      <c r="J52" s="574">
        <v>0</v>
      </c>
      <c r="K52" s="575">
        <v>23109523</v>
      </c>
      <c r="L52" s="572">
        <v>0</v>
      </c>
      <c r="M52" s="572">
        <v>0</v>
      </c>
      <c r="N52" s="571">
        <v>0</v>
      </c>
      <c r="O52" s="571">
        <v>0</v>
      </c>
      <c r="P52" s="571">
        <v>0</v>
      </c>
      <c r="Q52" s="571">
        <v>0</v>
      </c>
      <c r="R52" s="571">
        <v>0</v>
      </c>
      <c r="S52" s="571">
        <v>0</v>
      </c>
      <c r="T52" s="571">
        <v>0</v>
      </c>
      <c r="U52" s="571">
        <v>0</v>
      </c>
      <c r="V52" s="571">
        <v>0</v>
      </c>
      <c r="W52" s="571">
        <v>0</v>
      </c>
      <c r="X52" s="571">
        <v>0</v>
      </c>
      <c r="Y52" s="571">
        <v>0</v>
      </c>
      <c r="Z52" s="571">
        <v>0</v>
      </c>
      <c r="AA52" s="571">
        <v>12450842</v>
      </c>
      <c r="AB52" s="572">
        <v>0</v>
      </c>
      <c r="AC52" s="572">
        <v>0</v>
      </c>
      <c r="AD52" s="572">
        <v>0</v>
      </c>
      <c r="AE52" s="572">
        <v>0</v>
      </c>
      <c r="AF52" s="572">
        <v>0</v>
      </c>
      <c r="AG52" s="572">
        <v>0</v>
      </c>
      <c r="AH52" s="572">
        <v>0</v>
      </c>
      <c r="AI52" s="572">
        <v>0</v>
      </c>
      <c r="AJ52" s="572">
        <v>0</v>
      </c>
      <c r="AK52" s="572">
        <v>0</v>
      </c>
      <c r="AL52" s="572">
        <v>0</v>
      </c>
      <c r="AM52" s="572">
        <v>0</v>
      </c>
      <c r="AN52" s="572">
        <v>0</v>
      </c>
      <c r="AO52" s="572">
        <v>0</v>
      </c>
      <c r="AP52" s="572">
        <v>0</v>
      </c>
      <c r="AQ52" s="572">
        <v>0</v>
      </c>
      <c r="AR52" s="572">
        <v>0</v>
      </c>
      <c r="AS52" s="572">
        <v>0</v>
      </c>
      <c r="AT52" s="572">
        <v>0</v>
      </c>
      <c r="AU52" s="572">
        <v>0</v>
      </c>
      <c r="AV52" s="572">
        <v>0</v>
      </c>
      <c r="AW52" s="572">
        <v>0</v>
      </c>
      <c r="AX52" s="572">
        <v>0</v>
      </c>
      <c r="AY52" s="572">
        <v>3922030</v>
      </c>
      <c r="AZ52" s="572">
        <v>0</v>
      </c>
      <c r="BA52" s="572">
        <v>0</v>
      </c>
      <c r="BB52" s="572">
        <v>0</v>
      </c>
      <c r="BC52" s="572">
        <v>0</v>
      </c>
      <c r="BD52" s="572">
        <v>0</v>
      </c>
      <c r="BE52" s="572">
        <v>198665</v>
      </c>
      <c r="BF52" s="572">
        <v>0</v>
      </c>
      <c r="BG52" s="572">
        <v>0</v>
      </c>
      <c r="BH52" s="572">
        <v>14447094</v>
      </c>
      <c r="BI52" s="572">
        <v>0</v>
      </c>
      <c r="BJ52" s="572">
        <v>0</v>
      </c>
      <c r="BK52" s="572">
        <v>0</v>
      </c>
      <c r="BL52" s="572">
        <v>1856001</v>
      </c>
      <c r="BM52" s="572">
        <v>0</v>
      </c>
      <c r="BN52" s="572">
        <v>0</v>
      </c>
      <c r="BO52" s="572">
        <v>0</v>
      </c>
      <c r="BP52" s="572">
        <v>0</v>
      </c>
      <c r="BQ52" s="572">
        <v>0</v>
      </c>
      <c r="BR52" s="572">
        <v>0</v>
      </c>
      <c r="BS52" s="572">
        <v>0</v>
      </c>
      <c r="BT52" s="572">
        <v>0</v>
      </c>
      <c r="BU52" s="572">
        <v>0</v>
      </c>
      <c r="BV52" s="572">
        <v>0</v>
      </c>
      <c r="BW52" s="572">
        <v>0</v>
      </c>
      <c r="BX52" s="572">
        <v>0</v>
      </c>
      <c r="BY52" s="572">
        <v>0</v>
      </c>
      <c r="BZ52" s="572">
        <v>0</v>
      </c>
      <c r="CA52" s="572">
        <v>0</v>
      </c>
      <c r="CB52" s="572">
        <v>0</v>
      </c>
      <c r="CC52" s="572">
        <v>35866705</v>
      </c>
      <c r="CD52" s="572">
        <v>0</v>
      </c>
      <c r="CE52" s="572">
        <v>3041264</v>
      </c>
      <c r="CF52" s="572">
        <v>0</v>
      </c>
      <c r="CG52" s="572">
        <v>0</v>
      </c>
      <c r="CH52" s="572">
        <v>0</v>
      </c>
      <c r="CI52" s="572">
        <v>2081060</v>
      </c>
      <c r="CJ52" s="572">
        <v>0</v>
      </c>
      <c r="CK52" s="572">
        <v>0</v>
      </c>
      <c r="CL52" s="572">
        <v>0</v>
      </c>
      <c r="CM52" s="572">
        <v>0</v>
      </c>
      <c r="CN52" s="572">
        <v>0</v>
      </c>
      <c r="CO52" s="572">
        <v>0</v>
      </c>
      <c r="CP52" s="572">
        <v>0</v>
      </c>
      <c r="CQ52" s="572">
        <v>0</v>
      </c>
    </row>
    <row r="53" spans="1:95" x14ac:dyDescent="0.25">
      <c r="A53" s="668">
        <v>91</v>
      </c>
      <c r="B53" s="590">
        <v>91</v>
      </c>
      <c r="C53" s="570" t="s">
        <v>309</v>
      </c>
      <c r="D53" s="567" t="s">
        <v>719</v>
      </c>
      <c r="E53" s="573">
        <v>0</v>
      </c>
      <c r="F53" s="574">
        <v>0</v>
      </c>
      <c r="G53" s="574">
        <v>0</v>
      </c>
      <c r="H53" s="574">
        <v>0</v>
      </c>
      <c r="I53" s="574">
        <v>151476</v>
      </c>
      <c r="J53" s="574">
        <v>0</v>
      </c>
      <c r="K53" s="575">
        <v>6204762</v>
      </c>
      <c r="L53" s="572">
        <v>0</v>
      </c>
      <c r="M53" s="572">
        <v>0</v>
      </c>
      <c r="N53" s="571">
        <v>0</v>
      </c>
      <c r="O53" s="571">
        <v>0</v>
      </c>
      <c r="P53" s="571">
        <v>0</v>
      </c>
      <c r="Q53" s="571">
        <v>0</v>
      </c>
      <c r="R53" s="571">
        <v>0</v>
      </c>
      <c r="S53" s="571">
        <v>0</v>
      </c>
      <c r="T53" s="571">
        <v>0</v>
      </c>
      <c r="U53" s="571">
        <v>0</v>
      </c>
      <c r="V53" s="571">
        <v>0</v>
      </c>
      <c r="W53" s="571">
        <v>0</v>
      </c>
      <c r="X53" s="571">
        <v>0</v>
      </c>
      <c r="Y53" s="571">
        <v>0</v>
      </c>
      <c r="Z53" s="571">
        <v>0</v>
      </c>
      <c r="AA53" s="571">
        <v>2800512</v>
      </c>
      <c r="AB53" s="572">
        <v>0</v>
      </c>
      <c r="AC53" s="572">
        <v>0</v>
      </c>
      <c r="AD53" s="572">
        <v>0</v>
      </c>
      <c r="AE53" s="572">
        <v>0</v>
      </c>
      <c r="AF53" s="572">
        <v>0</v>
      </c>
      <c r="AG53" s="572">
        <v>0</v>
      </c>
      <c r="AH53" s="572">
        <v>0</v>
      </c>
      <c r="AI53" s="572">
        <v>0</v>
      </c>
      <c r="AJ53" s="572">
        <v>0</v>
      </c>
      <c r="AK53" s="572">
        <v>0</v>
      </c>
      <c r="AL53" s="572">
        <v>0</v>
      </c>
      <c r="AM53" s="572">
        <v>0</v>
      </c>
      <c r="AN53" s="572">
        <v>0</v>
      </c>
      <c r="AO53" s="572">
        <v>0</v>
      </c>
      <c r="AP53" s="572">
        <v>0</v>
      </c>
      <c r="AQ53" s="572">
        <v>0</v>
      </c>
      <c r="AR53" s="572">
        <v>0</v>
      </c>
      <c r="AS53" s="572">
        <v>0</v>
      </c>
      <c r="AT53" s="572">
        <v>0</v>
      </c>
      <c r="AU53" s="572">
        <v>0</v>
      </c>
      <c r="AV53" s="572">
        <v>0</v>
      </c>
      <c r="AW53" s="572">
        <v>0</v>
      </c>
      <c r="AX53" s="572">
        <v>0</v>
      </c>
      <c r="AY53" s="572">
        <v>2623528</v>
      </c>
      <c r="AZ53" s="572">
        <v>0</v>
      </c>
      <c r="BA53" s="572">
        <v>0</v>
      </c>
      <c r="BB53" s="572">
        <v>0</v>
      </c>
      <c r="BC53" s="572">
        <v>0</v>
      </c>
      <c r="BD53" s="572">
        <v>0</v>
      </c>
      <c r="BE53" s="572">
        <v>22136</v>
      </c>
      <c r="BF53" s="572">
        <v>0</v>
      </c>
      <c r="BG53" s="572">
        <v>0</v>
      </c>
      <c r="BH53" s="572">
        <v>4359767</v>
      </c>
      <c r="BI53" s="572">
        <v>0</v>
      </c>
      <c r="BJ53" s="572">
        <v>0</v>
      </c>
      <c r="BK53" s="572">
        <v>0</v>
      </c>
      <c r="BL53" s="572">
        <v>970181</v>
      </c>
      <c r="BM53" s="572">
        <v>0</v>
      </c>
      <c r="BN53" s="572">
        <v>0</v>
      </c>
      <c r="BO53" s="572">
        <v>0</v>
      </c>
      <c r="BP53" s="572">
        <v>0</v>
      </c>
      <c r="BQ53" s="572">
        <v>0</v>
      </c>
      <c r="BR53" s="572">
        <v>0</v>
      </c>
      <c r="BS53" s="572">
        <v>0</v>
      </c>
      <c r="BT53" s="572">
        <v>0</v>
      </c>
      <c r="BU53" s="572">
        <v>0</v>
      </c>
      <c r="BV53" s="572">
        <v>0</v>
      </c>
      <c r="BW53" s="572">
        <v>0</v>
      </c>
      <c r="BX53" s="572">
        <v>0</v>
      </c>
      <c r="BY53" s="572">
        <v>0</v>
      </c>
      <c r="BZ53" s="572">
        <v>0</v>
      </c>
      <c r="CA53" s="572">
        <v>0</v>
      </c>
      <c r="CB53" s="572">
        <v>0</v>
      </c>
      <c r="CC53" s="572">
        <v>14214073</v>
      </c>
      <c r="CD53" s="572">
        <v>0</v>
      </c>
      <c r="CE53" s="572">
        <v>725184</v>
      </c>
      <c r="CF53" s="572">
        <v>0</v>
      </c>
      <c r="CG53" s="572">
        <v>0</v>
      </c>
      <c r="CH53" s="572">
        <v>0</v>
      </c>
      <c r="CI53" s="572">
        <v>937557</v>
      </c>
      <c r="CJ53" s="572">
        <v>0</v>
      </c>
      <c r="CK53" s="572">
        <v>0</v>
      </c>
      <c r="CL53" s="572">
        <v>0</v>
      </c>
      <c r="CM53" s="572">
        <v>0</v>
      </c>
      <c r="CN53" s="572">
        <v>0</v>
      </c>
      <c r="CO53" s="572">
        <v>0</v>
      </c>
      <c r="CP53" s="572">
        <v>0</v>
      </c>
      <c r="CQ53" s="572">
        <v>0</v>
      </c>
    </row>
    <row r="54" spans="1:95" x14ac:dyDescent="0.25">
      <c r="A54" s="668"/>
      <c r="B54" s="590">
        <v>92</v>
      </c>
      <c r="C54" s="570" t="s">
        <v>720</v>
      </c>
      <c r="D54" s="567" t="s">
        <v>721</v>
      </c>
      <c r="E54" s="573"/>
      <c r="F54" s="574"/>
      <c r="G54" s="574"/>
      <c r="H54" s="574"/>
      <c r="I54" s="574"/>
      <c r="J54" s="574"/>
      <c r="K54" s="575"/>
      <c r="L54" s="572"/>
      <c r="M54" s="572"/>
      <c r="N54" s="571"/>
      <c r="O54" s="571"/>
      <c r="P54" s="571"/>
      <c r="Q54" s="571"/>
      <c r="R54" s="571"/>
      <c r="S54" s="571"/>
      <c r="T54" s="571"/>
      <c r="U54" s="571"/>
      <c r="V54" s="571"/>
      <c r="W54" s="571"/>
      <c r="X54" s="571"/>
      <c r="Y54" s="571"/>
      <c r="Z54" s="571"/>
      <c r="AA54" s="571"/>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2"/>
      <c r="BD54" s="572"/>
      <c r="BE54" s="572"/>
      <c r="BF54" s="572"/>
      <c r="BG54" s="572"/>
      <c r="BH54" s="572"/>
      <c r="BI54" s="572"/>
      <c r="BJ54" s="572"/>
      <c r="BK54" s="572"/>
      <c r="BL54" s="572"/>
      <c r="BM54" s="572"/>
      <c r="BN54" s="572"/>
      <c r="BO54" s="572"/>
      <c r="BP54" s="572"/>
      <c r="BQ54" s="572"/>
      <c r="BR54" s="572"/>
      <c r="BS54" s="572"/>
      <c r="BT54" s="572"/>
      <c r="BU54" s="572"/>
      <c r="BV54" s="572"/>
      <c r="BW54" s="572"/>
      <c r="BX54" s="572"/>
      <c r="BY54" s="572"/>
      <c r="BZ54" s="572"/>
      <c r="CA54" s="572"/>
      <c r="CB54" s="572"/>
      <c r="CC54" s="572"/>
      <c r="CD54" s="572"/>
      <c r="CE54" s="572"/>
      <c r="CF54" s="572"/>
      <c r="CG54" s="572"/>
      <c r="CH54" s="572"/>
      <c r="CI54" s="572"/>
      <c r="CJ54" s="572"/>
      <c r="CK54" s="572"/>
      <c r="CL54" s="572"/>
      <c r="CM54" s="572"/>
      <c r="CN54" s="572"/>
      <c r="CO54" s="572"/>
      <c r="CP54" s="572"/>
      <c r="CQ54" s="572"/>
    </row>
    <row r="55" spans="1:95" ht="30" x14ac:dyDescent="0.25">
      <c r="A55" s="668">
        <v>93</v>
      </c>
      <c r="B55" s="590">
        <v>93</v>
      </c>
      <c r="C55" s="570" t="s">
        <v>322</v>
      </c>
      <c r="D55" s="567" t="s">
        <v>722</v>
      </c>
      <c r="E55" s="573">
        <v>0</v>
      </c>
      <c r="F55" s="574">
        <v>0</v>
      </c>
      <c r="G55" s="574">
        <v>0</v>
      </c>
      <c r="H55" s="574">
        <v>0</v>
      </c>
      <c r="I55" s="574">
        <v>2477402</v>
      </c>
      <c r="J55" s="574">
        <v>0</v>
      </c>
      <c r="K55" s="575">
        <v>48617369</v>
      </c>
      <c r="L55" s="572">
        <v>0</v>
      </c>
      <c r="M55" s="572">
        <v>0</v>
      </c>
      <c r="N55" s="571">
        <v>0</v>
      </c>
      <c r="O55" s="571">
        <v>0</v>
      </c>
      <c r="P55" s="571">
        <v>0</v>
      </c>
      <c r="Q55" s="571">
        <v>0</v>
      </c>
      <c r="R55" s="571">
        <v>0</v>
      </c>
      <c r="S55" s="571">
        <v>0</v>
      </c>
      <c r="T55" s="571">
        <v>0</v>
      </c>
      <c r="U55" s="571">
        <v>0</v>
      </c>
      <c r="V55" s="571">
        <v>0</v>
      </c>
      <c r="W55" s="571">
        <v>0</v>
      </c>
      <c r="X55" s="571">
        <v>0</v>
      </c>
      <c r="Y55" s="571">
        <v>0</v>
      </c>
      <c r="Z55" s="571">
        <v>0</v>
      </c>
      <c r="AA55" s="571">
        <v>23307484</v>
      </c>
      <c r="AB55" s="572">
        <v>0</v>
      </c>
      <c r="AC55" s="572">
        <v>0</v>
      </c>
      <c r="AD55" s="572">
        <v>0</v>
      </c>
      <c r="AE55" s="572">
        <v>0</v>
      </c>
      <c r="AF55" s="572">
        <v>0</v>
      </c>
      <c r="AG55" s="572">
        <v>0</v>
      </c>
      <c r="AH55" s="572">
        <v>0</v>
      </c>
      <c r="AI55" s="572">
        <v>0</v>
      </c>
      <c r="AJ55" s="572">
        <v>0</v>
      </c>
      <c r="AK55" s="572">
        <v>0</v>
      </c>
      <c r="AL55" s="572">
        <v>0</v>
      </c>
      <c r="AM55" s="572">
        <v>0</v>
      </c>
      <c r="AN55" s="572">
        <v>0</v>
      </c>
      <c r="AO55" s="572">
        <v>0</v>
      </c>
      <c r="AP55" s="572">
        <v>0</v>
      </c>
      <c r="AQ55" s="572">
        <v>0</v>
      </c>
      <c r="AR55" s="572">
        <v>0</v>
      </c>
      <c r="AS55" s="572">
        <v>0</v>
      </c>
      <c r="AT55" s="572">
        <v>0</v>
      </c>
      <c r="AU55" s="572">
        <v>0</v>
      </c>
      <c r="AV55" s="572">
        <v>0</v>
      </c>
      <c r="AW55" s="572">
        <v>0</v>
      </c>
      <c r="AX55" s="572">
        <v>0</v>
      </c>
      <c r="AY55" s="572">
        <v>21040061</v>
      </c>
      <c r="AZ55" s="572">
        <v>0</v>
      </c>
      <c r="BA55" s="572">
        <v>0</v>
      </c>
      <c r="BB55" s="572">
        <v>0</v>
      </c>
      <c r="BC55" s="572">
        <v>0</v>
      </c>
      <c r="BD55" s="572">
        <v>0</v>
      </c>
      <c r="BE55" s="572">
        <v>245151</v>
      </c>
      <c r="BF55" s="572">
        <v>0</v>
      </c>
      <c r="BG55" s="572">
        <v>0</v>
      </c>
      <c r="BH55" s="572">
        <v>34907819</v>
      </c>
      <c r="BI55" s="572">
        <v>0</v>
      </c>
      <c r="BJ55" s="572">
        <v>0</v>
      </c>
      <c r="BK55" s="572">
        <v>0</v>
      </c>
      <c r="BL55" s="572">
        <v>9194364</v>
      </c>
      <c r="BM55" s="572">
        <v>0</v>
      </c>
      <c r="BN55" s="572">
        <v>0</v>
      </c>
      <c r="BO55" s="572">
        <v>0</v>
      </c>
      <c r="BP55" s="572">
        <v>0</v>
      </c>
      <c r="BQ55" s="572">
        <v>0</v>
      </c>
      <c r="BR55" s="572">
        <v>0</v>
      </c>
      <c r="BS55" s="572">
        <v>0</v>
      </c>
      <c r="BT55" s="572">
        <v>0</v>
      </c>
      <c r="BU55" s="572">
        <v>0</v>
      </c>
      <c r="BV55" s="572">
        <v>0</v>
      </c>
      <c r="BW55" s="572">
        <v>0</v>
      </c>
      <c r="BX55" s="572">
        <v>0</v>
      </c>
      <c r="BY55" s="572">
        <v>0</v>
      </c>
      <c r="BZ55" s="572">
        <v>0</v>
      </c>
      <c r="CA55" s="572">
        <v>0</v>
      </c>
      <c r="CB55" s="572">
        <v>0</v>
      </c>
      <c r="CC55" s="572">
        <v>126336420</v>
      </c>
      <c r="CD55" s="572">
        <v>0</v>
      </c>
      <c r="CE55" s="572">
        <v>5367929</v>
      </c>
      <c r="CF55" s="572">
        <v>0</v>
      </c>
      <c r="CG55" s="572">
        <v>0</v>
      </c>
      <c r="CH55" s="572">
        <v>0</v>
      </c>
      <c r="CI55" s="572">
        <v>7265794</v>
      </c>
      <c r="CJ55" s="572">
        <v>0</v>
      </c>
      <c r="CK55" s="572">
        <v>0</v>
      </c>
      <c r="CL55" s="572">
        <v>0</v>
      </c>
      <c r="CM55" s="572">
        <v>0</v>
      </c>
      <c r="CN55" s="572">
        <v>0</v>
      </c>
      <c r="CO55" s="572">
        <v>0</v>
      </c>
      <c r="CP55" s="572">
        <v>0</v>
      </c>
      <c r="CQ55" s="572">
        <v>0</v>
      </c>
    </row>
    <row r="56" spans="1:95" ht="30" x14ac:dyDescent="0.25">
      <c r="A56" s="668">
        <v>94</v>
      </c>
      <c r="B56" s="590">
        <v>94</v>
      </c>
      <c r="C56" s="570" t="s">
        <v>325</v>
      </c>
      <c r="D56" s="567" t="s">
        <v>723</v>
      </c>
      <c r="E56" s="573">
        <v>0</v>
      </c>
      <c r="F56" s="574">
        <v>0</v>
      </c>
      <c r="G56" s="574">
        <v>0</v>
      </c>
      <c r="H56" s="574">
        <v>0</v>
      </c>
      <c r="I56" s="574">
        <v>2079254</v>
      </c>
      <c r="J56" s="574">
        <v>0</v>
      </c>
      <c r="K56" s="575">
        <v>44687394</v>
      </c>
      <c r="L56" s="572">
        <v>0</v>
      </c>
      <c r="M56" s="572">
        <v>0</v>
      </c>
      <c r="N56" s="571">
        <v>0</v>
      </c>
      <c r="O56" s="571">
        <v>0</v>
      </c>
      <c r="P56" s="571">
        <v>0</v>
      </c>
      <c r="Q56" s="571">
        <v>0</v>
      </c>
      <c r="R56" s="571">
        <v>0</v>
      </c>
      <c r="S56" s="571">
        <v>0</v>
      </c>
      <c r="T56" s="571">
        <v>0</v>
      </c>
      <c r="U56" s="571">
        <v>0</v>
      </c>
      <c r="V56" s="571">
        <v>0</v>
      </c>
      <c r="W56" s="571">
        <v>0</v>
      </c>
      <c r="X56" s="571">
        <v>0</v>
      </c>
      <c r="Y56" s="571">
        <v>0</v>
      </c>
      <c r="Z56" s="571">
        <v>0</v>
      </c>
      <c r="AA56" s="571">
        <v>19422920</v>
      </c>
      <c r="AB56" s="572">
        <v>0</v>
      </c>
      <c r="AC56" s="572">
        <v>0</v>
      </c>
      <c r="AD56" s="572">
        <v>0</v>
      </c>
      <c r="AE56" s="572">
        <v>0</v>
      </c>
      <c r="AF56" s="572">
        <v>0</v>
      </c>
      <c r="AG56" s="572">
        <v>0</v>
      </c>
      <c r="AH56" s="572">
        <v>0</v>
      </c>
      <c r="AI56" s="572">
        <v>0</v>
      </c>
      <c r="AJ56" s="572">
        <v>0</v>
      </c>
      <c r="AK56" s="572">
        <v>0</v>
      </c>
      <c r="AL56" s="572">
        <v>0</v>
      </c>
      <c r="AM56" s="572">
        <v>0</v>
      </c>
      <c r="AN56" s="572">
        <v>0</v>
      </c>
      <c r="AO56" s="572">
        <v>0</v>
      </c>
      <c r="AP56" s="572">
        <v>0</v>
      </c>
      <c r="AQ56" s="572">
        <v>0</v>
      </c>
      <c r="AR56" s="572">
        <v>0</v>
      </c>
      <c r="AS56" s="572">
        <v>0</v>
      </c>
      <c r="AT56" s="572">
        <v>0</v>
      </c>
      <c r="AU56" s="572">
        <v>0</v>
      </c>
      <c r="AV56" s="572">
        <v>0</v>
      </c>
      <c r="AW56" s="572">
        <v>0</v>
      </c>
      <c r="AX56" s="572">
        <v>0</v>
      </c>
      <c r="AY56" s="572">
        <v>20141476</v>
      </c>
      <c r="AZ56" s="572">
        <v>0</v>
      </c>
      <c r="BA56" s="572">
        <v>0</v>
      </c>
      <c r="BB56" s="572">
        <v>0</v>
      </c>
      <c r="BC56" s="572">
        <v>0</v>
      </c>
      <c r="BD56" s="572">
        <v>0</v>
      </c>
      <c r="BE56" s="572">
        <v>213026</v>
      </c>
      <c r="BF56" s="572">
        <v>0</v>
      </c>
      <c r="BG56" s="572">
        <v>0</v>
      </c>
      <c r="BH56" s="572">
        <v>28738190</v>
      </c>
      <c r="BI56" s="572">
        <v>0</v>
      </c>
      <c r="BJ56" s="572">
        <v>0</v>
      </c>
      <c r="BK56" s="572">
        <v>0</v>
      </c>
      <c r="BL56" s="572">
        <v>7305547</v>
      </c>
      <c r="BM56" s="572">
        <v>0</v>
      </c>
      <c r="BN56" s="572">
        <v>0</v>
      </c>
      <c r="BO56" s="572">
        <v>0</v>
      </c>
      <c r="BP56" s="572">
        <v>0</v>
      </c>
      <c r="BQ56" s="572">
        <v>0</v>
      </c>
      <c r="BR56" s="572">
        <v>0</v>
      </c>
      <c r="BS56" s="572">
        <v>0</v>
      </c>
      <c r="BT56" s="572">
        <v>0</v>
      </c>
      <c r="BU56" s="572">
        <v>0</v>
      </c>
      <c r="BV56" s="572">
        <v>0</v>
      </c>
      <c r="BW56" s="572">
        <v>0</v>
      </c>
      <c r="BX56" s="572">
        <v>0</v>
      </c>
      <c r="BY56" s="572">
        <v>0</v>
      </c>
      <c r="BZ56" s="572">
        <v>0</v>
      </c>
      <c r="CA56" s="572">
        <v>0</v>
      </c>
      <c r="CB56" s="572">
        <v>0</v>
      </c>
      <c r="CC56" s="572">
        <v>115832918</v>
      </c>
      <c r="CD56" s="572">
        <v>0</v>
      </c>
      <c r="CE56" s="572">
        <v>4594404</v>
      </c>
      <c r="CF56" s="572">
        <v>0</v>
      </c>
      <c r="CG56" s="572">
        <v>0</v>
      </c>
      <c r="CH56" s="572">
        <v>0</v>
      </c>
      <c r="CI56" s="572">
        <v>6385057</v>
      </c>
      <c r="CJ56" s="572">
        <v>0</v>
      </c>
      <c r="CK56" s="572">
        <v>0</v>
      </c>
      <c r="CL56" s="572">
        <v>0</v>
      </c>
      <c r="CM56" s="572">
        <v>0</v>
      </c>
      <c r="CN56" s="572">
        <v>0</v>
      </c>
      <c r="CO56" s="572">
        <v>0</v>
      </c>
      <c r="CP56" s="572">
        <v>0</v>
      </c>
      <c r="CQ56" s="572">
        <v>0</v>
      </c>
    </row>
    <row r="57" spans="1:95" x14ac:dyDescent="0.25">
      <c r="A57" s="668">
        <v>97</v>
      </c>
      <c r="B57" s="590">
        <v>97</v>
      </c>
      <c r="C57" s="570" t="s">
        <v>321</v>
      </c>
      <c r="D57" s="567" t="s">
        <v>724</v>
      </c>
      <c r="E57" s="573">
        <v>0</v>
      </c>
      <c r="F57" s="574">
        <v>0</v>
      </c>
      <c r="G57" s="574">
        <v>0</v>
      </c>
      <c r="H57" s="574">
        <v>0</v>
      </c>
      <c r="I57" s="574">
        <v>2444751</v>
      </c>
      <c r="J57" s="574">
        <v>0</v>
      </c>
      <c r="K57" s="575">
        <v>47405798</v>
      </c>
      <c r="L57" s="572">
        <v>0</v>
      </c>
      <c r="M57" s="572">
        <v>0</v>
      </c>
      <c r="N57" s="571">
        <v>0</v>
      </c>
      <c r="O57" s="571">
        <v>0</v>
      </c>
      <c r="P57" s="571">
        <v>0</v>
      </c>
      <c r="Q57" s="571">
        <v>0</v>
      </c>
      <c r="R57" s="571">
        <v>0</v>
      </c>
      <c r="S57" s="571">
        <v>0</v>
      </c>
      <c r="T57" s="571">
        <v>0</v>
      </c>
      <c r="U57" s="571">
        <v>0</v>
      </c>
      <c r="V57" s="571">
        <v>0</v>
      </c>
      <c r="W57" s="571">
        <v>0</v>
      </c>
      <c r="X57" s="571">
        <v>0</v>
      </c>
      <c r="Y57" s="571">
        <v>0</v>
      </c>
      <c r="Z57" s="571">
        <v>0</v>
      </c>
      <c r="AA57" s="571">
        <v>23169158</v>
      </c>
      <c r="AB57" s="572">
        <v>0</v>
      </c>
      <c r="AC57" s="572">
        <v>0</v>
      </c>
      <c r="AD57" s="572">
        <v>0</v>
      </c>
      <c r="AE57" s="572">
        <v>0</v>
      </c>
      <c r="AF57" s="572">
        <v>0</v>
      </c>
      <c r="AG57" s="572">
        <v>0</v>
      </c>
      <c r="AH57" s="572">
        <v>0</v>
      </c>
      <c r="AI57" s="572">
        <v>0</v>
      </c>
      <c r="AJ57" s="572">
        <v>0</v>
      </c>
      <c r="AK57" s="572">
        <v>0</v>
      </c>
      <c r="AL57" s="572">
        <v>0</v>
      </c>
      <c r="AM57" s="572">
        <v>0</v>
      </c>
      <c r="AN57" s="572">
        <v>0</v>
      </c>
      <c r="AO57" s="572">
        <v>0</v>
      </c>
      <c r="AP57" s="572">
        <v>0</v>
      </c>
      <c r="AQ57" s="572">
        <v>0</v>
      </c>
      <c r="AR57" s="572">
        <v>0</v>
      </c>
      <c r="AS57" s="572">
        <v>0</v>
      </c>
      <c r="AT57" s="572">
        <v>0</v>
      </c>
      <c r="AU57" s="572">
        <v>0</v>
      </c>
      <c r="AV57" s="572">
        <v>0</v>
      </c>
      <c r="AW57" s="572">
        <v>0</v>
      </c>
      <c r="AX57" s="572">
        <v>0</v>
      </c>
      <c r="AY57" s="572">
        <v>19199890</v>
      </c>
      <c r="AZ57" s="572">
        <v>0</v>
      </c>
      <c r="BA57" s="572">
        <v>0</v>
      </c>
      <c r="BB57" s="572">
        <v>0</v>
      </c>
      <c r="BC57" s="572">
        <v>0</v>
      </c>
      <c r="BD57" s="572">
        <v>0</v>
      </c>
      <c r="BE57" s="572">
        <v>245151</v>
      </c>
      <c r="BF57" s="572">
        <v>0</v>
      </c>
      <c r="BG57" s="572">
        <v>0</v>
      </c>
      <c r="BH57" s="572">
        <v>34455424</v>
      </c>
      <c r="BI57" s="572">
        <v>0</v>
      </c>
      <c r="BJ57" s="572">
        <v>0</v>
      </c>
      <c r="BK57" s="572">
        <v>0</v>
      </c>
      <c r="BL57" s="572">
        <v>9194364</v>
      </c>
      <c r="BM57" s="572">
        <v>0</v>
      </c>
      <c r="BN57" s="572">
        <v>0</v>
      </c>
      <c r="BO57" s="572">
        <v>0</v>
      </c>
      <c r="BP57" s="572">
        <v>0</v>
      </c>
      <c r="BQ57" s="572">
        <v>0</v>
      </c>
      <c r="BR57" s="572">
        <v>0</v>
      </c>
      <c r="BS57" s="572">
        <v>0</v>
      </c>
      <c r="BT57" s="572">
        <v>0</v>
      </c>
      <c r="BU57" s="572">
        <v>0</v>
      </c>
      <c r="BV57" s="572">
        <v>0</v>
      </c>
      <c r="BW57" s="572">
        <v>0</v>
      </c>
      <c r="BX57" s="572">
        <v>0</v>
      </c>
      <c r="BY57" s="572">
        <v>0</v>
      </c>
      <c r="BZ57" s="572">
        <v>0</v>
      </c>
      <c r="CA57" s="572">
        <v>0</v>
      </c>
      <c r="CB57" s="572">
        <v>0</v>
      </c>
      <c r="CC57" s="572">
        <v>124345525</v>
      </c>
      <c r="CD57" s="572">
        <v>0</v>
      </c>
      <c r="CE57" s="572">
        <v>5343055</v>
      </c>
      <c r="CF57" s="572">
        <v>0</v>
      </c>
      <c r="CG57" s="572">
        <v>0</v>
      </c>
      <c r="CH57" s="572">
        <v>0</v>
      </c>
      <c r="CI57" s="572">
        <v>6758976</v>
      </c>
      <c r="CJ57" s="572">
        <v>0</v>
      </c>
      <c r="CK57" s="572">
        <v>0</v>
      </c>
      <c r="CL57" s="572">
        <v>0</v>
      </c>
      <c r="CM57" s="572">
        <v>0</v>
      </c>
      <c r="CN57" s="572">
        <v>0</v>
      </c>
      <c r="CO57" s="572">
        <v>0</v>
      </c>
      <c r="CP57" s="572">
        <v>0</v>
      </c>
      <c r="CQ57" s="572">
        <v>0</v>
      </c>
    </row>
    <row r="58" spans="1:95" x14ac:dyDescent="0.25">
      <c r="A58" s="668">
        <v>98</v>
      </c>
      <c r="B58" s="590">
        <v>98</v>
      </c>
      <c r="C58" s="570" t="s">
        <v>326</v>
      </c>
      <c r="D58" s="567" t="s">
        <v>725</v>
      </c>
      <c r="E58" s="573">
        <v>0</v>
      </c>
      <c r="F58" s="574">
        <v>0</v>
      </c>
      <c r="G58" s="574">
        <v>0</v>
      </c>
      <c r="H58" s="574">
        <v>0</v>
      </c>
      <c r="I58" s="574">
        <v>0</v>
      </c>
      <c r="J58" s="574">
        <v>0</v>
      </c>
      <c r="K58" s="575">
        <v>0</v>
      </c>
      <c r="L58" s="572">
        <v>0</v>
      </c>
      <c r="M58" s="572">
        <v>0</v>
      </c>
      <c r="N58" s="571">
        <v>0</v>
      </c>
      <c r="O58" s="571">
        <v>0</v>
      </c>
      <c r="P58" s="571">
        <v>0</v>
      </c>
      <c r="Q58" s="571">
        <v>0</v>
      </c>
      <c r="R58" s="571">
        <v>0</v>
      </c>
      <c r="S58" s="571">
        <v>0</v>
      </c>
      <c r="T58" s="571">
        <v>0</v>
      </c>
      <c r="U58" s="571">
        <v>0</v>
      </c>
      <c r="V58" s="571">
        <v>0</v>
      </c>
      <c r="W58" s="571">
        <v>0</v>
      </c>
      <c r="X58" s="571">
        <v>0</v>
      </c>
      <c r="Y58" s="571">
        <v>0</v>
      </c>
      <c r="Z58" s="571">
        <v>0</v>
      </c>
      <c r="AA58" s="571">
        <v>993</v>
      </c>
      <c r="AB58" s="572">
        <v>0</v>
      </c>
      <c r="AC58" s="572">
        <v>0</v>
      </c>
      <c r="AD58" s="572">
        <v>0</v>
      </c>
      <c r="AE58" s="572">
        <v>0</v>
      </c>
      <c r="AF58" s="572">
        <v>0</v>
      </c>
      <c r="AG58" s="572">
        <v>0</v>
      </c>
      <c r="AH58" s="572">
        <v>0</v>
      </c>
      <c r="AI58" s="572">
        <v>0</v>
      </c>
      <c r="AJ58" s="572">
        <v>0</v>
      </c>
      <c r="AK58" s="572">
        <v>0</v>
      </c>
      <c r="AL58" s="572">
        <v>0</v>
      </c>
      <c r="AM58" s="572">
        <v>0</v>
      </c>
      <c r="AN58" s="572">
        <v>0</v>
      </c>
      <c r="AO58" s="572">
        <v>0</v>
      </c>
      <c r="AP58" s="572">
        <v>0</v>
      </c>
      <c r="AQ58" s="572">
        <v>0</v>
      </c>
      <c r="AR58" s="572">
        <v>0</v>
      </c>
      <c r="AS58" s="572">
        <v>0</v>
      </c>
      <c r="AT58" s="572">
        <v>0</v>
      </c>
      <c r="AU58" s="572">
        <v>0</v>
      </c>
      <c r="AV58" s="572">
        <v>0</v>
      </c>
      <c r="AW58" s="572">
        <v>0</v>
      </c>
      <c r="AX58" s="572">
        <v>0</v>
      </c>
      <c r="AY58" s="572">
        <v>59413</v>
      </c>
      <c r="AZ58" s="572">
        <v>0</v>
      </c>
      <c r="BA58" s="572">
        <v>0</v>
      </c>
      <c r="BB58" s="572">
        <v>0</v>
      </c>
      <c r="BC58" s="572">
        <v>0</v>
      </c>
      <c r="BD58" s="572">
        <v>0</v>
      </c>
      <c r="BE58" s="572">
        <v>0</v>
      </c>
      <c r="BF58" s="572">
        <v>0</v>
      </c>
      <c r="BG58" s="572">
        <v>0</v>
      </c>
      <c r="BH58" s="572">
        <v>307</v>
      </c>
      <c r="BI58" s="572">
        <v>0</v>
      </c>
      <c r="BJ58" s="572">
        <v>0</v>
      </c>
      <c r="BK58" s="572">
        <v>0</v>
      </c>
      <c r="BL58" s="572">
        <v>21177</v>
      </c>
      <c r="BM58" s="572">
        <v>0</v>
      </c>
      <c r="BN58" s="572">
        <v>0</v>
      </c>
      <c r="BO58" s="572">
        <v>0</v>
      </c>
      <c r="BP58" s="572">
        <v>0</v>
      </c>
      <c r="BQ58" s="572">
        <v>0</v>
      </c>
      <c r="BR58" s="572">
        <v>0</v>
      </c>
      <c r="BS58" s="572">
        <v>0</v>
      </c>
      <c r="BT58" s="572">
        <v>0</v>
      </c>
      <c r="BU58" s="572">
        <v>0</v>
      </c>
      <c r="BV58" s="572">
        <v>0</v>
      </c>
      <c r="BW58" s="572">
        <v>0</v>
      </c>
      <c r="BX58" s="572">
        <v>0</v>
      </c>
      <c r="BY58" s="572">
        <v>0</v>
      </c>
      <c r="BZ58" s="572">
        <v>0</v>
      </c>
      <c r="CA58" s="572">
        <v>0</v>
      </c>
      <c r="CB58" s="572">
        <v>0</v>
      </c>
      <c r="CC58" s="572">
        <v>762483</v>
      </c>
      <c r="CD58" s="572">
        <v>0</v>
      </c>
      <c r="CE58" s="572">
        <v>0</v>
      </c>
      <c r="CF58" s="572">
        <v>0</v>
      </c>
      <c r="CG58" s="572">
        <v>0</v>
      </c>
      <c r="CH58" s="572">
        <v>0</v>
      </c>
      <c r="CI58" s="572">
        <v>39031</v>
      </c>
      <c r="CJ58" s="572">
        <v>0</v>
      </c>
      <c r="CK58" s="572">
        <v>0</v>
      </c>
      <c r="CL58" s="572">
        <v>0</v>
      </c>
      <c r="CM58" s="572">
        <v>0</v>
      </c>
      <c r="CN58" s="572">
        <v>0</v>
      </c>
      <c r="CO58" s="572">
        <v>0</v>
      </c>
      <c r="CP58" s="572">
        <v>0</v>
      </c>
      <c r="CQ58" s="572">
        <v>0</v>
      </c>
    </row>
    <row r="59" spans="1:95" ht="30" x14ac:dyDescent="0.25">
      <c r="A59" s="668">
        <v>99</v>
      </c>
      <c r="B59" s="590">
        <v>99</v>
      </c>
      <c r="C59" s="570" t="s">
        <v>323</v>
      </c>
      <c r="D59" s="567" t="s">
        <v>726</v>
      </c>
      <c r="E59" s="573">
        <v>0</v>
      </c>
      <c r="F59" s="574">
        <v>0</v>
      </c>
      <c r="G59" s="574">
        <v>0</v>
      </c>
      <c r="H59" s="574">
        <v>0</v>
      </c>
      <c r="I59" s="574">
        <v>1430723</v>
      </c>
      <c r="J59" s="574">
        <v>0</v>
      </c>
      <c r="K59" s="575">
        <v>38642520</v>
      </c>
      <c r="L59" s="572">
        <v>0</v>
      </c>
      <c r="M59" s="572">
        <v>0</v>
      </c>
      <c r="N59" s="571">
        <v>0</v>
      </c>
      <c r="O59" s="571">
        <v>0</v>
      </c>
      <c r="P59" s="571">
        <v>0</v>
      </c>
      <c r="Q59" s="571">
        <v>0</v>
      </c>
      <c r="R59" s="571">
        <v>0</v>
      </c>
      <c r="S59" s="571">
        <v>0</v>
      </c>
      <c r="T59" s="571">
        <v>0</v>
      </c>
      <c r="U59" s="571">
        <v>0</v>
      </c>
      <c r="V59" s="571">
        <v>0</v>
      </c>
      <c r="W59" s="571">
        <v>0</v>
      </c>
      <c r="X59" s="571">
        <v>0</v>
      </c>
      <c r="Y59" s="571">
        <v>0</v>
      </c>
      <c r="Z59" s="571">
        <v>0</v>
      </c>
      <c r="AA59" s="571">
        <v>14455343</v>
      </c>
      <c r="AB59" s="572">
        <v>0</v>
      </c>
      <c r="AC59" s="572">
        <v>0</v>
      </c>
      <c r="AD59" s="572">
        <v>0</v>
      </c>
      <c r="AE59" s="572">
        <v>0</v>
      </c>
      <c r="AF59" s="572">
        <v>0</v>
      </c>
      <c r="AG59" s="572">
        <v>0</v>
      </c>
      <c r="AH59" s="572">
        <v>0</v>
      </c>
      <c r="AI59" s="572">
        <v>0</v>
      </c>
      <c r="AJ59" s="572">
        <v>0</v>
      </c>
      <c r="AK59" s="572">
        <v>0</v>
      </c>
      <c r="AL59" s="572">
        <v>0</v>
      </c>
      <c r="AM59" s="572">
        <v>0</v>
      </c>
      <c r="AN59" s="572">
        <v>0</v>
      </c>
      <c r="AO59" s="572">
        <v>0</v>
      </c>
      <c r="AP59" s="572">
        <v>0</v>
      </c>
      <c r="AQ59" s="572">
        <v>0</v>
      </c>
      <c r="AR59" s="572">
        <v>0</v>
      </c>
      <c r="AS59" s="572">
        <v>0</v>
      </c>
      <c r="AT59" s="572">
        <v>0</v>
      </c>
      <c r="AU59" s="572">
        <v>0</v>
      </c>
      <c r="AV59" s="572">
        <v>0</v>
      </c>
      <c r="AW59" s="572">
        <v>0</v>
      </c>
      <c r="AX59" s="572">
        <v>0</v>
      </c>
      <c r="AY59" s="572">
        <v>12020879</v>
      </c>
      <c r="AZ59" s="572">
        <v>0</v>
      </c>
      <c r="BA59" s="572">
        <v>0</v>
      </c>
      <c r="BB59" s="572">
        <v>0</v>
      </c>
      <c r="BC59" s="572">
        <v>0</v>
      </c>
      <c r="BD59" s="572">
        <v>0</v>
      </c>
      <c r="BE59" s="572">
        <v>168356</v>
      </c>
      <c r="BF59" s="572">
        <v>0</v>
      </c>
      <c r="BG59" s="572">
        <v>0</v>
      </c>
      <c r="BH59" s="572">
        <v>22034745</v>
      </c>
      <c r="BI59" s="572">
        <v>0</v>
      </c>
      <c r="BJ59" s="572">
        <v>0</v>
      </c>
      <c r="BK59" s="572">
        <v>0</v>
      </c>
      <c r="BL59" s="572">
        <v>5602669</v>
      </c>
      <c r="BM59" s="572">
        <v>0</v>
      </c>
      <c r="BN59" s="572">
        <v>0</v>
      </c>
      <c r="BO59" s="572">
        <v>0</v>
      </c>
      <c r="BP59" s="572">
        <v>0</v>
      </c>
      <c r="BQ59" s="572">
        <v>0</v>
      </c>
      <c r="BR59" s="572">
        <v>0</v>
      </c>
      <c r="BS59" s="572">
        <v>0</v>
      </c>
      <c r="BT59" s="572">
        <v>0</v>
      </c>
      <c r="BU59" s="572">
        <v>0</v>
      </c>
      <c r="BV59" s="572">
        <v>0</v>
      </c>
      <c r="BW59" s="572">
        <v>0</v>
      </c>
      <c r="BX59" s="572">
        <v>0</v>
      </c>
      <c r="BY59" s="572">
        <v>0</v>
      </c>
      <c r="BZ59" s="572">
        <v>0</v>
      </c>
      <c r="CA59" s="572">
        <v>0</v>
      </c>
      <c r="CB59" s="572">
        <v>0</v>
      </c>
      <c r="CC59" s="572">
        <v>84697883</v>
      </c>
      <c r="CD59" s="572">
        <v>0</v>
      </c>
      <c r="CE59" s="572">
        <v>3079234</v>
      </c>
      <c r="CF59" s="572">
        <v>0</v>
      </c>
      <c r="CG59" s="572">
        <v>0</v>
      </c>
      <c r="CH59" s="572">
        <v>0</v>
      </c>
      <c r="CI59" s="572">
        <v>3815522</v>
      </c>
      <c r="CJ59" s="572">
        <v>0</v>
      </c>
      <c r="CK59" s="572">
        <v>0</v>
      </c>
      <c r="CL59" s="572">
        <v>0</v>
      </c>
      <c r="CM59" s="572">
        <v>0</v>
      </c>
      <c r="CN59" s="572">
        <v>0</v>
      </c>
      <c r="CO59" s="572">
        <v>0</v>
      </c>
      <c r="CP59" s="572">
        <v>0</v>
      </c>
      <c r="CQ59" s="572">
        <v>0</v>
      </c>
    </row>
    <row r="60" spans="1:95" ht="30" x14ac:dyDescent="0.25">
      <c r="A60" s="668">
        <v>100</v>
      </c>
      <c r="B60" s="590">
        <v>100</v>
      </c>
      <c r="C60" s="570" t="s">
        <v>336</v>
      </c>
      <c r="D60" s="567" t="s">
        <v>727</v>
      </c>
      <c r="E60" s="573">
        <v>0</v>
      </c>
      <c r="F60" s="574">
        <v>0</v>
      </c>
      <c r="G60" s="574">
        <v>0</v>
      </c>
      <c r="H60" s="574">
        <v>0</v>
      </c>
      <c r="I60" s="574">
        <v>0</v>
      </c>
      <c r="J60" s="574">
        <v>0</v>
      </c>
      <c r="K60" s="575">
        <v>0</v>
      </c>
      <c r="L60" s="572">
        <v>0</v>
      </c>
      <c r="M60" s="572">
        <v>0</v>
      </c>
      <c r="N60" s="571">
        <v>0</v>
      </c>
      <c r="O60" s="571">
        <v>0</v>
      </c>
      <c r="P60" s="571">
        <v>0</v>
      </c>
      <c r="Q60" s="571">
        <v>0</v>
      </c>
      <c r="R60" s="571">
        <v>0</v>
      </c>
      <c r="S60" s="571">
        <v>0</v>
      </c>
      <c r="T60" s="571">
        <v>0</v>
      </c>
      <c r="U60" s="571">
        <v>0</v>
      </c>
      <c r="V60" s="571">
        <v>0</v>
      </c>
      <c r="W60" s="571">
        <v>0</v>
      </c>
      <c r="X60" s="571">
        <v>0</v>
      </c>
      <c r="Y60" s="571">
        <v>0</v>
      </c>
      <c r="Z60" s="571">
        <v>0</v>
      </c>
      <c r="AA60" s="571">
        <v>44852</v>
      </c>
      <c r="AB60" s="572">
        <v>0</v>
      </c>
      <c r="AC60" s="572">
        <v>0</v>
      </c>
      <c r="AD60" s="572">
        <v>0</v>
      </c>
      <c r="AE60" s="572">
        <v>0</v>
      </c>
      <c r="AF60" s="572">
        <v>0</v>
      </c>
      <c r="AG60" s="572">
        <v>0</v>
      </c>
      <c r="AH60" s="572">
        <v>0</v>
      </c>
      <c r="AI60" s="572">
        <v>0</v>
      </c>
      <c r="AJ60" s="572">
        <v>0</v>
      </c>
      <c r="AK60" s="572">
        <v>0</v>
      </c>
      <c r="AL60" s="572">
        <v>0</v>
      </c>
      <c r="AM60" s="572">
        <v>0</v>
      </c>
      <c r="AN60" s="572">
        <v>0</v>
      </c>
      <c r="AO60" s="572">
        <v>0</v>
      </c>
      <c r="AP60" s="572">
        <v>0</v>
      </c>
      <c r="AQ60" s="572">
        <v>0</v>
      </c>
      <c r="AR60" s="572">
        <v>0</v>
      </c>
      <c r="AS60" s="572">
        <v>0</v>
      </c>
      <c r="AT60" s="572">
        <v>0</v>
      </c>
      <c r="AU60" s="572">
        <v>0</v>
      </c>
      <c r="AV60" s="572">
        <v>0</v>
      </c>
      <c r="AW60" s="572">
        <v>0</v>
      </c>
      <c r="AX60" s="572">
        <v>0</v>
      </c>
      <c r="AY60" s="572">
        <v>610059</v>
      </c>
      <c r="AZ60" s="572">
        <v>0</v>
      </c>
      <c r="BA60" s="572">
        <v>0</v>
      </c>
      <c r="BB60" s="572">
        <v>0</v>
      </c>
      <c r="BC60" s="572">
        <v>0</v>
      </c>
      <c r="BD60" s="572">
        <v>0</v>
      </c>
      <c r="BE60" s="572">
        <v>0</v>
      </c>
      <c r="BF60" s="572">
        <v>0</v>
      </c>
      <c r="BG60" s="572">
        <v>0</v>
      </c>
      <c r="BH60" s="572">
        <v>60160</v>
      </c>
      <c r="BI60" s="572">
        <v>0</v>
      </c>
      <c r="BJ60" s="572">
        <v>0</v>
      </c>
      <c r="BK60" s="572">
        <v>0</v>
      </c>
      <c r="BL60" s="572">
        <v>329432</v>
      </c>
      <c r="BM60" s="572">
        <v>0</v>
      </c>
      <c r="BN60" s="572">
        <v>0</v>
      </c>
      <c r="BO60" s="572">
        <v>0</v>
      </c>
      <c r="BP60" s="572">
        <v>0</v>
      </c>
      <c r="BQ60" s="572">
        <v>0</v>
      </c>
      <c r="BR60" s="572">
        <v>0</v>
      </c>
      <c r="BS60" s="572">
        <v>0</v>
      </c>
      <c r="BT60" s="572">
        <v>0</v>
      </c>
      <c r="BU60" s="572">
        <v>0</v>
      </c>
      <c r="BV60" s="572">
        <v>0</v>
      </c>
      <c r="BW60" s="572">
        <v>0</v>
      </c>
      <c r="BX60" s="572">
        <v>0</v>
      </c>
      <c r="BY60" s="572">
        <v>0</v>
      </c>
      <c r="BZ60" s="572">
        <v>0</v>
      </c>
      <c r="CA60" s="572">
        <v>0</v>
      </c>
      <c r="CB60" s="572">
        <v>0</v>
      </c>
      <c r="CC60" s="572">
        <v>1086756</v>
      </c>
      <c r="CD60" s="572">
        <v>0</v>
      </c>
      <c r="CE60" s="572">
        <v>0</v>
      </c>
      <c r="CF60" s="572">
        <v>0</v>
      </c>
      <c r="CG60" s="572">
        <v>0</v>
      </c>
      <c r="CH60" s="572">
        <v>0</v>
      </c>
      <c r="CI60" s="572">
        <v>285504</v>
      </c>
      <c r="CJ60" s="572">
        <v>0</v>
      </c>
      <c r="CK60" s="572">
        <v>0</v>
      </c>
      <c r="CL60" s="572">
        <v>0</v>
      </c>
      <c r="CM60" s="572">
        <v>0</v>
      </c>
      <c r="CN60" s="572">
        <v>0</v>
      </c>
      <c r="CO60" s="572">
        <v>0</v>
      </c>
      <c r="CP60" s="572">
        <v>0</v>
      </c>
      <c r="CQ60" s="572">
        <v>0</v>
      </c>
    </row>
    <row r="61" spans="1:95" ht="30" x14ac:dyDescent="0.25">
      <c r="A61" s="668">
        <v>101</v>
      </c>
      <c r="B61" s="590">
        <v>101</v>
      </c>
      <c r="C61" s="570" t="s">
        <v>335</v>
      </c>
      <c r="D61" s="567" t="s">
        <v>728</v>
      </c>
      <c r="E61" s="573">
        <v>0</v>
      </c>
      <c r="F61" s="574">
        <v>0</v>
      </c>
      <c r="G61" s="574">
        <v>0</v>
      </c>
      <c r="H61" s="574">
        <v>0</v>
      </c>
      <c r="I61" s="574">
        <v>136563</v>
      </c>
      <c r="J61" s="574">
        <v>0</v>
      </c>
      <c r="K61" s="575">
        <v>2416724</v>
      </c>
      <c r="L61" s="572">
        <v>0</v>
      </c>
      <c r="M61" s="572">
        <v>0</v>
      </c>
      <c r="N61" s="571">
        <v>0</v>
      </c>
      <c r="O61" s="571">
        <v>0</v>
      </c>
      <c r="P61" s="571">
        <v>0</v>
      </c>
      <c r="Q61" s="571">
        <v>0</v>
      </c>
      <c r="R61" s="571">
        <v>0</v>
      </c>
      <c r="S61" s="571">
        <v>0</v>
      </c>
      <c r="T61" s="571">
        <v>0</v>
      </c>
      <c r="U61" s="571">
        <v>0</v>
      </c>
      <c r="V61" s="571">
        <v>0</v>
      </c>
      <c r="W61" s="571">
        <v>0</v>
      </c>
      <c r="X61" s="571">
        <v>0</v>
      </c>
      <c r="Y61" s="571">
        <v>0</v>
      </c>
      <c r="Z61" s="571">
        <v>0</v>
      </c>
      <c r="AA61" s="571">
        <v>612721</v>
      </c>
      <c r="AB61" s="572">
        <v>0</v>
      </c>
      <c r="AC61" s="572">
        <v>0</v>
      </c>
      <c r="AD61" s="572">
        <v>0</v>
      </c>
      <c r="AE61" s="572">
        <v>0</v>
      </c>
      <c r="AF61" s="572">
        <v>0</v>
      </c>
      <c r="AG61" s="572">
        <v>0</v>
      </c>
      <c r="AH61" s="572">
        <v>0</v>
      </c>
      <c r="AI61" s="572">
        <v>0</v>
      </c>
      <c r="AJ61" s="572">
        <v>0</v>
      </c>
      <c r="AK61" s="572">
        <v>0</v>
      </c>
      <c r="AL61" s="572">
        <v>0</v>
      </c>
      <c r="AM61" s="572">
        <v>0</v>
      </c>
      <c r="AN61" s="572">
        <v>0</v>
      </c>
      <c r="AO61" s="572">
        <v>0</v>
      </c>
      <c r="AP61" s="572">
        <v>0</v>
      </c>
      <c r="AQ61" s="572">
        <v>0</v>
      </c>
      <c r="AR61" s="572">
        <v>0</v>
      </c>
      <c r="AS61" s="572">
        <v>0</v>
      </c>
      <c r="AT61" s="572">
        <v>0</v>
      </c>
      <c r="AU61" s="572">
        <v>0</v>
      </c>
      <c r="AV61" s="572">
        <v>0</v>
      </c>
      <c r="AW61" s="572">
        <v>0</v>
      </c>
      <c r="AX61" s="572">
        <v>0</v>
      </c>
      <c r="AY61" s="572">
        <v>1572242</v>
      </c>
      <c r="AZ61" s="572">
        <v>0</v>
      </c>
      <c r="BA61" s="572">
        <v>0</v>
      </c>
      <c r="BB61" s="572">
        <v>0</v>
      </c>
      <c r="BC61" s="572">
        <v>0</v>
      </c>
      <c r="BD61" s="572">
        <v>0</v>
      </c>
      <c r="BE61" s="572">
        <v>0</v>
      </c>
      <c r="BF61" s="572">
        <v>0</v>
      </c>
      <c r="BG61" s="572">
        <v>0</v>
      </c>
      <c r="BH61" s="572">
        <v>2442865</v>
      </c>
      <c r="BI61" s="572">
        <v>0</v>
      </c>
      <c r="BJ61" s="572">
        <v>0</v>
      </c>
      <c r="BK61" s="572">
        <v>0</v>
      </c>
      <c r="BL61" s="572">
        <v>191759</v>
      </c>
      <c r="BM61" s="572">
        <v>0</v>
      </c>
      <c r="BN61" s="572">
        <v>0</v>
      </c>
      <c r="BO61" s="572">
        <v>0</v>
      </c>
      <c r="BP61" s="572">
        <v>0</v>
      </c>
      <c r="BQ61" s="572">
        <v>0</v>
      </c>
      <c r="BR61" s="572">
        <v>0</v>
      </c>
      <c r="BS61" s="572">
        <v>0</v>
      </c>
      <c r="BT61" s="572">
        <v>0</v>
      </c>
      <c r="BU61" s="572">
        <v>0</v>
      </c>
      <c r="BV61" s="572">
        <v>0</v>
      </c>
      <c r="BW61" s="572">
        <v>0</v>
      </c>
      <c r="BX61" s="572">
        <v>0</v>
      </c>
      <c r="BY61" s="572">
        <v>0</v>
      </c>
      <c r="BZ61" s="572">
        <v>0</v>
      </c>
      <c r="CA61" s="572">
        <v>0</v>
      </c>
      <c r="CB61" s="572">
        <v>0</v>
      </c>
      <c r="CC61" s="572">
        <v>8445057</v>
      </c>
      <c r="CD61" s="572">
        <v>0</v>
      </c>
      <c r="CE61" s="572">
        <v>23659</v>
      </c>
      <c r="CF61" s="572">
        <v>0</v>
      </c>
      <c r="CG61" s="572">
        <v>0</v>
      </c>
      <c r="CH61" s="572">
        <v>0</v>
      </c>
      <c r="CI61" s="572">
        <v>133644</v>
      </c>
      <c r="CJ61" s="572">
        <v>0</v>
      </c>
      <c r="CK61" s="572">
        <v>0</v>
      </c>
      <c r="CL61" s="572">
        <v>0</v>
      </c>
      <c r="CM61" s="572">
        <v>0</v>
      </c>
      <c r="CN61" s="572">
        <v>0</v>
      </c>
      <c r="CO61" s="572">
        <v>0</v>
      </c>
      <c r="CP61" s="572">
        <v>0</v>
      </c>
      <c r="CQ61" s="572">
        <v>0</v>
      </c>
    </row>
    <row r="62" spans="1:95" ht="30" x14ac:dyDescent="0.25">
      <c r="A62" s="668">
        <v>102</v>
      </c>
      <c r="B62" s="590">
        <v>102</v>
      </c>
      <c r="C62" s="570" t="s">
        <v>349</v>
      </c>
      <c r="D62" s="567" t="s">
        <v>729</v>
      </c>
      <c r="E62" s="578">
        <v>99.05</v>
      </c>
      <c r="F62" s="579">
        <v>99.86</v>
      </c>
      <c r="G62" s="579">
        <v>96.63</v>
      </c>
      <c r="H62" s="579">
        <v>99.2</v>
      </c>
      <c r="I62" s="579">
        <v>96.65</v>
      </c>
      <c r="J62" s="579">
        <v>96.16</v>
      </c>
      <c r="K62" s="580">
        <v>98.61</v>
      </c>
      <c r="L62" s="581">
        <v>98.59</v>
      </c>
      <c r="M62" s="581">
        <v>99.98</v>
      </c>
      <c r="N62" s="582">
        <v>0</v>
      </c>
      <c r="O62" s="582">
        <v>97.91</v>
      </c>
      <c r="P62" s="582">
        <v>94.04</v>
      </c>
      <c r="Q62" s="582">
        <v>97.07</v>
      </c>
      <c r="R62" s="582">
        <v>98.71</v>
      </c>
      <c r="S62" s="582">
        <v>99.54</v>
      </c>
      <c r="T62" s="582">
        <v>98.69</v>
      </c>
      <c r="U62" s="582">
        <v>0</v>
      </c>
      <c r="V62" s="582">
        <v>98.72</v>
      </c>
      <c r="W62" s="582">
        <v>0</v>
      </c>
      <c r="X62" s="582">
        <v>98.07</v>
      </c>
      <c r="Y62" s="582">
        <v>97.19</v>
      </c>
      <c r="Z62" s="582">
        <v>97.09</v>
      </c>
      <c r="AA62" s="582">
        <v>97.42</v>
      </c>
      <c r="AB62" s="581">
        <v>96.93</v>
      </c>
      <c r="AC62" s="581">
        <v>99.45</v>
      </c>
      <c r="AD62" s="581">
        <v>93.13</v>
      </c>
      <c r="AE62" s="581">
        <v>95.94</v>
      </c>
      <c r="AF62" s="581">
        <v>98.53</v>
      </c>
      <c r="AG62" s="581">
        <v>99.73</v>
      </c>
      <c r="AH62" s="581">
        <v>99.81</v>
      </c>
      <c r="AI62" s="581">
        <v>96.03</v>
      </c>
      <c r="AJ62" s="581">
        <v>99.3</v>
      </c>
      <c r="AK62" s="581">
        <v>99.43</v>
      </c>
      <c r="AL62" s="581">
        <v>96.9</v>
      </c>
      <c r="AM62" s="581">
        <v>98.85</v>
      </c>
      <c r="AN62" s="581">
        <v>98.36</v>
      </c>
      <c r="AO62" s="581">
        <v>97.46</v>
      </c>
      <c r="AP62" s="581">
        <v>96.09</v>
      </c>
      <c r="AQ62" s="581">
        <v>0</v>
      </c>
      <c r="AR62" s="581">
        <v>94.44</v>
      </c>
      <c r="AS62" s="581">
        <v>97.06</v>
      </c>
      <c r="AT62" s="581">
        <v>98.82</v>
      </c>
      <c r="AU62" s="581">
        <v>98.74</v>
      </c>
      <c r="AV62" s="581">
        <v>98.44</v>
      </c>
      <c r="AW62" s="581">
        <v>92.28</v>
      </c>
      <c r="AX62" s="581">
        <v>89.27</v>
      </c>
      <c r="AY62" s="581">
        <v>99.9</v>
      </c>
      <c r="AZ62" s="581">
        <v>98.66</v>
      </c>
      <c r="BA62" s="581">
        <v>92.32</v>
      </c>
      <c r="BB62" s="581">
        <v>97.96</v>
      </c>
      <c r="BC62" s="581">
        <v>97.65</v>
      </c>
      <c r="BD62" s="581">
        <v>99.64</v>
      </c>
      <c r="BE62" s="581">
        <v>97.28</v>
      </c>
      <c r="BF62" s="581">
        <v>98.35</v>
      </c>
      <c r="BG62" s="581">
        <v>96.89</v>
      </c>
      <c r="BH62" s="581">
        <v>97.86</v>
      </c>
      <c r="BI62" s="581">
        <v>99.54</v>
      </c>
      <c r="BJ62" s="581">
        <v>95.87</v>
      </c>
      <c r="BK62" s="581">
        <v>99.53</v>
      </c>
      <c r="BL62" s="581">
        <v>95.89</v>
      </c>
      <c r="BM62" s="581">
        <v>99.89</v>
      </c>
      <c r="BN62" s="581">
        <v>97.97</v>
      </c>
      <c r="BO62" s="581">
        <v>99.1</v>
      </c>
      <c r="BP62" s="581">
        <v>0</v>
      </c>
      <c r="BQ62" s="581">
        <v>99.8</v>
      </c>
      <c r="BR62" s="581">
        <v>0</v>
      </c>
      <c r="BS62" s="581">
        <v>99.87</v>
      </c>
      <c r="BT62" s="581">
        <v>98.03</v>
      </c>
      <c r="BU62" s="581">
        <v>99.94</v>
      </c>
      <c r="BV62" s="581">
        <v>93.94</v>
      </c>
      <c r="BW62" s="581">
        <v>97.28</v>
      </c>
      <c r="BX62" s="581">
        <v>98.76</v>
      </c>
      <c r="BY62" s="581">
        <v>98.4</v>
      </c>
      <c r="BZ62" s="581">
        <v>0</v>
      </c>
      <c r="CA62" s="581">
        <v>92.65</v>
      </c>
      <c r="CB62" s="581">
        <v>99.1</v>
      </c>
      <c r="CC62" s="581">
        <v>98.2</v>
      </c>
      <c r="CD62" s="581">
        <v>99.89</v>
      </c>
      <c r="CE62" s="581">
        <v>96.72</v>
      </c>
      <c r="CF62" s="581">
        <v>0</v>
      </c>
      <c r="CG62" s="581">
        <v>98.88</v>
      </c>
      <c r="CH62" s="581">
        <v>99.15</v>
      </c>
      <c r="CI62" s="581">
        <v>99.24</v>
      </c>
      <c r="CJ62" s="581">
        <v>80.040000000000006</v>
      </c>
      <c r="CK62" s="581">
        <v>99.66</v>
      </c>
      <c r="CL62" s="581">
        <v>89.94</v>
      </c>
      <c r="CM62" s="581">
        <v>99.69</v>
      </c>
      <c r="CN62" s="581">
        <v>98.07</v>
      </c>
      <c r="CO62" s="581">
        <v>98.57</v>
      </c>
      <c r="CP62" s="581">
        <v>97.59</v>
      </c>
      <c r="CQ62" s="581">
        <v>99.51</v>
      </c>
    </row>
    <row r="63" spans="1:95" x14ac:dyDescent="0.25">
      <c r="A63" s="668">
        <v>103</v>
      </c>
      <c r="B63" s="590">
        <v>103</v>
      </c>
      <c r="C63" s="570" t="s">
        <v>350</v>
      </c>
      <c r="D63" s="567" t="s">
        <v>730</v>
      </c>
      <c r="E63" s="578">
        <v>100</v>
      </c>
      <c r="F63" s="579">
        <v>99.72</v>
      </c>
      <c r="G63" s="579">
        <v>100</v>
      </c>
      <c r="H63" s="579">
        <v>100</v>
      </c>
      <c r="I63" s="579">
        <v>100</v>
      </c>
      <c r="J63" s="579">
        <v>100</v>
      </c>
      <c r="K63" s="580">
        <v>100</v>
      </c>
      <c r="L63" s="581">
        <v>100</v>
      </c>
      <c r="M63" s="581">
        <v>100</v>
      </c>
      <c r="N63" s="582">
        <v>0</v>
      </c>
      <c r="O63" s="582">
        <v>100</v>
      </c>
      <c r="P63" s="582">
        <v>100</v>
      </c>
      <c r="Q63" s="582">
        <v>100</v>
      </c>
      <c r="R63" s="582">
        <v>100</v>
      </c>
      <c r="S63" s="582">
        <v>100</v>
      </c>
      <c r="T63" s="582">
        <v>100</v>
      </c>
      <c r="U63" s="582">
        <v>0</v>
      </c>
      <c r="V63" s="582">
        <v>97.59</v>
      </c>
      <c r="W63" s="582">
        <v>0</v>
      </c>
      <c r="X63" s="582">
        <v>100</v>
      </c>
      <c r="Y63" s="582">
        <v>100</v>
      </c>
      <c r="Z63" s="582">
        <v>100</v>
      </c>
      <c r="AA63" s="582">
        <v>100</v>
      </c>
      <c r="AB63" s="581">
        <v>100</v>
      </c>
      <c r="AC63" s="581">
        <v>100</v>
      </c>
      <c r="AD63" s="581">
        <v>100</v>
      </c>
      <c r="AE63" s="581">
        <v>99.16</v>
      </c>
      <c r="AF63" s="581">
        <v>100</v>
      </c>
      <c r="AG63" s="581">
        <v>100</v>
      </c>
      <c r="AH63" s="581">
        <v>100</v>
      </c>
      <c r="AI63" s="581">
        <v>100</v>
      </c>
      <c r="AJ63" s="581">
        <v>100</v>
      </c>
      <c r="AK63" s="581">
        <v>100</v>
      </c>
      <c r="AL63" s="581">
        <v>100</v>
      </c>
      <c r="AM63" s="581">
        <v>100</v>
      </c>
      <c r="AN63" s="581">
        <v>100</v>
      </c>
      <c r="AO63" s="581">
        <v>100</v>
      </c>
      <c r="AP63" s="581">
        <v>100</v>
      </c>
      <c r="AQ63" s="581">
        <v>0</v>
      </c>
      <c r="AR63" s="581">
        <v>100</v>
      </c>
      <c r="AS63" s="581">
        <v>100</v>
      </c>
      <c r="AT63" s="581">
        <v>100</v>
      </c>
      <c r="AU63" s="581">
        <v>100</v>
      </c>
      <c r="AV63" s="581">
        <v>99.84</v>
      </c>
      <c r="AW63" s="581">
        <v>100</v>
      </c>
      <c r="AX63" s="581">
        <v>100</v>
      </c>
      <c r="AY63" s="581">
        <v>99.64</v>
      </c>
      <c r="AZ63" s="581">
        <v>100</v>
      </c>
      <c r="BA63" s="581">
        <v>100</v>
      </c>
      <c r="BB63" s="581">
        <v>100</v>
      </c>
      <c r="BC63" s="581">
        <v>100</v>
      </c>
      <c r="BD63" s="581">
        <v>100</v>
      </c>
      <c r="BE63" s="581">
        <v>100</v>
      </c>
      <c r="BF63" s="581">
        <v>100</v>
      </c>
      <c r="BG63" s="581">
        <v>100</v>
      </c>
      <c r="BH63" s="581">
        <v>100</v>
      </c>
      <c r="BI63" s="581">
        <v>100</v>
      </c>
      <c r="BJ63" s="581">
        <v>100</v>
      </c>
      <c r="BK63" s="581">
        <v>100</v>
      </c>
      <c r="BL63" s="581">
        <v>100</v>
      </c>
      <c r="BM63" s="581">
        <v>100</v>
      </c>
      <c r="BN63" s="581">
        <v>100</v>
      </c>
      <c r="BO63" s="581">
        <v>100</v>
      </c>
      <c r="BP63" s="581">
        <v>0</v>
      </c>
      <c r="BQ63" s="581">
        <v>100</v>
      </c>
      <c r="BR63" s="581">
        <v>0</v>
      </c>
      <c r="BS63" s="581">
        <v>100</v>
      </c>
      <c r="BT63" s="581">
        <v>100</v>
      </c>
      <c r="BU63" s="581">
        <v>100</v>
      </c>
      <c r="BV63" s="581">
        <v>100</v>
      </c>
      <c r="BW63" s="581">
        <v>100</v>
      </c>
      <c r="BX63" s="581">
        <v>99.96</v>
      </c>
      <c r="BY63" s="581">
        <v>100</v>
      </c>
      <c r="BZ63" s="581">
        <v>0</v>
      </c>
      <c r="CA63" s="581">
        <v>100</v>
      </c>
      <c r="CB63" s="581">
        <v>100</v>
      </c>
      <c r="CC63" s="581">
        <v>99.86</v>
      </c>
      <c r="CD63" s="581">
        <v>100</v>
      </c>
      <c r="CE63" s="581">
        <v>99.95</v>
      </c>
      <c r="CF63" s="581">
        <v>0</v>
      </c>
      <c r="CG63" s="581">
        <v>100</v>
      </c>
      <c r="CH63" s="581">
        <v>100</v>
      </c>
      <c r="CI63" s="581">
        <v>100</v>
      </c>
      <c r="CJ63" s="581">
        <v>100</v>
      </c>
      <c r="CK63" s="581">
        <v>100</v>
      </c>
      <c r="CL63" s="581">
        <v>100</v>
      </c>
      <c r="CM63" s="581">
        <v>100</v>
      </c>
      <c r="CN63" s="581">
        <v>100</v>
      </c>
      <c r="CO63" s="581">
        <v>100</v>
      </c>
      <c r="CP63" s="581">
        <v>99.75</v>
      </c>
      <c r="CQ63" s="581">
        <v>99.07</v>
      </c>
    </row>
    <row r="64" spans="1:95" x14ac:dyDescent="0.25">
      <c r="A64" s="668"/>
      <c r="B64" s="590">
        <v>104</v>
      </c>
      <c r="C64" s="601" t="s">
        <v>731</v>
      </c>
      <c r="D64" s="567" t="s">
        <v>732</v>
      </c>
      <c r="E64" s="573"/>
      <c r="F64" s="574"/>
      <c r="G64" s="574"/>
      <c r="H64" s="574"/>
      <c r="I64" s="574"/>
      <c r="J64" s="574"/>
      <c r="K64" s="575"/>
      <c r="L64" s="572"/>
      <c r="M64" s="572"/>
      <c r="N64" s="571"/>
      <c r="O64" s="571"/>
      <c r="P64" s="571"/>
      <c r="Q64" s="571"/>
      <c r="R64" s="571"/>
      <c r="S64" s="571"/>
      <c r="T64" s="571"/>
      <c r="U64" s="571"/>
      <c r="V64" s="571"/>
      <c r="W64" s="571"/>
      <c r="X64" s="571"/>
      <c r="Y64" s="571"/>
      <c r="Z64" s="571"/>
      <c r="AA64" s="571"/>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572"/>
      <c r="BK64" s="572"/>
      <c r="BL64" s="572"/>
      <c r="BM64" s="572"/>
      <c r="BN64" s="572"/>
      <c r="BO64" s="572"/>
      <c r="BP64" s="572"/>
      <c r="BQ64" s="572"/>
      <c r="BR64" s="572"/>
      <c r="BS64" s="572"/>
      <c r="BT64" s="572"/>
      <c r="BU64" s="572"/>
      <c r="BV64" s="572"/>
      <c r="BW64" s="572"/>
      <c r="BX64" s="572"/>
      <c r="BY64" s="572"/>
      <c r="BZ64" s="572"/>
      <c r="CA64" s="572"/>
      <c r="CB64" s="572"/>
      <c r="CC64" s="572"/>
      <c r="CD64" s="572"/>
      <c r="CE64" s="572"/>
      <c r="CF64" s="572"/>
      <c r="CG64" s="572"/>
      <c r="CH64" s="572"/>
      <c r="CI64" s="572"/>
      <c r="CJ64" s="572"/>
      <c r="CK64" s="572"/>
      <c r="CL64" s="572"/>
      <c r="CM64" s="572"/>
      <c r="CN64" s="572"/>
      <c r="CO64" s="572"/>
      <c r="CP64" s="572"/>
      <c r="CQ64" s="572"/>
    </row>
    <row r="65" spans="1:255" ht="28.5" x14ac:dyDescent="0.25">
      <c r="A65" s="668"/>
      <c r="B65" s="602">
        <v>107</v>
      </c>
      <c r="C65" s="603" t="s">
        <v>733</v>
      </c>
      <c r="D65" s="589" t="s">
        <v>734</v>
      </c>
      <c r="E65" s="604"/>
      <c r="F65" s="605"/>
      <c r="G65" s="605"/>
      <c r="H65" s="605"/>
      <c r="I65" s="605"/>
      <c r="J65" s="605"/>
      <c r="K65" s="604"/>
      <c r="L65" s="606"/>
      <c r="M65" s="606"/>
      <c r="N65" s="607"/>
      <c r="O65" s="607"/>
      <c r="P65" s="607"/>
      <c r="Q65" s="607"/>
      <c r="R65" s="607"/>
      <c r="S65" s="607"/>
      <c r="T65" s="607"/>
      <c r="U65" s="607"/>
      <c r="V65" s="607"/>
      <c r="W65" s="607"/>
      <c r="X65" s="607"/>
      <c r="Y65" s="607"/>
      <c r="Z65" s="607"/>
      <c r="AA65" s="607"/>
      <c r="AB65" s="606"/>
      <c r="AC65" s="606"/>
      <c r="AD65" s="606"/>
      <c r="AE65" s="606"/>
      <c r="AF65" s="606"/>
      <c r="AG65" s="606"/>
      <c r="AH65" s="606"/>
      <c r="AI65" s="606"/>
      <c r="AJ65" s="606"/>
      <c r="AK65" s="606"/>
      <c r="AL65" s="606"/>
      <c r="AM65" s="606"/>
      <c r="AN65" s="606"/>
      <c r="AO65" s="606"/>
      <c r="AP65" s="606"/>
      <c r="AQ65" s="606"/>
      <c r="AR65" s="606"/>
      <c r="AS65" s="606"/>
      <c r="AT65" s="606"/>
      <c r="AU65" s="606"/>
      <c r="AV65" s="606"/>
      <c r="AW65" s="606"/>
      <c r="AX65" s="606"/>
      <c r="AY65" s="606"/>
      <c r="AZ65" s="606"/>
      <c r="BA65" s="606"/>
      <c r="BB65" s="606"/>
      <c r="BC65" s="606"/>
      <c r="BD65" s="606"/>
      <c r="BE65" s="606"/>
      <c r="BF65" s="606"/>
      <c r="BG65" s="606"/>
      <c r="BH65" s="606"/>
      <c r="BI65" s="606"/>
      <c r="BJ65" s="606"/>
      <c r="BK65" s="606"/>
      <c r="BL65" s="606"/>
      <c r="BM65" s="606"/>
      <c r="BN65" s="606"/>
      <c r="BO65" s="606"/>
      <c r="BP65" s="606"/>
      <c r="BQ65" s="606"/>
      <c r="BR65" s="606"/>
      <c r="BS65" s="606"/>
      <c r="BT65" s="589"/>
      <c r="BU65" s="589"/>
      <c r="BV65" s="589"/>
      <c r="BW65" s="589"/>
      <c r="BX65" s="589"/>
      <c r="BY65" s="589"/>
      <c r="BZ65" s="589"/>
      <c r="CA65" s="589"/>
      <c r="CB65" s="589"/>
      <c r="CC65" s="589"/>
      <c r="CD65" s="589"/>
      <c r="CE65" s="589"/>
      <c r="CF65" s="589"/>
      <c r="CG65" s="589"/>
      <c r="CH65" s="589"/>
      <c r="CI65" s="589"/>
      <c r="CJ65" s="589"/>
      <c r="CK65" s="589"/>
      <c r="CL65" s="589"/>
      <c r="CM65" s="589"/>
      <c r="CN65" s="589"/>
      <c r="CO65" s="589"/>
      <c r="CP65" s="589"/>
      <c r="CQ65" s="589"/>
      <c r="CR65" s="589"/>
      <c r="CS65" s="589"/>
      <c r="CT65" s="589"/>
      <c r="CU65" s="589"/>
      <c r="CV65" s="589"/>
      <c r="CW65" s="589"/>
      <c r="CX65" s="589"/>
      <c r="CY65" s="589"/>
      <c r="CZ65" s="589"/>
      <c r="DA65" s="589"/>
      <c r="DB65" s="589"/>
      <c r="DC65" s="589"/>
      <c r="DD65" s="589"/>
      <c r="DE65" s="589"/>
      <c r="DF65" s="589"/>
      <c r="DG65" s="589"/>
      <c r="DH65" s="589"/>
      <c r="DI65" s="589"/>
      <c r="DJ65" s="589"/>
      <c r="DK65" s="589"/>
      <c r="DL65" s="589"/>
      <c r="DM65" s="589"/>
      <c r="DN65" s="589"/>
      <c r="DO65" s="589"/>
      <c r="DP65" s="589"/>
      <c r="DQ65" s="589"/>
      <c r="DR65" s="589"/>
      <c r="DS65" s="589"/>
      <c r="DT65" s="589"/>
      <c r="DU65" s="589"/>
      <c r="DV65" s="589"/>
      <c r="DW65" s="589"/>
      <c r="DX65" s="589"/>
      <c r="DY65" s="589"/>
      <c r="DZ65" s="589"/>
      <c r="EA65" s="589"/>
      <c r="EB65" s="589"/>
      <c r="EC65" s="589"/>
      <c r="ED65" s="589"/>
      <c r="EE65" s="589"/>
      <c r="EF65" s="589"/>
      <c r="EG65" s="589"/>
      <c r="EH65" s="589"/>
      <c r="EI65" s="589"/>
      <c r="EJ65" s="589"/>
      <c r="EK65" s="589"/>
      <c r="EL65" s="589"/>
      <c r="EM65" s="589"/>
      <c r="EN65" s="589"/>
      <c r="EO65" s="589"/>
      <c r="EP65" s="589"/>
      <c r="EQ65" s="589"/>
      <c r="ER65" s="589"/>
      <c r="ES65" s="589"/>
      <c r="ET65" s="589"/>
      <c r="EU65" s="589"/>
      <c r="EV65" s="589"/>
      <c r="EW65" s="589"/>
      <c r="EX65" s="589"/>
      <c r="EY65" s="589"/>
      <c r="EZ65" s="589"/>
      <c r="FA65" s="589"/>
      <c r="FB65" s="589"/>
      <c r="FC65" s="589"/>
      <c r="FD65" s="589"/>
      <c r="FE65" s="589"/>
      <c r="FF65" s="589"/>
      <c r="FG65" s="589"/>
      <c r="FH65" s="589"/>
      <c r="FI65" s="589"/>
      <c r="FJ65" s="589"/>
      <c r="FK65" s="589"/>
      <c r="FL65" s="589"/>
      <c r="FM65" s="589"/>
      <c r="FN65" s="589"/>
      <c r="FO65" s="589"/>
      <c r="FP65" s="589"/>
      <c r="FQ65" s="589"/>
      <c r="FR65" s="589"/>
      <c r="FS65" s="589"/>
      <c r="FT65" s="589"/>
      <c r="FU65" s="589"/>
      <c r="FV65" s="589"/>
      <c r="FW65" s="589"/>
      <c r="FX65" s="589"/>
      <c r="FY65" s="589"/>
      <c r="FZ65" s="589"/>
      <c r="GA65" s="589"/>
      <c r="GB65" s="589"/>
      <c r="GC65" s="589"/>
      <c r="GD65" s="589"/>
      <c r="GE65" s="589"/>
      <c r="GF65" s="589"/>
      <c r="GG65" s="589"/>
      <c r="GH65" s="589"/>
      <c r="GI65" s="589"/>
      <c r="GJ65" s="589"/>
      <c r="GK65" s="589"/>
      <c r="GL65" s="589"/>
      <c r="GM65" s="589"/>
      <c r="GN65" s="589"/>
      <c r="GO65" s="589"/>
      <c r="GP65" s="589"/>
      <c r="GQ65" s="589"/>
      <c r="GR65" s="589"/>
      <c r="GS65" s="589"/>
      <c r="GT65" s="589"/>
      <c r="GU65" s="589"/>
      <c r="GV65" s="589"/>
      <c r="GW65" s="589"/>
      <c r="GX65" s="589"/>
      <c r="GY65" s="589"/>
      <c r="GZ65" s="589"/>
      <c r="HA65" s="589"/>
      <c r="HB65" s="589"/>
      <c r="HC65" s="589"/>
      <c r="HD65" s="589"/>
      <c r="HE65" s="589"/>
      <c r="HF65" s="589"/>
      <c r="HG65" s="589"/>
      <c r="HH65" s="589"/>
      <c r="HI65" s="589"/>
      <c r="HJ65" s="589"/>
      <c r="HK65" s="589"/>
      <c r="HL65" s="589"/>
      <c r="HM65" s="589"/>
      <c r="HN65" s="589"/>
      <c r="HO65" s="589"/>
      <c r="HP65" s="589"/>
      <c r="HQ65" s="589"/>
      <c r="HR65" s="589"/>
      <c r="HS65" s="589"/>
      <c r="HT65" s="589"/>
      <c r="HU65" s="589"/>
      <c r="HV65" s="589"/>
      <c r="HW65" s="589"/>
      <c r="HX65" s="589"/>
      <c r="HY65" s="589"/>
      <c r="HZ65" s="589"/>
      <c r="IA65" s="589"/>
      <c r="IB65" s="589"/>
      <c r="IC65" s="589"/>
      <c r="ID65" s="589"/>
      <c r="IE65" s="589"/>
      <c r="IF65" s="589"/>
      <c r="IG65" s="589"/>
      <c r="IH65" s="589"/>
      <c r="II65" s="589"/>
      <c r="IJ65" s="589"/>
      <c r="IK65" s="589"/>
      <c r="IL65" s="589"/>
      <c r="IM65" s="589"/>
      <c r="IN65" s="589"/>
      <c r="IO65" s="589"/>
      <c r="IP65" s="589"/>
      <c r="IQ65" s="589"/>
      <c r="IR65" s="589"/>
      <c r="IS65" s="589"/>
      <c r="IT65" s="589"/>
      <c r="IU65" s="589"/>
    </row>
    <row r="66" spans="1:255" ht="38.25" x14ac:dyDescent="0.25">
      <c r="A66" s="668"/>
      <c r="B66" s="590">
        <v>108</v>
      </c>
      <c r="C66" s="601" t="s">
        <v>735</v>
      </c>
      <c r="D66" s="567" t="s">
        <v>736</v>
      </c>
      <c r="E66" s="573"/>
      <c r="F66" s="574"/>
      <c r="G66" s="574"/>
      <c r="H66" s="574"/>
      <c r="I66" s="574"/>
      <c r="J66" s="574"/>
      <c r="K66" s="575"/>
      <c r="L66" s="572"/>
      <c r="M66" s="572"/>
      <c r="N66" s="571"/>
      <c r="O66" s="571"/>
      <c r="P66" s="571"/>
      <c r="Q66" s="571"/>
      <c r="R66" s="571"/>
      <c r="S66" s="571"/>
      <c r="T66" s="571"/>
      <c r="U66" s="571"/>
      <c r="V66" s="571"/>
      <c r="W66" s="571"/>
      <c r="X66" s="571"/>
      <c r="Y66" s="571"/>
      <c r="Z66" s="571"/>
      <c r="AA66" s="571"/>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c r="AY66" s="572"/>
      <c r="AZ66" s="572"/>
      <c r="BA66" s="572"/>
      <c r="BB66" s="572"/>
      <c r="BC66" s="572"/>
      <c r="BD66" s="572"/>
      <c r="BE66" s="572"/>
      <c r="BF66" s="572"/>
      <c r="BG66" s="572"/>
      <c r="BH66" s="572"/>
      <c r="BI66" s="572"/>
      <c r="BJ66" s="572"/>
      <c r="BK66" s="572"/>
      <c r="BL66" s="572"/>
      <c r="BM66" s="572"/>
      <c r="BN66" s="572"/>
      <c r="BO66" s="572"/>
      <c r="BP66" s="572"/>
      <c r="BQ66" s="572"/>
      <c r="BR66" s="572"/>
      <c r="BS66" s="572"/>
      <c r="BT66" s="572"/>
      <c r="BU66" s="572"/>
      <c r="BV66" s="572"/>
      <c r="BW66" s="572"/>
      <c r="BX66" s="572"/>
      <c r="BY66" s="572"/>
      <c r="BZ66" s="572"/>
      <c r="CA66" s="572"/>
      <c r="CB66" s="572"/>
      <c r="CC66" s="572"/>
      <c r="CD66" s="572"/>
      <c r="CE66" s="572"/>
      <c r="CF66" s="572"/>
      <c r="CG66" s="572"/>
      <c r="CH66" s="572"/>
      <c r="CI66" s="572"/>
      <c r="CJ66" s="572"/>
      <c r="CK66" s="572"/>
      <c r="CL66" s="572"/>
      <c r="CM66" s="572"/>
      <c r="CN66" s="572"/>
      <c r="CO66" s="572"/>
      <c r="CP66" s="572"/>
      <c r="CQ66" s="572"/>
      <c r="CR66" s="567"/>
      <c r="CS66" s="567"/>
      <c r="CT66" s="567"/>
      <c r="CU66" s="567"/>
      <c r="CV66" s="567"/>
      <c r="CW66" s="567"/>
      <c r="CX66" s="567"/>
      <c r="CY66" s="567"/>
      <c r="CZ66" s="567"/>
      <c r="DA66" s="567"/>
      <c r="DB66" s="567"/>
      <c r="DC66" s="567"/>
      <c r="DD66" s="567"/>
      <c r="DE66" s="567"/>
      <c r="DF66" s="567"/>
      <c r="DG66" s="567"/>
      <c r="DH66" s="567"/>
      <c r="DI66" s="567"/>
      <c r="DJ66" s="567"/>
      <c r="DK66" s="567"/>
      <c r="DL66" s="567"/>
      <c r="DM66" s="567"/>
      <c r="DN66" s="567"/>
      <c r="DO66" s="567"/>
      <c r="DP66" s="567"/>
      <c r="DQ66" s="567"/>
      <c r="DR66" s="567"/>
      <c r="DS66" s="567"/>
      <c r="DT66" s="567"/>
      <c r="DU66" s="567"/>
      <c r="DV66" s="567"/>
      <c r="DW66" s="567"/>
      <c r="DX66" s="567"/>
      <c r="DY66" s="567"/>
      <c r="DZ66" s="567"/>
      <c r="EA66" s="567"/>
      <c r="EB66" s="567"/>
      <c r="EC66" s="567"/>
      <c r="ED66" s="567"/>
      <c r="EE66" s="567"/>
      <c r="EF66" s="567"/>
      <c r="EG66" s="567"/>
      <c r="EH66" s="567"/>
      <c r="EI66" s="567"/>
      <c r="EJ66" s="567"/>
      <c r="EK66" s="567"/>
      <c r="EL66" s="567"/>
      <c r="EM66" s="567"/>
      <c r="EN66" s="567"/>
      <c r="EO66" s="567"/>
      <c r="EP66" s="567"/>
      <c r="EQ66" s="567"/>
      <c r="ER66" s="567"/>
      <c r="ES66" s="567"/>
      <c r="ET66" s="567"/>
      <c r="EU66" s="567"/>
      <c r="EV66" s="567"/>
      <c r="EW66" s="567"/>
      <c r="EX66" s="567"/>
      <c r="EY66" s="567"/>
      <c r="EZ66" s="567"/>
      <c r="FA66" s="567"/>
      <c r="FB66" s="567"/>
      <c r="FC66" s="567"/>
      <c r="FD66" s="567"/>
      <c r="FE66" s="567"/>
      <c r="FF66" s="567"/>
      <c r="FG66" s="567"/>
      <c r="FH66" s="567"/>
      <c r="FI66" s="567"/>
      <c r="FJ66" s="567"/>
      <c r="FK66" s="567"/>
      <c r="FL66" s="567"/>
      <c r="FM66" s="567"/>
      <c r="FN66" s="567"/>
      <c r="FO66" s="567"/>
      <c r="FP66" s="567"/>
      <c r="FQ66" s="567"/>
      <c r="FR66" s="567"/>
      <c r="FS66" s="567"/>
      <c r="FT66" s="567"/>
      <c r="FU66" s="567"/>
      <c r="FV66" s="567"/>
      <c r="FW66" s="567"/>
      <c r="FX66" s="567"/>
      <c r="FY66" s="567"/>
      <c r="FZ66" s="567"/>
      <c r="GA66" s="567"/>
      <c r="GB66" s="567"/>
      <c r="GC66" s="567"/>
      <c r="GD66" s="567"/>
      <c r="GE66" s="567"/>
      <c r="GF66" s="567"/>
      <c r="GG66" s="567"/>
      <c r="GH66" s="567"/>
      <c r="GI66" s="567"/>
      <c r="GJ66" s="567"/>
      <c r="GK66" s="567"/>
      <c r="GL66" s="567"/>
      <c r="GM66" s="567"/>
      <c r="GN66" s="567"/>
      <c r="GO66" s="567"/>
      <c r="GP66" s="567"/>
      <c r="GQ66" s="567"/>
      <c r="GR66" s="567"/>
      <c r="GS66" s="567"/>
      <c r="GT66" s="567"/>
      <c r="GU66" s="567"/>
      <c r="GV66" s="567"/>
      <c r="GW66" s="567"/>
      <c r="GX66" s="567"/>
      <c r="GY66" s="567"/>
      <c r="GZ66" s="567"/>
      <c r="HA66" s="567"/>
      <c r="HB66" s="567"/>
      <c r="HC66" s="567"/>
      <c r="HD66" s="567"/>
      <c r="HE66" s="567"/>
      <c r="HF66" s="567"/>
      <c r="HG66" s="567"/>
      <c r="HH66" s="567"/>
      <c r="HI66" s="567"/>
      <c r="HJ66" s="567"/>
      <c r="HK66" s="567"/>
      <c r="HL66" s="567"/>
      <c r="HM66" s="567"/>
      <c r="HN66" s="567"/>
      <c r="HO66" s="567"/>
      <c r="HP66" s="567"/>
      <c r="HQ66" s="567"/>
      <c r="HR66" s="567"/>
      <c r="HS66" s="567"/>
      <c r="HT66" s="567"/>
      <c r="HU66" s="567"/>
      <c r="HV66" s="567"/>
      <c r="HW66" s="567"/>
      <c r="HX66" s="567"/>
      <c r="HY66" s="567"/>
      <c r="HZ66" s="567"/>
      <c r="IA66" s="567"/>
      <c r="IB66" s="567"/>
      <c r="IC66" s="567"/>
      <c r="ID66" s="567"/>
      <c r="IE66" s="567"/>
      <c r="IF66" s="567"/>
      <c r="IG66" s="567"/>
      <c r="IH66" s="567"/>
      <c r="II66" s="567"/>
      <c r="IJ66" s="567"/>
      <c r="IK66" s="567"/>
      <c r="IL66" s="567"/>
      <c r="IM66" s="567"/>
      <c r="IN66" s="567"/>
      <c r="IO66" s="567"/>
      <c r="IP66" s="567"/>
      <c r="IQ66" s="567"/>
      <c r="IR66" s="567"/>
      <c r="IS66" s="567"/>
      <c r="IT66" s="567"/>
      <c r="IU66" s="567"/>
    </row>
    <row r="67" spans="1:255" ht="25.5" x14ac:dyDescent="0.25">
      <c r="A67" s="668"/>
      <c r="B67" s="590">
        <v>147</v>
      </c>
      <c r="C67" s="601" t="s">
        <v>737</v>
      </c>
      <c r="D67" s="567" t="s">
        <v>738</v>
      </c>
      <c r="E67" s="573"/>
      <c r="F67" s="574"/>
      <c r="G67" s="574"/>
      <c r="H67" s="574"/>
      <c r="I67" s="574"/>
      <c r="J67" s="574"/>
      <c r="K67" s="575"/>
      <c r="L67" s="572"/>
      <c r="M67" s="572"/>
      <c r="N67" s="571"/>
      <c r="O67" s="571"/>
      <c r="P67" s="571"/>
      <c r="Q67" s="571"/>
      <c r="R67" s="571"/>
      <c r="S67" s="571"/>
      <c r="T67" s="571"/>
      <c r="U67" s="571"/>
      <c r="V67" s="571"/>
      <c r="W67" s="571"/>
      <c r="X67" s="571"/>
      <c r="Y67" s="571"/>
      <c r="Z67" s="571"/>
      <c r="AA67" s="571"/>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572"/>
      <c r="BG67" s="572"/>
      <c r="BH67" s="572"/>
      <c r="BI67" s="572"/>
      <c r="BJ67" s="572"/>
      <c r="BK67" s="572"/>
      <c r="BL67" s="572"/>
      <c r="BM67" s="572"/>
      <c r="BN67" s="572"/>
      <c r="BO67" s="572"/>
      <c r="BP67" s="572"/>
      <c r="BQ67" s="572"/>
      <c r="BR67" s="572"/>
      <c r="BS67" s="572"/>
      <c r="BT67" s="572"/>
      <c r="BU67" s="572"/>
      <c r="BV67" s="572"/>
      <c r="BW67" s="572"/>
      <c r="BX67" s="572"/>
      <c r="BY67" s="572"/>
      <c r="BZ67" s="572"/>
      <c r="CA67" s="572"/>
      <c r="CB67" s="572"/>
      <c r="CC67" s="572"/>
      <c r="CD67" s="572"/>
      <c r="CE67" s="572"/>
      <c r="CF67" s="572"/>
      <c r="CG67" s="572"/>
      <c r="CH67" s="572"/>
      <c r="CI67" s="572"/>
      <c r="CJ67" s="572"/>
      <c r="CK67" s="572"/>
      <c r="CL67" s="572"/>
      <c r="CM67" s="572"/>
      <c r="CN67" s="572"/>
      <c r="CO67" s="572"/>
      <c r="CP67" s="572"/>
      <c r="CQ67" s="572"/>
      <c r="CR67" s="567"/>
      <c r="CS67" s="567"/>
      <c r="CT67" s="567"/>
      <c r="CU67" s="567"/>
      <c r="CV67" s="567"/>
      <c r="CW67" s="567"/>
      <c r="CX67" s="567"/>
      <c r="CY67" s="567"/>
      <c r="CZ67" s="567"/>
      <c r="DA67" s="567"/>
      <c r="DB67" s="567"/>
      <c r="DC67" s="567"/>
      <c r="DD67" s="567"/>
      <c r="DE67" s="567"/>
      <c r="DF67" s="567"/>
      <c r="DG67" s="567"/>
      <c r="DH67" s="567"/>
      <c r="DI67" s="567"/>
      <c r="DJ67" s="567"/>
      <c r="DK67" s="567"/>
      <c r="DL67" s="567"/>
      <c r="DM67" s="567"/>
      <c r="DN67" s="567"/>
      <c r="DO67" s="567"/>
      <c r="DP67" s="567"/>
      <c r="DQ67" s="567"/>
      <c r="DR67" s="567"/>
      <c r="DS67" s="567"/>
      <c r="DT67" s="567"/>
      <c r="DU67" s="567"/>
      <c r="DV67" s="567"/>
      <c r="DW67" s="567"/>
      <c r="DX67" s="567"/>
      <c r="DY67" s="567"/>
      <c r="DZ67" s="567"/>
      <c r="EA67" s="567"/>
      <c r="EB67" s="567"/>
      <c r="EC67" s="567"/>
      <c r="ED67" s="567"/>
      <c r="EE67" s="567"/>
      <c r="EF67" s="567"/>
      <c r="EG67" s="567"/>
      <c r="EH67" s="567"/>
      <c r="EI67" s="567"/>
      <c r="EJ67" s="567"/>
      <c r="EK67" s="567"/>
      <c r="EL67" s="567"/>
      <c r="EM67" s="567"/>
      <c r="EN67" s="567"/>
      <c r="EO67" s="567"/>
      <c r="EP67" s="567"/>
      <c r="EQ67" s="567"/>
      <c r="ER67" s="567"/>
      <c r="ES67" s="567"/>
      <c r="ET67" s="567"/>
      <c r="EU67" s="567"/>
      <c r="EV67" s="567"/>
      <c r="EW67" s="567"/>
      <c r="EX67" s="567"/>
      <c r="EY67" s="567"/>
      <c r="EZ67" s="567"/>
      <c r="FA67" s="567"/>
      <c r="FB67" s="567"/>
      <c r="FC67" s="567"/>
      <c r="FD67" s="567"/>
      <c r="FE67" s="567"/>
      <c r="FF67" s="567"/>
      <c r="FG67" s="567"/>
      <c r="FH67" s="567"/>
      <c r="FI67" s="567"/>
      <c r="FJ67" s="567"/>
      <c r="FK67" s="567"/>
      <c r="FL67" s="567"/>
      <c r="FM67" s="567"/>
      <c r="FN67" s="567"/>
      <c r="FO67" s="567"/>
      <c r="FP67" s="567"/>
      <c r="FQ67" s="567"/>
      <c r="FR67" s="567"/>
      <c r="FS67" s="567"/>
      <c r="FT67" s="567"/>
      <c r="FU67" s="567"/>
      <c r="FV67" s="567"/>
      <c r="FW67" s="567"/>
      <c r="FX67" s="567"/>
      <c r="FY67" s="567"/>
      <c r="FZ67" s="567"/>
      <c r="GA67" s="567"/>
      <c r="GB67" s="567"/>
      <c r="GC67" s="567"/>
      <c r="GD67" s="567"/>
      <c r="GE67" s="567"/>
      <c r="GF67" s="567"/>
      <c r="GG67" s="567"/>
      <c r="GH67" s="567"/>
      <c r="GI67" s="567"/>
      <c r="GJ67" s="567"/>
      <c r="GK67" s="567"/>
      <c r="GL67" s="567"/>
      <c r="GM67" s="567"/>
      <c r="GN67" s="567"/>
      <c r="GO67" s="567"/>
      <c r="GP67" s="567"/>
      <c r="GQ67" s="567"/>
      <c r="GR67" s="567"/>
      <c r="GS67" s="567"/>
      <c r="GT67" s="567"/>
      <c r="GU67" s="567"/>
      <c r="GV67" s="567"/>
      <c r="GW67" s="567"/>
      <c r="GX67" s="567"/>
      <c r="GY67" s="567"/>
      <c r="GZ67" s="567"/>
      <c r="HA67" s="567"/>
      <c r="HB67" s="567"/>
      <c r="HC67" s="567"/>
      <c r="HD67" s="567"/>
      <c r="HE67" s="567"/>
      <c r="HF67" s="567"/>
      <c r="HG67" s="567"/>
      <c r="HH67" s="567"/>
      <c r="HI67" s="567"/>
      <c r="HJ67" s="567"/>
      <c r="HK67" s="567"/>
      <c r="HL67" s="567"/>
      <c r="HM67" s="567"/>
      <c r="HN67" s="567"/>
      <c r="HO67" s="567"/>
      <c r="HP67" s="567"/>
      <c r="HQ67" s="567"/>
      <c r="HR67" s="567"/>
      <c r="HS67" s="567"/>
      <c r="HT67" s="567"/>
      <c r="HU67" s="567"/>
      <c r="HV67" s="567"/>
      <c r="HW67" s="567"/>
      <c r="HX67" s="567"/>
      <c r="HY67" s="567"/>
      <c r="HZ67" s="567"/>
      <c r="IA67" s="567"/>
      <c r="IB67" s="567"/>
      <c r="IC67" s="567"/>
      <c r="ID67" s="567"/>
      <c r="IE67" s="567"/>
      <c r="IF67" s="567"/>
      <c r="IG67" s="567"/>
      <c r="IH67" s="567"/>
      <c r="II67" s="567"/>
      <c r="IJ67" s="567"/>
      <c r="IK67" s="567"/>
      <c r="IL67" s="567"/>
      <c r="IM67" s="567"/>
      <c r="IN67" s="567"/>
      <c r="IO67" s="567"/>
      <c r="IP67" s="567"/>
      <c r="IQ67" s="567"/>
      <c r="IR67" s="567"/>
      <c r="IS67" s="567"/>
      <c r="IT67" s="567"/>
      <c r="IU67" s="567"/>
    </row>
    <row r="68" spans="1:255" ht="25.5" x14ac:dyDescent="0.25">
      <c r="A68" s="668"/>
      <c r="B68" s="590">
        <v>148</v>
      </c>
      <c r="C68" s="601" t="s">
        <v>739</v>
      </c>
      <c r="D68" s="567" t="s">
        <v>740</v>
      </c>
      <c r="E68" s="573"/>
      <c r="F68" s="574"/>
      <c r="G68" s="574"/>
      <c r="H68" s="574"/>
      <c r="I68" s="574"/>
      <c r="J68" s="574"/>
      <c r="K68" s="575"/>
      <c r="L68" s="572"/>
      <c r="M68" s="572"/>
      <c r="N68" s="571"/>
      <c r="O68" s="571"/>
      <c r="P68" s="571"/>
      <c r="Q68" s="571"/>
      <c r="R68" s="571"/>
      <c r="S68" s="571"/>
      <c r="T68" s="571"/>
      <c r="U68" s="571"/>
      <c r="V68" s="571"/>
      <c r="W68" s="571"/>
      <c r="X68" s="571"/>
      <c r="Y68" s="571"/>
      <c r="Z68" s="571"/>
      <c r="AA68" s="571"/>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572"/>
      <c r="BG68" s="572"/>
      <c r="BH68" s="572"/>
      <c r="BI68" s="572"/>
      <c r="BJ68" s="572"/>
      <c r="BK68" s="572"/>
      <c r="BL68" s="572"/>
      <c r="BM68" s="572"/>
      <c r="BN68" s="572"/>
      <c r="BO68" s="572"/>
      <c r="BP68" s="572"/>
      <c r="BQ68" s="572"/>
      <c r="BR68" s="572"/>
      <c r="BS68" s="572"/>
      <c r="BT68" s="572"/>
      <c r="BU68" s="572"/>
      <c r="BV68" s="572"/>
      <c r="BW68" s="572"/>
      <c r="BX68" s="572"/>
      <c r="BY68" s="572"/>
      <c r="BZ68" s="572"/>
      <c r="CA68" s="572"/>
      <c r="CB68" s="572"/>
      <c r="CC68" s="572"/>
      <c r="CD68" s="572"/>
      <c r="CE68" s="572"/>
      <c r="CF68" s="572"/>
      <c r="CG68" s="572"/>
      <c r="CH68" s="572"/>
      <c r="CI68" s="572"/>
      <c r="CJ68" s="572"/>
      <c r="CK68" s="572"/>
      <c r="CL68" s="572"/>
      <c r="CM68" s="572"/>
      <c r="CN68" s="572"/>
      <c r="CO68" s="572"/>
      <c r="CP68" s="572"/>
      <c r="CQ68" s="572"/>
      <c r="CR68" s="567"/>
      <c r="CS68" s="567"/>
      <c r="CT68" s="567"/>
      <c r="CU68" s="567"/>
      <c r="CV68" s="567"/>
      <c r="CW68" s="567"/>
      <c r="CX68" s="567"/>
      <c r="CY68" s="567"/>
      <c r="CZ68" s="567"/>
      <c r="DA68" s="567"/>
      <c r="DB68" s="567"/>
      <c r="DC68" s="567"/>
      <c r="DD68" s="567"/>
      <c r="DE68" s="567"/>
      <c r="DF68" s="567"/>
      <c r="DG68" s="567"/>
      <c r="DH68" s="567"/>
      <c r="DI68" s="567"/>
      <c r="DJ68" s="567"/>
      <c r="DK68" s="567"/>
      <c r="DL68" s="567"/>
      <c r="DM68" s="567"/>
      <c r="DN68" s="567"/>
      <c r="DO68" s="567"/>
      <c r="DP68" s="567"/>
      <c r="DQ68" s="567"/>
      <c r="DR68" s="567"/>
      <c r="DS68" s="567"/>
      <c r="DT68" s="567"/>
      <c r="DU68" s="567"/>
      <c r="DV68" s="567"/>
      <c r="DW68" s="567"/>
      <c r="DX68" s="567"/>
      <c r="DY68" s="567"/>
      <c r="DZ68" s="567"/>
      <c r="EA68" s="567"/>
      <c r="EB68" s="567"/>
      <c r="EC68" s="567"/>
      <c r="ED68" s="567"/>
      <c r="EE68" s="567"/>
      <c r="EF68" s="567"/>
      <c r="EG68" s="567"/>
      <c r="EH68" s="567"/>
      <c r="EI68" s="567"/>
      <c r="EJ68" s="567"/>
      <c r="EK68" s="567"/>
      <c r="EL68" s="567"/>
      <c r="EM68" s="567"/>
      <c r="EN68" s="567"/>
      <c r="EO68" s="567"/>
      <c r="EP68" s="567"/>
      <c r="EQ68" s="567"/>
      <c r="ER68" s="567"/>
      <c r="ES68" s="567"/>
      <c r="ET68" s="567"/>
      <c r="EU68" s="567"/>
      <c r="EV68" s="567"/>
      <c r="EW68" s="567"/>
      <c r="EX68" s="567"/>
      <c r="EY68" s="567"/>
      <c r="EZ68" s="567"/>
      <c r="FA68" s="567"/>
      <c r="FB68" s="567"/>
      <c r="FC68" s="567"/>
      <c r="FD68" s="567"/>
      <c r="FE68" s="567"/>
      <c r="FF68" s="567"/>
      <c r="FG68" s="567"/>
      <c r="FH68" s="567"/>
      <c r="FI68" s="567"/>
      <c r="FJ68" s="567"/>
      <c r="FK68" s="567"/>
      <c r="FL68" s="567"/>
      <c r="FM68" s="567"/>
      <c r="FN68" s="567"/>
      <c r="FO68" s="567"/>
      <c r="FP68" s="567"/>
      <c r="FQ68" s="567"/>
      <c r="FR68" s="567"/>
      <c r="FS68" s="567"/>
      <c r="FT68" s="567"/>
      <c r="FU68" s="567"/>
      <c r="FV68" s="567"/>
      <c r="FW68" s="567"/>
      <c r="FX68" s="567"/>
      <c r="FY68" s="567"/>
      <c r="FZ68" s="567"/>
      <c r="GA68" s="567"/>
      <c r="GB68" s="567"/>
      <c r="GC68" s="567"/>
      <c r="GD68" s="567"/>
      <c r="GE68" s="567"/>
      <c r="GF68" s="567"/>
      <c r="GG68" s="567"/>
      <c r="GH68" s="567"/>
      <c r="GI68" s="567"/>
      <c r="GJ68" s="567"/>
      <c r="GK68" s="567"/>
      <c r="GL68" s="567"/>
      <c r="GM68" s="567"/>
      <c r="GN68" s="567"/>
      <c r="GO68" s="567"/>
      <c r="GP68" s="567"/>
      <c r="GQ68" s="567"/>
      <c r="GR68" s="567"/>
      <c r="GS68" s="567"/>
      <c r="GT68" s="567"/>
      <c r="GU68" s="567"/>
      <c r="GV68" s="567"/>
      <c r="GW68" s="567"/>
      <c r="GX68" s="567"/>
      <c r="GY68" s="567"/>
      <c r="GZ68" s="567"/>
      <c r="HA68" s="567"/>
      <c r="HB68" s="567"/>
      <c r="HC68" s="567"/>
      <c r="HD68" s="567"/>
      <c r="HE68" s="567"/>
      <c r="HF68" s="567"/>
      <c r="HG68" s="567"/>
      <c r="HH68" s="567"/>
      <c r="HI68" s="567"/>
      <c r="HJ68" s="567"/>
      <c r="HK68" s="567"/>
      <c r="HL68" s="567"/>
      <c r="HM68" s="567"/>
      <c r="HN68" s="567"/>
      <c r="HO68" s="567"/>
      <c r="HP68" s="567"/>
      <c r="HQ68" s="567"/>
      <c r="HR68" s="567"/>
      <c r="HS68" s="567"/>
      <c r="HT68" s="567"/>
      <c r="HU68" s="567"/>
      <c r="HV68" s="567"/>
      <c r="HW68" s="567"/>
      <c r="HX68" s="567"/>
      <c r="HY68" s="567"/>
      <c r="HZ68" s="567"/>
      <c r="IA68" s="567"/>
      <c r="IB68" s="567"/>
      <c r="IC68" s="567"/>
      <c r="ID68" s="567"/>
      <c r="IE68" s="567"/>
      <c r="IF68" s="567"/>
      <c r="IG68" s="567"/>
      <c r="IH68" s="567"/>
      <c r="II68" s="567"/>
      <c r="IJ68" s="567"/>
      <c r="IK68" s="567"/>
      <c r="IL68" s="567"/>
      <c r="IM68" s="567"/>
      <c r="IN68" s="567"/>
      <c r="IO68" s="567"/>
      <c r="IP68" s="567"/>
      <c r="IQ68" s="567"/>
      <c r="IR68" s="567"/>
      <c r="IS68" s="567"/>
      <c r="IT68" s="567"/>
      <c r="IU68" s="567"/>
    </row>
    <row r="69" spans="1:255" ht="25.5" x14ac:dyDescent="0.25">
      <c r="A69" s="668"/>
      <c r="B69" s="590">
        <v>149</v>
      </c>
      <c r="C69" s="601" t="s">
        <v>741</v>
      </c>
      <c r="D69" s="567" t="s">
        <v>742</v>
      </c>
      <c r="E69" s="573"/>
      <c r="F69" s="574"/>
      <c r="G69" s="574"/>
      <c r="H69" s="574"/>
      <c r="I69" s="574"/>
      <c r="J69" s="574"/>
      <c r="K69" s="575"/>
      <c r="L69" s="572"/>
      <c r="M69" s="572"/>
      <c r="N69" s="571"/>
      <c r="O69" s="571"/>
      <c r="P69" s="571"/>
      <c r="Q69" s="571"/>
      <c r="R69" s="571"/>
      <c r="S69" s="571"/>
      <c r="T69" s="571"/>
      <c r="U69" s="571"/>
      <c r="V69" s="571"/>
      <c r="W69" s="571"/>
      <c r="X69" s="571"/>
      <c r="Y69" s="571"/>
      <c r="Z69" s="571"/>
      <c r="AA69" s="571"/>
      <c r="AB69" s="572"/>
      <c r="AC69" s="572"/>
      <c r="AD69" s="572"/>
      <c r="AE69" s="572"/>
      <c r="AF69" s="572"/>
      <c r="AG69" s="572"/>
      <c r="AH69" s="572"/>
      <c r="AI69" s="572"/>
      <c r="AJ69" s="572"/>
      <c r="AK69" s="572"/>
      <c r="AL69" s="572"/>
      <c r="AM69" s="572"/>
      <c r="AN69" s="572"/>
      <c r="AO69" s="572"/>
      <c r="AP69" s="572"/>
      <c r="AQ69" s="572"/>
      <c r="AR69" s="572"/>
      <c r="AS69" s="572"/>
      <c r="AT69" s="572"/>
      <c r="AU69" s="572"/>
      <c r="AV69" s="572"/>
      <c r="AW69" s="572"/>
      <c r="AX69" s="572"/>
      <c r="AY69" s="572"/>
      <c r="AZ69" s="572"/>
      <c r="BA69" s="572"/>
      <c r="BB69" s="572"/>
      <c r="BC69" s="572"/>
      <c r="BD69" s="572"/>
      <c r="BE69" s="572"/>
      <c r="BF69" s="572"/>
      <c r="BG69" s="572"/>
      <c r="BH69" s="572"/>
      <c r="BI69" s="572"/>
      <c r="BJ69" s="572"/>
      <c r="BK69" s="572"/>
      <c r="BL69" s="572"/>
      <c r="BM69" s="572"/>
      <c r="BN69" s="572"/>
      <c r="BO69" s="572"/>
      <c r="BP69" s="572"/>
      <c r="BQ69" s="572"/>
      <c r="BR69" s="572"/>
      <c r="BS69" s="572"/>
      <c r="BT69" s="572"/>
      <c r="BU69" s="572"/>
      <c r="BV69" s="572"/>
      <c r="BW69" s="572"/>
      <c r="BX69" s="572"/>
      <c r="BY69" s="572"/>
      <c r="BZ69" s="572"/>
      <c r="CA69" s="572"/>
      <c r="CB69" s="572"/>
      <c r="CC69" s="572"/>
      <c r="CD69" s="572"/>
      <c r="CE69" s="572"/>
      <c r="CF69" s="572"/>
      <c r="CG69" s="572"/>
      <c r="CH69" s="572"/>
      <c r="CI69" s="572"/>
      <c r="CJ69" s="572"/>
      <c r="CK69" s="572"/>
      <c r="CL69" s="572"/>
      <c r="CM69" s="572"/>
      <c r="CN69" s="572"/>
      <c r="CO69" s="572"/>
      <c r="CP69" s="572"/>
      <c r="CQ69" s="572"/>
      <c r="CR69" s="567"/>
      <c r="CS69" s="567"/>
      <c r="CT69" s="567"/>
      <c r="CU69" s="567"/>
      <c r="CV69" s="567"/>
      <c r="CW69" s="567"/>
      <c r="CX69" s="567"/>
      <c r="CY69" s="567"/>
      <c r="CZ69" s="567"/>
      <c r="DA69" s="567"/>
      <c r="DB69" s="567"/>
      <c r="DC69" s="567"/>
      <c r="DD69" s="567"/>
      <c r="DE69" s="567"/>
      <c r="DF69" s="567"/>
      <c r="DG69" s="567"/>
      <c r="DH69" s="567"/>
      <c r="DI69" s="567"/>
      <c r="DJ69" s="567"/>
      <c r="DK69" s="567"/>
      <c r="DL69" s="567"/>
      <c r="DM69" s="567"/>
      <c r="DN69" s="567"/>
      <c r="DO69" s="567"/>
      <c r="DP69" s="567"/>
      <c r="DQ69" s="567"/>
      <c r="DR69" s="567"/>
      <c r="DS69" s="567"/>
      <c r="DT69" s="567"/>
      <c r="DU69" s="567"/>
      <c r="DV69" s="567"/>
      <c r="DW69" s="567"/>
      <c r="DX69" s="567"/>
      <c r="DY69" s="567"/>
      <c r="DZ69" s="567"/>
      <c r="EA69" s="567"/>
      <c r="EB69" s="567"/>
      <c r="EC69" s="567"/>
      <c r="ED69" s="567"/>
      <c r="EE69" s="567"/>
      <c r="EF69" s="567"/>
      <c r="EG69" s="567"/>
      <c r="EH69" s="567"/>
      <c r="EI69" s="567"/>
      <c r="EJ69" s="567"/>
      <c r="EK69" s="567"/>
      <c r="EL69" s="567"/>
      <c r="EM69" s="567"/>
      <c r="EN69" s="567"/>
      <c r="EO69" s="567"/>
      <c r="EP69" s="567"/>
      <c r="EQ69" s="567"/>
      <c r="ER69" s="567"/>
      <c r="ES69" s="567"/>
      <c r="ET69" s="567"/>
      <c r="EU69" s="567"/>
      <c r="EV69" s="567"/>
      <c r="EW69" s="567"/>
      <c r="EX69" s="567"/>
      <c r="EY69" s="567"/>
      <c r="EZ69" s="567"/>
      <c r="FA69" s="567"/>
      <c r="FB69" s="567"/>
      <c r="FC69" s="567"/>
      <c r="FD69" s="567"/>
      <c r="FE69" s="567"/>
      <c r="FF69" s="567"/>
      <c r="FG69" s="567"/>
      <c r="FH69" s="567"/>
      <c r="FI69" s="567"/>
      <c r="FJ69" s="567"/>
      <c r="FK69" s="567"/>
      <c r="FL69" s="567"/>
      <c r="FM69" s="567"/>
      <c r="FN69" s="567"/>
      <c r="FO69" s="567"/>
      <c r="FP69" s="567"/>
      <c r="FQ69" s="567"/>
      <c r="FR69" s="567"/>
      <c r="FS69" s="567"/>
      <c r="FT69" s="567"/>
      <c r="FU69" s="567"/>
      <c r="FV69" s="567"/>
      <c r="FW69" s="567"/>
      <c r="FX69" s="567"/>
      <c r="FY69" s="567"/>
      <c r="FZ69" s="567"/>
      <c r="GA69" s="567"/>
      <c r="GB69" s="567"/>
      <c r="GC69" s="567"/>
      <c r="GD69" s="567"/>
      <c r="GE69" s="567"/>
      <c r="GF69" s="567"/>
      <c r="GG69" s="567"/>
      <c r="GH69" s="567"/>
      <c r="GI69" s="567"/>
      <c r="GJ69" s="567"/>
      <c r="GK69" s="567"/>
      <c r="GL69" s="567"/>
      <c r="GM69" s="567"/>
      <c r="GN69" s="567"/>
      <c r="GO69" s="567"/>
      <c r="GP69" s="567"/>
      <c r="GQ69" s="567"/>
      <c r="GR69" s="567"/>
      <c r="GS69" s="567"/>
      <c r="GT69" s="567"/>
      <c r="GU69" s="567"/>
      <c r="GV69" s="567"/>
      <c r="GW69" s="567"/>
      <c r="GX69" s="567"/>
      <c r="GY69" s="567"/>
      <c r="GZ69" s="567"/>
      <c r="HA69" s="567"/>
      <c r="HB69" s="567"/>
      <c r="HC69" s="567"/>
      <c r="HD69" s="567"/>
      <c r="HE69" s="567"/>
      <c r="HF69" s="567"/>
      <c r="HG69" s="567"/>
      <c r="HH69" s="567"/>
      <c r="HI69" s="567"/>
      <c r="HJ69" s="567"/>
      <c r="HK69" s="567"/>
      <c r="HL69" s="567"/>
      <c r="HM69" s="567"/>
      <c r="HN69" s="567"/>
      <c r="HO69" s="567"/>
      <c r="HP69" s="567"/>
      <c r="HQ69" s="567"/>
      <c r="HR69" s="567"/>
      <c r="HS69" s="567"/>
      <c r="HT69" s="567"/>
      <c r="HU69" s="567"/>
      <c r="HV69" s="567"/>
      <c r="HW69" s="567"/>
      <c r="HX69" s="567"/>
      <c r="HY69" s="567"/>
      <c r="HZ69" s="567"/>
      <c r="IA69" s="567"/>
      <c r="IB69" s="567"/>
      <c r="IC69" s="567"/>
      <c r="ID69" s="567"/>
      <c r="IE69" s="567"/>
      <c r="IF69" s="567"/>
      <c r="IG69" s="567"/>
      <c r="IH69" s="567"/>
      <c r="II69" s="567"/>
      <c r="IJ69" s="567"/>
      <c r="IK69" s="567"/>
      <c r="IL69" s="567"/>
      <c r="IM69" s="567"/>
      <c r="IN69" s="567"/>
      <c r="IO69" s="567"/>
      <c r="IP69" s="567"/>
      <c r="IQ69" s="567"/>
      <c r="IR69" s="567"/>
      <c r="IS69" s="567"/>
      <c r="IT69" s="567"/>
      <c r="IU69" s="567"/>
    </row>
    <row r="70" spans="1:255" ht="38.25" x14ac:dyDescent="0.25">
      <c r="A70" s="668"/>
      <c r="B70" s="590">
        <v>150</v>
      </c>
      <c r="C70" s="601" t="s">
        <v>743</v>
      </c>
      <c r="D70" s="567" t="s">
        <v>744</v>
      </c>
      <c r="E70" s="573"/>
      <c r="F70" s="574"/>
      <c r="G70" s="574"/>
      <c r="H70" s="574"/>
      <c r="I70" s="574"/>
      <c r="J70" s="574"/>
      <c r="K70" s="575"/>
      <c r="L70" s="572"/>
      <c r="M70" s="572"/>
      <c r="N70" s="571"/>
      <c r="O70" s="571"/>
      <c r="P70" s="571"/>
      <c r="Q70" s="571"/>
      <c r="R70" s="571"/>
      <c r="S70" s="571"/>
      <c r="T70" s="571"/>
      <c r="U70" s="571"/>
      <c r="V70" s="571"/>
      <c r="W70" s="571"/>
      <c r="X70" s="571"/>
      <c r="Y70" s="571"/>
      <c r="Z70" s="571"/>
      <c r="AA70" s="571"/>
      <c r="AB70" s="572"/>
      <c r="AC70" s="572"/>
      <c r="AD70" s="572"/>
      <c r="AE70" s="572"/>
      <c r="AF70" s="572"/>
      <c r="AG70" s="572"/>
      <c r="AH70" s="572"/>
      <c r="AI70" s="572"/>
      <c r="AJ70" s="572"/>
      <c r="AK70" s="572"/>
      <c r="AL70" s="572"/>
      <c r="AM70" s="572"/>
      <c r="AN70" s="572"/>
      <c r="AO70" s="572"/>
      <c r="AP70" s="572"/>
      <c r="AQ70" s="572"/>
      <c r="AR70" s="572"/>
      <c r="AS70" s="572"/>
      <c r="AT70" s="572"/>
      <c r="AU70" s="572"/>
      <c r="AV70" s="572"/>
      <c r="AW70" s="572"/>
      <c r="AX70" s="572"/>
      <c r="AY70" s="572"/>
      <c r="AZ70" s="572"/>
      <c r="BA70" s="572"/>
      <c r="BB70" s="572"/>
      <c r="BC70" s="572"/>
      <c r="BD70" s="572"/>
      <c r="BE70" s="572"/>
      <c r="BF70" s="572"/>
      <c r="BG70" s="572"/>
      <c r="BH70" s="572"/>
      <c r="BI70" s="572"/>
      <c r="BJ70" s="572"/>
      <c r="BK70" s="572"/>
      <c r="BL70" s="572"/>
      <c r="BM70" s="572"/>
      <c r="BN70" s="572"/>
      <c r="BO70" s="572"/>
      <c r="BP70" s="572"/>
      <c r="BQ70" s="572"/>
      <c r="BR70" s="572"/>
      <c r="BS70" s="572"/>
      <c r="BT70" s="572"/>
      <c r="BU70" s="572"/>
      <c r="BV70" s="572"/>
      <c r="BW70" s="572"/>
      <c r="BX70" s="572"/>
      <c r="BY70" s="572"/>
      <c r="BZ70" s="572"/>
      <c r="CA70" s="572"/>
      <c r="CB70" s="572"/>
      <c r="CC70" s="572"/>
      <c r="CD70" s="572"/>
      <c r="CE70" s="572"/>
      <c r="CF70" s="572"/>
      <c r="CG70" s="572"/>
      <c r="CH70" s="572"/>
      <c r="CI70" s="572"/>
      <c r="CJ70" s="572"/>
      <c r="CK70" s="572"/>
      <c r="CL70" s="572"/>
      <c r="CM70" s="572"/>
      <c r="CN70" s="572"/>
      <c r="CO70" s="572"/>
      <c r="CP70" s="572"/>
      <c r="CQ70" s="572"/>
      <c r="CR70" s="567"/>
      <c r="CS70" s="567"/>
      <c r="CT70" s="567"/>
      <c r="CU70" s="567"/>
      <c r="CV70" s="567"/>
      <c r="CW70" s="567"/>
      <c r="CX70" s="567"/>
      <c r="CY70" s="567"/>
      <c r="CZ70" s="567"/>
      <c r="DA70" s="567"/>
      <c r="DB70" s="567"/>
      <c r="DC70" s="567"/>
      <c r="DD70" s="567"/>
      <c r="DE70" s="567"/>
      <c r="DF70" s="567"/>
      <c r="DG70" s="567"/>
      <c r="DH70" s="567"/>
      <c r="DI70" s="567"/>
      <c r="DJ70" s="567"/>
      <c r="DK70" s="567"/>
      <c r="DL70" s="567"/>
      <c r="DM70" s="567"/>
      <c r="DN70" s="567"/>
      <c r="DO70" s="567"/>
      <c r="DP70" s="567"/>
      <c r="DQ70" s="567"/>
      <c r="DR70" s="567"/>
      <c r="DS70" s="567"/>
      <c r="DT70" s="567"/>
      <c r="DU70" s="567"/>
      <c r="DV70" s="567"/>
      <c r="DW70" s="567"/>
      <c r="DX70" s="567"/>
      <c r="DY70" s="567"/>
      <c r="DZ70" s="567"/>
      <c r="EA70" s="567"/>
      <c r="EB70" s="567"/>
      <c r="EC70" s="567"/>
      <c r="ED70" s="567"/>
      <c r="EE70" s="567"/>
      <c r="EF70" s="567"/>
      <c r="EG70" s="567"/>
      <c r="EH70" s="567"/>
      <c r="EI70" s="567"/>
      <c r="EJ70" s="567"/>
      <c r="EK70" s="567"/>
      <c r="EL70" s="567"/>
      <c r="EM70" s="567"/>
      <c r="EN70" s="567"/>
      <c r="EO70" s="567"/>
      <c r="EP70" s="567"/>
      <c r="EQ70" s="567"/>
      <c r="ER70" s="567"/>
      <c r="ES70" s="567"/>
      <c r="ET70" s="567"/>
      <c r="EU70" s="567"/>
      <c r="EV70" s="567"/>
      <c r="EW70" s="567"/>
      <c r="EX70" s="567"/>
      <c r="EY70" s="567"/>
      <c r="EZ70" s="567"/>
      <c r="FA70" s="567"/>
      <c r="FB70" s="567"/>
      <c r="FC70" s="567"/>
      <c r="FD70" s="567"/>
      <c r="FE70" s="567"/>
      <c r="FF70" s="567"/>
      <c r="FG70" s="567"/>
      <c r="FH70" s="567"/>
      <c r="FI70" s="567"/>
      <c r="FJ70" s="567"/>
      <c r="FK70" s="567"/>
      <c r="FL70" s="567"/>
      <c r="FM70" s="567"/>
      <c r="FN70" s="567"/>
      <c r="FO70" s="567"/>
      <c r="FP70" s="567"/>
      <c r="FQ70" s="567"/>
      <c r="FR70" s="567"/>
      <c r="FS70" s="567"/>
      <c r="FT70" s="567"/>
      <c r="FU70" s="567"/>
      <c r="FV70" s="567"/>
      <c r="FW70" s="567"/>
      <c r="FX70" s="567"/>
      <c r="FY70" s="567"/>
      <c r="FZ70" s="567"/>
      <c r="GA70" s="567"/>
      <c r="GB70" s="567"/>
      <c r="GC70" s="567"/>
      <c r="GD70" s="567"/>
      <c r="GE70" s="567"/>
      <c r="GF70" s="567"/>
      <c r="GG70" s="567"/>
      <c r="GH70" s="567"/>
      <c r="GI70" s="567"/>
      <c r="GJ70" s="567"/>
      <c r="GK70" s="567"/>
      <c r="GL70" s="567"/>
      <c r="GM70" s="567"/>
      <c r="GN70" s="567"/>
      <c r="GO70" s="567"/>
      <c r="GP70" s="567"/>
      <c r="GQ70" s="567"/>
      <c r="GR70" s="567"/>
      <c r="GS70" s="567"/>
      <c r="GT70" s="567"/>
      <c r="GU70" s="567"/>
      <c r="GV70" s="567"/>
      <c r="GW70" s="567"/>
      <c r="GX70" s="567"/>
      <c r="GY70" s="567"/>
      <c r="GZ70" s="567"/>
      <c r="HA70" s="567"/>
      <c r="HB70" s="567"/>
      <c r="HC70" s="567"/>
      <c r="HD70" s="567"/>
      <c r="HE70" s="567"/>
      <c r="HF70" s="567"/>
      <c r="HG70" s="567"/>
      <c r="HH70" s="567"/>
      <c r="HI70" s="567"/>
      <c r="HJ70" s="567"/>
      <c r="HK70" s="567"/>
      <c r="HL70" s="567"/>
      <c r="HM70" s="567"/>
      <c r="HN70" s="567"/>
      <c r="HO70" s="567"/>
      <c r="HP70" s="567"/>
      <c r="HQ70" s="567"/>
      <c r="HR70" s="567"/>
      <c r="HS70" s="567"/>
      <c r="HT70" s="567"/>
      <c r="HU70" s="567"/>
      <c r="HV70" s="567"/>
      <c r="HW70" s="567"/>
      <c r="HX70" s="567"/>
      <c r="HY70" s="567"/>
      <c r="HZ70" s="567"/>
      <c r="IA70" s="567"/>
      <c r="IB70" s="567"/>
      <c r="IC70" s="567"/>
      <c r="ID70" s="567"/>
      <c r="IE70" s="567"/>
      <c r="IF70" s="567"/>
      <c r="IG70" s="567"/>
      <c r="IH70" s="567"/>
      <c r="II70" s="567"/>
      <c r="IJ70" s="567"/>
      <c r="IK70" s="567"/>
      <c r="IL70" s="567"/>
      <c r="IM70" s="567"/>
      <c r="IN70" s="567"/>
      <c r="IO70" s="567"/>
      <c r="IP70" s="567"/>
      <c r="IQ70" s="567"/>
      <c r="IR70" s="567"/>
      <c r="IS70" s="567"/>
      <c r="IT70" s="567"/>
      <c r="IU70" s="567"/>
    </row>
    <row r="71" spans="1:255" x14ac:dyDescent="0.25">
      <c r="A71" s="668">
        <v>171</v>
      </c>
      <c r="B71" s="590">
        <v>171</v>
      </c>
      <c r="C71" s="570" t="s">
        <v>302</v>
      </c>
      <c r="D71" s="567" t="s">
        <v>745</v>
      </c>
      <c r="E71" s="573">
        <v>0</v>
      </c>
      <c r="F71" s="574">
        <v>0</v>
      </c>
      <c r="G71" s="574">
        <v>0</v>
      </c>
      <c r="H71" s="574">
        <v>204356</v>
      </c>
      <c r="I71" s="574">
        <v>0</v>
      </c>
      <c r="J71" s="574">
        <v>8541</v>
      </c>
      <c r="K71" s="575">
        <v>1009830</v>
      </c>
      <c r="L71" s="572">
        <v>16060</v>
      </c>
      <c r="M71" s="572">
        <v>0</v>
      </c>
      <c r="N71" s="571">
        <v>0</v>
      </c>
      <c r="O71" s="571">
        <v>57284</v>
      </c>
      <c r="P71" s="571">
        <v>0</v>
      </c>
      <c r="Q71" s="571">
        <v>0</v>
      </c>
      <c r="R71" s="571">
        <v>305719</v>
      </c>
      <c r="S71" s="571">
        <v>0</v>
      </c>
      <c r="T71" s="571">
        <v>51733</v>
      </c>
      <c r="U71" s="571">
        <v>0</v>
      </c>
      <c r="V71" s="571">
        <v>257692</v>
      </c>
      <c r="W71" s="571">
        <v>0</v>
      </c>
      <c r="X71" s="571">
        <v>275487</v>
      </c>
      <c r="Y71" s="571">
        <v>54920</v>
      </c>
      <c r="Z71" s="571">
        <v>0</v>
      </c>
      <c r="AA71" s="571">
        <v>0</v>
      </c>
      <c r="AB71" s="572">
        <v>32773</v>
      </c>
      <c r="AC71" s="572">
        <v>0</v>
      </c>
      <c r="AD71" s="572">
        <v>0</v>
      </c>
      <c r="AE71" s="572">
        <v>1205484</v>
      </c>
      <c r="AF71" s="572">
        <v>35629</v>
      </c>
      <c r="AG71" s="572">
        <v>179011</v>
      </c>
      <c r="AH71" s="572">
        <v>524514</v>
      </c>
      <c r="AI71" s="572">
        <v>0</v>
      </c>
      <c r="AJ71" s="572">
        <v>0</v>
      </c>
      <c r="AK71" s="572">
        <v>425784</v>
      </c>
      <c r="AL71" s="572">
        <v>84849</v>
      </c>
      <c r="AM71" s="572">
        <v>98667</v>
      </c>
      <c r="AN71" s="572">
        <v>0</v>
      </c>
      <c r="AO71" s="572">
        <v>0</v>
      </c>
      <c r="AP71" s="572">
        <v>384862</v>
      </c>
      <c r="AQ71" s="572">
        <v>0</v>
      </c>
      <c r="AR71" s="572">
        <v>6064</v>
      </c>
      <c r="AS71" s="572">
        <v>0</v>
      </c>
      <c r="AT71" s="572">
        <v>48083</v>
      </c>
      <c r="AU71" s="572">
        <v>0</v>
      </c>
      <c r="AV71" s="572">
        <v>12337</v>
      </c>
      <c r="AW71" s="572">
        <v>145178</v>
      </c>
      <c r="AX71" s="572">
        <v>27022</v>
      </c>
      <c r="AY71" s="572">
        <v>4800406</v>
      </c>
      <c r="AZ71" s="572">
        <v>0</v>
      </c>
      <c r="BA71" s="572">
        <v>283315</v>
      </c>
      <c r="BB71" s="572">
        <v>0</v>
      </c>
      <c r="BC71" s="572">
        <v>31130</v>
      </c>
      <c r="BD71" s="572">
        <v>0</v>
      </c>
      <c r="BE71" s="572">
        <v>0</v>
      </c>
      <c r="BF71" s="572">
        <v>54254</v>
      </c>
      <c r="BG71" s="572">
        <v>94316</v>
      </c>
      <c r="BH71" s="572">
        <v>204337</v>
      </c>
      <c r="BI71" s="572">
        <v>0</v>
      </c>
      <c r="BJ71" s="572">
        <v>0</v>
      </c>
      <c r="BK71" s="572">
        <v>526565</v>
      </c>
      <c r="BL71" s="572">
        <v>1354595</v>
      </c>
      <c r="BM71" s="572">
        <v>457906</v>
      </c>
      <c r="BN71" s="572">
        <v>0</v>
      </c>
      <c r="BO71" s="572">
        <v>0</v>
      </c>
      <c r="BP71" s="572">
        <v>0</v>
      </c>
      <c r="BQ71" s="572">
        <v>442293</v>
      </c>
      <c r="BR71" s="572">
        <v>0</v>
      </c>
      <c r="BS71" s="572">
        <v>0</v>
      </c>
      <c r="BT71" s="572">
        <v>35775</v>
      </c>
      <c r="BU71" s="572">
        <v>96481</v>
      </c>
      <c r="BV71" s="572">
        <v>0</v>
      </c>
      <c r="BW71" s="572">
        <v>60217</v>
      </c>
      <c r="BX71" s="572">
        <v>271471</v>
      </c>
      <c r="BY71" s="572">
        <v>0</v>
      </c>
      <c r="BZ71" s="572">
        <v>0</v>
      </c>
      <c r="CA71" s="572">
        <v>235359</v>
      </c>
      <c r="CB71" s="572">
        <v>17603454</v>
      </c>
      <c r="CC71" s="572">
        <v>749084</v>
      </c>
      <c r="CD71" s="572">
        <v>34579</v>
      </c>
      <c r="CE71" s="572">
        <v>159046</v>
      </c>
      <c r="CF71" s="572">
        <v>0</v>
      </c>
      <c r="CG71" s="572">
        <v>98772</v>
      </c>
      <c r="CH71" s="572">
        <v>39225300</v>
      </c>
      <c r="CI71" s="572">
        <v>612221</v>
      </c>
      <c r="CJ71" s="572">
        <v>46462</v>
      </c>
      <c r="CK71" s="572">
        <v>271528</v>
      </c>
      <c r="CL71" s="572">
        <v>26210</v>
      </c>
      <c r="CM71" s="572">
        <v>497712</v>
      </c>
      <c r="CN71" s="572">
        <v>58605</v>
      </c>
      <c r="CO71" s="572">
        <v>104178</v>
      </c>
      <c r="CP71" s="572">
        <v>152637</v>
      </c>
      <c r="CQ71" s="572">
        <v>746176</v>
      </c>
      <c r="CR71" s="567"/>
      <c r="CS71" s="567"/>
      <c r="CT71" s="567"/>
      <c r="CU71" s="567"/>
      <c r="CV71" s="567"/>
      <c r="CW71" s="567"/>
      <c r="CX71" s="567"/>
      <c r="CY71" s="567"/>
      <c r="CZ71" s="567"/>
      <c r="DA71" s="567"/>
      <c r="DB71" s="567"/>
      <c r="DC71" s="567"/>
      <c r="DD71" s="567"/>
      <c r="DE71" s="567"/>
      <c r="DF71" s="567"/>
      <c r="DG71" s="567"/>
      <c r="DH71" s="567"/>
      <c r="DI71" s="567"/>
      <c r="DJ71" s="567"/>
      <c r="DK71" s="567"/>
      <c r="DL71" s="567"/>
      <c r="DM71" s="567"/>
      <c r="DN71" s="567"/>
      <c r="DO71" s="567"/>
      <c r="DP71" s="567"/>
      <c r="DQ71" s="567"/>
      <c r="DR71" s="567"/>
      <c r="DS71" s="567"/>
      <c r="DT71" s="567"/>
      <c r="DU71" s="567"/>
      <c r="DV71" s="567"/>
      <c r="DW71" s="567"/>
      <c r="DX71" s="567"/>
      <c r="DY71" s="567"/>
      <c r="DZ71" s="567"/>
      <c r="EA71" s="567"/>
      <c r="EB71" s="567"/>
      <c r="EC71" s="567"/>
      <c r="ED71" s="567"/>
      <c r="EE71" s="567"/>
      <c r="EF71" s="567"/>
      <c r="EG71" s="567"/>
      <c r="EH71" s="567"/>
      <c r="EI71" s="567"/>
      <c r="EJ71" s="567"/>
      <c r="EK71" s="567"/>
      <c r="EL71" s="567"/>
      <c r="EM71" s="567"/>
      <c r="EN71" s="567"/>
      <c r="EO71" s="567"/>
      <c r="EP71" s="567"/>
      <c r="EQ71" s="567"/>
      <c r="ER71" s="567"/>
      <c r="ES71" s="567"/>
      <c r="ET71" s="567"/>
      <c r="EU71" s="567"/>
      <c r="EV71" s="567"/>
      <c r="EW71" s="567"/>
      <c r="EX71" s="567"/>
      <c r="EY71" s="567"/>
      <c r="EZ71" s="567"/>
      <c r="FA71" s="567"/>
      <c r="FB71" s="567"/>
      <c r="FC71" s="567"/>
      <c r="FD71" s="567"/>
      <c r="FE71" s="567"/>
      <c r="FF71" s="567"/>
      <c r="FG71" s="567"/>
      <c r="FH71" s="567"/>
      <c r="FI71" s="567"/>
      <c r="FJ71" s="567"/>
      <c r="FK71" s="567"/>
      <c r="FL71" s="567"/>
      <c r="FM71" s="567"/>
      <c r="FN71" s="567"/>
      <c r="FO71" s="567"/>
      <c r="FP71" s="567"/>
      <c r="FQ71" s="567"/>
      <c r="FR71" s="567"/>
      <c r="FS71" s="567"/>
      <c r="FT71" s="567"/>
      <c r="FU71" s="567"/>
      <c r="FV71" s="567"/>
      <c r="FW71" s="567"/>
      <c r="FX71" s="567"/>
      <c r="FY71" s="567"/>
      <c r="FZ71" s="567"/>
      <c r="GA71" s="567"/>
      <c r="GB71" s="567"/>
      <c r="GC71" s="567"/>
      <c r="GD71" s="567"/>
      <c r="GE71" s="567"/>
      <c r="GF71" s="567"/>
      <c r="GG71" s="567"/>
      <c r="GH71" s="567"/>
      <c r="GI71" s="567"/>
      <c r="GJ71" s="567"/>
      <c r="GK71" s="567"/>
      <c r="GL71" s="567"/>
      <c r="GM71" s="567"/>
      <c r="GN71" s="567"/>
      <c r="GO71" s="567"/>
      <c r="GP71" s="567"/>
      <c r="GQ71" s="567"/>
      <c r="GR71" s="567"/>
      <c r="GS71" s="567"/>
      <c r="GT71" s="567"/>
      <c r="GU71" s="567"/>
      <c r="GV71" s="567"/>
      <c r="GW71" s="567"/>
      <c r="GX71" s="567"/>
      <c r="GY71" s="567"/>
      <c r="GZ71" s="567"/>
      <c r="HA71" s="567"/>
      <c r="HB71" s="567"/>
      <c r="HC71" s="567"/>
      <c r="HD71" s="567"/>
      <c r="HE71" s="567"/>
      <c r="HF71" s="567"/>
      <c r="HG71" s="567"/>
      <c r="HH71" s="567"/>
      <c r="HI71" s="567"/>
      <c r="HJ71" s="567"/>
      <c r="HK71" s="567"/>
      <c r="HL71" s="567"/>
      <c r="HM71" s="567"/>
      <c r="HN71" s="567"/>
      <c r="HO71" s="567"/>
      <c r="HP71" s="567"/>
      <c r="HQ71" s="567"/>
      <c r="HR71" s="567"/>
      <c r="HS71" s="567"/>
      <c r="HT71" s="567"/>
      <c r="HU71" s="567"/>
      <c r="HV71" s="567"/>
      <c r="HW71" s="567"/>
      <c r="HX71" s="567"/>
      <c r="HY71" s="567"/>
      <c r="HZ71" s="567"/>
      <c r="IA71" s="567"/>
      <c r="IB71" s="567"/>
      <c r="IC71" s="567"/>
      <c r="ID71" s="567"/>
      <c r="IE71" s="567"/>
      <c r="IF71" s="567"/>
      <c r="IG71" s="567"/>
      <c r="IH71" s="567"/>
      <c r="II71" s="567"/>
      <c r="IJ71" s="567"/>
      <c r="IK71" s="567"/>
      <c r="IL71" s="567"/>
      <c r="IM71" s="567"/>
      <c r="IN71" s="567"/>
      <c r="IO71" s="567"/>
      <c r="IP71" s="567"/>
      <c r="IQ71" s="567"/>
      <c r="IR71" s="567"/>
      <c r="IS71" s="567"/>
      <c r="IT71" s="567"/>
      <c r="IU71" s="567"/>
    </row>
    <row r="72" spans="1:255" x14ac:dyDescent="0.25">
      <c r="A72" s="668">
        <v>191</v>
      </c>
      <c r="B72" s="590">
        <v>191</v>
      </c>
      <c r="C72" s="570" t="s">
        <v>318</v>
      </c>
      <c r="D72" s="567" t="s">
        <v>746</v>
      </c>
      <c r="E72" s="573">
        <v>0</v>
      </c>
      <c r="F72" s="574">
        <v>0</v>
      </c>
      <c r="G72" s="574">
        <v>0</v>
      </c>
      <c r="H72" s="574">
        <v>0</v>
      </c>
      <c r="I72" s="574">
        <v>135941</v>
      </c>
      <c r="J72" s="574">
        <v>0</v>
      </c>
      <c r="K72" s="575">
        <v>2159822</v>
      </c>
      <c r="L72" s="572">
        <v>0</v>
      </c>
      <c r="M72" s="572">
        <v>0</v>
      </c>
      <c r="N72" s="571">
        <v>0</v>
      </c>
      <c r="O72" s="571">
        <v>141550</v>
      </c>
      <c r="P72" s="571">
        <v>0</v>
      </c>
      <c r="Q72" s="571">
        <v>0</v>
      </c>
      <c r="R72" s="571">
        <v>0</v>
      </c>
      <c r="S72" s="571">
        <v>0</v>
      </c>
      <c r="T72" s="571">
        <v>0</v>
      </c>
      <c r="U72" s="571">
        <v>0</v>
      </c>
      <c r="V72" s="571">
        <v>0</v>
      </c>
      <c r="W72" s="571">
        <v>0</v>
      </c>
      <c r="X72" s="571">
        <v>0</v>
      </c>
      <c r="Y72" s="571">
        <v>130760</v>
      </c>
      <c r="Z72" s="571">
        <v>0</v>
      </c>
      <c r="AA72" s="571">
        <v>888050</v>
      </c>
      <c r="AB72" s="572">
        <v>15000</v>
      </c>
      <c r="AC72" s="572">
        <v>0</v>
      </c>
      <c r="AD72" s="572">
        <v>0</v>
      </c>
      <c r="AE72" s="572">
        <v>0</v>
      </c>
      <c r="AF72" s="572">
        <v>0</v>
      </c>
      <c r="AG72" s="572">
        <v>0</v>
      </c>
      <c r="AH72" s="572">
        <v>0</v>
      </c>
      <c r="AI72" s="572">
        <v>427581</v>
      </c>
      <c r="AJ72" s="572">
        <v>0</v>
      </c>
      <c r="AK72" s="572">
        <v>0</v>
      </c>
      <c r="AL72" s="572">
        <v>236175</v>
      </c>
      <c r="AM72" s="572">
        <v>0</v>
      </c>
      <c r="AN72" s="572">
        <v>0</v>
      </c>
      <c r="AO72" s="572">
        <v>0</v>
      </c>
      <c r="AP72" s="572">
        <v>909142</v>
      </c>
      <c r="AQ72" s="572">
        <v>0</v>
      </c>
      <c r="AR72" s="572">
        <v>0</v>
      </c>
      <c r="AS72" s="572">
        <v>0</v>
      </c>
      <c r="AT72" s="572">
        <v>0</v>
      </c>
      <c r="AU72" s="572">
        <v>0</v>
      </c>
      <c r="AV72" s="572">
        <v>0</v>
      </c>
      <c r="AW72" s="572">
        <v>79831</v>
      </c>
      <c r="AX72" s="572">
        <v>0</v>
      </c>
      <c r="AY72" s="572">
        <v>0</v>
      </c>
      <c r="AZ72" s="572">
        <v>0</v>
      </c>
      <c r="BA72" s="572">
        <v>74246</v>
      </c>
      <c r="BB72" s="572">
        <v>0</v>
      </c>
      <c r="BC72" s="572">
        <v>0</v>
      </c>
      <c r="BD72" s="572">
        <v>0</v>
      </c>
      <c r="BE72" s="572">
        <v>0</v>
      </c>
      <c r="BF72" s="572">
        <v>40000</v>
      </c>
      <c r="BG72" s="572">
        <v>1236102</v>
      </c>
      <c r="BH72" s="572">
        <v>380493</v>
      </c>
      <c r="BI72" s="572">
        <v>0</v>
      </c>
      <c r="BJ72" s="572">
        <v>0</v>
      </c>
      <c r="BK72" s="572">
        <v>0</v>
      </c>
      <c r="BL72" s="572">
        <v>0</v>
      </c>
      <c r="BM72" s="572">
        <v>0</v>
      </c>
      <c r="BN72" s="572">
        <v>0</v>
      </c>
      <c r="BO72" s="572">
        <v>0</v>
      </c>
      <c r="BP72" s="572">
        <v>0</v>
      </c>
      <c r="BQ72" s="572">
        <v>0</v>
      </c>
      <c r="BR72" s="572">
        <v>0</v>
      </c>
      <c r="BS72" s="572">
        <v>0</v>
      </c>
      <c r="BT72" s="572">
        <v>0</v>
      </c>
      <c r="BU72" s="572">
        <v>0</v>
      </c>
      <c r="BV72" s="572">
        <v>0</v>
      </c>
      <c r="BW72" s="572">
        <v>232620</v>
      </c>
      <c r="BX72" s="572">
        <v>0</v>
      </c>
      <c r="BY72" s="572">
        <v>0</v>
      </c>
      <c r="BZ72" s="572">
        <v>0</v>
      </c>
      <c r="CA72" s="572">
        <v>0</v>
      </c>
      <c r="CB72" s="572">
        <v>0</v>
      </c>
      <c r="CC72" s="572">
        <v>2440076</v>
      </c>
      <c r="CD72" s="572">
        <v>14817</v>
      </c>
      <c r="CE72" s="572">
        <v>25900</v>
      </c>
      <c r="CF72" s="572">
        <v>0</v>
      </c>
      <c r="CG72" s="572">
        <v>0</v>
      </c>
      <c r="CH72" s="572">
        <v>9677021</v>
      </c>
      <c r="CI72" s="572">
        <v>87200</v>
      </c>
      <c r="CJ72" s="572">
        <v>0</v>
      </c>
      <c r="CK72" s="572">
        <v>0</v>
      </c>
      <c r="CL72" s="572">
        <v>0</v>
      </c>
      <c r="CM72" s="572">
        <v>0</v>
      </c>
      <c r="CN72" s="572">
        <v>0</v>
      </c>
      <c r="CO72" s="572">
        <v>47000</v>
      </c>
      <c r="CP72" s="572">
        <v>0</v>
      </c>
      <c r="CQ72" s="572">
        <v>0</v>
      </c>
      <c r="CR72" s="567"/>
      <c r="CS72" s="567"/>
      <c r="CT72" s="567"/>
      <c r="CU72" s="567"/>
      <c r="CV72" s="567"/>
      <c r="CW72" s="567"/>
      <c r="CX72" s="567"/>
      <c r="CY72" s="567"/>
      <c r="CZ72" s="567"/>
      <c r="DA72" s="567"/>
      <c r="DB72" s="567"/>
      <c r="DC72" s="567"/>
      <c r="DD72" s="567"/>
      <c r="DE72" s="567"/>
      <c r="DF72" s="567"/>
      <c r="DG72" s="567"/>
      <c r="DH72" s="567"/>
      <c r="DI72" s="567"/>
      <c r="DJ72" s="567"/>
      <c r="DK72" s="567"/>
      <c r="DL72" s="567"/>
      <c r="DM72" s="567"/>
      <c r="DN72" s="567"/>
      <c r="DO72" s="567"/>
      <c r="DP72" s="567"/>
      <c r="DQ72" s="567"/>
      <c r="DR72" s="567"/>
      <c r="DS72" s="567"/>
      <c r="DT72" s="567"/>
      <c r="DU72" s="567"/>
      <c r="DV72" s="567"/>
      <c r="DW72" s="567"/>
      <c r="DX72" s="567"/>
      <c r="DY72" s="567"/>
      <c r="DZ72" s="567"/>
      <c r="EA72" s="567"/>
      <c r="EB72" s="567"/>
      <c r="EC72" s="567"/>
      <c r="ED72" s="567"/>
      <c r="EE72" s="567"/>
      <c r="EF72" s="567"/>
      <c r="EG72" s="567"/>
      <c r="EH72" s="567"/>
      <c r="EI72" s="567"/>
      <c r="EJ72" s="567"/>
      <c r="EK72" s="567"/>
      <c r="EL72" s="567"/>
      <c r="EM72" s="567"/>
      <c r="EN72" s="567"/>
      <c r="EO72" s="567"/>
      <c r="EP72" s="567"/>
      <c r="EQ72" s="567"/>
      <c r="ER72" s="567"/>
      <c r="ES72" s="567"/>
      <c r="ET72" s="567"/>
      <c r="EU72" s="567"/>
      <c r="EV72" s="567"/>
      <c r="EW72" s="567"/>
      <c r="EX72" s="567"/>
      <c r="EY72" s="567"/>
      <c r="EZ72" s="567"/>
      <c r="FA72" s="567"/>
      <c r="FB72" s="567"/>
      <c r="FC72" s="567"/>
      <c r="FD72" s="567"/>
      <c r="FE72" s="567"/>
      <c r="FF72" s="567"/>
      <c r="FG72" s="567"/>
      <c r="FH72" s="567"/>
      <c r="FI72" s="567"/>
      <c r="FJ72" s="567"/>
      <c r="FK72" s="567"/>
      <c r="FL72" s="567"/>
      <c r="FM72" s="567"/>
      <c r="FN72" s="567"/>
      <c r="FO72" s="567"/>
      <c r="FP72" s="567"/>
      <c r="FQ72" s="567"/>
      <c r="FR72" s="567"/>
      <c r="FS72" s="567"/>
      <c r="FT72" s="567"/>
      <c r="FU72" s="567"/>
      <c r="FV72" s="567"/>
      <c r="FW72" s="567"/>
      <c r="FX72" s="567"/>
      <c r="FY72" s="567"/>
      <c r="FZ72" s="567"/>
      <c r="GA72" s="567"/>
      <c r="GB72" s="567"/>
      <c r="GC72" s="567"/>
      <c r="GD72" s="567"/>
      <c r="GE72" s="567"/>
      <c r="GF72" s="567"/>
      <c r="GG72" s="567"/>
      <c r="GH72" s="567"/>
      <c r="GI72" s="567"/>
      <c r="GJ72" s="567"/>
      <c r="GK72" s="567"/>
      <c r="GL72" s="567"/>
      <c r="GM72" s="567"/>
      <c r="GN72" s="567"/>
      <c r="GO72" s="567"/>
      <c r="GP72" s="567"/>
      <c r="GQ72" s="567"/>
      <c r="GR72" s="567"/>
      <c r="GS72" s="567"/>
      <c r="GT72" s="567"/>
      <c r="GU72" s="567"/>
      <c r="GV72" s="567"/>
      <c r="GW72" s="567"/>
      <c r="GX72" s="567"/>
      <c r="GY72" s="567"/>
      <c r="GZ72" s="567"/>
      <c r="HA72" s="567"/>
      <c r="HB72" s="567"/>
      <c r="HC72" s="567"/>
      <c r="HD72" s="567"/>
      <c r="HE72" s="567"/>
      <c r="HF72" s="567"/>
      <c r="HG72" s="567"/>
      <c r="HH72" s="567"/>
      <c r="HI72" s="567"/>
      <c r="HJ72" s="567"/>
      <c r="HK72" s="567"/>
      <c r="HL72" s="567"/>
      <c r="HM72" s="567"/>
      <c r="HN72" s="567"/>
      <c r="HO72" s="567"/>
      <c r="HP72" s="567"/>
      <c r="HQ72" s="567"/>
      <c r="HR72" s="567"/>
      <c r="HS72" s="567"/>
      <c r="HT72" s="567"/>
      <c r="HU72" s="567"/>
      <c r="HV72" s="567"/>
      <c r="HW72" s="567"/>
      <c r="HX72" s="567"/>
      <c r="HY72" s="567"/>
      <c r="HZ72" s="567"/>
      <c r="IA72" s="567"/>
      <c r="IB72" s="567"/>
      <c r="IC72" s="567"/>
      <c r="ID72" s="567"/>
      <c r="IE72" s="567"/>
      <c r="IF72" s="567"/>
      <c r="IG72" s="567"/>
      <c r="IH72" s="567"/>
      <c r="II72" s="567"/>
      <c r="IJ72" s="567"/>
      <c r="IK72" s="567"/>
      <c r="IL72" s="567"/>
      <c r="IM72" s="567"/>
      <c r="IN72" s="567"/>
      <c r="IO72" s="567"/>
      <c r="IP72" s="567"/>
      <c r="IQ72" s="567"/>
      <c r="IR72" s="567"/>
      <c r="IS72" s="567"/>
      <c r="IT72" s="567"/>
      <c r="IU72" s="567"/>
    </row>
    <row r="73" spans="1:255" ht="30" x14ac:dyDescent="0.25">
      <c r="A73" s="668">
        <v>192</v>
      </c>
      <c r="B73" s="590">
        <v>192</v>
      </c>
      <c r="C73" s="570" t="s">
        <v>329</v>
      </c>
      <c r="D73" s="567" t="s">
        <v>747</v>
      </c>
      <c r="E73" s="573">
        <v>0</v>
      </c>
      <c r="F73" s="574">
        <v>0</v>
      </c>
      <c r="G73" s="574">
        <v>0</v>
      </c>
      <c r="H73" s="574">
        <v>0</v>
      </c>
      <c r="I73" s="574">
        <v>0</v>
      </c>
      <c r="J73" s="574">
        <v>0</v>
      </c>
      <c r="K73" s="575">
        <v>211467</v>
      </c>
      <c r="L73" s="572">
        <v>0</v>
      </c>
      <c r="M73" s="572">
        <v>0</v>
      </c>
      <c r="N73" s="571">
        <v>0</v>
      </c>
      <c r="O73" s="571">
        <v>0</v>
      </c>
      <c r="P73" s="571">
        <v>0</v>
      </c>
      <c r="Q73" s="571">
        <v>0</v>
      </c>
      <c r="R73" s="571">
        <v>0</v>
      </c>
      <c r="S73" s="571">
        <v>0</v>
      </c>
      <c r="T73" s="571">
        <v>0</v>
      </c>
      <c r="U73" s="571">
        <v>0</v>
      </c>
      <c r="V73" s="571">
        <v>0</v>
      </c>
      <c r="W73" s="571">
        <v>0</v>
      </c>
      <c r="X73" s="571">
        <v>0</v>
      </c>
      <c r="Y73" s="571">
        <v>0</v>
      </c>
      <c r="Z73" s="571">
        <v>0</v>
      </c>
      <c r="AA73" s="571">
        <v>0</v>
      </c>
      <c r="AB73" s="572">
        <v>0</v>
      </c>
      <c r="AC73" s="572">
        <v>0</v>
      </c>
      <c r="AD73" s="572">
        <v>0</v>
      </c>
      <c r="AE73" s="572">
        <v>0</v>
      </c>
      <c r="AF73" s="572">
        <v>0</v>
      </c>
      <c r="AG73" s="572">
        <v>0</v>
      </c>
      <c r="AH73" s="572">
        <v>0</v>
      </c>
      <c r="AI73" s="572">
        <v>0</v>
      </c>
      <c r="AJ73" s="572">
        <v>0</v>
      </c>
      <c r="AK73" s="572">
        <v>0</v>
      </c>
      <c r="AL73" s="572">
        <v>0</v>
      </c>
      <c r="AM73" s="572">
        <v>0</v>
      </c>
      <c r="AN73" s="572">
        <v>0</v>
      </c>
      <c r="AO73" s="572">
        <v>0</v>
      </c>
      <c r="AP73" s="572">
        <v>0</v>
      </c>
      <c r="AQ73" s="572">
        <v>0</v>
      </c>
      <c r="AR73" s="572">
        <v>0</v>
      </c>
      <c r="AS73" s="572">
        <v>0</v>
      </c>
      <c r="AT73" s="572">
        <v>0</v>
      </c>
      <c r="AU73" s="572">
        <v>0</v>
      </c>
      <c r="AV73" s="572">
        <v>0</v>
      </c>
      <c r="AW73" s="572">
        <v>0</v>
      </c>
      <c r="AX73" s="572">
        <v>0</v>
      </c>
      <c r="AY73" s="572">
        <v>0</v>
      </c>
      <c r="AZ73" s="572">
        <v>0</v>
      </c>
      <c r="BA73" s="572">
        <v>0</v>
      </c>
      <c r="BB73" s="572">
        <v>0</v>
      </c>
      <c r="BC73" s="572">
        <v>0</v>
      </c>
      <c r="BD73" s="572">
        <v>0</v>
      </c>
      <c r="BE73" s="572">
        <v>0</v>
      </c>
      <c r="BF73" s="572">
        <v>0</v>
      </c>
      <c r="BG73" s="572">
        <v>0</v>
      </c>
      <c r="BH73" s="572">
        <v>0</v>
      </c>
      <c r="BI73" s="572">
        <v>0</v>
      </c>
      <c r="BJ73" s="572">
        <v>0</v>
      </c>
      <c r="BK73" s="572">
        <v>0</v>
      </c>
      <c r="BL73" s="572">
        <v>0</v>
      </c>
      <c r="BM73" s="572">
        <v>0</v>
      </c>
      <c r="BN73" s="572">
        <v>0</v>
      </c>
      <c r="BO73" s="572">
        <v>0</v>
      </c>
      <c r="BP73" s="572">
        <v>0</v>
      </c>
      <c r="BQ73" s="572">
        <v>0</v>
      </c>
      <c r="BR73" s="572">
        <v>0</v>
      </c>
      <c r="BS73" s="572">
        <v>0</v>
      </c>
      <c r="BT73" s="572">
        <v>0</v>
      </c>
      <c r="BU73" s="572">
        <v>0</v>
      </c>
      <c r="BV73" s="572">
        <v>0</v>
      </c>
      <c r="BW73" s="572">
        <v>0</v>
      </c>
      <c r="BX73" s="572">
        <v>0</v>
      </c>
      <c r="BY73" s="572">
        <v>0</v>
      </c>
      <c r="BZ73" s="572">
        <v>0</v>
      </c>
      <c r="CA73" s="572">
        <v>0</v>
      </c>
      <c r="CB73" s="572">
        <v>0</v>
      </c>
      <c r="CC73" s="572">
        <v>0</v>
      </c>
      <c r="CD73" s="572">
        <v>0</v>
      </c>
      <c r="CE73" s="572">
        <v>0</v>
      </c>
      <c r="CF73" s="572">
        <v>0</v>
      </c>
      <c r="CG73" s="572">
        <v>0</v>
      </c>
      <c r="CH73" s="572">
        <v>0</v>
      </c>
      <c r="CI73" s="572">
        <v>0</v>
      </c>
      <c r="CJ73" s="572">
        <v>0</v>
      </c>
      <c r="CK73" s="572">
        <v>0</v>
      </c>
      <c r="CL73" s="572">
        <v>0</v>
      </c>
      <c r="CM73" s="572">
        <v>0</v>
      </c>
      <c r="CN73" s="572">
        <v>0</v>
      </c>
      <c r="CO73" s="572">
        <v>0</v>
      </c>
      <c r="CP73" s="572">
        <v>0</v>
      </c>
      <c r="CQ73" s="572">
        <v>0</v>
      </c>
      <c r="CR73" s="567"/>
      <c r="CS73" s="567"/>
      <c r="CT73" s="567"/>
      <c r="CU73" s="567"/>
      <c r="CV73" s="567"/>
      <c r="CW73" s="567"/>
      <c r="CX73" s="567"/>
      <c r="CY73" s="567"/>
      <c r="CZ73" s="567"/>
      <c r="DA73" s="567"/>
      <c r="DB73" s="567"/>
      <c r="DC73" s="567"/>
      <c r="DD73" s="567"/>
      <c r="DE73" s="567"/>
      <c r="DF73" s="567"/>
      <c r="DG73" s="567"/>
      <c r="DH73" s="567"/>
      <c r="DI73" s="567"/>
      <c r="DJ73" s="567"/>
      <c r="DK73" s="567"/>
      <c r="DL73" s="567"/>
      <c r="DM73" s="567"/>
      <c r="DN73" s="567"/>
      <c r="DO73" s="567"/>
      <c r="DP73" s="567"/>
      <c r="DQ73" s="567"/>
      <c r="DR73" s="567"/>
      <c r="DS73" s="567"/>
      <c r="DT73" s="567"/>
      <c r="DU73" s="567"/>
      <c r="DV73" s="567"/>
      <c r="DW73" s="567"/>
      <c r="DX73" s="567"/>
      <c r="DY73" s="567"/>
      <c r="DZ73" s="567"/>
      <c r="EA73" s="567"/>
      <c r="EB73" s="567"/>
      <c r="EC73" s="567"/>
      <c r="ED73" s="567"/>
      <c r="EE73" s="567"/>
      <c r="EF73" s="567"/>
      <c r="EG73" s="567"/>
      <c r="EH73" s="567"/>
      <c r="EI73" s="567"/>
      <c r="EJ73" s="567"/>
      <c r="EK73" s="567"/>
      <c r="EL73" s="567"/>
      <c r="EM73" s="567"/>
      <c r="EN73" s="567"/>
      <c r="EO73" s="567"/>
      <c r="EP73" s="567"/>
      <c r="EQ73" s="567"/>
      <c r="ER73" s="567"/>
      <c r="ES73" s="567"/>
      <c r="ET73" s="567"/>
      <c r="EU73" s="567"/>
      <c r="EV73" s="567"/>
      <c r="EW73" s="567"/>
      <c r="EX73" s="567"/>
      <c r="EY73" s="567"/>
      <c r="EZ73" s="567"/>
      <c r="FA73" s="567"/>
      <c r="FB73" s="567"/>
      <c r="FC73" s="567"/>
      <c r="FD73" s="567"/>
      <c r="FE73" s="567"/>
      <c r="FF73" s="567"/>
      <c r="FG73" s="567"/>
      <c r="FH73" s="567"/>
      <c r="FI73" s="567"/>
      <c r="FJ73" s="567"/>
      <c r="FK73" s="567"/>
      <c r="FL73" s="567"/>
      <c r="FM73" s="567"/>
      <c r="FN73" s="567"/>
      <c r="FO73" s="567"/>
      <c r="FP73" s="567"/>
      <c r="FQ73" s="567"/>
      <c r="FR73" s="567"/>
      <c r="FS73" s="567"/>
      <c r="FT73" s="567"/>
      <c r="FU73" s="567"/>
      <c r="FV73" s="567"/>
      <c r="FW73" s="567"/>
      <c r="FX73" s="567"/>
      <c r="FY73" s="567"/>
      <c r="FZ73" s="567"/>
      <c r="GA73" s="567"/>
      <c r="GB73" s="567"/>
      <c r="GC73" s="567"/>
      <c r="GD73" s="567"/>
      <c r="GE73" s="567"/>
      <c r="GF73" s="567"/>
      <c r="GG73" s="567"/>
      <c r="GH73" s="567"/>
      <c r="GI73" s="567"/>
      <c r="GJ73" s="567"/>
      <c r="GK73" s="567"/>
      <c r="GL73" s="567"/>
      <c r="GM73" s="567"/>
      <c r="GN73" s="567"/>
      <c r="GO73" s="567"/>
      <c r="GP73" s="567"/>
      <c r="GQ73" s="567"/>
      <c r="GR73" s="567"/>
      <c r="GS73" s="567"/>
      <c r="GT73" s="567"/>
      <c r="GU73" s="567"/>
      <c r="GV73" s="567"/>
      <c r="GW73" s="567"/>
      <c r="GX73" s="567"/>
      <c r="GY73" s="567"/>
      <c r="GZ73" s="567"/>
      <c r="HA73" s="567"/>
      <c r="HB73" s="567"/>
      <c r="HC73" s="567"/>
      <c r="HD73" s="567"/>
      <c r="HE73" s="567"/>
      <c r="HF73" s="567"/>
      <c r="HG73" s="567"/>
      <c r="HH73" s="567"/>
      <c r="HI73" s="567"/>
      <c r="HJ73" s="567"/>
      <c r="HK73" s="567"/>
      <c r="HL73" s="567"/>
      <c r="HM73" s="567"/>
      <c r="HN73" s="567"/>
      <c r="HO73" s="567"/>
      <c r="HP73" s="567"/>
      <c r="HQ73" s="567"/>
      <c r="HR73" s="567"/>
      <c r="HS73" s="567"/>
      <c r="HT73" s="567"/>
      <c r="HU73" s="567"/>
      <c r="HV73" s="567"/>
      <c r="HW73" s="567"/>
      <c r="HX73" s="567"/>
      <c r="HY73" s="567"/>
      <c r="HZ73" s="567"/>
      <c r="IA73" s="567"/>
      <c r="IB73" s="567"/>
      <c r="IC73" s="567"/>
      <c r="ID73" s="567"/>
      <c r="IE73" s="567"/>
      <c r="IF73" s="567"/>
      <c r="IG73" s="567"/>
      <c r="IH73" s="567"/>
      <c r="II73" s="567"/>
      <c r="IJ73" s="567"/>
      <c r="IK73" s="567"/>
      <c r="IL73" s="567"/>
      <c r="IM73" s="567"/>
      <c r="IN73" s="567"/>
      <c r="IO73" s="567"/>
      <c r="IP73" s="567"/>
      <c r="IQ73" s="567"/>
      <c r="IR73" s="567"/>
      <c r="IS73" s="567"/>
      <c r="IT73" s="567"/>
      <c r="IU73" s="567"/>
    </row>
    <row r="74" spans="1:255" ht="45" x14ac:dyDescent="0.25">
      <c r="A74" s="668"/>
      <c r="B74" s="590">
        <v>193</v>
      </c>
      <c r="C74" s="600" t="s">
        <v>748</v>
      </c>
      <c r="D74" s="567" t="s">
        <v>749</v>
      </c>
      <c r="E74" s="573"/>
      <c r="F74" s="574"/>
      <c r="G74" s="574"/>
      <c r="H74" s="574"/>
      <c r="I74" s="574"/>
      <c r="J74" s="574"/>
      <c r="K74" s="575"/>
      <c r="L74" s="572"/>
      <c r="M74" s="572"/>
      <c r="N74" s="571"/>
      <c r="O74" s="571"/>
      <c r="P74" s="571"/>
      <c r="Q74" s="571"/>
      <c r="R74" s="571"/>
      <c r="S74" s="571"/>
      <c r="T74" s="571"/>
      <c r="U74" s="571"/>
      <c r="V74" s="571"/>
      <c r="W74" s="571"/>
      <c r="X74" s="571"/>
      <c r="Y74" s="571"/>
      <c r="Z74" s="571"/>
      <c r="AA74" s="571"/>
      <c r="AB74" s="572"/>
      <c r="AC74" s="572"/>
      <c r="AD74" s="572"/>
      <c r="AE74" s="572"/>
      <c r="AF74" s="572"/>
      <c r="AG74" s="572"/>
      <c r="AH74" s="572"/>
      <c r="AI74" s="572"/>
      <c r="AJ74" s="572"/>
      <c r="AK74" s="572"/>
      <c r="AL74" s="572"/>
      <c r="AM74" s="572"/>
      <c r="AN74" s="572"/>
      <c r="AO74" s="572"/>
      <c r="AP74" s="572"/>
      <c r="AQ74" s="572"/>
      <c r="AR74" s="572"/>
      <c r="AS74" s="572"/>
      <c r="AT74" s="572"/>
      <c r="AU74" s="572"/>
      <c r="AV74" s="572"/>
      <c r="AW74" s="572"/>
      <c r="AX74" s="572"/>
      <c r="AY74" s="572"/>
      <c r="AZ74" s="572"/>
      <c r="BA74" s="572"/>
      <c r="BB74" s="572"/>
      <c r="BC74" s="572"/>
      <c r="BD74" s="572"/>
      <c r="BE74" s="572"/>
      <c r="BF74" s="572"/>
      <c r="BG74" s="572"/>
      <c r="BH74" s="572"/>
      <c r="BI74" s="572"/>
      <c r="BJ74" s="572"/>
      <c r="BK74" s="572"/>
      <c r="BL74" s="572"/>
      <c r="BM74" s="572"/>
      <c r="BN74" s="572"/>
      <c r="BO74" s="572"/>
      <c r="BP74" s="572"/>
      <c r="BQ74" s="572"/>
      <c r="BR74" s="572"/>
      <c r="BS74" s="572"/>
      <c r="BT74" s="572"/>
      <c r="BU74" s="572"/>
      <c r="BV74" s="572"/>
      <c r="BW74" s="572"/>
      <c r="BX74" s="572"/>
      <c r="BY74" s="572"/>
      <c r="BZ74" s="572"/>
      <c r="CA74" s="572"/>
      <c r="CB74" s="572"/>
      <c r="CC74" s="572"/>
      <c r="CD74" s="572"/>
      <c r="CE74" s="572"/>
      <c r="CF74" s="572"/>
      <c r="CG74" s="572"/>
      <c r="CH74" s="572"/>
      <c r="CI74" s="572"/>
      <c r="CJ74" s="572"/>
      <c r="CK74" s="572"/>
      <c r="CL74" s="572"/>
      <c r="CM74" s="572"/>
      <c r="CN74" s="572"/>
      <c r="CO74" s="572"/>
      <c r="CP74" s="572"/>
      <c r="CQ74" s="572"/>
      <c r="CR74" s="567"/>
      <c r="CS74" s="567"/>
      <c r="CT74" s="567"/>
      <c r="CU74" s="567"/>
      <c r="CV74" s="567"/>
      <c r="CW74" s="567"/>
      <c r="CX74" s="567"/>
      <c r="CY74" s="567"/>
      <c r="CZ74" s="567"/>
      <c r="DA74" s="567"/>
      <c r="DB74" s="567"/>
      <c r="DC74" s="567"/>
      <c r="DD74" s="567"/>
      <c r="DE74" s="567"/>
      <c r="DF74" s="567"/>
      <c r="DG74" s="567"/>
      <c r="DH74" s="567"/>
      <c r="DI74" s="567"/>
      <c r="DJ74" s="567"/>
      <c r="DK74" s="567"/>
      <c r="DL74" s="567"/>
      <c r="DM74" s="567"/>
      <c r="DN74" s="567"/>
      <c r="DO74" s="567"/>
      <c r="DP74" s="567"/>
      <c r="DQ74" s="567"/>
      <c r="DR74" s="567"/>
      <c r="DS74" s="567"/>
      <c r="DT74" s="567"/>
      <c r="DU74" s="567"/>
      <c r="DV74" s="567"/>
      <c r="DW74" s="567"/>
      <c r="DX74" s="567"/>
      <c r="DY74" s="567"/>
      <c r="DZ74" s="567"/>
      <c r="EA74" s="567"/>
      <c r="EB74" s="567"/>
      <c r="EC74" s="567"/>
      <c r="ED74" s="567"/>
      <c r="EE74" s="567"/>
      <c r="EF74" s="567"/>
      <c r="EG74" s="567"/>
      <c r="EH74" s="567"/>
      <c r="EI74" s="567"/>
      <c r="EJ74" s="567"/>
      <c r="EK74" s="567"/>
      <c r="EL74" s="567"/>
      <c r="EM74" s="567"/>
      <c r="EN74" s="567"/>
      <c r="EO74" s="567"/>
      <c r="EP74" s="567"/>
      <c r="EQ74" s="567"/>
      <c r="ER74" s="567"/>
      <c r="ES74" s="567"/>
      <c r="ET74" s="567"/>
      <c r="EU74" s="567"/>
      <c r="EV74" s="567"/>
      <c r="EW74" s="567"/>
      <c r="EX74" s="567"/>
      <c r="EY74" s="567"/>
      <c r="EZ74" s="567"/>
      <c r="FA74" s="567"/>
      <c r="FB74" s="567"/>
      <c r="FC74" s="567"/>
      <c r="FD74" s="567"/>
      <c r="FE74" s="567"/>
      <c r="FF74" s="567"/>
      <c r="FG74" s="567"/>
      <c r="FH74" s="567"/>
      <c r="FI74" s="567"/>
      <c r="FJ74" s="567"/>
      <c r="FK74" s="567"/>
      <c r="FL74" s="567"/>
      <c r="FM74" s="567"/>
      <c r="FN74" s="567"/>
      <c r="FO74" s="567"/>
      <c r="FP74" s="567"/>
      <c r="FQ74" s="567"/>
      <c r="FR74" s="567"/>
      <c r="FS74" s="567"/>
      <c r="FT74" s="567"/>
      <c r="FU74" s="567"/>
      <c r="FV74" s="567"/>
      <c r="FW74" s="567"/>
      <c r="FX74" s="567"/>
      <c r="FY74" s="567"/>
      <c r="FZ74" s="567"/>
      <c r="GA74" s="567"/>
      <c r="GB74" s="567"/>
      <c r="GC74" s="567"/>
      <c r="GD74" s="567"/>
      <c r="GE74" s="567"/>
      <c r="GF74" s="567"/>
      <c r="GG74" s="567"/>
      <c r="GH74" s="567"/>
      <c r="GI74" s="567"/>
      <c r="GJ74" s="567"/>
      <c r="GK74" s="567"/>
      <c r="GL74" s="567"/>
      <c r="GM74" s="567"/>
      <c r="GN74" s="567"/>
      <c r="GO74" s="567"/>
      <c r="GP74" s="567"/>
      <c r="GQ74" s="567"/>
      <c r="GR74" s="567"/>
      <c r="GS74" s="567"/>
      <c r="GT74" s="567"/>
      <c r="GU74" s="567"/>
      <c r="GV74" s="567"/>
      <c r="GW74" s="567"/>
      <c r="GX74" s="567"/>
      <c r="GY74" s="567"/>
      <c r="GZ74" s="567"/>
      <c r="HA74" s="567"/>
      <c r="HB74" s="567"/>
      <c r="HC74" s="567"/>
      <c r="HD74" s="567"/>
      <c r="HE74" s="567"/>
      <c r="HF74" s="567"/>
      <c r="HG74" s="567"/>
      <c r="HH74" s="567"/>
      <c r="HI74" s="567"/>
      <c r="HJ74" s="567"/>
      <c r="HK74" s="567"/>
      <c r="HL74" s="567"/>
      <c r="HM74" s="567"/>
      <c r="HN74" s="567"/>
      <c r="HO74" s="567"/>
      <c r="HP74" s="567"/>
      <c r="HQ74" s="567"/>
      <c r="HR74" s="567"/>
      <c r="HS74" s="567"/>
      <c r="HT74" s="567"/>
      <c r="HU74" s="567"/>
      <c r="HV74" s="567"/>
      <c r="HW74" s="567"/>
      <c r="HX74" s="567"/>
      <c r="HY74" s="567"/>
      <c r="HZ74" s="567"/>
      <c r="IA74" s="567"/>
      <c r="IB74" s="567"/>
      <c r="IC74" s="567"/>
      <c r="ID74" s="567"/>
      <c r="IE74" s="567"/>
      <c r="IF74" s="567"/>
      <c r="IG74" s="567"/>
      <c r="IH74" s="567"/>
      <c r="II74" s="567"/>
      <c r="IJ74" s="567"/>
      <c r="IK74" s="567"/>
      <c r="IL74" s="567"/>
      <c r="IM74" s="567"/>
      <c r="IN74" s="567"/>
      <c r="IO74" s="567"/>
      <c r="IP74" s="567"/>
      <c r="IQ74" s="567"/>
      <c r="IR74" s="567"/>
      <c r="IS74" s="567"/>
      <c r="IT74" s="567"/>
      <c r="IU74" s="567"/>
    </row>
    <row r="75" spans="1:255" ht="25.5" x14ac:dyDescent="0.25">
      <c r="A75" s="668"/>
      <c r="B75" s="590">
        <v>194</v>
      </c>
      <c r="C75" s="601" t="s">
        <v>750</v>
      </c>
      <c r="D75" s="567" t="s">
        <v>751</v>
      </c>
      <c r="E75" s="573"/>
      <c r="F75" s="574"/>
      <c r="G75" s="574"/>
      <c r="H75" s="574"/>
      <c r="I75" s="574"/>
      <c r="J75" s="574"/>
      <c r="K75" s="575"/>
      <c r="L75" s="572"/>
      <c r="M75" s="572"/>
      <c r="N75" s="571"/>
      <c r="O75" s="571"/>
      <c r="P75" s="571"/>
      <c r="Q75" s="571"/>
      <c r="R75" s="571"/>
      <c r="S75" s="571"/>
      <c r="T75" s="571"/>
      <c r="U75" s="571"/>
      <c r="V75" s="571"/>
      <c r="W75" s="571"/>
      <c r="X75" s="571"/>
      <c r="Y75" s="571"/>
      <c r="Z75" s="571"/>
      <c r="AA75" s="571"/>
      <c r="AB75" s="572"/>
      <c r="AC75" s="572"/>
      <c r="AD75" s="572"/>
      <c r="AE75" s="572"/>
      <c r="AF75" s="572"/>
      <c r="AG75" s="572"/>
      <c r="AH75" s="572"/>
      <c r="AI75" s="572"/>
      <c r="AJ75" s="572"/>
      <c r="AK75" s="572"/>
      <c r="AL75" s="572"/>
      <c r="AM75" s="572"/>
      <c r="AN75" s="572"/>
      <c r="AO75" s="572"/>
      <c r="AP75" s="572"/>
      <c r="AQ75" s="572"/>
      <c r="AR75" s="572"/>
      <c r="AS75" s="572"/>
      <c r="AT75" s="572"/>
      <c r="AU75" s="572"/>
      <c r="AV75" s="572"/>
      <c r="AW75" s="572"/>
      <c r="AX75" s="572"/>
      <c r="AY75" s="572"/>
      <c r="AZ75" s="572"/>
      <c r="BA75" s="572"/>
      <c r="BB75" s="572"/>
      <c r="BC75" s="572"/>
      <c r="BD75" s="572"/>
      <c r="BE75" s="572"/>
      <c r="BF75" s="572"/>
      <c r="BG75" s="572"/>
      <c r="BH75" s="572"/>
      <c r="BI75" s="572"/>
      <c r="BJ75" s="572"/>
      <c r="BK75" s="572"/>
      <c r="BL75" s="572"/>
      <c r="BM75" s="572"/>
      <c r="BN75" s="572"/>
      <c r="BO75" s="572"/>
      <c r="BP75" s="572"/>
      <c r="BQ75" s="572"/>
      <c r="BR75" s="572"/>
      <c r="BS75" s="572"/>
      <c r="BT75" s="572"/>
      <c r="BU75" s="572"/>
      <c r="BV75" s="572"/>
      <c r="BW75" s="572"/>
      <c r="BX75" s="572"/>
      <c r="BY75" s="572"/>
      <c r="BZ75" s="572"/>
      <c r="CA75" s="572"/>
      <c r="CB75" s="572"/>
      <c r="CC75" s="572"/>
      <c r="CD75" s="572"/>
      <c r="CE75" s="572"/>
      <c r="CF75" s="572"/>
      <c r="CG75" s="572"/>
      <c r="CH75" s="572"/>
      <c r="CI75" s="572"/>
      <c r="CJ75" s="572"/>
      <c r="CK75" s="572"/>
      <c r="CL75" s="572"/>
      <c r="CM75" s="572"/>
      <c r="CN75" s="572"/>
      <c r="CO75" s="572"/>
      <c r="CP75" s="572"/>
      <c r="CQ75" s="572"/>
      <c r="CR75" s="567"/>
      <c r="CS75" s="567"/>
      <c r="CT75" s="567"/>
      <c r="CU75" s="567"/>
      <c r="CV75" s="567"/>
      <c r="CW75" s="567"/>
      <c r="CX75" s="567"/>
      <c r="CY75" s="567"/>
      <c r="CZ75" s="567"/>
      <c r="DA75" s="567"/>
      <c r="DB75" s="567"/>
      <c r="DC75" s="567"/>
      <c r="DD75" s="567"/>
      <c r="DE75" s="567"/>
      <c r="DF75" s="567"/>
      <c r="DG75" s="567"/>
      <c r="DH75" s="567"/>
      <c r="DI75" s="567"/>
      <c r="DJ75" s="567"/>
      <c r="DK75" s="567"/>
      <c r="DL75" s="567"/>
      <c r="DM75" s="567"/>
      <c r="DN75" s="567"/>
      <c r="DO75" s="567"/>
      <c r="DP75" s="567"/>
      <c r="DQ75" s="567"/>
      <c r="DR75" s="567"/>
      <c r="DS75" s="567"/>
      <c r="DT75" s="567"/>
      <c r="DU75" s="567"/>
      <c r="DV75" s="567"/>
      <c r="DW75" s="567"/>
      <c r="DX75" s="567"/>
      <c r="DY75" s="567"/>
      <c r="DZ75" s="567"/>
      <c r="EA75" s="567"/>
      <c r="EB75" s="567"/>
      <c r="EC75" s="567"/>
      <c r="ED75" s="567"/>
      <c r="EE75" s="567"/>
      <c r="EF75" s="567"/>
      <c r="EG75" s="567"/>
      <c r="EH75" s="567"/>
      <c r="EI75" s="567"/>
      <c r="EJ75" s="567"/>
      <c r="EK75" s="567"/>
      <c r="EL75" s="567"/>
      <c r="EM75" s="567"/>
      <c r="EN75" s="567"/>
      <c r="EO75" s="567"/>
      <c r="EP75" s="567"/>
      <c r="EQ75" s="567"/>
      <c r="ER75" s="567"/>
      <c r="ES75" s="567"/>
      <c r="ET75" s="567"/>
      <c r="EU75" s="567"/>
      <c r="EV75" s="567"/>
      <c r="EW75" s="567"/>
      <c r="EX75" s="567"/>
      <c r="EY75" s="567"/>
      <c r="EZ75" s="567"/>
      <c r="FA75" s="567"/>
      <c r="FB75" s="567"/>
      <c r="FC75" s="567"/>
      <c r="FD75" s="567"/>
      <c r="FE75" s="567"/>
      <c r="FF75" s="567"/>
      <c r="FG75" s="567"/>
      <c r="FH75" s="567"/>
      <c r="FI75" s="567"/>
      <c r="FJ75" s="567"/>
      <c r="FK75" s="567"/>
      <c r="FL75" s="567"/>
      <c r="FM75" s="567"/>
      <c r="FN75" s="567"/>
      <c r="FO75" s="567"/>
      <c r="FP75" s="567"/>
      <c r="FQ75" s="567"/>
      <c r="FR75" s="567"/>
      <c r="FS75" s="567"/>
      <c r="FT75" s="567"/>
      <c r="FU75" s="567"/>
      <c r="FV75" s="567"/>
      <c r="FW75" s="567"/>
      <c r="FX75" s="567"/>
      <c r="FY75" s="567"/>
      <c r="FZ75" s="567"/>
      <c r="GA75" s="567"/>
      <c r="GB75" s="567"/>
      <c r="GC75" s="567"/>
      <c r="GD75" s="567"/>
      <c r="GE75" s="567"/>
      <c r="GF75" s="567"/>
      <c r="GG75" s="567"/>
      <c r="GH75" s="567"/>
      <c r="GI75" s="567"/>
      <c r="GJ75" s="567"/>
      <c r="GK75" s="567"/>
      <c r="GL75" s="567"/>
      <c r="GM75" s="567"/>
      <c r="GN75" s="567"/>
      <c r="GO75" s="567"/>
      <c r="GP75" s="567"/>
      <c r="GQ75" s="567"/>
      <c r="GR75" s="567"/>
      <c r="GS75" s="567"/>
      <c r="GT75" s="567"/>
      <c r="GU75" s="567"/>
      <c r="GV75" s="567"/>
      <c r="GW75" s="567"/>
      <c r="GX75" s="567"/>
      <c r="GY75" s="567"/>
      <c r="GZ75" s="567"/>
      <c r="HA75" s="567"/>
      <c r="HB75" s="567"/>
      <c r="HC75" s="567"/>
      <c r="HD75" s="567"/>
      <c r="HE75" s="567"/>
      <c r="HF75" s="567"/>
      <c r="HG75" s="567"/>
      <c r="HH75" s="567"/>
      <c r="HI75" s="567"/>
      <c r="HJ75" s="567"/>
      <c r="HK75" s="567"/>
      <c r="HL75" s="567"/>
      <c r="HM75" s="567"/>
      <c r="HN75" s="567"/>
      <c r="HO75" s="567"/>
      <c r="HP75" s="567"/>
      <c r="HQ75" s="567"/>
      <c r="HR75" s="567"/>
      <c r="HS75" s="567"/>
      <c r="HT75" s="567"/>
      <c r="HU75" s="567"/>
      <c r="HV75" s="567"/>
      <c r="HW75" s="567"/>
      <c r="HX75" s="567"/>
      <c r="HY75" s="567"/>
      <c r="HZ75" s="567"/>
      <c r="IA75" s="567"/>
      <c r="IB75" s="567"/>
      <c r="IC75" s="567"/>
      <c r="ID75" s="567"/>
      <c r="IE75" s="567"/>
      <c r="IF75" s="567"/>
      <c r="IG75" s="567"/>
      <c r="IH75" s="567"/>
      <c r="II75" s="567"/>
      <c r="IJ75" s="567"/>
      <c r="IK75" s="567"/>
      <c r="IL75" s="567"/>
      <c r="IM75" s="567"/>
      <c r="IN75" s="567"/>
      <c r="IO75" s="567"/>
      <c r="IP75" s="567"/>
      <c r="IQ75" s="567"/>
      <c r="IR75" s="567"/>
      <c r="IS75" s="567"/>
      <c r="IT75" s="567"/>
      <c r="IU75" s="567"/>
    </row>
    <row r="76" spans="1:255" ht="30" x14ac:dyDescent="0.25">
      <c r="A76" s="668"/>
      <c r="B76" s="590">
        <v>231</v>
      </c>
      <c r="C76" s="570" t="s">
        <v>752</v>
      </c>
      <c r="D76" s="567" t="s">
        <v>753</v>
      </c>
      <c r="E76" s="573"/>
      <c r="F76" s="574"/>
      <c r="G76" s="574"/>
      <c r="H76" s="574"/>
      <c r="I76" s="574"/>
      <c r="J76" s="574"/>
      <c r="K76" s="575"/>
      <c r="L76" s="572"/>
      <c r="M76" s="572"/>
      <c r="N76" s="571"/>
      <c r="O76" s="571"/>
      <c r="P76" s="571"/>
      <c r="Q76" s="571"/>
      <c r="R76" s="571"/>
      <c r="S76" s="571"/>
      <c r="T76" s="571"/>
      <c r="U76" s="571"/>
      <c r="V76" s="571"/>
      <c r="W76" s="571"/>
      <c r="X76" s="571"/>
      <c r="Y76" s="571"/>
      <c r="Z76" s="571"/>
      <c r="AA76" s="571"/>
      <c r="AB76" s="572"/>
      <c r="AC76" s="572"/>
      <c r="AD76" s="572"/>
      <c r="AE76" s="572"/>
      <c r="AF76" s="572"/>
      <c r="AG76" s="572"/>
      <c r="AH76" s="572"/>
      <c r="AI76" s="572"/>
      <c r="AJ76" s="572"/>
      <c r="AK76" s="572"/>
      <c r="AL76" s="572"/>
      <c r="AM76" s="572"/>
      <c r="AN76" s="572"/>
      <c r="AO76" s="572"/>
      <c r="AP76" s="572"/>
      <c r="AQ76" s="572"/>
      <c r="AR76" s="572"/>
      <c r="AS76" s="572"/>
      <c r="AT76" s="572"/>
      <c r="AU76" s="572"/>
      <c r="AV76" s="572"/>
      <c r="AW76" s="572"/>
      <c r="AX76" s="572"/>
      <c r="AY76" s="572"/>
      <c r="AZ76" s="572"/>
      <c r="BA76" s="572"/>
      <c r="BB76" s="572"/>
      <c r="BC76" s="572"/>
      <c r="BD76" s="572"/>
      <c r="BE76" s="572"/>
      <c r="BF76" s="572"/>
      <c r="BG76" s="572"/>
      <c r="BH76" s="572"/>
      <c r="BI76" s="572"/>
      <c r="BJ76" s="572"/>
      <c r="BK76" s="572"/>
      <c r="BL76" s="572"/>
      <c r="BM76" s="572"/>
      <c r="BN76" s="572"/>
      <c r="BO76" s="572"/>
      <c r="BP76" s="572"/>
      <c r="BQ76" s="572"/>
      <c r="BR76" s="572"/>
      <c r="BS76" s="572"/>
      <c r="BT76" s="572"/>
      <c r="BU76" s="572"/>
      <c r="BV76" s="572"/>
      <c r="BW76" s="572"/>
      <c r="BX76" s="572"/>
      <c r="BY76" s="572"/>
      <c r="BZ76" s="572"/>
      <c r="CA76" s="572"/>
      <c r="CB76" s="572"/>
      <c r="CC76" s="572"/>
      <c r="CD76" s="572"/>
      <c r="CE76" s="572"/>
      <c r="CF76" s="572"/>
      <c r="CG76" s="572"/>
      <c r="CH76" s="572"/>
      <c r="CI76" s="572"/>
      <c r="CJ76" s="572"/>
      <c r="CK76" s="572"/>
      <c r="CL76" s="572"/>
      <c r="CM76" s="572"/>
      <c r="CN76" s="572"/>
      <c r="CO76" s="572"/>
      <c r="CP76" s="572"/>
      <c r="CQ76" s="572"/>
      <c r="CR76" s="567"/>
      <c r="CS76" s="567"/>
      <c r="CT76" s="567"/>
      <c r="CU76" s="567"/>
      <c r="CV76" s="567"/>
      <c r="CW76" s="567"/>
      <c r="CX76" s="567"/>
      <c r="CY76" s="567"/>
      <c r="CZ76" s="567"/>
      <c r="DA76" s="567"/>
      <c r="DB76" s="567"/>
      <c r="DC76" s="567"/>
      <c r="DD76" s="567"/>
      <c r="DE76" s="567"/>
      <c r="DF76" s="567"/>
      <c r="DG76" s="567"/>
      <c r="DH76" s="567"/>
      <c r="DI76" s="567"/>
      <c r="DJ76" s="567"/>
      <c r="DK76" s="567"/>
      <c r="DL76" s="567"/>
      <c r="DM76" s="567"/>
      <c r="DN76" s="567"/>
      <c r="DO76" s="567"/>
      <c r="DP76" s="567"/>
      <c r="DQ76" s="567"/>
      <c r="DR76" s="567"/>
      <c r="DS76" s="567"/>
      <c r="DT76" s="567"/>
      <c r="DU76" s="567"/>
      <c r="DV76" s="567"/>
      <c r="DW76" s="567"/>
      <c r="DX76" s="567"/>
      <c r="DY76" s="567"/>
      <c r="DZ76" s="567"/>
      <c r="EA76" s="567"/>
      <c r="EB76" s="567"/>
      <c r="EC76" s="567"/>
      <c r="ED76" s="567"/>
      <c r="EE76" s="567"/>
      <c r="EF76" s="567"/>
      <c r="EG76" s="567"/>
      <c r="EH76" s="567"/>
      <c r="EI76" s="567"/>
      <c r="EJ76" s="567"/>
      <c r="EK76" s="567"/>
      <c r="EL76" s="567"/>
      <c r="EM76" s="567"/>
      <c r="EN76" s="567"/>
      <c r="EO76" s="567"/>
      <c r="EP76" s="567"/>
      <c r="EQ76" s="567"/>
      <c r="ER76" s="567"/>
      <c r="ES76" s="567"/>
      <c r="ET76" s="567"/>
      <c r="EU76" s="567"/>
      <c r="EV76" s="567"/>
      <c r="EW76" s="567"/>
      <c r="EX76" s="567"/>
      <c r="EY76" s="567"/>
      <c r="EZ76" s="567"/>
      <c r="FA76" s="567"/>
      <c r="FB76" s="567"/>
      <c r="FC76" s="567"/>
      <c r="FD76" s="567"/>
      <c r="FE76" s="567"/>
      <c r="FF76" s="567"/>
      <c r="FG76" s="567"/>
      <c r="FH76" s="567"/>
      <c r="FI76" s="567"/>
      <c r="FJ76" s="567"/>
      <c r="FK76" s="567"/>
      <c r="FL76" s="567"/>
      <c r="FM76" s="567"/>
      <c r="FN76" s="567"/>
      <c r="FO76" s="567"/>
      <c r="FP76" s="567"/>
      <c r="FQ76" s="567"/>
      <c r="FR76" s="567"/>
      <c r="FS76" s="567"/>
      <c r="FT76" s="567"/>
      <c r="FU76" s="567"/>
      <c r="FV76" s="567"/>
      <c r="FW76" s="567"/>
      <c r="FX76" s="567"/>
      <c r="FY76" s="567"/>
      <c r="FZ76" s="567"/>
      <c r="GA76" s="567"/>
      <c r="GB76" s="567"/>
      <c r="GC76" s="567"/>
      <c r="GD76" s="567"/>
      <c r="GE76" s="567"/>
      <c r="GF76" s="567"/>
      <c r="GG76" s="567"/>
      <c r="GH76" s="567"/>
      <c r="GI76" s="567"/>
      <c r="GJ76" s="567"/>
      <c r="GK76" s="567"/>
      <c r="GL76" s="567"/>
      <c r="GM76" s="567"/>
      <c r="GN76" s="567"/>
      <c r="GO76" s="567"/>
      <c r="GP76" s="567"/>
      <c r="GQ76" s="567"/>
      <c r="GR76" s="567"/>
      <c r="GS76" s="567"/>
      <c r="GT76" s="567"/>
      <c r="GU76" s="567"/>
      <c r="GV76" s="567"/>
      <c r="GW76" s="567"/>
      <c r="GX76" s="567"/>
      <c r="GY76" s="567"/>
      <c r="GZ76" s="567"/>
      <c r="HA76" s="567"/>
      <c r="HB76" s="567"/>
      <c r="HC76" s="567"/>
      <c r="HD76" s="567"/>
      <c r="HE76" s="567"/>
      <c r="HF76" s="567"/>
      <c r="HG76" s="567"/>
      <c r="HH76" s="567"/>
      <c r="HI76" s="567"/>
      <c r="HJ76" s="567"/>
      <c r="HK76" s="567"/>
      <c r="HL76" s="567"/>
      <c r="HM76" s="567"/>
      <c r="HN76" s="567"/>
      <c r="HO76" s="567"/>
      <c r="HP76" s="567"/>
      <c r="HQ76" s="567"/>
      <c r="HR76" s="567"/>
      <c r="HS76" s="567"/>
      <c r="HT76" s="567"/>
      <c r="HU76" s="567"/>
      <c r="HV76" s="567"/>
      <c r="HW76" s="567"/>
      <c r="HX76" s="567"/>
      <c r="HY76" s="567"/>
      <c r="HZ76" s="567"/>
      <c r="IA76" s="567"/>
      <c r="IB76" s="567"/>
      <c r="IC76" s="567"/>
      <c r="ID76" s="567"/>
      <c r="IE76" s="567"/>
      <c r="IF76" s="567"/>
      <c r="IG76" s="567"/>
      <c r="IH76" s="567"/>
      <c r="II76" s="567"/>
      <c r="IJ76" s="567"/>
      <c r="IK76" s="567"/>
      <c r="IL76" s="567"/>
      <c r="IM76" s="567"/>
      <c r="IN76" s="567"/>
      <c r="IO76" s="567"/>
      <c r="IP76" s="567"/>
      <c r="IQ76" s="567"/>
      <c r="IR76" s="567"/>
      <c r="IS76" s="567"/>
      <c r="IT76" s="567"/>
      <c r="IU76" s="567"/>
    </row>
    <row r="77" spans="1:255" ht="45" x14ac:dyDescent="0.25">
      <c r="A77" s="668"/>
      <c r="B77" s="590">
        <v>251</v>
      </c>
      <c r="C77" s="570" t="s">
        <v>754</v>
      </c>
      <c r="D77" s="567" t="s">
        <v>755</v>
      </c>
      <c r="E77" s="573"/>
      <c r="F77" s="574"/>
      <c r="G77" s="574"/>
      <c r="H77" s="574"/>
      <c r="I77" s="574"/>
      <c r="J77" s="574"/>
      <c r="K77" s="575"/>
      <c r="L77" s="572"/>
      <c r="M77" s="572"/>
      <c r="N77" s="571"/>
      <c r="O77" s="571"/>
      <c r="P77" s="571"/>
      <c r="Q77" s="571"/>
      <c r="R77" s="571"/>
      <c r="S77" s="571"/>
      <c r="T77" s="571"/>
      <c r="U77" s="571"/>
      <c r="V77" s="571"/>
      <c r="W77" s="571"/>
      <c r="X77" s="571"/>
      <c r="Y77" s="571"/>
      <c r="Z77" s="571"/>
      <c r="AA77" s="571"/>
      <c r="AB77" s="572"/>
      <c r="AC77" s="572"/>
      <c r="AD77" s="572"/>
      <c r="AE77" s="572"/>
      <c r="AF77" s="572"/>
      <c r="AG77" s="572"/>
      <c r="AH77" s="572"/>
      <c r="AI77" s="572"/>
      <c r="AJ77" s="572"/>
      <c r="AK77" s="572"/>
      <c r="AL77" s="572"/>
      <c r="AM77" s="572"/>
      <c r="AN77" s="572"/>
      <c r="AO77" s="572"/>
      <c r="AP77" s="572"/>
      <c r="AQ77" s="572"/>
      <c r="AR77" s="572"/>
      <c r="AS77" s="572"/>
      <c r="AT77" s="572"/>
      <c r="AU77" s="572"/>
      <c r="AV77" s="572"/>
      <c r="AW77" s="572"/>
      <c r="AX77" s="572"/>
      <c r="AY77" s="572"/>
      <c r="AZ77" s="572"/>
      <c r="BA77" s="572"/>
      <c r="BB77" s="572"/>
      <c r="BC77" s="572"/>
      <c r="BD77" s="572"/>
      <c r="BE77" s="572"/>
      <c r="BF77" s="572"/>
      <c r="BG77" s="572"/>
      <c r="BH77" s="572"/>
      <c r="BI77" s="572"/>
      <c r="BJ77" s="572"/>
      <c r="BK77" s="572"/>
      <c r="BL77" s="572"/>
      <c r="BM77" s="572"/>
      <c r="BN77" s="572"/>
      <c r="BO77" s="572"/>
      <c r="BP77" s="572"/>
      <c r="BQ77" s="572"/>
      <c r="BR77" s="572"/>
      <c r="BS77" s="572"/>
      <c r="BT77" s="572"/>
      <c r="BU77" s="572"/>
      <c r="BV77" s="572"/>
      <c r="BW77" s="572"/>
      <c r="BX77" s="572"/>
      <c r="BY77" s="572"/>
      <c r="BZ77" s="572"/>
      <c r="CA77" s="572"/>
      <c r="CB77" s="572"/>
      <c r="CC77" s="572"/>
      <c r="CD77" s="572"/>
      <c r="CE77" s="572"/>
      <c r="CF77" s="572"/>
      <c r="CG77" s="572"/>
      <c r="CH77" s="572"/>
      <c r="CI77" s="572"/>
      <c r="CJ77" s="572"/>
      <c r="CK77" s="572"/>
      <c r="CL77" s="572"/>
      <c r="CM77" s="572"/>
      <c r="CN77" s="572"/>
      <c r="CO77" s="572"/>
      <c r="CP77" s="572"/>
      <c r="CQ77" s="572"/>
      <c r="CR77" s="567"/>
      <c r="CS77" s="567"/>
      <c r="CT77" s="567"/>
      <c r="CU77" s="567"/>
      <c r="CV77" s="567"/>
      <c r="CW77" s="567"/>
      <c r="CX77" s="567"/>
      <c r="CY77" s="567"/>
      <c r="CZ77" s="567"/>
      <c r="DA77" s="567"/>
      <c r="DB77" s="567"/>
      <c r="DC77" s="567"/>
      <c r="DD77" s="567"/>
      <c r="DE77" s="567"/>
      <c r="DF77" s="567"/>
      <c r="DG77" s="567"/>
      <c r="DH77" s="567"/>
      <c r="DI77" s="567"/>
      <c r="DJ77" s="567"/>
      <c r="DK77" s="567"/>
      <c r="DL77" s="567"/>
      <c r="DM77" s="567"/>
      <c r="DN77" s="567"/>
      <c r="DO77" s="567"/>
      <c r="DP77" s="567"/>
      <c r="DQ77" s="567"/>
      <c r="DR77" s="567"/>
      <c r="DS77" s="567"/>
      <c r="DT77" s="567"/>
      <c r="DU77" s="567"/>
      <c r="DV77" s="567"/>
      <c r="DW77" s="567"/>
      <c r="DX77" s="567"/>
      <c r="DY77" s="567"/>
      <c r="DZ77" s="567"/>
      <c r="EA77" s="567"/>
      <c r="EB77" s="567"/>
      <c r="EC77" s="567"/>
      <c r="ED77" s="567"/>
      <c r="EE77" s="567"/>
      <c r="EF77" s="567"/>
      <c r="EG77" s="567"/>
      <c r="EH77" s="567"/>
      <c r="EI77" s="567"/>
      <c r="EJ77" s="567"/>
      <c r="EK77" s="567"/>
      <c r="EL77" s="567"/>
      <c r="EM77" s="567"/>
      <c r="EN77" s="567"/>
      <c r="EO77" s="567"/>
      <c r="EP77" s="567"/>
      <c r="EQ77" s="567"/>
      <c r="ER77" s="567"/>
      <c r="ES77" s="567"/>
      <c r="ET77" s="567"/>
      <c r="EU77" s="567"/>
      <c r="EV77" s="567"/>
      <c r="EW77" s="567"/>
      <c r="EX77" s="567"/>
      <c r="EY77" s="567"/>
      <c r="EZ77" s="567"/>
      <c r="FA77" s="567"/>
      <c r="FB77" s="567"/>
      <c r="FC77" s="567"/>
      <c r="FD77" s="567"/>
      <c r="FE77" s="567"/>
      <c r="FF77" s="567"/>
      <c r="FG77" s="567"/>
      <c r="FH77" s="567"/>
      <c r="FI77" s="567"/>
      <c r="FJ77" s="567"/>
      <c r="FK77" s="567"/>
      <c r="FL77" s="567"/>
      <c r="FM77" s="567"/>
      <c r="FN77" s="567"/>
      <c r="FO77" s="567"/>
      <c r="FP77" s="567"/>
      <c r="FQ77" s="567"/>
      <c r="FR77" s="567"/>
      <c r="FS77" s="567"/>
      <c r="FT77" s="567"/>
      <c r="FU77" s="567"/>
      <c r="FV77" s="567"/>
      <c r="FW77" s="567"/>
      <c r="FX77" s="567"/>
      <c r="FY77" s="567"/>
      <c r="FZ77" s="567"/>
      <c r="GA77" s="567"/>
      <c r="GB77" s="567"/>
      <c r="GC77" s="567"/>
      <c r="GD77" s="567"/>
      <c r="GE77" s="567"/>
      <c r="GF77" s="567"/>
      <c r="GG77" s="567"/>
      <c r="GH77" s="567"/>
      <c r="GI77" s="567"/>
      <c r="GJ77" s="567"/>
      <c r="GK77" s="567"/>
      <c r="GL77" s="567"/>
      <c r="GM77" s="567"/>
      <c r="GN77" s="567"/>
      <c r="GO77" s="567"/>
      <c r="GP77" s="567"/>
      <c r="GQ77" s="567"/>
      <c r="GR77" s="567"/>
      <c r="GS77" s="567"/>
      <c r="GT77" s="567"/>
      <c r="GU77" s="567"/>
      <c r="GV77" s="567"/>
      <c r="GW77" s="567"/>
      <c r="GX77" s="567"/>
      <c r="GY77" s="567"/>
      <c r="GZ77" s="567"/>
      <c r="HA77" s="567"/>
      <c r="HB77" s="567"/>
      <c r="HC77" s="567"/>
      <c r="HD77" s="567"/>
      <c r="HE77" s="567"/>
      <c r="HF77" s="567"/>
      <c r="HG77" s="567"/>
      <c r="HH77" s="567"/>
      <c r="HI77" s="567"/>
      <c r="HJ77" s="567"/>
      <c r="HK77" s="567"/>
      <c r="HL77" s="567"/>
      <c r="HM77" s="567"/>
      <c r="HN77" s="567"/>
      <c r="HO77" s="567"/>
      <c r="HP77" s="567"/>
      <c r="HQ77" s="567"/>
      <c r="HR77" s="567"/>
      <c r="HS77" s="567"/>
      <c r="HT77" s="567"/>
      <c r="HU77" s="567"/>
      <c r="HV77" s="567"/>
      <c r="HW77" s="567"/>
      <c r="HX77" s="567"/>
      <c r="HY77" s="567"/>
      <c r="HZ77" s="567"/>
      <c r="IA77" s="567"/>
      <c r="IB77" s="567"/>
      <c r="IC77" s="567"/>
      <c r="ID77" s="567"/>
      <c r="IE77" s="567"/>
      <c r="IF77" s="567"/>
      <c r="IG77" s="567"/>
      <c r="IH77" s="567"/>
      <c r="II77" s="567"/>
      <c r="IJ77" s="567"/>
      <c r="IK77" s="567"/>
      <c r="IL77" s="567"/>
      <c r="IM77" s="567"/>
      <c r="IN77" s="567"/>
      <c r="IO77" s="567"/>
      <c r="IP77" s="567"/>
      <c r="IQ77" s="567"/>
      <c r="IR77" s="567"/>
      <c r="IS77" s="567"/>
      <c r="IT77" s="567"/>
      <c r="IU77" s="567"/>
    </row>
    <row r="78" spans="1:255" ht="30" x14ac:dyDescent="0.25">
      <c r="A78" s="668">
        <v>252</v>
      </c>
      <c r="B78" s="590">
        <v>252</v>
      </c>
      <c r="C78" s="570" t="s">
        <v>122</v>
      </c>
      <c r="D78" s="567" t="s">
        <v>756</v>
      </c>
      <c r="E78" s="573">
        <v>54814</v>
      </c>
      <c r="F78" s="574">
        <v>15238157</v>
      </c>
      <c r="G78" s="574">
        <v>676393</v>
      </c>
      <c r="H78" s="574">
        <v>4276274</v>
      </c>
      <c r="I78" s="574">
        <v>1090956</v>
      </c>
      <c r="J78" s="574">
        <v>1059363</v>
      </c>
      <c r="K78" s="575">
        <v>42995778</v>
      </c>
      <c r="L78" s="572">
        <v>362014</v>
      </c>
      <c r="M78" s="572">
        <v>306416</v>
      </c>
      <c r="N78" s="571">
        <v>2158070</v>
      </c>
      <c r="O78" s="571">
        <v>604235</v>
      </c>
      <c r="P78" s="571">
        <v>10121</v>
      </c>
      <c r="Q78" s="571">
        <v>173882</v>
      </c>
      <c r="R78" s="571">
        <v>1725684</v>
      </c>
      <c r="S78" s="571">
        <v>6504004</v>
      </c>
      <c r="T78" s="571">
        <v>14240851</v>
      </c>
      <c r="U78" s="571">
        <v>0</v>
      </c>
      <c r="V78" s="571">
        <v>5448901</v>
      </c>
      <c r="W78" s="571">
        <v>328087</v>
      </c>
      <c r="X78" s="571">
        <v>7181939</v>
      </c>
      <c r="Y78" s="571">
        <v>4395692</v>
      </c>
      <c r="Z78" s="571">
        <v>19253</v>
      </c>
      <c r="AA78" s="571">
        <v>11636573</v>
      </c>
      <c r="AB78" s="572">
        <v>1556860</v>
      </c>
      <c r="AC78" s="572">
        <v>936427</v>
      </c>
      <c r="AD78" s="572">
        <v>225138</v>
      </c>
      <c r="AE78" s="572">
        <v>8678095</v>
      </c>
      <c r="AF78" s="572">
        <v>1884582</v>
      </c>
      <c r="AG78" s="572">
        <v>4722885</v>
      </c>
      <c r="AH78" s="572">
        <v>3861394</v>
      </c>
      <c r="AI78" s="572">
        <v>35629</v>
      </c>
      <c r="AJ78" s="572">
        <v>2907160</v>
      </c>
      <c r="AK78" s="572">
        <v>4544558</v>
      </c>
      <c r="AL78" s="572">
        <v>4612066</v>
      </c>
      <c r="AM78" s="572">
        <v>2486087</v>
      </c>
      <c r="AN78" s="572">
        <v>67255</v>
      </c>
      <c r="AO78" s="572">
        <v>65020</v>
      </c>
      <c r="AP78" s="572">
        <v>3504042</v>
      </c>
      <c r="AQ78" s="572">
        <v>0</v>
      </c>
      <c r="AR78" s="572">
        <v>1153085</v>
      </c>
      <c r="AS78" s="572">
        <v>638397</v>
      </c>
      <c r="AT78" s="572">
        <v>269086</v>
      </c>
      <c r="AU78" s="572">
        <v>66689</v>
      </c>
      <c r="AV78" s="572">
        <v>592164</v>
      </c>
      <c r="AW78" s="572">
        <v>3243209</v>
      </c>
      <c r="AX78" s="572">
        <v>1413793</v>
      </c>
      <c r="AY78" s="572">
        <v>172179914</v>
      </c>
      <c r="AZ78" s="572">
        <v>4293731</v>
      </c>
      <c r="BA78" s="572">
        <v>6857164</v>
      </c>
      <c r="BB78" s="572">
        <v>2680363</v>
      </c>
      <c r="BC78" s="572">
        <v>1119336</v>
      </c>
      <c r="BD78" s="572">
        <v>3710773</v>
      </c>
      <c r="BE78" s="572">
        <v>42202</v>
      </c>
      <c r="BF78" s="572">
        <v>144328</v>
      </c>
      <c r="BG78" s="572">
        <v>1491125</v>
      </c>
      <c r="BH78" s="572">
        <v>18337841</v>
      </c>
      <c r="BI78" s="572">
        <v>22867</v>
      </c>
      <c r="BJ78" s="572">
        <v>11123</v>
      </c>
      <c r="BK78" s="572">
        <v>47257551</v>
      </c>
      <c r="BL78" s="572">
        <v>15883188</v>
      </c>
      <c r="BM78" s="572">
        <v>8706197</v>
      </c>
      <c r="BN78" s="572">
        <v>207796</v>
      </c>
      <c r="BO78" s="572">
        <v>1970283</v>
      </c>
      <c r="BP78" s="572">
        <v>0</v>
      </c>
      <c r="BQ78" s="572">
        <v>3229236</v>
      </c>
      <c r="BR78" s="572">
        <v>2202958</v>
      </c>
      <c r="BS78" s="572">
        <v>2519031</v>
      </c>
      <c r="BT78" s="572">
        <v>2737272</v>
      </c>
      <c r="BU78" s="572">
        <v>4339674</v>
      </c>
      <c r="BV78" s="572">
        <v>330556</v>
      </c>
      <c r="BW78" s="572">
        <v>2351282</v>
      </c>
      <c r="BX78" s="572">
        <v>3782695</v>
      </c>
      <c r="BY78" s="572">
        <v>102592</v>
      </c>
      <c r="BZ78" s="572">
        <v>0</v>
      </c>
      <c r="CA78" s="572">
        <v>9297382</v>
      </c>
      <c r="CB78" s="572">
        <v>222365472</v>
      </c>
      <c r="CC78" s="572">
        <v>60967475</v>
      </c>
      <c r="CD78" s="572">
        <v>830439</v>
      </c>
      <c r="CE78" s="572">
        <v>5471798</v>
      </c>
      <c r="CF78" s="572">
        <v>0</v>
      </c>
      <c r="CG78" s="572">
        <v>2139841</v>
      </c>
      <c r="CH78" s="572">
        <v>166252662</v>
      </c>
      <c r="CI78" s="572">
        <v>20129722</v>
      </c>
      <c r="CJ78" s="572">
        <v>165916</v>
      </c>
      <c r="CK78" s="572">
        <v>1671756</v>
      </c>
      <c r="CL78" s="572">
        <v>418078</v>
      </c>
      <c r="CM78" s="572">
        <v>8332079</v>
      </c>
      <c r="CN78" s="572">
        <v>3518014</v>
      </c>
      <c r="CO78" s="572">
        <v>2483513</v>
      </c>
      <c r="CP78" s="572">
        <v>890495</v>
      </c>
      <c r="CQ78" s="572">
        <v>16793339</v>
      </c>
      <c r="CR78" s="567"/>
      <c r="CS78" s="567"/>
      <c r="CT78" s="567"/>
      <c r="CU78" s="567"/>
      <c r="CV78" s="567"/>
      <c r="CW78" s="567"/>
      <c r="CX78" s="567"/>
      <c r="CY78" s="567"/>
      <c r="CZ78" s="567"/>
      <c r="DA78" s="567"/>
      <c r="DB78" s="567"/>
      <c r="DC78" s="567"/>
      <c r="DD78" s="567"/>
      <c r="DE78" s="567"/>
      <c r="DF78" s="567"/>
      <c r="DG78" s="567"/>
      <c r="DH78" s="567"/>
      <c r="DI78" s="567"/>
      <c r="DJ78" s="567"/>
      <c r="DK78" s="567"/>
      <c r="DL78" s="567"/>
      <c r="DM78" s="567"/>
      <c r="DN78" s="567"/>
      <c r="DO78" s="567"/>
      <c r="DP78" s="567"/>
      <c r="DQ78" s="567"/>
      <c r="DR78" s="567"/>
      <c r="DS78" s="567"/>
      <c r="DT78" s="567"/>
      <c r="DU78" s="567"/>
      <c r="DV78" s="567"/>
      <c r="DW78" s="567"/>
      <c r="DX78" s="567"/>
      <c r="DY78" s="567"/>
      <c r="DZ78" s="567"/>
      <c r="EA78" s="567"/>
      <c r="EB78" s="567"/>
      <c r="EC78" s="567"/>
      <c r="ED78" s="567"/>
      <c r="EE78" s="567"/>
      <c r="EF78" s="567"/>
      <c r="EG78" s="567"/>
      <c r="EH78" s="567"/>
      <c r="EI78" s="567"/>
      <c r="EJ78" s="567"/>
      <c r="EK78" s="567"/>
      <c r="EL78" s="567"/>
      <c r="EM78" s="567"/>
      <c r="EN78" s="567"/>
      <c r="EO78" s="567"/>
      <c r="EP78" s="567"/>
      <c r="EQ78" s="567"/>
      <c r="ER78" s="567"/>
      <c r="ES78" s="567"/>
      <c r="ET78" s="567"/>
      <c r="EU78" s="567"/>
      <c r="EV78" s="567"/>
      <c r="EW78" s="567"/>
      <c r="EX78" s="567"/>
      <c r="EY78" s="567"/>
      <c r="EZ78" s="567"/>
      <c r="FA78" s="567"/>
      <c r="FB78" s="567"/>
      <c r="FC78" s="567"/>
      <c r="FD78" s="567"/>
      <c r="FE78" s="567"/>
      <c r="FF78" s="567"/>
      <c r="FG78" s="567"/>
      <c r="FH78" s="567"/>
      <c r="FI78" s="567"/>
      <c r="FJ78" s="567"/>
      <c r="FK78" s="567"/>
      <c r="FL78" s="567"/>
      <c r="FM78" s="567"/>
      <c r="FN78" s="567"/>
      <c r="FO78" s="567"/>
      <c r="FP78" s="567"/>
      <c r="FQ78" s="567"/>
      <c r="FR78" s="567"/>
      <c r="FS78" s="567"/>
      <c r="FT78" s="567"/>
      <c r="FU78" s="567"/>
      <c r="FV78" s="567"/>
      <c r="FW78" s="567"/>
      <c r="FX78" s="567"/>
      <c r="FY78" s="567"/>
      <c r="FZ78" s="567"/>
      <c r="GA78" s="567"/>
      <c r="GB78" s="567"/>
      <c r="GC78" s="567"/>
      <c r="GD78" s="567"/>
      <c r="GE78" s="567"/>
      <c r="GF78" s="567"/>
      <c r="GG78" s="567"/>
      <c r="GH78" s="567"/>
      <c r="GI78" s="567"/>
      <c r="GJ78" s="567"/>
      <c r="GK78" s="567"/>
      <c r="GL78" s="567"/>
      <c r="GM78" s="567"/>
      <c r="GN78" s="567"/>
      <c r="GO78" s="567"/>
      <c r="GP78" s="567"/>
      <c r="GQ78" s="567"/>
      <c r="GR78" s="567"/>
      <c r="GS78" s="567"/>
      <c r="GT78" s="567"/>
      <c r="GU78" s="567"/>
      <c r="GV78" s="567"/>
      <c r="GW78" s="567"/>
      <c r="GX78" s="567"/>
      <c r="GY78" s="567"/>
      <c r="GZ78" s="567"/>
      <c r="HA78" s="567"/>
      <c r="HB78" s="567"/>
      <c r="HC78" s="567"/>
      <c r="HD78" s="567"/>
      <c r="HE78" s="567"/>
      <c r="HF78" s="567"/>
      <c r="HG78" s="567"/>
      <c r="HH78" s="567"/>
      <c r="HI78" s="567"/>
      <c r="HJ78" s="567"/>
      <c r="HK78" s="567"/>
      <c r="HL78" s="567"/>
      <c r="HM78" s="567"/>
      <c r="HN78" s="567"/>
      <c r="HO78" s="567"/>
      <c r="HP78" s="567"/>
      <c r="HQ78" s="567"/>
      <c r="HR78" s="567"/>
      <c r="HS78" s="567"/>
      <c r="HT78" s="567"/>
      <c r="HU78" s="567"/>
      <c r="HV78" s="567"/>
      <c r="HW78" s="567"/>
      <c r="HX78" s="567"/>
      <c r="HY78" s="567"/>
      <c r="HZ78" s="567"/>
      <c r="IA78" s="567"/>
      <c r="IB78" s="567"/>
      <c r="IC78" s="567"/>
      <c r="ID78" s="567"/>
      <c r="IE78" s="567"/>
      <c r="IF78" s="567"/>
      <c r="IG78" s="567"/>
      <c r="IH78" s="567"/>
      <c r="II78" s="567"/>
      <c r="IJ78" s="567"/>
      <c r="IK78" s="567"/>
      <c r="IL78" s="567"/>
      <c r="IM78" s="567"/>
      <c r="IN78" s="567"/>
      <c r="IO78" s="567"/>
      <c r="IP78" s="567"/>
      <c r="IQ78" s="567"/>
      <c r="IR78" s="567"/>
      <c r="IS78" s="567"/>
      <c r="IT78" s="567"/>
      <c r="IU78" s="567"/>
    </row>
    <row r="79" spans="1:255" x14ac:dyDescent="0.25">
      <c r="A79" s="668">
        <v>253</v>
      </c>
      <c r="B79" s="590">
        <v>253</v>
      </c>
      <c r="C79" s="570" t="s">
        <v>123</v>
      </c>
      <c r="D79" s="567" t="s">
        <v>757</v>
      </c>
      <c r="E79" s="573">
        <v>370255</v>
      </c>
      <c r="F79" s="574">
        <v>881186</v>
      </c>
      <c r="G79" s="574">
        <v>71241</v>
      </c>
      <c r="H79" s="574">
        <v>521599</v>
      </c>
      <c r="I79" s="574">
        <v>323278</v>
      </c>
      <c r="J79" s="574">
        <v>354377</v>
      </c>
      <c r="K79" s="575">
        <v>6994417</v>
      </c>
      <c r="L79" s="572">
        <v>78475</v>
      </c>
      <c r="M79" s="572">
        <v>59932</v>
      </c>
      <c r="N79" s="571">
        <v>95467</v>
      </c>
      <c r="O79" s="571">
        <v>377303</v>
      </c>
      <c r="P79" s="571">
        <v>120280</v>
      </c>
      <c r="Q79" s="571">
        <v>121358</v>
      </c>
      <c r="R79" s="571">
        <v>49157</v>
      </c>
      <c r="S79" s="571">
        <v>152145</v>
      </c>
      <c r="T79" s="571">
        <v>2993653</v>
      </c>
      <c r="U79" s="571">
        <v>0</v>
      </c>
      <c r="V79" s="571">
        <v>576215</v>
      </c>
      <c r="W79" s="571">
        <v>87903</v>
      </c>
      <c r="X79" s="571">
        <v>1978718</v>
      </c>
      <c r="Y79" s="571">
        <v>284744</v>
      </c>
      <c r="Z79" s="571">
        <v>13451</v>
      </c>
      <c r="AA79" s="571">
        <v>2456606</v>
      </c>
      <c r="AB79" s="572">
        <v>192369</v>
      </c>
      <c r="AC79" s="572">
        <v>533695</v>
      </c>
      <c r="AD79" s="572">
        <v>156286</v>
      </c>
      <c r="AE79" s="572">
        <v>3693991</v>
      </c>
      <c r="AF79" s="572">
        <v>992115</v>
      </c>
      <c r="AG79" s="572">
        <v>249942</v>
      </c>
      <c r="AH79" s="572">
        <v>300415</v>
      </c>
      <c r="AI79" s="572">
        <v>11206</v>
      </c>
      <c r="AJ79" s="572">
        <v>2439383</v>
      </c>
      <c r="AK79" s="572">
        <v>274444</v>
      </c>
      <c r="AL79" s="572">
        <v>1155764</v>
      </c>
      <c r="AM79" s="572">
        <v>593333</v>
      </c>
      <c r="AN79" s="572">
        <v>43471</v>
      </c>
      <c r="AO79" s="572">
        <v>63874</v>
      </c>
      <c r="AP79" s="572">
        <v>746910</v>
      </c>
      <c r="AQ79" s="572">
        <v>0</v>
      </c>
      <c r="AR79" s="572">
        <v>106141</v>
      </c>
      <c r="AS79" s="572">
        <v>35878</v>
      </c>
      <c r="AT79" s="572">
        <v>126825</v>
      </c>
      <c r="AU79" s="572">
        <v>146920</v>
      </c>
      <c r="AV79" s="572">
        <v>184397</v>
      </c>
      <c r="AW79" s="572">
        <v>1025205</v>
      </c>
      <c r="AX79" s="572">
        <v>117167</v>
      </c>
      <c r="AY79" s="572">
        <v>23537579</v>
      </c>
      <c r="AZ79" s="572">
        <v>1072087</v>
      </c>
      <c r="BA79" s="572">
        <v>910948</v>
      </c>
      <c r="BB79" s="572">
        <v>156924</v>
      </c>
      <c r="BC79" s="572">
        <v>152046</v>
      </c>
      <c r="BD79" s="572">
        <v>436114</v>
      </c>
      <c r="BE79" s="572">
        <v>89589</v>
      </c>
      <c r="BF79" s="572">
        <v>266991</v>
      </c>
      <c r="BG79" s="572">
        <v>921878</v>
      </c>
      <c r="BH79" s="572">
        <v>2769442</v>
      </c>
      <c r="BI79" s="572">
        <v>120465</v>
      </c>
      <c r="BJ79" s="572">
        <v>65356</v>
      </c>
      <c r="BK79" s="572">
        <v>2345126</v>
      </c>
      <c r="BL79" s="572">
        <v>2167625</v>
      </c>
      <c r="BM79" s="572">
        <v>670368</v>
      </c>
      <c r="BN79" s="572">
        <v>8906</v>
      </c>
      <c r="BO79" s="572">
        <v>200467</v>
      </c>
      <c r="BP79" s="572">
        <v>0</v>
      </c>
      <c r="BQ79" s="572">
        <v>362791</v>
      </c>
      <c r="BR79" s="572">
        <v>146520</v>
      </c>
      <c r="BS79" s="572">
        <v>182969</v>
      </c>
      <c r="BT79" s="572">
        <v>864984</v>
      </c>
      <c r="BU79" s="572">
        <v>1092399</v>
      </c>
      <c r="BV79" s="572">
        <v>94361</v>
      </c>
      <c r="BW79" s="572">
        <v>183322</v>
      </c>
      <c r="BX79" s="572">
        <v>1433617</v>
      </c>
      <c r="BY79" s="572">
        <v>27522</v>
      </c>
      <c r="BZ79" s="572">
        <v>0</v>
      </c>
      <c r="CA79" s="572">
        <v>821530</v>
      </c>
      <c r="CB79" s="572">
        <v>42500030</v>
      </c>
      <c r="CC79" s="572">
        <v>5496754</v>
      </c>
      <c r="CD79" s="572">
        <v>422915</v>
      </c>
      <c r="CE79" s="572">
        <v>1279357</v>
      </c>
      <c r="CF79" s="572">
        <v>0</v>
      </c>
      <c r="CG79" s="572">
        <v>250165</v>
      </c>
      <c r="CH79" s="572">
        <v>69502473</v>
      </c>
      <c r="CI79" s="572">
        <v>3424408</v>
      </c>
      <c r="CJ79" s="572">
        <v>336849</v>
      </c>
      <c r="CK79" s="572">
        <v>396037</v>
      </c>
      <c r="CL79" s="572">
        <v>94460</v>
      </c>
      <c r="CM79" s="572">
        <v>874645</v>
      </c>
      <c r="CN79" s="572">
        <v>556783</v>
      </c>
      <c r="CO79" s="572">
        <v>373891</v>
      </c>
      <c r="CP79" s="572">
        <v>271530</v>
      </c>
      <c r="CQ79" s="572">
        <v>1390444</v>
      </c>
      <c r="CR79" s="567"/>
      <c r="CS79" s="567"/>
      <c r="CT79" s="567"/>
      <c r="CU79" s="567"/>
      <c r="CV79" s="567"/>
      <c r="CW79" s="567"/>
      <c r="CX79" s="567"/>
      <c r="CY79" s="567"/>
      <c r="CZ79" s="567"/>
      <c r="DA79" s="567"/>
      <c r="DB79" s="567"/>
      <c r="DC79" s="567"/>
      <c r="DD79" s="567"/>
      <c r="DE79" s="567"/>
      <c r="DF79" s="567"/>
      <c r="DG79" s="567"/>
      <c r="DH79" s="567"/>
      <c r="DI79" s="567"/>
      <c r="DJ79" s="567"/>
      <c r="DK79" s="567"/>
      <c r="DL79" s="567"/>
      <c r="DM79" s="567"/>
      <c r="DN79" s="567"/>
      <c r="DO79" s="567"/>
      <c r="DP79" s="567"/>
      <c r="DQ79" s="567"/>
      <c r="DR79" s="567"/>
      <c r="DS79" s="567"/>
      <c r="DT79" s="567"/>
      <c r="DU79" s="567"/>
      <c r="DV79" s="567"/>
      <c r="DW79" s="567"/>
      <c r="DX79" s="567"/>
      <c r="DY79" s="567"/>
      <c r="DZ79" s="567"/>
      <c r="EA79" s="567"/>
      <c r="EB79" s="567"/>
      <c r="EC79" s="567"/>
      <c r="ED79" s="567"/>
      <c r="EE79" s="567"/>
      <c r="EF79" s="567"/>
      <c r="EG79" s="567"/>
      <c r="EH79" s="567"/>
      <c r="EI79" s="567"/>
      <c r="EJ79" s="567"/>
      <c r="EK79" s="567"/>
      <c r="EL79" s="567"/>
      <c r="EM79" s="567"/>
      <c r="EN79" s="567"/>
      <c r="EO79" s="567"/>
      <c r="EP79" s="567"/>
      <c r="EQ79" s="567"/>
      <c r="ER79" s="567"/>
      <c r="ES79" s="567"/>
      <c r="ET79" s="567"/>
      <c r="EU79" s="567"/>
      <c r="EV79" s="567"/>
      <c r="EW79" s="567"/>
      <c r="EX79" s="567"/>
      <c r="EY79" s="567"/>
      <c r="EZ79" s="567"/>
      <c r="FA79" s="567"/>
      <c r="FB79" s="567"/>
      <c r="FC79" s="567"/>
      <c r="FD79" s="567"/>
      <c r="FE79" s="567"/>
      <c r="FF79" s="567"/>
      <c r="FG79" s="567"/>
      <c r="FH79" s="567"/>
      <c r="FI79" s="567"/>
      <c r="FJ79" s="567"/>
      <c r="FK79" s="567"/>
      <c r="FL79" s="567"/>
      <c r="FM79" s="567"/>
      <c r="FN79" s="567"/>
      <c r="FO79" s="567"/>
      <c r="FP79" s="567"/>
      <c r="FQ79" s="567"/>
      <c r="FR79" s="567"/>
      <c r="FS79" s="567"/>
      <c r="FT79" s="567"/>
      <c r="FU79" s="567"/>
      <c r="FV79" s="567"/>
      <c r="FW79" s="567"/>
      <c r="FX79" s="567"/>
      <c r="FY79" s="567"/>
      <c r="FZ79" s="567"/>
      <c r="GA79" s="567"/>
      <c r="GB79" s="567"/>
      <c r="GC79" s="567"/>
      <c r="GD79" s="567"/>
      <c r="GE79" s="567"/>
      <c r="GF79" s="567"/>
      <c r="GG79" s="567"/>
      <c r="GH79" s="567"/>
      <c r="GI79" s="567"/>
      <c r="GJ79" s="567"/>
      <c r="GK79" s="567"/>
      <c r="GL79" s="567"/>
      <c r="GM79" s="567"/>
      <c r="GN79" s="567"/>
      <c r="GO79" s="567"/>
      <c r="GP79" s="567"/>
      <c r="GQ79" s="567"/>
      <c r="GR79" s="567"/>
      <c r="GS79" s="567"/>
      <c r="GT79" s="567"/>
      <c r="GU79" s="567"/>
      <c r="GV79" s="567"/>
      <c r="GW79" s="567"/>
      <c r="GX79" s="567"/>
      <c r="GY79" s="567"/>
      <c r="GZ79" s="567"/>
      <c r="HA79" s="567"/>
      <c r="HB79" s="567"/>
      <c r="HC79" s="567"/>
      <c r="HD79" s="567"/>
      <c r="HE79" s="567"/>
      <c r="HF79" s="567"/>
      <c r="HG79" s="567"/>
      <c r="HH79" s="567"/>
      <c r="HI79" s="567"/>
      <c r="HJ79" s="567"/>
      <c r="HK79" s="567"/>
      <c r="HL79" s="567"/>
      <c r="HM79" s="567"/>
      <c r="HN79" s="567"/>
      <c r="HO79" s="567"/>
      <c r="HP79" s="567"/>
      <c r="HQ79" s="567"/>
      <c r="HR79" s="567"/>
      <c r="HS79" s="567"/>
      <c r="HT79" s="567"/>
      <c r="HU79" s="567"/>
      <c r="HV79" s="567"/>
      <c r="HW79" s="567"/>
      <c r="HX79" s="567"/>
      <c r="HY79" s="567"/>
      <c r="HZ79" s="567"/>
      <c r="IA79" s="567"/>
      <c r="IB79" s="567"/>
      <c r="IC79" s="567"/>
      <c r="ID79" s="567"/>
      <c r="IE79" s="567"/>
      <c r="IF79" s="567"/>
      <c r="IG79" s="567"/>
      <c r="IH79" s="567"/>
      <c r="II79" s="567"/>
      <c r="IJ79" s="567"/>
      <c r="IK79" s="567"/>
      <c r="IL79" s="567"/>
      <c r="IM79" s="567"/>
      <c r="IN79" s="567"/>
      <c r="IO79" s="567"/>
      <c r="IP79" s="567"/>
      <c r="IQ79" s="567"/>
      <c r="IR79" s="567"/>
      <c r="IS79" s="567"/>
      <c r="IT79" s="567"/>
      <c r="IU79" s="567"/>
    </row>
    <row r="80" spans="1:255" ht="30" x14ac:dyDescent="0.25">
      <c r="A80" s="668">
        <v>254</v>
      </c>
      <c r="B80" s="590">
        <v>254</v>
      </c>
      <c r="C80" s="570" t="s">
        <v>124</v>
      </c>
      <c r="D80" s="567" t="s">
        <v>758</v>
      </c>
      <c r="E80" s="573">
        <v>400822</v>
      </c>
      <c r="F80" s="574">
        <v>7305426</v>
      </c>
      <c r="G80" s="574">
        <v>896357</v>
      </c>
      <c r="H80" s="574">
        <v>133174</v>
      </c>
      <c r="I80" s="574">
        <v>221092</v>
      </c>
      <c r="J80" s="574">
        <v>540077</v>
      </c>
      <c r="K80" s="575">
        <v>17517629</v>
      </c>
      <c r="L80" s="572">
        <v>-485595</v>
      </c>
      <c r="M80" s="572">
        <v>417900</v>
      </c>
      <c r="N80" s="571">
        <v>2898916</v>
      </c>
      <c r="O80" s="571">
        <v>175232</v>
      </c>
      <c r="P80" s="571">
        <v>235959</v>
      </c>
      <c r="Q80" s="571">
        <v>224639</v>
      </c>
      <c r="R80" s="571">
        <v>1217717</v>
      </c>
      <c r="S80" s="571">
        <v>6821421</v>
      </c>
      <c r="T80" s="571">
        <v>-145002</v>
      </c>
      <c r="U80" s="571">
        <v>0</v>
      </c>
      <c r="V80" s="571">
        <v>975487</v>
      </c>
      <c r="W80" s="571">
        <v>3251218</v>
      </c>
      <c r="X80" s="571">
        <v>4790977</v>
      </c>
      <c r="Y80" s="571">
        <v>1742489</v>
      </c>
      <c r="Z80" s="571">
        <v>81641</v>
      </c>
      <c r="AA80" s="571">
        <v>-16302884</v>
      </c>
      <c r="AB80" s="572">
        <v>-841747</v>
      </c>
      <c r="AC80" s="572">
        <v>348989</v>
      </c>
      <c r="AD80" s="572">
        <v>432055</v>
      </c>
      <c r="AE80" s="572">
        <v>746145</v>
      </c>
      <c r="AF80" s="572">
        <v>1289429</v>
      </c>
      <c r="AG80" s="572">
        <v>7003991</v>
      </c>
      <c r="AH80" s="572">
        <v>2491795</v>
      </c>
      <c r="AI80" s="572">
        <v>497224</v>
      </c>
      <c r="AJ80" s="572">
        <v>5722059</v>
      </c>
      <c r="AK80" s="572">
        <v>648930</v>
      </c>
      <c r="AL80" s="572">
        <v>628842</v>
      </c>
      <c r="AM80" s="572">
        <v>673327</v>
      </c>
      <c r="AN80" s="572">
        <v>95904</v>
      </c>
      <c r="AO80" s="572">
        <v>2773446</v>
      </c>
      <c r="AP80" s="572">
        <v>3953264</v>
      </c>
      <c r="AQ80" s="572">
        <v>0</v>
      </c>
      <c r="AR80" s="572">
        <v>209712</v>
      </c>
      <c r="AS80" s="572">
        <v>1507803</v>
      </c>
      <c r="AT80" s="572">
        <v>412824</v>
      </c>
      <c r="AU80" s="572">
        <v>50695</v>
      </c>
      <c r="AV80" s="572">
        <v>-128185</v>
      </c>
      <c r="AW80" s="572">
        <v>-3155120</v>
      </c>
      <c r="AX80" s="572">
        <v>765971</v>
      </c>
      <c r="AY80" s="572">
        <v>-27816047</v>
      </c>
      <c r="AZ80" s="572">
        <v>3431044</v>
      </c>
      <c r="BA80" s="572">
        <v>1533112</v>
      </c>
      <c r="BB80" s="572">
        <v>3254009</v>
      </c>
      <c r="BC80" s="572">
        <v>853634</v>
      </c>
      <c r="BD80" s="572">
        <v>610168</v>
      </c>
      <c r="BE80" s="572">
        <v>145540</v>
      </c>
      <c r="BF80" s="572">
        <v>657424</v>
      </c>
      <c r="BG80" s="572">
        <v>1382015</v>
      </c>
      <c r="BH80" s="572">
        <v>6371710</v>
      </c>
      <c r="BI80" s="572">
        <v>322364</v>
      </c>
      <c r="BJ80" s="572">
        <v>168748</v>
      </c>
      <c r="BK80" s="572">
        <v>7112141</v>
      </c>
      <c r="BL80" s="572">
        <v>587920</v>
      </c>
      <c r="BM80" s="572">
        <v>4481604</v>
      </c>
      <c r="BN80" s="572">
        <v>136024</v>
      </c>
      <c r="BO80" s="572">
        <v>2549911</v>
      </c>
      <c r="BP80" s="572">
        <v>0</v>
      </c>
      <c r="BQ80" s="572">
        <v>970429</v>
      </c>
      <c r="BR80" s="572">
        <v>1526831</v>
      </c>
      <c r="BS80" s="572">
        <v>1029221</v>
      </c>
      <c r="BT80" s="572">
        <v>1286166</v>
      </c>
      <c r="BU80" s="572">
        <v>969591</v>
      </c>
      <c r="BV80" s="572">
        <v>527868</v>
      </c>
      <c r="BW80" s="572">
        <v>694881</v>
      </c>
      <c r="BX80" s="572">
        <v>1318128</v>
      </c>
      <c r="BY80" s="572">
        <v>573169</v>
      </c>
      <c r="BZ80" s="572">
        <v>0</v>
      </c>
      <c r="CA80" s="572">
        <v>-240057</v>
      </c>
      <c r="CB80" s="572">
        <v>36410461</v>
      </c>
      <c r="CC80" s="572">
        <v>-14512952</v>
      </c>
      <c r="CD80" s="572">
        <v>710416</v>
      </c>
      <c r="CE80" s="572">
        <v>-537837</v>
      </c>
      <c r="CF80" s="572">
        <v>0</v>
      </c>
      <c r="CG80" s="572">
        <v>556894</v>
      </c>
      <c r="CH80" s="572">
        <v>41526432</v>
      </c>
      <c r="CI80" s="572">
        <v>3629707</v>
      </c>
      <c r="CJ80" s="572">
        <v>859051</v>
      </c>
      <c r="CK80" s="572">
        <v>-547732</v>
      </c>
      <c r="CL80" s="572">
        <v>842758</v>
      </c>
      <c r="CM80" s="572">
        <v>8239800</v>
      </c>
      <c r="CN80" s="572">
        <v>1607511</v>
      </c>
      <c r="CO80" s="572">
        <v>1376709</v>
      </c>
      <c r="CP80" s="572">
        <v>948575</v>
      </c>
      <c r="CQ80" s="572">
        <v>2222411</v>
      </c>
      <c r="CR80" s="567"/>
      <c r="CS80" s="567"/>
      <c r="CT80" s="567"/>
      <c r="CU80" s="567"/>
      <c r="CV80" s="567"/>
      <c r="CW80" s="567"/>
      <c r="CX80" s="567"/>
      <c r="CY80" s="567"/>
      <c r="CZ80" s="567"/>
      <c r="DA80" s="567"/>
      <c r="DB80" s="567"/>
      <c r="DC80" s="567"/>
      <c r="DD80" s="567"/>
      <c r="DE80" s="567"/>
      <c r="DF80" s="567"/>
      <c r="DG80" s="567"/>
      <c r="DH80" s="567"/>
      <c r="DI80" s="567"/>
      <c r="DJ80" s="567"/>
      <c r="DK80" s="567"/>
      <c r="DL80" s="567"/>
      <c r="DM80" s="567"/>
      <c r="DN80" s="567"/>
      <c r="DO80" s="567"/>
      <c r="DP80" s="567"/>
      <c r="DQ80" s="567"/>
      <c r="DR80" s="567"/>
      <c r="DS80" s="567"/>
      <c r="DT80" s="567"/>
      <c r="DU80" s="567"/>
      <c r="DV80" s="567"/>
      <c r="DW80" s="567"/>
      <c r="DX80" s="567"/>
      <c r="DY80" s="567"/>
      <c r="DZ80" s="567"/>
      <c r="EA80" s="567"/>
      <c r="EB80" s="567"/>
      <c r="EC80" s="567"/>
      <c r="ED80" s="567"/>
      <c r="EE80" s="567"/>
      <c r="EF80" s="567"/>
      <c r="EG80" s="567"/>
      <c r="EH80" s="567"/>
      <c r="EI80" s="567"/>
      <c r="EJ80" s="567"/>
      <c r="EK80" s="567"/>
      <c r="EL80" s="567"/>
      <c r="EM80" s="567"/>
      <c r="EN80" s="567"/>
      <c r="EO80" s="567"/>
      <c r="EP80" s="567"/>
      <c r="EQ80" s="567"/>
      <c r="ER80" s="567"/>
      <c r="ES80" s="567"/>
      <c r="ET80" s="567"/>
      <c r="EU80" s="567"/>
      <c r="EV80" s="567"/>
      <c r="EW80" s="567"/>
      <c r="EX80" s="567"/>
      <c r="EY80" s="567"/>
      <c r="EZ80" s="567"/>
      <c r="FA80" s="567"/>
      <c r="FB80" s="567"/>
      <c r="FC80" s="567"/>
      <c r="FD80" s="567"/>
      <c r="FE80" s="567"/>
      <c r="FF80" s="567"/>
      <c r="FG80" s="567"/>
      <c r="FH80" s="567"/>
      <c r="FI80" s="567"/>
      <c r="FJ80" s="567"/>
      <c r="FK80" s="567"/>
      <c r="FL80" s="567"/>
      <c r="FM80" s="567"/>
      <c r="FN80" s="567"/>
      <c r="FO80" s="567"/>
      <c r="FP80" s="567"/>
      <c r="FQ80" s="567"/>
      <c r="FR80" s="567"/>
      <c r="FS80" s="567"/>
      <c r="FT80" s="567"/>
      <c r="FU80" s="567"/>
      <c r="FV80" s="567"/>
      <c r="FW80" s="567"/>
      <c r="FX80" s="567"/>
      <c r="FY80" s="567"/>
      <c r="FZ80" s="567"/>
      <c r="GA80" s="567"/>
      <c r="GB80" s="567"/>
      <c r="GC80" s="567"/>
      <c r="GD80" s="567"/>
      <c r="GE80" s="567"/>
      <c r="GF80" s="567"/>
      <c r="GG80" s="567"/>
      <c r="GH80" s="567"/>
      <c r="GI80" s="567"/>
      <c r="GJ80" s="567"/>
      <c r="GK80" s="567"/>
      <c r="GL80" s="567"/>
      <c r="GM80" s="567"/>
      <c r="GN80" s="567"/>
      <c r="GO80" s="567"/>
      <c r="GP80" s="567"/>
      <c r="GQ80" s="567"/>
      <c r="GR80" s="567"/>
      <c r="GS80" s="567"/>
      <c r="GT80" s="567"/>
      <c r="GU80" s="567"/>
      <c r="GV80" s="567"/>
      <c r="GW80" s="567"/>
      <c r="GX80" s="567"/>
      <c r="GY80" s="567"/>
      <c r="GZ80" s="567"/>
      <c r="HA80" s="567"/>
      <c r="HB80" s="567"/>
      <c r="HC80" s="567"/>
      <c r="HD80" s="567"/>
      <c r="HE80" s="567"/>
      <c r="HF80" s="567"/>
      <c r="HG80" s="567"/>
      <c r="HH80" s="567"/>
      <c r="HI80" s="567"/>
      <c r="HJ80" s="567"/>
      <c r="HK80" s="567"/>
      <c r="HL80" s="567"/>
      <c r="HM80" s="567"/>
      <c r="HN80" s="567"/>
      <c r="HO80" s="567"/>
      <c r="HP80" s="567"/>
      <c r="HQ80" s="567"/>
      <c r="HR80" s="567"/>
      <c r="HS80" s="567"/>
      <c r="HT80" s="567"/>
      <c r="HU80" s="567"/>
      <c r="HV80" s="567"/>
      <c r="HW80" s="567"/>
      <c r="HX80" s="567"/>
      <c r="HY80" s="567"/>
      <c r="HZ80" s="567"/>
      <c r="IA80" s="567"/>
      <c r="IB80" s="567"/>
      <c r="IC80" s="567"/>
      <c r="ID80" s="567"/>
      <c r="IE80" s="567"/>
      <c r="IF80" s="567"/>
      <c r="IG80" s="567"/>
      <c r="IH80" s="567"/>
      <c r="II80" s="567"/>
      <c r="IJ80" s="567"/>
      <c r="IK80" s="567"/>
      <c r="IL80" s="567"/>
      <c r="IM80" s="567"/>
      <c r="IN80" s="567"/>
      <c r="IO80" s="567"/>
      <c r="IP80" s="567"/>
      <c r="IQ80" s="567"/>
      <c r="IR80" s="567"/>
      <c r="IS80" s="567"/>
      <c r="IT80" s="567"/>
      <c r="IU80" s="567"/>
    </row>
    <row r="81" spans="1:95" x14ac:dyDescent="0.25">
      <c r="A81" s="668">
        <v>255</v>
      </c>
      <c r="B81" s="590">
        <v>255</v>
      </c>
      <c r="C81" s="570" t="s">
        <v>282</v>
      </c>
      <c r="D81" s="567" t="s">
        <v>759</v>
      </c>
      <c r="E81" s="573">
        <v>77527</v>
      </c>
      <c r="F81" s="574">
        <v>-3397317</v>
      </c>
      <c r="G81" s="574">
        <v>74528</v>
      </c>
      <c r="H81" s="574">
        <v>-108536</v>
      </c>
      <c r="I81" s="574">
        <v>42248</v>
      </c>
      <c r="J81" s="574">
        <v>154189</v>
      </c>
      <c r="K81" s="575">
        <v>-1860467</v>
      </c>
      <c r="L81" s="572">
        <v>40809</v>
      </c>
      <c r="M81" s="572">
        <v>50997</v>
      </c>
      <c r="N81" s="571">
        <v>72818</v>
      </c>
      <c r="O81" s="571">
        <v>133851</v>
      </c>
      <c r="P81" s="571">
        <v>15469</v>
      </c>
      <c r="Q81" s="571">
        <v>42637</v>
      </c>
      <c r="R81" s="571">
        <v>218119</v>
      </c>
      <c r="S81" s="571">
        <v>-231354</v>
      </c>
      <c r="T81" s="571">
        <v>916186</v>
      </c>
      <c r="U81" s="571">
        <v>0</v>
      </c>
      <c r="V81" s="571">
        <v>184260</v>
      </c>
      <c r="W81" s="571">
        <v>309048</v>
      </c>
      <c r="X81" s="571">
        <v>772278</v>
      </c>
      <c r="Y81" s="571">
        <v>941040</v>
      </c>
      <c r="Z81" s="571">
        <v>-14797</v>
      </c>
      <c r="AA81" s="571">
        <v>-580592</v>
      </c>
      <c r="AB81" s="572">
        <v>506055</v>
      </c>
      <c r="AC81" s="572">
        <v>159000</v>
      </c>
      <c r="AD81" s="572">
        <v>70399</v>
      </c>
      <c r="AE81" s="572">
        <v>251936</v>
      </c>
      <c r="AF81" s="572">
        <v>79193</v>
      </c>
      <c r="AG81" s="572">
        <v>1727453</v>
      </c>
      <c r="AH81" s="572">
        <v>693231</v>
      </c>
      <c r="AI81" s="572">
        <v>-36712</v>
      </c>
      <c r="AJ81" s="572">
        <v>700660</v>
      </c>
      <c r="AK81" s="572">
        <v>566616</v>
      </c>
      <c r="AL81" s="572">
        <v>-509998</v>
      </c>
      <c r="AM81" s="572">
        <v>383421</v>
      </c>
      <c r="AN81" s="572">
        <v>-2342</v>
      </c>
      <c r="AO81" s="572">
        <v>179392</v>
      </c>
      <c r="AP81" s="572">
        <v>1440463</v>
      </c>
      <c r="AQ81" s="572">
        <v>0</v>
      </c>
      <c r="AR81" s="572">
        <v>17587</v>
      </c>
      <c r="AS81" s="572">
        <v>93731</v>
      </c>
      <c r="AT81" s="572">
        <v>-3509</v>
      </c>
      <c r="AU81" s="572">
        <v>3259</v>
      </c>
      <c r="AV81" s="572">
        <v>180835</v>
      </c>
      <c r="AW81" s="572">
        <v>472986</v>
      </c>
      <c r="AX81" s="572">
        <v>55764</v>
      </c>
      <c r="AY81" s="572">
        <v>9862167</v>
      </c>
      <c r="AZ81" s="572">
        <v>175428</v>
      </c>
      <c r="BA81" s="572">
        <v>288678</v>
      </c>
      <c r="BB81" s="572">
        <v>482602</v>
      </c>
      <c r="BC81" s="572">
        <v>76154</v>
      </c>
      <c r="BD81" s="572">
        <v>976042</v>
      </c>
      <c r="BE81" s="572">
        <v>9059</v>
      </c>
      <c r="BF81" s="572">
        <v>91560</v>
      </c>
      <c r="BG81" s="572">
        <v>409747</v>
      </c>
      <c r="BH81" s="572">
        <v>1559058</v>
      </c>
      <c r="BI81" s="572">
        <v>48368</v>
      </c>
      <c r="BJ81" s="572">
        <v>29978</v>
      </c>
      <c r="BK81" s="572">
        <v>7064879</v>
      </c>
      <c r="BL81" s="572">
        <v>449549</v>
      </c>
      <c r="BM81" s="572">
        <v>1132293</v>
      </c>
      <c r="BN81" s="572">
        <v>-14400</v>
      </c>
      <c r="BO81" s="572">
        <v>262591</v>
      </c>
      <c r="BP81" s="572">
        <v>0</v>
      </c>
      <c r="BQ81" s="572">
        <v>928540</v>
      </c>
      <c r="BR81" s="572">
        <v>265373</v>
      </c>
      <c r="BS81" s="572">
        <v>-167616</v>
      </c>
      <c r="BT81" s="572">
        <v>104669</v>
      </c>
      <c r="BU81" s="572">
        <v>463471</v>
      </c>
      <c r="BV81" s="572">
        <v>-37574</v>
      </c>
      <c r="BW81" s="572">
        <v>-550775</v>
      </c>
      <c r="BX81" s="572">
        <v>837134</v>
      </c>
      <c r="BY81" s="572">
        <v>6330</v>
      </c>
      <c r="BZ81" s="572">
        <v>0</v>
      </c>
      <c r="CA81" s="572">
        <v>118758</v>
      </c>
      <c r="CB81" s="572">
        <v>8306688</v>
      </c>
      <c r="CC81" s="572">
        <v>4130151</v>
      </c>
      <c r="CD81" s="572">
        <v>448616</v>
      </c>
      <c r="CE81" s="572">
        <v>362017</v>
      </c>
      <c r="CF81" s="572">
        <v>0</v>
      </c>
      <c r="CG81" s="572">
        <v>-133758</v>
      </c>
      <c r="CH81" s="572">
        <v>15618569</v>
      </c>
      <c r="CI81" s="572">
        <v>691487</v>
      </c>
      <c r="CJ81" s="572">
        <v>107740</v>
      </c>
      <c r="CK81" s="572">
        <v>-70334</v>
      </c>
      <c r="CL81" s="572">
        <v>82603</v>
      </c>
      <c r="CM81" s="572">
        <v>2174547</v>
      </c>
      <c r="CN81" s="572">
        <v>254736</v>
      </c>
      <c r="CO81" s="572">
        <v>433448</v>
      </c>
      <c r="CP81" s="572">
        <v>259587</v>
      </c>
      <c r="CQ81" s="572">
        <v>2330039</v>
      </c>
    </row>
    <row r="82" spans="1:95" ht="30" x14ac:dyDescent="0.25">
      <c r="A82" s="668"/>
      <c r="B82" s="590">
        <v>274</v>
      </c>
      <c r="C82" s="600" t="s">
        <v>760</v>
      </c>
      <c r="D82" s="567" t="s">
        <v>761</v>
      </c>
      <c r="E82" s="573"/>
      <c r="F82" s="574"/>
      <c r="G82" s="574"/>
      <c r="H82" s="574"/>
      <c r="I82" s="574"/>
      <c r="J82" s="574"/>
      <c r="K82" s="575"/>
      <c r="L82" s="572"/>
      <c r="M82" s="572"/>
      <c r="N82" s="571"/>
      <c r="O82" s="571"/>
      <c r="P82" s="571"/>
      <c r="Q82" s="571"/>
      <c r="R82" s="571"/>
      <c r="S82" s="571"/>
      <c r="T82" s="571"/>
      <c r="U82" s="571"/>
      <c r="V82" s="571"/>
      <c r="W82" s="571"/>
      <c r="X82" s="571"/>
      <c r="Y82" s="571"/>
      <c r="Z82" s="571"/>
      <c r="AA82" s="571"/>
      <c r="AB82" s="572"/>
      <c r="AC82" s="572"/>
      <c r="AD82" s="572"/>
      <c r="AE82" s="572"/>
      <c r="AF82" s="572"/>
      <c r="AG82" s="572"/>
      <c r="AH82" s="572"/>
      <c r="AI82" s="572"/>
      <c r="AJ82" s="572"/>
      <c r="AK82" s="572"/>
      <c r="AL82" s="572"/>
      <c r="AM82" s="572"/>
      <c r="AN82" s="572"/>
      <c r="AO82" s="572"/>
      <c r="AP82" s="572"/>
      <c r="AQ82" s="572"/>
      <c r="AR82" s="572"/>
      <c r="AS82" s="572"/>
      <c r="AT82" s="572"/>
      <c r="AU82" s="572"/>
      <c r="AV82" s="572"/>
      <c r="AW82" s="572"/>
      <c r="AX82" s="572"/>
      <c r="AY82" s="572"/>
      <c r="AZ82" s="572"/>
      <c r="BA82" s="572"/>
      <c r="BB82" s="572"/>
      <c r="BC82" s="572"/>
      <c r="BD82" s="572"/>
      <c r="BE82" s="572"/>
      <c r="BF82" s="572"/>
      <c r="BG82" s="572"/>
      <c r="BH82" s="572"/>
      <c r="BI82" s="572"/>
      <c r="BJ82" s="572"/>
      <c r="BK82" s="572"/>
      <c r="BL82" s="572"/>
      <c r="BM82" s="572"/>
      <c r="BN82" s="572"/>
      <c r="BO82" s="572"/>
      <c r="BP82" s="572"/>
      <c r="BQ82" s="572"/>
      <c r="BR82" s="572"/>
      <c r="BS82" s="572"/>
      <c r="BT82" s="572"/>
      <c r="BU82" s="572"/>
      <c r="BV82" s="572"/>
      <c r="BW82" s="572"/>
      <c r="BX82" s="572"/>
      <c r="BY82" s="572"/>
      <c r="BZ82" s="572"/>
      <c r="CA82" s="572"/>
      <c r="CB82" s="572"/>
      <c r="CC82" s="572"/>
      <c r="CD82" s="572"/>
      <c r="CE82" s="572"/>
      <c r="CF82" s="572"/>
      <c r="CG82" s="572"/>
      <c r="CH82" s="572"/>
      <c r="CI82" s="572"/>
      <c r="CJ82" s="572"/>
      <c r="CK82" s="572"/>
      <c r="CL82" s="572"/>
      <c r="CM82" s="572"/>
      <c r="CN82" s="572"/>
      <c r="CO82" s="572"/>
      <c r="CP82" s="572"/>
      <c r="CQ82" s="572"/>
    </row>
    <row r="83" spans="1:95" ht="25.5" x14ac:dyDescent="0.25">
      <c r="A83" s="668"/>
      <c r="B83" s="590">
        <v>294</v>
      </c>
      <c r="C83" s="601" t="s">
        <v>762</v>
      </c>
      <c r="D83" s="567" t="s">
        <v>763</v>
      </c>
      <c r="E83" s="573"/>
      <c r="F83" s="574"/>
      <c r="G83" s="574"/>
      <c r="H83" s="574"/>
      <c r="I83" s="574"/>
      <c r="J83" s="574"/>
      <c r="K83" s="575"/>
      <c r="L83" s="572"/>
      <c r="M83" s="572"/>
      <c r="N83" s="571"/>
      <c r="O83" s="571"/>
      <c r="P83" s="571"/>
      <c r="Q83" s="571"/>
      <c r="R83" s="571"/>
      <c r="S83" s="571"/>
      <c r="T83" s="571"/>
      <c r="U83" s="571"/>
      <c r="V83" s="571"/>
      <c r="W83" s="571"/>
      <c r="X83" s="571"/>
      <c r="Y83" s="571"/>
      <c r="Z83" s="571"/>
      <c r="AA83" s="571"/>
      <c r="AB83" s="572"/>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2"/>
      <c r="AY83" s="572"/>
      <c r="AZ83" s="572"/>
      <c r="BA83" s="572"/>
      <c r="BB83" s="572"/>
      <c r="BC83" s="572"/>
      <c r="BD83" s="572"/>
      <c r="BE83" s="572"/>
      <c r="BF83" s="572"/>
      <c r="BG83" s="572"/>
      <c r="BH83" s="572"/>
      <c r="BI83" s="572"/>
      <c r="BJ83" s="572"/>
      <c r="BK83" s="572"/>
      <c r="BL83" s="572"/>
      <c r="BM83" s="572"/>
      <c r="BN83" s="572"/>
      <c r="BO83" s="572"/>
      <c r="BP83" s="572"/>
      <c r="BQ83" s="572"/>
      <c r="BR83" s="572"/>
      <c r="BS83" s="572"/>
      <c r="BT83" s="572"/>
      <c r="BU83" s="572"/>
      <c r="BV83" s="572"/>
      <c r="BW83" s="572"/>
      <c r="BX83" s="572"/>
      <c r="BY83" s="572"/>
      <c r="BZ83" s="572"/>
      <c r="CA83" s="572"/>
      <c r="CB83" s="572"/>
      <c r="CC83" s="572"/>
      <c r="CD83" s="572"/>
      <c r="CE83" s="572"/>
      <c r="CF83" s="572"/>
      <c r="CG83" s="572"/>
      <c r="CH83" s="572"/>
      <c r="CI83" s="572"/>
      <c r="CJ83" s="572"/>
      <c r="CK83" s="572"/>
      <c r="CL83" s="572"/>
      <c r="CM83" s="572"/>
      <c r="CN83" s="572"/>
      <c r="CO83" s="572"/>
      <c r="CP83" s="572"/>
      <c r="CQ83" s="572"/>
    </row>
    <row r="84" spans="1:95" ht="38.25" x14ac:dyDescent="0.25">
      <c r="A84" s="668"/>
      <c r="B84" s="590">
        <v>314</v>
      </c>
      <c r="C84" s="601" t="s">
        <v>764</v>
      </c>
      <c r="D84" s="567" t="s">
        <v>765</v>
      </c>
      <c r="E84" s="573"/>
      <c r="F84" s="574"/>
      <c r="G84" s="574"/>
      <c r="H84" s="574"/>
      <c r="I84" s="574"/>
      <c r="J84" s="574"/>
      <c r="K84" s="575"/>
      <c r="L84" s="572"/>
      <c r="M84" s="572"/>
      <c r="N84" s="571"/>
      <c r="O84" s="571"/>
      <c r="P84" s="571"/>
      <c r="Q84" s="571"/>
      <c r="R84" s="571"/>
      <c r="S84" s="571"/>
      <c r="T84" s="571"/>
      <c r="U84" s="571"/>
      <c r="V84" s="571"/>
      <c r="W84" s="571"/>
      <c r="X84" s="571"/>
      <c r="Y84" s="571"/>
      <c r="Z84" s="571"/>
      <c r="AA84" s="571"/>
      <c r="AB84" s="572"/>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2"/>
      <c r="AY84" s="572"/>
      <c r="AZ84" s="572"/>
      <c r="BA84" s="572"/>
      <c r="BB84" s="572"/>
      <c r="BC84" s="572"/>
      <c r="BD84" s="572"/>
      <c r="BE84" s="572"/>
      <c r="BF84" s="572"/>
      <c r="BG84" s="572"/>
      <c r="BH84" s="572"/>
      <c r="BI84" s="572"/>
      <c r="BJ84" s="572"/>
      <c r="BK84" s="572"/>
      <c r="BL84" s="572"/>
      <c r="BM84" s="572"/>
      <c r="BN84" s="572"/>
      <c r="BO84" s="572"/>
      <c r="BP84" s="572"/>
      <c r="BQ84" s="572"/>
      <c r="BR84" s="572"/>
      <c r="BS84" s="572"/>
      <c r="BT84" s="572"/>
      <c r="BU84" s="572"/>
      <c r="BV84" s="572"/>
      <c r="BW84" s="572"/>
      <c r="BX84" s="572"/>
      <c r="BY84" s="572"/>
      <c r="BZ84" s="572"/>
      <c r="CA84" s="572"/>
      <c r="CB84" s="572"/>
      <c r="CC84" s="572"/>
      <c r="CD84" s="572"/>
      <c r="CE84" s="572"/>
      <c r="CF84" s="572"/>
      <c r="CG84" s="572"/>
      <c r="CH84" s="572"/>
      <c r="CI84" s="572"/>
      <c r="CJ84" s="572"/>
      <c r="CK84" s="572"/>
      <c r="CL84" s="572"/>
      <c r="CM84" s="572"/>
      <c r="CN84" s="572"/>
      <c r="CO84" s="572"/>
      <c r="CP84" s="572"/>
      <c r="CQ84" s="572"/>
    </row>
    <row r="85" spans="1:95" ht="38.25" x14ac:dyDescent="0.25">
      <c r="A85" s="668"/>
      <c r="B85" s="590">
        <v>315</v>
      </c>
      <c r="C85" s="601" t="s">
        <v>766</v>
      </c>
      <c r="D85" s="567" t="s">
        <v>767</v>
      </c>
      <c r="E85" s="573"/>
      <c r="F85" s="574"/>
      <c r="G85" s="574"/>
      <c r="H85" s="574"/>
      <c r="I85" s="574"/>
      <c r="J85" s="574"/>
      <c r="K85" s="575"/>
      <c r="L85" s="572"/>
      <c r="M85" s="572"/>
      <c r="N85" s="571"/>
      <c r="O85" s="571"/>
      <c r="P85" s="571"/>
      <c r="Q85" s="571"/>
      <c r="R85" s="571"/>
      <c r="S85" s="571"/>
      <c r="T85" s="571"/>
      <c r="U85" s="571"/>
      <c r="V85" s="571"/>
      <c r="W85" s="571"/>
      <c r="X85" s="571"/>
      <c r="Y85" s="571"/>
      <c r="Z85" s="571"/>
      <c r="AA85" s="571"/>
      <c r="AB85" s="572"/>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2"/>
      <c r="AY85" s="572"/>
      <c r="AZ85" s="572"/>
      <c r="BA85" s="572"/>
      <c r="BB85" s="572"/>
      <c r="BC85" s="572"/>
      <c r="BD85" s="572"/>
      <c r="BE85" s="572"/>
      <c r="BF85" s="572"/>
      <c r="BG85" s="572"/>
      <c r="BH85" s="572"/>
      <c r="BI85" s="572"/>
      <c r="BJ85" s="572"/>
      <c r="BK85" s="572"/>
      <c r="BL85" s="572"/>
      <c r="BM85" s="572"/>
      <c r="BN85" s="572"/>
      <c r="BO85" s="572"/>
      <c r="BP85" s="572"/>
      <c r="BQ85" s="572"/>
      <c r="BR85" s="572"/>
      <c r="BS85" s="572"/>
      <c r="BT85" s="572"/>
      <c r="BU85" s="572"/>
      <c r="BV85" s="572"/>
      <c r="BW85" s="572"/>
      <c r="BX85" s="572"/>
      <c r="BY85" s="572"/>
      <c r="BZ85" s="572"/>
      <c r="CA85" s="572"/>
      <c r="CB85" s="572"/>
      <c r="CC85" s="572"/>
      <c r="CD85" s="572"/>
      <c r="CE85" s="572"/>
      <c r="CF85" s="572"/>
      <c r="CG85" s="572"/>
      <c r="CH85" s="572"/>
      <c r="CI85" s="572"/>
      <c r="CJ85" s="572"/>
      <c r="CK85" s="572"/>
      <c r="CL85" s="572"/>
      <c r="CM85" s="572"/>
      <c r="CN85" s="572"/>
      <c r="CO85" s="572"/>
      <c r="CP85" s="572"/>
      <c r="CQ85" s="572"/>
    </row>
    <row r="86" spans="1:95" ht="25.5" x14ac:dyDescent="0.25">
      <c r="A86" s="668"/>
      <c r="B86" s="590">
        <v>316</v>
      </c>
      <c r="C86" s="601" t="s">
        <v>768</v>
      </c>
      <c r="D86" s="567" t="s">
        <v>769</v>
      </c>
      <c r="E86" s="573"/>
      <c r="F86" s="574"/>
      <c r="G86" s="574"/>
      <c r="H86" s="574"/>
      <c r="I86" s="574"/>
      <c r="J86" s="574"/>
      <c r="K86" s="575"/>
      <c r="L86" s="572"/>
      <c r="M86" s="572"/>
      <c r="N86" s="571"/>
      <c r="O86" s="571"/>
      <c r="P86" s="571"/>
      <c r="Q86" s="571"/>
      <c r="R86" s="571"/>
      <c r="S86" s="571"/>
      <c r="T86" s="571"/>
      <c r="U86" s="571"/>
      <c r="V86" s="571"/>
      <c r="W86" s="571"/>
      <c r="X86" s="571"/>
      <c r="Y86" s="571"/>
      <c r="Z86" s="571"/>
      <c r="AA86" s="571"/>
      <c r="AB86" s="572"/>
      <c r="AC86" s="572"/>
      <c r="AD86" s="572"/>
      <c r="AE86" s="572"/>
      <c r="AF86" s="572"/>
      <c r="AG86" s="572"/>
      <c r="AH86" s="572"/>
      <c r="AI86" s="572"/>
      <c r="AJ86" s="572"/>
      <c r="AK86" s="572"/>
      <c r="AL86" s="572"/>
      <c r="AM86" s="572"/>
      <c r="AN86" s="572"/>
      <c r="AO86" s="572"/>
      <c r="AP86" s="572"/>
      <c r="AQ86" s="572"/>
      <c r="AR86" s="572"/>
      <c r="AS86" s="572"/>
      <c r="AT86" s="572"/>
      <c r="AU86" s="572"/>
      <c r="AV86" s="572"/>
      <c r="AW86" s="572"/>
      <c r="AX86" s="572"/>
      <c r="AY86" s="572"/>
      <c r="AZ86" s="572"/>
      <c r="BA86" s="572"/>
      <c r="BB86" s="572"/>
      <c r="BC86" s="572"/>
      <c r="BD86" s="572"/>
      <c r="BE86" s="572"/>
      <c r="BF86" s="572"/>
      <c r="BG86" s="572"/>
      <c r="BH86" s="572"/>
      <c r="BI86" s="572"/>
      <c r="BJ86" s="572"/>
      <c r="BK86" s="572"/>
      <c r="BL86" s="572"/>
      <c r="BM86" s="572"/>
      <c r="BN86" s="572"/>
      <c r="BO86" s="572"/>
      <c r="BP86" s="572"/>
      <c r="BQ86" s="572"/>
      <c r="BR86" s="572"/>
      <c r="BS86" s="572"/>
      <c r="BT86" s="572"/>
      <c r="BU86" s="572"/>
      <c r="BV86" s="572"/>
      <c r="BW86" s="572"/>
      <c r="BX86" s="572"/>
      <c r="BY86" s="572"/>
      <c r="BZ86" s="572"/>
      <c r="CA86" s="572"/>
      <c r="CB86" s="572"/>
      <c r="CC86" s="572"/>
      <c r="CD86" s="572"/>
      <c r="CE86" s="572"/>
      <c r="CF86" s="572"/>
      <c r="CG86" s="572"/>
      <c r="CH86" s="572"/>
      <c r="CI86" s="572"/>
      <c r="CJ86" s="572"/>
      <c r="CK86" s="572"/>
      <c r="CL86" s="572"/>
      <c r="CM86" s="572"/>
      <c r="CN86" s="572"/>
      <c r="CO86" s="572"/>
      <c r="CP86" s="572"/>
      <c r="CQ86" s="572"/>
    </row>
    <row r="87" spans="1:95" ht="28.5" x14ac:dyDescent="0.25">
      <c r="A87" s="668"/>
      <c r="B87" s="651">
        <v>320</v>
      </c>
      <c r="C87" s="620" t="s">
        <v>770</v>
      </c>
      <c r="D87" s="643" t="s">
        <v>771</v>
      </c>
      <c r="E87" s="640">
        <v>0</v>
      </c>
      <c r="F87" s="642">
        <v>0</v>
      </c>
      <c r="G87" s="642">
        <v>0</v>
      </c>
      <c r="H87" s="642">
        <v>0</v>
      </c>
      <c r="I87" s="642">
        <v>0</v>
      </c>
      <c r="J87" s="642">
        <v>0</v>
      </c>
      <c r="K87" s="637">
        <v>0</v>
      </c>
      <c r="L87" s="638">
        <v>0</v>
      </c>
      <c r="M87" s="638">
        <v>0</v>
      </c>
      <c r="N87" s="623">
        <v>0</v>
      </c>
      <c r="O87" s="623">
        <v>0</v>
      </c>
      <c r="P87" s="623">
        <v>0</v>
      </c>
      <c r="Q87" s="623">
        <v>0</v>
      </c>
      <c r="R87" s="623">
        <v>0</v>
      </c>
      <c r="S87" s="623">
        <v>0</v>
      </c>
      <c r="T87" s="623">
        <v>0</v>
      </c>
      <c r="U87" s="623">
        <v>0</v>
      </c>
      <c r="V87" s="623">
        <v>0</v>
      </c>
      <c r="W87" s="623">
        <v>0</v>
      </c>
      <c r="X87" s="623">
        <v>0</v>
      </c>
      <c r="Y87" s="623">
        <v>0</v>
      </c>
      <c r="Z87" s="623">
        <v>0</v>
      </c>
      <c r="AA87" s="623">
        <v>0</v>
      </c>
      <c r="AB87" s="638">
        <v>0</v>
      </c>
      <c r="AC87" s="638">
        <v>0</v>
      </c>
      <c r="AD87" s="638">
        <v>0</v>
      </c>
      <c r="AE87" s="638">
        <v>0</v>
      </c>
      <c r="AF87" s="638">
        <v>0</v>
      </c>
      <c r="AG87" s="638">
        <v>0</v>
      </c>
      <c r="AH87" s="638">
        <v>0</v>
      </c>
      <c r="AI87" s="638">
        <v>0</v>
      </c>
      <c r="AJ87" s="638">
        <v>0</v>
      </c>
      <c r="AK87" s="638">
        <v>0</v>
      </c>
      <c r="AL87" s="638">
        <v>0</v>
      </c>
      <c r="AM87" s="638">
        <v>0</v>
      </c>
      <c r="AN87" s="638">
        <v>0</v>
      </c>
      <c r="AO87" s="638">
        <v>0</v>
      </c>
      <c r="AP87" s="638">
        <v>0</v>
      </c>
      <c r="AQ87" s="638">
        <v>0</v>
      </c>
      <c r="AR87" s="638">
        <v>0</v>
      </c>
      <c r="AS87" s="638">
        <v>0</v>
      </c>
      <c r="AT87" s="638">
        <v>0</v>
      </c>
      <c r="AU87" s="638">
        <v>0</v>
      </c>
      <c r="AV87" s="638">
        <v>0</v>
      </c>
      <c r="AW87" s="638">
        <v>0</v>
      </c>
      <c r="AX87" s="638">
        <v>0</v>
      </c>
      <c r="AY87" s="638">
        <v>0</v>
      </c>
      <c r="AZ87" s="638">
        <v>0</v>
      </c>
      <c r="BA87" s="638">
        <v>0</v>
      </c>
      <c r="BB87" s="638">
        <v>0</v>
      </c>
      <c r="BC87" s="638">
        <v>0</v>
      </c>
      <c r="BD87" s="638">
        <v>0</v>
      </c>
      <c r="BE87" s="638">
        <v>0</v>
      </c>
      <c r="BF87" s="638">
        <v>0</v>
      </c>
      <c r="BG87" s="638">
        <v>0</v>
      </c>
      <c r="BH87" s="638">
        <v>0</v>
      </c>
      <c r="BI87" s="638">
        <v>0</v>
      </c>
      <c r="BJ87" s="638">
        <v>0</v>
      </c>
      <c r="BK87" s="638">
        <v>0</v>
      </c>
      <c r="BL87" s="638">
        <v>0</v>
      </c>
      <c r="BM87" s="638">
        <v>0</v>
      </c>
      <c r="BN87" s="638">
        <v>0</v>
      </c>
      <c r="BO87" s="638">
        <v>0</v>
      </c>
      <c r="BP87" s="638">
        <v>0</v>
      </c>
      <c r="BQ87" s="638">
        <v>0</v>
      </c>
      <c r="BR87" s="638">
        <v>0</v>
      </c>
      <c r="BS87" s="638">
        <v>0</v>
      </c>
      <c r="BT87" s="638">
        <v>0</v>
      </c>
      <c r="BU87" s="638">
        <v>0</v>
      </c>
      <c r="BV87" s="638">
        <v>0</v>
      </c>
      <c r="BW87" s="638">
        <v>0</v>
      </c>
      <c r="BX87" s="638">
        <v>0</v>
      </c>
      <c r="BY87" s="638">
        <v>0</v>
      </c>
      <c r="BZ87" s="638">
        <v>0</v>
      </c>
      <c r="CA87" s="638">
        <v>0</v>
      </c>
      <c r="CB87" s="638">
        <v>0</v>
      </c>
      <c r="CC87" s="638">
        <v>0</v>
      </c>
      <c r="CD87" s="638">
        <v>0</v>
      </c>
      <c r="CE87" s="638">
        <v>0</v>
      </c>
      <c r="CF87" s="638">
        <v>0</v>
      </c>
      <c r="CG87" s="638">
        <v>0</v>
      </c>
      <c r="CH87" s="638">
        <v>0</v>
      </c>
      <c r="CI87" s="638">
        <v>0</v>
      </c>
      <c r="CJ87" s="638">
        <v>0</v>
      </c>
      <c r="CK87" s="638">
        <v>0</v>
      </c>
      <c r="CL87" s="638">
        <v>0</v>
      </c>
      <c r="CM87" s="638">
        <v>0</v>
      </c>
      <c r="CN87" s="638">
        <v>0</v>
      </c>
      <c r="CO87" s="638">
        <v>0</v>
      </c>
      <c r="CP87" s="638">
        <v>0</v>
      </c>
      <c r="CQ87" s="638">
        <v>0</v>
      </c>
    </row>
    <row r="88" spans="1:95" x14ac:dyDescent="0.25">
      <c r="A88" s="668"/>
      <c r="B88" s="650">
        <v>321</v>
      </c>
      <c r="C88" s="644" t="s">
        <v>772</v>
      </c>
      <c r="D88" s="647" t="s">
        <v>773</v>
      </c>
      <c r="E88" s="640">
        <v>0</v>
      </c>
      <c r="F88" s="642">
        <v>0</v>
      </c>
      <c r="G88" s="642">
        <v>0</v>
      </c>
      <c r="H88" s="642">
        <v>0</v>
      </c>
      <c r="I88" s="642">
        <v>0</v>
      </c>
      <c r="J88" s="642">
        <v>0</v>
      </c>
      <c r="K88" s="637">
        <v>0</v>
      </c>
      <c r="L88" s="638">
        <v>0</v>
      </c>
      <c r="M88" s="638">
        <v>0</v>
      </c>
      <c r="N88" s="623">
        <v>0</v>
      </c>
      <c r="O88" s="623">
        <v>0</v>
      </c>
      <c r="P88" s="623">
        <v>0</v>
      </c>
      <c r="Q88" s="623">
        <v>0</v>
      </c>
      <c r="R88" s="623">
        <v>0</v>
      </c>
      <c r="S88" s="623">
        <v>0</v>
      </c>
      <c r="T88" s="623">
        <v>0</v>
      </c>
      <c r="U88" s="623">
        <v>0</v>
      </c>
      <c r="V88" s="623">
        <v>0</v>
      </c>
      <c r="W88" s="623">
        <v>0</v>
      </c>
      <c r="X88" s="623">
        <v>0</v>
      </c>
      <c r="Y88" s="623">
        <v>0</v>
      </c>
      <c r="Z88" s="623">
        <v>0</v>
      </c>
      <c r="AA88" s="623">
        <v>0</v>
      </c>
      <c r="AB88" s="638">
        <v>0</v>
      </c>
      <c r="AC88" s="638">
        <v>0</v>
      </c>
      <c r="AD88" s="638">
        <v>0</v>
      </c>
      <c r="AE88" s="638">
        <v>0</v>
      </c>
      <c r="AF88" s="638">
        <v>0</v>
      </c>
      <c r="AG88" s="638">
        <v>0</v>
      </c>
      <c r="AH88" s="638">
        <v>0</v>
      </c>
      <c r="AI88" s="638">
        <v>0</v>
      </c>
      <c r="AJ88" s="638">
        <v>0</v>
      </c>
      <c r="AK88" s="638">
        <v>0</v>
      </c>
      <c r="AL88" s="638">
        <v>0</v>
      </c>
      <c r="AM88" s="638">
        <v>0</v>
      </c>
      <c r="AN88" s="638">
        <v>0</v>
      </c>
      <c r="AO88" s="638">
        <v>0</v>
      </c>
      <c r="AP88" s="638">
        <v>0</v>
      </c>
      <c r="AQ88" s="638">
        <v>0</v>
      </c>
      <c r="AR88" s="638">
        <v>0</v>
      </c>
      <c r="AS88" s="638">
        <v>0</v>
      </c>
      <c r="AT88" s="638">
        <v>0</v>
      </c>
      <c r="AU88" s="638">
        <v>0</v>
      </c>
      <c r="AV88" s="638">
        <v>0</v>
      </c>
      <c r="AW88" s="638">
        <v>0</v>
      </c>
      <c r="AX88" s="638">
        <v>0</v>
      </c>
      <c r="AY88" s="638">
        <v>0</v>
      </c>
      <c r="AZ88" s="638">
        <v>0</v>
      </c>
      <c r="BA88" s="638">
        <v>0</v>
      </c>
      <c r="BB88" s="638">
        <v>0</v>
      </c>
      <c r="BC88" s="638">
        <v>0</v>
      </c>
      <c r="BD88" s="638">
        <v>0</v>
      </c>
      <c r="BE88" s="638">
        <v>0</v>
      </c>
      <c r="BF88" s="638">
        <v>0</v>
      </c>
      <c r="BG88" s="638">
        <v>0</v>
      </c>
      <c r="BH88" s="638">
        <v>0</v>
      </c>
      <c r="BI88" s="638">
        <v>0</v>
      </c>
      <c r="BJ88" s="638">
        <v>0</v>
      </c>
      <c r="BK88" s="638">
        <v>0</v>
      </c>
      <c r="BL88" s="638">
        <v>0</v>
      </c>
      <c r="BM88" s="638">
        <v>0</v>
      </c>
      <c r="BN88" s="638">
        <v>0</v>
      </c>
      <c r="BO88" s="638">
        <v>0</v>
      </c>
      <c r="BP88" s="638">
        <v>0</v>
      </c>
      <c r="BQ88" s="638">
        <v>0</v>
      </c>
      <c r="BR88" s="638">
        <v>0</v>
      </c>
      <c r="BS88" s="638">
        <v>0</v>
      </c>
      <c r="BT88" s="638">
        <v>0</v>
      </c>
      <c r="BU88" s="638">
        <v>0</v>
      </c>
      <c r="BV88" s="638">
        <v>0</v>
      </c>
      <c r="BW88" s="638">
        <v>0</v>
      </c>
      <c r="BX88" s="638">
        <v>0</v>
      </c>
      <c r="BY88" s="638">
        <v>0</v>
      </c>
      <c r="BZ88" s="638">
        <v>0</v>
      </c>
      <c r="CA88" s="638">
        <v>0</v>
      </c>
      <c r="CB88" s="638">
        <v>0</v>
      </c>
      <c r="CC88" s="638">
        <v>0</v>
      </c>
      <c r="CD88" s="638">
        <v>0</v>
      </c>
      <c r="CE88" s="638">
        <v>0</v>
      </c>
      <c r="CF88" s="638">
        <v>0</v>
      </c>
      <c r="CG88" s="638">
        <v>0</v>
      </c>
      <c r="CH88" s="638">
        <v>0</v>
      </c>
      <c r="CI88" s="638">
        <v>0</v>
      </c>
      <c r="CJ88" s="638">
        <v>0</v>
      </c>
      <c r="CK88" s="638">
        <v>0</v>
      </c>
      <c r="CL88" s="638">
        <v>0</v>
      </c>
      <c r="CM88" s="638">
        <v>0</v>
      </c>
      <c r="CN88" s="638">
        <v>0</v>
      </c>
      <c r="CO88" s="638">
        <v>0</v>
      </c>
      <c r="CP88" s="638">
        <v>0</v>
      </c>
      <c r="CQ88" s="638">
        <v>0</v>
      </c>
    </row>
    <row r="89" spans="1:95" x14ac:dyDescent="0.25">
      <c r="A89" s="668"/>
      <c r="B89" s="650">
        <v>322</v>
      </c>
      <c r="C89" s="644" t="s">
        <v>774</v>
      </c>
      <c r="D89" s="647" t="s">
        <v>775</v>
      </c>
      <c r="E89" s="640">
        <v>0</v>
      </c>
      <c r="F89" s="642">
        <v>0</v>
      </c>
      <c r="G89" s="642">
        <v>0</v>
      </c>
      <c r="H89" s="642">
        <v>0</v>
      </c>
      <c r="I89" s="642">
        <v>0</v>
      </c>
      <c r="J89" s="642">
        <v>0</v>
      </c>
      <c r="K89" s="637">
        <v>0</v>
      </c>
      <c r="L89" s="638">
        <v>0</v>
      </c>
      <c r="M89" s="638">
        <v>0</v>
      </c>
      <c r="N89" s="623">
        <v>0</v>
      </c>
      <c r="O89" s="623">
        <v>0</v>
      </c>
      <c r="P89" s="623">
        <v>0</v>
      </c>
      <c r="Q89" s="623">
        <v>0</v>
      </c>
      <c r="R89" s="623">
        <v>0</v>
      </c>
      <c r="S89" s="623">
        <v>0</v>
      </c>
      <c r="T89" s="623">
        <v>0</v>
      </c>
      <c r="U89" s="623">
        <v>0</v>
      </c>
      <c r="V89" s="623">
        <v>0</v>
      </c>
      <c r="W89" s="623">
        <v>0</v>
      </c>
      <c r="X89" s="623">
        <v>0</v>
      </c>
      <c r="Y89" s="623">
        <v>0</v>
      </c>
      <c r="Z89" s="623">
        <v>0</v>
      </c>
      <c r="AA89" s="623">
        <v>0</v>
      </c>
      <c r="AB89" s="638">
        <v>0</v>
      </c>
      <c r="AC89" s="638">
        <v>0</v>
      </c>
      <c r="AD89" s="638">
        <v>0</v>
      </c>
      <c r="AE89" s="638">
        <v>0</v>
      </c>
      <c r="AF89" s="638">
        <v>0</v>
      </c>
      <c r="AG89" s="638">
        <v>0</v>
      </c>
      <c r="AH89" s="638">
        <v>0</v>
      </c>
      <c r="AI89" s="638">
        <v>0</v>
      </c>
      <c r="AJ89" s="638">
        <v>0</v>
      </c>
      <c r="AK89" s="638">
        <v>0</v>
      </c>
      <c r="AL89" s="638">
        <v>0</v>
      </c>
      <c r="AM89" s="638">
        <v>0</v>
      </c>
      <c r="AN89" s="638">
        <v>0</v>
      </c>
      <c r="AO89" s="638">
        <v>0</v>
      </c>
      <c r="AP89" s="638">
        <v>0</v>
      </c>
      <c r="AQ89" s="638">
        <v>0</v>
      </c>
      <c r="AR89" s="638">
        <v>0</v>
      </c>
      <c r="AS89" s="638">
        <v>0</v>
      </c>
      <c r="AT89" s="638">
        <v>0</v>
      </c>
      <c r="AU89" s="638">
        <v>0</v>
      </c>
      <c r="AV89" s="638">
        <v>0</v>
      </c>
      <c r="AW89" s="638">
        <v>0</v>
      </c>
      <c r="AX89" s="638">
        <v>0</v>
      </c>
      <c r="AY89" s="638">
        <v>0</v>
      </c>
      <c r="AZ89" s="638">
        <v>0</v>
      </c>
      <c r="BA89" s="638">
        <v>0</v>
      </c>
      <c r="BB89" s="638">
        <v>0</v>
      </c>
      <c r="BC89" s="638">
        <v>0</v>
      </c>
      <c r="BD89" s="638">
        <v>0</v>
      </c>
      <c r="BE89" s="638">
        <v>0</v>
      </c>
      <c r="BF89" s="638">
        <v>0</v>
      </c>
      <c r="BG89" s="638">
        <v>0</v>
      </c>
      <c r="BH89" s="638">
        <v>0</v>
      </c>
      <c r="BI89" s="638">
        <v>0</v>
      </c>
      <c r="BJ89" s="638">
        <v>0</v>
      </c>
      <c r="BK89" s="638">
        <v>0</v>
      </c>
      <c r="BL89" s="638">
        <v>0</v>
      </c>
      <c r="BM89" s="638">
        <v>0</v>
      </c>
      <c r="BN89" s="638">
        <v>0</v>
      </c>
      <c r="BO89" s="638">
        <v>0</v>
      </c>
      <c r="BP89" s="638">
        <v>0</v>
      </c>
      <c r="BQ89" s="638">
        <v>0</v>
      </c>
      <c r="BR89" s="638">
        <v>0</v>
      </c>
      <c r="BS89" s="638">
        <v>0</v>
      </c>
      <c r="BT89" s="638">
        <v>0</v>
      </c>
      <c r="BU89" s="638">
        <v>0</v>
      </c>
      <c r="BV89" s="638">
        <v>0</v>
      </c>
      <c r="BW89" s="638">
        <v>0</v>
      </c>
      <c r="BX89" s="638">
        <v>0</v>
      </c>
      <c r="BY89" s="638">
        <v>0</v>
      </c>
      <c r="BZ89" s="638">
        <v>0</v>
      </c>
      <c r="CA89" s="638">
        <v>0</v>
      </c>
      <c r="CB89" s="638">
        <v>0</v>
      </c>
      <c r="CC89" s="638">
        <v>0</v>
      </c>
      <c r="CD89" s="638">
        <v>0</v>
      </c>
      <c r="CE89" s="638">
        <v>0</v>
      </c>
      <c r="CF89" s="638">
        <v>0</v>
      </c>
      <c r="CG89" s="638">
        <v>0</v>
      </c>
      <c r="CH89" s="638">
        <v>0</v>
      </c>
      <c r="CI89" s="638">
        <v>0</v>
      </c>
      <c r="CJ89" s="638">
        <v>0</v>
      </c>
      <c r="CK89" s="638">
        <v>0</v>
      </c>
      <c r="CL89" s="638">
        <v>0</v>
      </c>
      <c r="CM89" s="638">
        <v>0</v>
      </c>
      <c r="CN89" s="638">
        <v>0</v>
      </c>
      <c r="CO89" s="638">
        <v>0</v>
      </c>
      <c r="CP89" s="638">
        <v>0</v>
      </c>
      <c r="CQ89" s="638">
        <v>0</v>
      </c>
    </row>
    <row r="90" spans="1:95" ht="30" x14ac:dyDescent="0.25">
      <c r="A90" s="668"/>
      <c r="B90" s="650">
        <v>323</v>
      </c>
      <c r="C90" s="644" t="s">
        <v>776</v>
      </c>
      <c r="D90" s="647" t="s">
        <v>777</v>
      </c>
      <c r="E90" s="640">
        <v>0</v>
      </c>
      <c r="F90" s="642">
        <v>0</v>
      </c>
      <c r="G90" s="642">
        <v>0</v>
      </c>
      <c r="H90" s="642">
        <v>0</v>
      </c>
      <c r="I90" s="642">
        <v>0</v>
      </c>
      <c r="J90" s="642">
        <v>0</v>
      </c>
      <c r="K90" s="637">
        <v>0</v>
      </c>
      <c r="L90" s="638">
        <v>0</v>
      </c>
      <c r="M90" s="638">
        <v>0</v>
      </c>
      <c r="N90" s="623">
        <v>0</v>
      </c>
      <c r="O90" s="623">
        <v>0</v>
      </c>
      <c r="P90" s="623">
        <v>0</v>
      </c>
      <c r="Q90" s="623">
        <v>0</v>
      </c>
      <c r="R90" s="623">
        <v>0</v>
      </c>
      <c r="S90" s="623">
        <v>0</v>
      </c>
      <c r="T90" s="623">
        <v>0</v>
      </c>
      <c r="U90" s="623">
        <v>0</v>
      </c>
      <c r="V90" s="623">
        <v>0</v>
      </c>
      <c r="W90" s="623">
        <v>0</v>
      </c>
      <c r="X90" s="623">
        <v>0</v>
      </c>
      <c r="Y90" s="623">
        <v>0</v>
      </c>
      <c r="Z90" s="623">
        <v>0</v>
      </c>
      <c r="AA90" s="623">
        <v>0</v>
      </c>
      <c r="AB90" s="638">
        <v>0</v>
      </c>
      <c r="AC90" s="638">
        <v>0</v>
      </c>
      <c r="AD90" s="638">
        <v>0</v>
      </c>
      <c r="AE90" s="638">
        <v>0</v>
      </c>
      <c r="AF90" s="638">
        <v>0</v>
      </c>
      <c r="AG90" s="638">
        <v>0</v>
      </c>
      <c r="AH90" s="638">
        <v>0</v>
      </c>
      <c r="AI90" s="638">
        <v>0</v>
      </c>
      <c r="AJ90" s="638">
        <v>0</v>
      </c>
      <c r="AK90" s="638">
        <v>0</v>
      </c>
      <c r="AL90" s="638">
        <v>0</v>
      </c>
      <c r="AM90" s="638">
        <v>0</v>
      </c>
      <c r="AN90" s="638">
        <v>0</v>
      </c>
      <c r="AO90" s="638">
        <v>0</v>
      </c>
      <c r="AP90" s="638">
        <v>0</v>
      </c>
      <c r="AQ90" s="638">
        <v>0</v>
      </c>
      <c r="AR90" s="638">
        <v>0</v>
      </c>
      <c r="AS90" s="638">
        <v>0</v>
      </c>
      <c r="AT90" s="638">
        <v>0</v>
      </c>
      <c r="AU90" s="638">
        <v>0</v>
      </c>
      <c r="AV90" s="638">
        <v>0</v>
      </c>
      <c r="AW90" s="638">
        <v>0</v>
      </c>
      <c r="AX90" s="638">
        <v>0</v>
      </c>
      <c r="AY90" s="638">
        <v>0</v>
      </c>
      <c r="AZ90" s="638">
        <v>0</v>
      </c>
      <c r="BA90" s="638">
        <v>0</v>
      </c>
      <c r="BB90" s="638">
        <v>0</v>
      </c>
      <c r="BC90" s="638">
        <v>0</v>
      </c>
      <c r="BD90" s="638">
        <v>0</v>
      </c>
      <c r="BE90" s="638">
        <v>0</v>
      </c>
      <c r="BF90" s="638">
        <v>0</v>
      </c>
      <c r="BG90" s="638">
        <v>0</v>
      </c>
      <c r="BH90" s="638">
        <v>0</v>
      </c>
      <c r="BI90" s="638">
        <v>0</v>
      </c>
      <c r="BJ90" s="638">
        <v>0</v>
      </c>
      <c r="BK90" s="638">
        <v>0</v>
      </c>
      <c r="BL90" s="638">
        <v>0</v>
      </c>
      <c r="BM90" s="638">
        <v>0</v>
      </c>
      <c r="BN90" s="638">
        <v>0</v>
      </c>
      <c r="BO90" s="638">
        <v>0</v>
      </c>
      <c r="BP90" s="638">
        <v>0</v>
      </c>
      <c r="BQ90" s="638">
        <v>0</v>
      </c>
      <c r="BR90" s="638">
        <v>0</v>
      </c>
      <c r="BS90" s="638">
        <v>0</v>
      </c>
      <c r="BT90" s="638">
        <v>0</v>
      </c>
      <c r="BU90" s="638">
        <v>0</v>
      </c>
      <c r="BV90" s="638">
        <v>0</v>
      </c>
      <c r="BW90" s="638">
        <v>0</v>
      </c>
      <c r="BX90" s="638">
        <v>0</v>
      </c>
      <c r="BY90" s="638">
        <v>0</v>
      </c>
      <c r="BZ90" s="638">
        <v>0</v>
      </c>
      <c r="CA90" s="638">
        <v>0</v>
      </c>
      <c r="CB90" s="638">
        <v>0</v>
      </c>
      <c r="CC90" s="638">
        <v>0</v>
      </c>
      <c r="CD90" s="638">
        <v>0</v>
      </c>
      <c r="CE90" s="638">
        <v>0</v>
      </c>
      <c r="CF90" s="638">
        <v>0</v>
      </c>
      <c r="CG90" s="638">
        <v>0</v>
      </c>
      <c r="CH90" s="638">
        <v>0</v>
      </c>
      <c r="CI90" s="638">
        <v>0</v>
      </c>
      <c r="CJ90" s="638">
        <v>0</v>
      </c>
      <c r="CK90" s="638">
        <v>0</v>
      </c>
      <c r="CL90" s="638">
        <v>0</v>
      </c>
      <c r="CM90" s="638">
        <v>0</v>
      </c>
      <c r="CN90" s="638">
        <v>0</v>
      </c>
      <c r="CO90" s="638">
        <v>0</v>
      </c>
      <c r="CP90" s="638">
        <v>0</v>
      </c>
      <c r="CQ90" s="638">
        <v>0</v>
      </c>
    </row>
    <row r="91" spans="1:95" x14ac:dyDescent="0.25">
      <c r="A91" s="668"/>
      <c r="B91" s="650">
        <v>324</v>
      </c>
      <c r="C91" s="644" t="s">
        <v>778</v>
      </c>
      <c r="D91" s="647" t="s">
        <v>779</v>
      </c>
      <c r="E91" s="640">
        <v>0</v>
      </c>
      <c r="F91" s="642">
        <v>0</v>
      </c>
      <c r="G91" s="642">
        <v>0</v>
      </c>
      <c r="H91" s="642">
        <v>0</v>
      </c>
      <c r="I91" s="642">
        <v>0</v>
      </c>
      <c r="J91" s="642">
        <v>0</v>
      </c>
      <c r="K91" s="637">
        <v>0</v>
      </c>
      <c r="L91" s="638">
        <v>0</v>
      </c>
      <c r="M91" s="638">
        <v>0</v>
      </c>
      <c r="N91" s="623">
        <v>0</v>
      </c>
      <c r="O91" s="623">
        <v>0</v>
      </c>
      <c r="P91" s="623">
        <v>0</v>
      </c>
      <c r="Q91" s="623">
        <v>0</v>
      </c>
      <c r="R91" s="623">
        <v>0</v>
      </c>
      <c r="S91" s="623">
        <v>0</v>
      </c>
      <c r="T91" s="623">
        <v>0</v>
      </c>
      <c r="U91" s="623">
        <v>0</v>
      </c>
      <c r="V91" s="623">
        <v>0</v>
      </c>
      <c r="W91" s="623">
        <v>0</v>
      </c>
      <c r="X91" s="623">
        <v>0</v>
      </c>
      <c r="Y91" s="623">
        <v>0</v>
      </c>
      <c r="Z91" s="623">
        <v>0</v>
      </c>
      <c r="AA91" s="623">
        <v>0</v>
      </c>
      <c r="AB91" s="638">
        <v>0</v>
      </c>
      <c r="AC91" s="638">
        <v>0</v>
      </c>
      <c r="AD91" s="638">
        <v>0</v>
      </c>
      <c r="AE91" s="638">
        <v>0</v>
      </c>
      <c r="AF91" s="638">
        <v>0</v>
      </c>
      <c r="AG91" s="638">
        <v>0</v>
      </c>
      <c r="AH91" s="638">
        <v>0</v>
      </c>
      <c r="AI91" s="638">
        <v>0</v>
      </c>
      <c r="AJ91" s="638">
        <v>0</v>
      </c>
      <c r="AK91" s="638">
        <v>0</v>
      </c>
      <c r="AL91" s="638">
        <v>0</v>
      </c>
      <c r="AM91" s="638">
        <v>0</v>
      </c>
      <c r="AN91" s="638">
        <v>0</v>
      </c>
      <c r="AO91" s="638">
        <v>0</v>
      </c>
      <c r="AP91" s="638">
        <v>0</v>
      </c>
      <c r="AQ91" s="638">
        <v>0</v>
      </c>
      <c r="AR91" s="638">
        <v>0</v>
      </c>
      <c r="AS91" s="638">
        <v>0</v>
      </c>
      <c r="AT91" s="638">
        <v>0</v>
      </c>
      <c r="AU91" s="638">
        <v>0</v>
      </c>
      <c r="AV91" s="638">
        <v>0</v>
      </c>
      <c r="AW91" s="638">
        <v>0</v>
      </c>
      <c r="AX91" s="638">
        <v>0</v>
      </c>
      <c r="AY91" s="638">
        <v>0</v>
      </c>
      <c r="AZ91" s="638">
        <v>0</v>
      </c>
      <c r="BA91" s="638">
        <v>0</v>
      </c>
      <c r="BB91" s="638">
        <v>0</v>
      </c>
      <c r="BC91" s="638">
        <v>0</v>
      </c>
      <c r="BD91" s="638">
        <v>0</v>
      </c>
      <c r="BE91" s="638">
        <v>0</v>
      </c>
      <c r="BF91" s="638">
        <v>0</v>
      </c>
      <c r="BG91" s="638">
        <v>0</v>
      </c>
      <c r="BH91" s="638">
        <v>0</v>
      </c>
      <c r="BI91" s="638">
        <v>0</v>
      </c>
      <c r="BJ91" s="638">
        <v>0</v>
      </c>
      <c r="BK91" s="638">
        <v>0</v>
      </c>
      <c r="BL91" s="638">
        <v>0</v>
      </c>
      <c r="BM91" s="638">
        <v>0</v>
      </c>
      <c r="BN91" s="638">
        <v>0</v>
      </c>
      <c r="BO91" s="638">
        <v>0</v>
      </c>
      <c r="BP91" s="638">
        <v>0</v>
      </c>
      <c r="BQ91" s="638">
        <v>0</v>
      </c>
      <c r="BR91" s="638">
        <v>0</v>
      </c>
      <c r="BS91" s="638">
        <v>0</v>
      </c>
      <c r="BT91" s="638">
        <v>0</v>
      </c>
      <c r="BU91" s="638">
        <v>0</v>
      </c>
      <c r="BV91" s="638">
        <v>0</v>
      </c>
      <c r="BW91" s="638">
        <v>0</v>
      </c>
      <c r="BX91" s="638">
        <v>0</v>
      </c>
      <c r="BY91" s="638">
        <v>0</v>
      </c>
      <c r="BZ91" s="638">
        <v>0</v>
      </c>
      <c r="CA91" s="638">
        <v>0</v>
      </c>
      <c r="CB91" s="638">
        <v>0</v>
      </c>
      <c r="CC91" s="638">
        <v>0</v>
      </c>
      <c r="CD91" s="638">
        <v>0</v>
      </c>
      <c r="CE91" s="638">
        <v>0</v>
      </c>
      <c r="CF91" s="638">
        <v>0</v>
      </c>
      <c r="CG91" s="638">
        <v>0</v>
      </c>
      <c r="CH91" s="638">
        <v>0</v>
      </c>
      <c r="CI91" s="638">
        <v>0</v>
      </c>
      <c r="CJ91" s="638">
        <v>0</v>
      </c>
      <c r="CK91" s="638">
        <v>0</v>
      </c>
      <c r="CL91" s="638">
        <v>0</v>
      </c>
      <c r="CM91" s="638">
        <v>0</v>
      </c>
      <c r="CN91" s="638">
        <v>0</v>
      </c>
      <c r="CO91" s="638">
        <v>0</v>
      </c>
      <c r="CP91" s="638">
        <v>0</v>
      </c>
      <c r="CQ91" s="638">
        <v>0</v>
      </c>
    </row>
    <row r="92" spans="1:95" x14ac:dyDescent="0.25">
      <c r="A92" s="668"/>
      <c r="B92" s="650">
        <v>325</v>
      </c>
      <c r="C92" s="644" t="s">
        <v>780</v>
      </c>
      <c r="D92" s="647" t="s">
        <v>781</v>
      </c>
      <c r="E92" s="625">
        <v>0</v>
      </c>
      <c r="F92" s="624">
        <v>0</v>
      </c>
      <c r="G92" s="624">
        <v>0</v>
      </c>
      <c r="H92" s="624">
        <v>0</v>
      </c>
      <c r="I92" s="624">
        <v>0</v>
      </c>
      <c r="J92" s="624">
        <v>0</v>
      </c>
      <c r="K92" s="645">
        <v>0</v>
      </c>
      <c r="L92" s="646">
        <v>0</v>
      </c>
      <c r="M92" s="646">
        <v>0</v>
      </c>
      <c r="N92" s="621">
        <v>0</v>
      </c>
      <c r="O92" s="621">
        <v>0</v>
      </c>
      <c r="P92" s="621">
        <v>0</v>
      </c>
      <c r="Q92" s="621">
        <v>0</v>
      </c>
      <c r="R92" s="621">
        <v>0</v>
      </c>
      <c r="S92" s="621">
        <v>0</v>
      </c>
      <c r="T92" s="621">
        <v>0</v>
      </c>
      <c r="U92" s="621">
        <v>0</v>
      </c>
      <c r="V92" s="621">
        <v>0</v>
      </c>
      <c r="W92" s="621">
        <v>0</v>
      </c>
      <c r="X92" s="621">
        <v>0</v>
      </c>
      <c r="Y92" s="621">
        <v>0</v>
      </c>
      <c r="Z92" s="621">
        <v>0</v>
      </c>
      <c r="AA92" s="621">
        <v>0</v>
      </c>
      <c r="AB92" s="646">
        <v>0</v>
      </c>
      <c r="AC92" s="646">
        <v>0</v>
      </c>
      <c r="AD92" s="646">
        <v>0</v>
      </c>
      <c r="AE92" s="646">
        <v>0</v>
      </c>
      <c r="AF92" s="646">
        <v>0</v>
      </c>
      <c r="AG92" s="646">
        <v>0</v>
      </c>
      <c r="AH92" s="646">
        <v>0</v>
      </c>
      <c r="AI92" s="646">
        <v>0</v>
      </c>
      <c r="AJ92" s="646">
        <v>0</v>
      </c>
      <c r="AK92" s="646">
        <v>0</v>
      </c>
      <c r="AL92" s="646">
        <v>0</v>
      </c>
      <c r="AM92" s="646">
        <v>0</v>
      </c>
      <c r="AN92" s="646">
        <v>0</v>
      </c>
      <c r="AO92" s="646">
        <v>0</v>
      </c>
      <c r="AP92" s="646">
        <v>0</v>
      </c>
      <c r="AQ92" s="646">
        <v>0</v>
      </c>
      <c r="AR92" s="646">
        <v>0</v>
      </c>
      <c r="AS92" s="646">
        <v>0</v>
      </c>
      <c r="AT92" s="646">
        <v>0</v>
      </c>
      <c r="AU92" s="646">
        <v>0</v>
      </c>
      <c r="AV92" s="646">
        <v>0</v>
      </c>
      <c r="AW92" s="646">
        <v>0</v>
      </c>
      <c r="AX92" s="646">
        <v>0</v>
      </c>
      <c r="AY92" s="646">
        <v>0</v>
      </c>
      <c r="AZ92" s="646">
        <v>0</v>
      </c>
      <c r="BA92" s="646">
        <v>0</v>
      </c>
      <c r="BB92" s="646">
        <v>0</v>
      </c>
      <c r="BC92" s="646">
        <v>0</v>
      </c>
      <c r="BD92" s="646">
        <v>0</v>
      </c>
      <c r="BE92" s="646">
        <v>0</v>
      </c>
      <c r="BF92" s="646">
        <v>0</v>
      </c>
      <c r="BG92" s="646">
        <v>0</v>
      </c>
      <c r="BH92" s="646">
        <v>0</v>
      </c>
      <c r="BI92" s="646">
        <v>0</v>
      </c>
      <c r="BJ92" s="646">
        <v>0</v>
      </c>
      <c r="BK92" s="646">
        <v>0</v>
      </c>
      <c r="BL92" s="646">
        <v>0</v>
      </c>
      <c r="BM92" s="646">
        <v>0</v>
      </c>
      <c r="BN92" s="646">
        <v>0</v>
      </c>
      <c r="BO92" s="646">
        <v>0</v>
      </c>
      <c r="BP92" s="646">
        <v>0</v>
      </c>
      <c r="BQ92" s="646">
        <v>0</v>
      </c>
      <c r="BR92" s="646">
        <v>0</v>
      </c>
      <c r="BS92" s="646">
        <v>0</v>
      </c>
      <c r="BT92" s="646">
        <v>0</v>
      </c>
      <c r="BU92" s="646">
        <v>0</v>
      </c>
      <c r="BV92" s="646">
        <v>0</v>
      </c>
      <c r="BW92" s="646">
        <v>0</v>
      </c>
      <c r="BX92" s="646">
        <v>0</v>
      </c>
      <c r="BY92" s="646">
        <v>0</v>
      </c>
      <c r="BZ92" s="646">
        <v>0</v>
      </c>
      <c r="CA92" s="646">
        <v>0</v>
      </c>
      <c r="CB92" s="646">
        <v>0</v>
      </c>
      <c r="CC92" s="646">
        <v>0</v>
      </c>
      <c r="CD92" s="646">
        <v>0</v>
      </c>
      <c r="CE92" s="646">
        <v>0</v>
      </c>
      <c r="CF92" s="646">
        <v>0</v>
      </c>
      <c r="CG92" s="646">
        <v>0</v>
      </c>
      <c r="CH92" s="646">
        <v>0</v>
      </c>
      <c r="CI92" s="646">
        <v>0</v>
      </c>
      <c r="CJ92" s="646">
        <v>0</v>
      </c>
      <c r="CK92" s="646">
        <v>0</v>
      </c>
      <c r="CL92" s="646">
        <v>0</v>
      </c>
      <c r="CM92" s="646">
        <v>0</v>
      </c>
      <c r="CN92" s="646">
        <v>0</v>
      </c>
      <c r="CO92" s="646">
        <v>0</v>
      </c>
      <c r="CP92" s="646">
        <v>0</v>
      </c>
      <c r="CQ92" s="646">
        <v>0</v>
      </c>
    </row>
    <row r="93" spans="1:95" x14ac:dyDescent="0.25">
      <c r="A93" s="668"/>
      <c r="B93" s="590">
        <v>326</v>
      </c>
      <c r="C93" s="570" t="s">
        <v>782</v>
      </c>
      <c r="D93" s="567" t="s">
        <v>783</v>
      </c>
      <c r="E93" s="573"/>
      <c r="F93" s="574"/>
      <c r="G93" s="574"/>
      <c r="H93" s="574"/>
      <c r="I93" s="574"/>
      <c r="J93" s="574"/>
      <c r="K93" s="575"/>
      <c r="L93" s="572"/>
      <c r="M93" s="572"/>
      <c r="N93" s="571"/>
      <c r="O93" s="571"/>
      <c r="P93" s="571"/>
      <c r="Q93" s="571"/>
      <c r="R93" s="571"/>
      <c r="S93" s="571"/>
      <c r="T93" s="571"/>
      <c r="U93" s="571"/>
      <c r="V93" s="571"/>
      <c r="W93" s="571"/>
      <c r="X93" s="571"/>
      <c r="Y93" s="571"/>
      <c r="Z93" s="571"/>
      <c r="AA93" s="571"/>
      <c r="AB93" s="572"/>
      <c r="AC93" s="572"/>
      <c r="AD93" s="572"/>
      <c r="AE93" s="572"/>
      <c r="AF93" s="572"/>
      <c r="AG93" s="572"/>
      <c r="AH93" s="572"/>
      <c r="AI93" s="572"/>
      <c r="AJ93" s="572"/>
      <c r="AK93" s="572"/>
      <c r="AL93" s="572"/>
      <c r="AM93" s="572"/>
      <c r="AN93" s="572"/>
      <c r="AO93" s="572"/>
      <c r="AP93" s="572"/>
      <c r="AQ93" s="572"/>
      <c r="AR93" s="572"/>
      <c r="AS93" s="572"/>
      <c r="AT93" s="572"/>
      <c r="AU93" s="572"/>
      <c r="AV93" s="572"/>
      <c r="AW93" s="572"/>
      <c r="AX93" s="572"/>
      <c r="AY93" s="572"/>
      <c r="AZ93" s="572"/>
      <c r="BA93" s="572"/>
      <c r="BB93" s="572"/>
      <c r="BC93" s="572"/>
      <c r="BD93" s="572"/>
      <c r="BE93" s="572"/>
      <c r="BF93" s="572"/>
      <c r="BG93" s="572"/>
      <c r="BH93" s="572"/>
      <c r="BI93" s="572"/>
      <c r="BJ93" s="572"/>
      <c r="BK93" s="572"/>
      <c r="BL93" s="572"/>
      <c r="BM93" s="572"/>
      <c r="BN93" s="572"/>
      <c r="BO93" s="572"/>
      <c r="BP93" s="572"/>
      <c r="BQ93" s="572"/>
      <c r="BR93" s="572"/>
      <c r="BS93" s="572"/>
      <c r="BT93" s="572"/>
      <c r="BU93" s="572"/>
      <c r="BV93" s="572"/>
      <c r="BW93" s="572"/>
      <c r="BX93" s="572"/>
      <c r="BY93" s="572"/>
      <c r="BZ93" s="572"/>
      <c r="CA93" s="572"/>
      <c r="CB93" s="572"/>
      <c r="CC93" s="572"/>
      <c r="CD93" s="572"/>
      <c r="CE93" s="572"/>
      <c r="CF93" s="572"/>
      <c r="CG93" s="572"/>
      <c r="CH93" s="572"/>
      <c r="CI93" s="572"/>
      <c r="CJ93" s="572"/>
      <c r="CK93" s="572"/>
      <c r="CL93" s="572"/>
      <c r="CM93" s="572"/>
      <c r="CN93" s="572"/>
      <c r="CO93" s="572"/>
      <c r="CP93" s="572"/>
      <c r="CQ93" s="572"/>
    </row>
    <row r="94" spans="1:95" ht="30" x14ac:dyDescent="0.25">
      <c r="A94" s="668">
        <v>327</v>
      </c>
      <c r="B94" s="590">
        <v>327</v>
      </c>
      <c r="C94" s="570" t="s">
        <v>784</v>
      </c>
      <c r="D94" s="567" t="s">
        <v>785</v>
      </c>
      <c r="E94" s="573">
        <v>0</v>
      </c>
      <c r="F94" s="574">
        <v>0</v>
      </c>
      <c r="G94" s="574">
        <v>0</v>
      </c>
      <c r="H94" s="574">
        <v>624775</v>
      </c>
      <c r="I94" s="574">
        <v>89940</v>
      </c>
      <c r="J94" s="574">
        <v>66250</v>
      </c>
      <c r="K94" s="575">
        <v>1511212</v>
      </c>
      <c r="L94" s="572">
        <v>0</v>
      </c>
      <c r="M94" s="572">
        <v>0</v>
      </c>
      <c r="N94" s="571">
        <v>8500</v>
      </c>
      <c r="O94" s="571">
        <v>28360</v>
      </c>
      <c r="P94" s="571">
        <v>0</v>
      </c>
      <c r="Q94" s="571">
        <v>177409</v>
      </c>
      <c r="R94" s="571">
        <v>0</v>
      </c>
      <c r="S94" s="571">
        <v>0</v>
      </c>
      <c r="T94" s="571">
        <v>0</v>
      </c>
      <c r="U94" s="571">
        <v>0</v>
      </c>
      <c r="V94" s="571">
        <v>0</v>
      </c>
      <c r="W94" s="571">
        <v>12643</v>
      </c>
      <c r="X94" s="571">
        <v>0</v>
      </c>
      <c r="Y94" s="571">
        <v>31225</v>
      </c>
      <c r="Z94" s="571">
        <v>0</v>
      </c>
      <c r="AA94" s="571">
        <v>427564</v>
      </c>
      <c r="AB94" s="572">
        <v>0</v>
      </c>
      <c r="AC94" s="572">
        <v>0</v>
      </c>
      <c r="AD94" s="572">
        <v>3040</v>
      </c>
      <c r="AE94" s="572">
        <v>162668</v>
      </c>
      <c r="AF94" s="572">
        <v>0</v>
      </c>
      <c r="AG94" s="572">
        <v>1303353</v>
      </c>
      <c r="AH94" s="572">
        <v>0</v>
      </c>
      <c r="AI94" s="572">
        <v>558694</v>
      </c>
      <c r="AJ94" s="572">
        <v>14186</v>
      </c>
      <c r="AK94" s="572">
        <v>148138</v>
      </c>
      <c r="AL94" s="572">
        <v>631356</v>
      </c>
      <c r="AM94" s="572">
        <v>544</v>
      </c>
      <c r="AN94" s="572">
        <v>3348</v>
      </c>
      <c r="AO94" s="572">
        <v>0</v>
      </c>
      <c r="AP94" s="572">
        <v>322980</v>
      </c>
      <c r="AQ94" s="572">
        <v>0</v>
      </c>
      <c r="AR94" s="572">
        <v>0</v>
      </c>
      <c r="AS94" s="572">
        <v>0</v>
      </c>
      <c r="AT94" s="572">
        <v>0</v>
      </c>
      <c r="AU94" s="572">
        <v>0</v>
      </c>
      <c r="AV94" s="572">
        <v>25750</v>
      </c>
      <c r="AW94" s="572">
        <v>23052</v>
      </c>
      <c r="AX94" s="572">
        <v>4375</v>
      </c>
      <c r="AY94" s="572">
        <v>0</v>
      </c>
      <c r="AZ94" s="572">
        <v>0</v>
      </c>
      <c r="BA94" s="572">
        <v>57846</v>
      </c>
      <c r="BB94" s="572">
        <v>0</v>
      </c>
      <c r="BC94" s="572">
        <v>168102</v>
      </c>
      <c r="BD94" s="572">
        <v>73084</v>
      </c>
      <c r="BE94" s="572">
        <v>0</v>
      </c>
      <c r="BF94" s="572">
        <v>5250</v>
      </c>
      <c r="BG94" s="572">
        <v>33218</v>
      </c>
      <c r="BH94" s="572">
        <v>143019</v>
      </c>
      <c r="BI94" s="572">
        <v>0</v>
      </c>
      <c r="BJ94" s="572">
        <v>0</v>
      </c>
      <c r="BK94" s="572">
        <v>0</v>
      </c>
      <c r="BL94" s="572">
        <v>1596862</v>
      </c>
      <c r="BM94" s="572">
        <v>146035</v>
      </c>
      <c r="BN94" s="572">
        <v>0</v>
      </c>
      <c r="BO94" s="572">
        <v>0</v>
      </c>
      <c r="BP94" s="572">
        <v>0</v>
      </c>
      <c r="BQ94" s="572">
        <v>0</v>
      </c>
      <c r="BR94" s="572">
        <v>0</v>
      </c>
      <c r="BS94" s="572">
        <v>0</v>
      </c>
      <c r="BT94" s="572">
        <v>140780</v>
      </c>
      <c r="BU94" s="572">
        <v>0</v>
      </c>
      <c r="BV94" s="572">
        <v>0</v>
      </c>
      <c r="BW94" s="572">
        <v>43898</v>
      </c>
      <c r="BX94" s="572">
        <v>206018</v>
      </c>
      <c r="BY94" s="572">
        <v>0</v>
      </c>
      <c r="BZ94" s="572">
        <v>0</v>
      </c>
      <c r="CA94" s="572">
        <v>112022</v>
      </c>
      <c r="CB94" s="572">
        <v>0</v>
      </c>
      <c r="CC94" s="572">
        <v>20400159</v>
      </c>
      <c r="CD94" s="572">
        <v>0</v>
      </c>
      <c r="CE94" s="572">
        <v>4500</v>
      </c>
      <c r="CF94" s="572">
        <v>0</v>
      </c>
      <c r="CG94" s="572">
        <v>208937</v>
      </c>
      <c r="CH94" s="572">
        <v>16873288</v>
      </c>
      <c r="CI94" s="572">
        <v>8000</v>
      </c>
      <c r="CJ94" s="572">
        <v>62643</v>
      </c>
      <c r="CK94" s="572">
        <v>0</v>
      </c>
      <c r="CL94" s="572">
        <v>99533</v>
      </c>
      <c r="CM94" s="572">
        <v>0</v>
      </c>
      <c r="CN94" s="572">
        <v>1003196</v>
      </c>
      <c r="CO94" s="572">
        <v>19407</v>
      </c>
      <c r="CP94" s="572">
        <v>0</v>
      </c>
      <c r="CQ94" s="572">
        <v>0</v>
      </c>
    </row>
    <row r="95" spans="1:95" ht="30" x14ac:dyDescent="0.25">
      <c r="A95" s="668">
        <v>328</v>
      </c>
      <c r="B95" s="590">
        <v>328</v>
      </c>
      <c r="C95" s="570" t="s">
        <v>432</v>
      </c>
      <c r="D95" s="567" t="s">
        <v>786</v>
      </c>
      <c r="E95" s="573">
        <v>0</v>
      </c>
      <c r="F95" s="574">
        <v>0</v>
      </c>
      <c r="G95" s="574">
        <v>0</v>
      </c>
      <c r="H95" s="574">
        <v>0</v>
      </c>
      <c r="I95" s="574">
        <v>137498</v>
      </c>
      <c r="J95" s="574">
        <v>0</v>
      </c>
      <c r="K95" s="575">
        <v>0</v>
      </c>
      <c r="L95" s="572">
        <v>0</v>
      </c>
      <c r="M95" s="572">
        <v>0</v>
      </c>
      <c r="N95" s="571">
        <v>0</v>
      </c>
      <c r="O95" s="571">
        <v>930723</v>
      </c>
      <c r="P95" s="571">
        <v>0</v>
      </c>
      <c r="Q95" s="571">
        <v>0</v>
      </c>
      <c r="R95" s="571">
        <v>0</v>
      </c>
      <c r="S95" s="571">
        <v>0</v>
      </c>
      <c r="T95" s="571">
        <v>0</v>
      </c>
      <c r="U95" s="571">
        <v>0</v>
      </c>
      <c r="V95" s="571">
        <v>0</v>
      </c>
      <c r="W95" s="571">
        <v>0</v>
      </c>
      <c r="X95" s="571">
        <v>0</v>
      </c>
      <c r="Y95" s="571">
        <v>0</v>
      </c>
      <c r="Z95" s="571">
        <v>0</v>
      </c>
      <c r="AA95" s="571">
        <v>1448245</v>
      </c>
      <c r="AB95" s="572">
        <v>2871903</v>
      </c>
      <c r="AC95" s="572">
        <v>0</v>
      </c>
      <c r="AD95" s="572">
        <v>0</v>
      </c>
      <c r="AE95" s="572">
        <v>2277614</v>
      </c>
      <c r="AF95" s="572">
        <v>0</v>
      </c>
      <c r="AG95" s="572">
        <v>0</v>
      </c>
      <c r="AH95" s="572">
        <v>0</v>
      </c>
      <c r="AI95" s="572">
        <v>515949</v>
      </c>
      <c r="AJ95" s="572">
        <v>29369</v>
      </c>
      <c r="AK95" s="572">
        <v>0</v>
      </c>
      <c r="AL95" s="572">
        <v>410534</v>
      </c>
      <c r="AM95" s="572">
        <v>0</v>
      </c>
      <c r="AN95" s="572">
        <v>0</v>
      </c>
      <c r="AO95" s="572">
        <v>0</v>
      </c>
      <c r="AP95" s="572">
        <v>4179994</v>
      </c>
      <c r="AQ95" s="572">
        <v>0</v>
      </c>
      <c r="AR95" s="572">
        <v>0</v>
      </c>
      <c r="AS95" s="572">
        <v>0</v>
      </c>
      <c r="AT95" s="572">
        <v>0</v>
      </c>
      <c r="AU95" s="572">
        <v>0</v>
      </c>
      <c r="AV95" s="572">
        <v>0</v>
      </c>
      <c r="AW95" s="572">
        <v>291905</v>
      </c>
      <c r="AX95" s="572">
        <v>0</v>
      </c>
      <c r="AY95" s="572">
        <v>0</v>
      </c>
      <c r="AZ95" s="572">
        <v>0</v>
      </c>
      <c r="BA95" s="572">
        <v>0</v>
      </c>
      <c r="BB95" s="572">
        <v>0</v>
      </c>
      <c r="BC95" s="572">
        <v>97274</v>
      </c>
      <c r="BD95" s="572">
        <v>0</v>
      </c>
      <c r="BE95" s="572">
        <v>0</v>
      </c>
      <c r="BF95" s="572">
        <v>569780</v>
      </c>
      <c r="BG95" s="572">
        <v>1534179</v>
      </c>
      <c r="BH95" s="572">
        <v>401355</v>
      </c>
      <c r="BI95" s="572">
        <v>0</v>
      </c>
      <c r="BJ95" s="572">
        <v>0</v>
      </c>
      <c r="BK95" s="572">
        <v>0</v>
      </c>
      <c r="BL95" s="572">
        <v>37500</v>
      </c>
      <c r="BM95" s="572">
        <v>0</v>
      </c>
      <c r="BN95" s="572">
        <v>0</v>
      </c>
      <c r="BO95" s="572">
        <v>0</v>
      </c>
      <c r="BP95" s="572">
        <v>0</v>
      </c>
      <c r="BQ95" s="572">
        <v>0</v>
      </c>
      <c r="BR95" s="572">
        <v>0</v>
      </c>
      <c r="BS95" s="572">
        <v>0</v>
      </c>
      <c r="BT95" s="572">
        <v>72957</v>
      </c>
      <c r="BU95" s="572">
        <v>0</v>
      </c>
      <c r="BV95" s="572">
        <v>0</v>
      </c>
      <c r="BW95" s="572">
        <v>0</v>
      </c>
      <c r="BX95" s="572">
        <v>0</v>
      </c>
      <c r="BY95" s="572">
        <v>13078</v>
      </c>
      <c r="BZ95" s="572">
        <v>0</v>
      </c>
      <c r="CA95" s="572">
        <v>4263280</v>
      </c>
      <c r="CB95" s="572">
        <v>0</v>
      </c>
      <c r="CC95" s="572">
        <v>0</v>
      </c>
      <c r="CD95" s="572">
        <v>2193028</v>
      </c>
      <c r="CE95" s="572">
        <v>61431</v>
      </c>
      <c r="CF95" s="572">
        <v>0</v>
      </c>
      <c r="CG95" s="572">
        <v>6772</v>
      </c>
      <c r="CH95" s="572">
        <v>173210034</v>
      </c>
      <c r="CI95" s="572">
        <v>2861399</v>
      </c>
      <c r="CJ95" s="572">
        <v>68579</v>
      </c>
      <c r="CK95" s="572">
        <v>0</v>
      </c>
      <c r="CL95" s="572">
        <v>671521</v>
      </c>
      <c r="CM95" s="572">
        <v>113490</v>
      </c>
      <c r="CN95" s="572">
        <v>11138</v>
      </c>
      <c r="CO95" s="572">
        <v>264901</v>
      </c>
      <c r="CP95" s="572">
        <v>0</v>
      </c>
      <c r="CQ95" s="572">
        <v>0</v>
      </c>
    </row>
    <row r="96" spans="1:95" ht="45" x14ac:dyDescent="0.25">
      <c r="A96" s="668"/>
      <c r="B96" s="590">
        <v>330</v>
      </c>
      <c r="C96" s="570" t="s">
        <v>787</v>
      </c>
      <c r="D96" s="567" t="s">
        <v>788</v>
      </c>
      <c r="E96" s="573"/>
      <c r="F96" s="574"/>
      <c r="G96" s="574"/>
      <c r="H96" s="574"/>
      <c r="I96" s="574"/>
      <c r="J96" s="574"/>
      <c r="K96" s="575"/>
      <c r="L96" s="572"/>
      <c r="M96" s="572"/>
      <c r="N96" s="571"/>
      <c r="O96" s="571"/>
      <c r="P96" s="571"/>
      <c r="Q96" s="571"/>
      <c r="R96" s="571"/>
      <c r="S96" s="571"/>
      <c r="T96" s="571"/>
      <c r="U96" s="571"/>
      <c r="V96" s="571"/>
      <c r="W96" s="571"/>
      <c r="X96" s="571"/>
      <c r="Y96" s="571"/>
      <c r="Z96" s="571"/>
      <c r="AA96" s="571"/>
      <c r="AB96" s="572"/>
      <c r="AC96" s="572"/>
      <c r="AD96" s="572"/>
      <c r="AE96" s="572"/>
      <c r="AF96" s="572"/>
      <c r="AG96" s="572"/>
      <c r="AH96" s="572"/>
      <c r="AI96" s="572"/>
      <c r="AJ96" s="572"/>
      <c r="AK96" s="572"/>
      <c r="AL96" s="572"/>
      <c r="AM96" s="572"/>
      <c r="AN96" s="572"/>
      <c r="AO96" s="572"/>
      <c r="AP96" s="572"/>
      <c r="AQ96" s="572"/>
      <c r="AR96" s="572"/>
      <c r="AS96" s="572"/>
      <c r="AT96" s="572"/>
      <c r="AU96" s="572"/>
      <c r="AV96" s="572"/>
      <c r="AW96" s="572"/>
      <c r="AX96" s="572"/>
      <c r="AY96" s="572"/>
      <c r="AZ96" s="572"/>
      <c r="BA96" s="572"/>
      <c r="BB96" s="572"/>
      <c r="BC96" s="572"/>
      <c r="BD96" s="572"/>
      <c r="BE96" s="572"/>
      <c r="BF96" s="572"/>
      <c r="BG96" s="572"/>
      <c r="BH96" s="572"/>
      <c r="BI96" s="572"/>
      <c r="BJ96" s="572"/>
      <c r="BK96" s="572"/>
      <c r="BL96" s="572"/>
      <c r="BM96" s="572"/>
      <c r="BN96" s="572"/>
      <c r="BO96" s="572"/>
      <c r="BP96" s="572"/>
      <c r="BQ96" s="572"/>
      <c r="BR96" s="572"/>
      <c r="BS96" s="572"/>
      <c r="BT96" s="572"/>
      <c r="BU96" s="572"/>
      <c r="BV96" s="572"/>
      <c r="BW96" s="572"/>
      <c r="BX96" s="572"/>
      <c r="BY96" s="572"/>
      <c r="BZ96" s="572"/>
      <c r="CA96" s="572"/>
      <c r="CB96" s="572"/>
      <c r="CC96" s="572"/>
      <c r="CD96" s="572"/>
      <c r="CE96" s="572"/>
      <c r="CF96" s="572"/>
      <c r="CG96" s="572"/>
      <c r="CH96" s="572"/>
      <c r="CI96" s="572"/>
      <c r="CJ96" s="572"/>
      <c r="CK96" s="572"/>
      <c r="CL96" s="572"/>
      <c r="CM96" s="572"/>
      <c r="CN96" s="572"/>
      <c r="CO96" s="572"/>
      <c r="CP96" s="572"/>
      <c r="CQ96" s="572"/>
    </row>
    <row r="97" spans="1:95" ht="30" x14ac:dyDescent="0.25">
      <c r="A97" s="668">
        <v>331</v>
      </c>
      <c r="B97" s="590">
        <v>331</v>
      </c>
      <c r="C97" s="570" t="s">
        <v>332</v>
      </c>
      <c r="D97" s="567" t="s">
        <v>789</v>
      </c>
      <c r="E97" s="573">
        <v>0</v>
      </c>
      <c r="F97" s="574">
        <v>0</v>
      </c>
      <c r="G97" s="574">
        <v>0</v>
      </c>
      <c r="H97" s="574">
        <v>569622</v>
      </c>
      <c r="I97" s="574">
        <v>82287</v>
      </c>
      <c r="J97" s="574">
        <v>0</v>
      </c>
      <c r="K97" s="575">
        <v>2207475</v>
      </c>
      <c r="L97" s="572">
        <v>26237</v>
      </c>
      <c r="M97" s="572">
        <v>0</v>
      </c>
      <c r="N97" s="571">
        <v>0</v>
      </c>
      <c r="O97" s="571">
        <v>69226</v>
      </c>
      <c r="P97" s="571">
        <v>0</v>
      </c>
      <c r="Q97" s="571">
        <v>11000</v>
      </c>
      <c r="R97" s="571">
        <v>0</v>
      </c>
      <c r="S97" s="571">
        <v>0</v>
      </c>
      <c r="T97" s="571">
        <v>0</v>
      </c>
      <c r="U97" s="571">
        <v>0</v>
      </c>
      <c r="V97" s="571">
        <v>0</v>
      </c>
      <c r="W97" s="571">
        <v>0</v>
      </c>
      <c r="X97" s="571">
        <v>0</v>
      </c>
      <c r="Y97" s="571">
        <v>130126</v>
      </c>
      <c r="Z97" s="571">
        <v>0</v>
      </c>
      <c r="AA97" s="571">
        <v>97581</v>
      </c>
      <c r="AB97" s="572">
        <v>204978</v>
      </c>
      <c r="AC97" s="572">
        <v>0</v>
      </c>
      <c r="AD97" s="572">
        <v>24903</v>
      </c>
      <c r="AE97" s="572">
        <v>2870455</v>
      </c>
      <c r="AF97" s="572">
        <v>0</v>
      </c>
      <c r="AG97" s="572">
        <v>276179</v>
      </c>
      <c r="AH97" s="572">
        <v>0</v>
      </c>
      <c r="AI97" s="572">
        <v>0</v>
      </c>
      <c r="AJ97" s="572">
        <v>274571</v>
      </c>
      <c r="AK97" s="572">
        <v>237476</v>
      </c>
      <c r="AL97" s="572">
        <v>84948</v>
      </c>
      <c r="AM97" s="572">
        <v>201393</v>
      </c>
      <c r="AN97" s="572">
        <v>0</v>
      </c>
      <c r="AO97" s="572">
        <v>0</v>
      </c>
      <c r="AP97" s="572">
        <v>250018</v>
      </c>
      <c r="AQ97" s="572">
        <v>0</v>
      </c>
      <c r="AR97" s="572">
        <v>0</v>
      </c>
      <c r="AS97" s="572">
        <v>0</v>
      </c>
      <c r="AT97" s="572">
        <v>0</v>
      </c>
      <c r="AU97" s="572">
        <v>0</v>
      </c>
      <c r="AV97" s="572">
        <v>10000</v>
      </c>
      <c r="AW97" s="572">
        <v>220176</v>
      </c>
      <c r="AX97" s="572">
        <v>0</v>
      </c>
      <c r="AY97" s="572">
        <v>0</v>
      </c>
      <c r="AZ97" s="572">
        <v>0</v>
      </c>
      <c r="BA97" s="572">
        <v>563103</v>
      </c>
      <c r="BB97" s="572">
        <v>0</v>
      </c>
      <c r="BC97" s="572">
        <v>98469</v>
      </c>
      <c r="BD97" s="572">
        <v>78244</v>
      </c>
      <c r="BE97" s="572">
        <v>0</v>
      </c>
      <c r="BF97" s="572">
        <v>24368</v>
      </c>
      <c r="BG97" s="572">
        <v>119375</v>
      </c>
      <c r="BH97" s="572">
        <v>228323</v>
      </c>
      <c r="BI97" s="572">
        <v>0</v>
      </c>
      <c r="BJ97" s="572">
        <v>0</v>
      </c>
      <c r="BK97" s="572">
        <v>0</v>
      </c>
      <c r="BL97" s="572">
        <v>181843</v>
      </c>
      <c r="BM97" s="572">
        <v>162000</v>
      </c>
      <c r="BN97" s="572">
        <v>0</v>
      </c>
      <c r="BO97" s="572">
        <v>0</v>
      </c>
      <c r="BP97" s="572">
        <v>0</v>
      </c>
      <c r="BQ97" s="572">
        <v>0</v>
      </c>
      <c r="BR97" s="572">
        <v>0</v>
      </c>
      <c r="BS97" s="572">
        <v>0</v>
      </c>
      <c r="BT97" s="572">
        <v>110840</v>
      </c>
      <c r="BU97" s="572">
        <v>0</v>
      </c>
      <c r="BV97" s="572">
        <v>12654</v>
      </c>
      <c r="BW97" s="572">
        <v>44407</v>
      </c>
      <c r="BX97" s="572">
        <v>378597</v>
      </c>
      <c r="BY97" s="572">
        <v>0</v>
      </c>
      <c r="BZ97" s="572">
        <v>0</v>
      </c>
      <c r="CA97" s="572">
        <v>634408</v>
      </c>
      <c r="CB97" s="572">
        <v>0</v>
      </c>
      <c r="CC97" s="572">
        <v>3451300</v>
      </c>
      <c r="CD97" s="572">
        <v>50935</v>
      </c>
      <c r="CE97" s="572">
        <v>40862</v>
      </c>
      <c r="CF97" s="572">
        <v>0</v>
      </c>
      <c r="CG97" s="572">
        <v>160724</v>
      </c>
      <c r="CH97" s="572">
        <v>28436568</v>
      </c>
      <c r="CI97" s="572">
        <v>177778</v>
      </c>
      <c r="CJ97" s="572">
        <v>2500</v>
      </c>
      <c r="CK97" s="572">
        <v>0</v>
      </c>
      <c r="CL97" s="572">
        <v>0</v>
      </c>
      <c r="CM97" s="572">
        <v>0</v>
      </c>
      <c r="CN97" s="572">
        <v>0</v>
      </c>
      <c r="CO97" s="572">
        <v>134585</v>
      </c>
      <c r="CP97" s="572">
        <v>0</v>
      </c>
      <c r="CQ97" s="572">
        <v>0</v>
      </c>
    </row>
    <row r="98" spans="1:95" ht="30" x14ac:dyDescent="0.25">
      <c r="A98" s="668">
        <v>332</v>
      </c>
      <c r="B98" s="590">
        <v>332</v>
      </c>
      <c r="C98" s="570" t="s">
        <v>333</v>
      </c>
      <c r="D98" s="567" t="s">
        <v>790</v>
      </c>
      <c r="E98" s="573">
        <v>0</v>
      </c>
      <c r="F98" s="574">
        <v>0</v>
      </c>
      <c r="G98" s="574">
        <v>7400</v>
      </c>
      <c r="H98" s="574">
        <v>1869796</v>
      </c>
      <c r="I98" s="574">
        <v>175483</v>
      </c>
      <c r="J98" s="574">
        <v>14967</v>
      </c>
      <c r="K98" s="575">
        <v>3790606</v>
      </c>
      <c r="L98" s="572">
        <v>0</v>
      </c>
      <c r="M98" s="572">
        <v>0</v>
      </c>
      <c r="N98" s="571">
        <v>64686</v>
      </c>
      <c r="O98" s="571">
        <v>625694</v>
      </c>
      <c r="P98" s="571">
        <v>0</v>
      </c>
      <c r="Q98" s="571">
        <v>0</v>
      </c>
      <c r="R98" s="571">
        <v>0</v>
      </c>
      <c r="S98" s="571">
        <v>0</v>
      </c>
      <c r="T98" s="571">
        <v>0</v>
      </c>
      <c r="U98" s="571">
        <v>0</v>
      </c>
      <c r="V98" s="571">
        <v>0</v>
      </c>
      <c r="W98" s="571">
        <v>32633</v>
      </c>
      <c r="X98" s="571">
        <v>0</v>
      </c>
      <c r="Y98" s="571">
        <v>0</v>
      </c>
      <c r="Z98" s="571">
        <v>0</v>
      </c>
      <c r="AA98" s="571">
        <v>1419716</v>
      </c>
      <c r="AB98" s="572">
        <v>1628354</v>
      </c>
      <c r="AC98" s="572">
        <v>0</v>
      </c>
      <c r="AD98" s="572">
        <v>0</v>
      </c>
      <c r="AE98" s="572">
        <v>6234697</v>
      </c>
      <c r="AF98" s="572">
        <v>0</v>
      </c>
      <c r="AG98" s="572">
        <v>0</v>
      </c>
      <c r="AH98" s="572">
        <v>0</v>
      </c>
      <c r="AI98" s="572">
        <v>0</v>
      </c>
      <c r="AJ98" s="572">
        <v>176799</v>
      </c>
      <c r="AK98" s="572">
        <v>52527</v>
      </c>
      <c r="AL98" s="572">
        <v>703702</v>
      </c>
      <c r="AM98" s="572">
        <v>78185</v>
      </c>
      <c r="AN98" s="572">
        <v>0</v>
      </c>
      <c r="AO98" s="572">
        <v>0</v>
      </c>
      <c r="AP98" s="572">
        <v>984876</v>
      </c>
      <c r="AQ98" s="572">
        <v>0</v>
      </c>
      <c r="AR98" s="572">
        <v>0</v>
      </c>
      <c r="AS98" s="572">
        <v>0</v>
      </c>
      <c r="AT98" s="572">
        <v>0</v>
      </c>
      <c r="AU98" s="572">
        <v>0</v>
      </c>
      <c r="AV98" s="572">
        <v>0</v>
      </c>
      <c r="AW98" s="572">
        <v>136380</v>
      </c>
      <c r="AX98" s="572">
        <v>0</v>
      </c>
      <c r="AY98" s="572">
        <v>0</v>
      </c>
      <c r="AZ98" s="572">
        <v>0</v>
      </c>
      <c r="BA98" s="572">
        <v>89969</v>
      </c>
      <c r="BB98" s="572">
        <v>0</v>
      </c>
      <c r="BC98" s="572">
        <v>15853</v>
      </c>
      <c r="BD98" s="572">
        <v>7529</v>
      </c>
      <c r="BE98" s="572">
        <v>0</v>
      </c>
      <c r="BF98" s="572">
        <v>658528</v>
      </c>
      <c r="BG98" s="572">
        <v>1265595</v>
      </c>
      <c r="BH98" s="572">
        <v>1872208</v>
      </c>
      <c r="BI98" s="572">
        <v>0</v>
      </c>
      <c r="BJ98" s="572">
        <v>0</v>
      </c>
      <c r="BK98" s="572">
        <v>0</v>
      </c>
      <c r="BL98" s="572">
        <v>408540</v>
      </c>
      <c r="BM98" s="572">
        <v>253918</v>
      </c>
      <c r="BN98" s="572">
        <v>0</v>
      </c>
      <c r="BO98" s="572">
        <v>0</v>
      </c>
      <c r="BP98" s="572">
        <v>0</v>
      </c>
      <c r="BQ98" s="572">
        <v>0</v>
      </c>
      <c r="BR98" s="572">
        <v>0</v>
      </c>
      <c r="BS98" s="572">
        <v>0</v>
      </c>
      <c r="BT98" s="572">
        <v>134774</v>
      </c>
      <c r="BU98" s="572">
        <v>0</v>
      </c>
      <c r="BV98" s="572">
        <v>0</v>
      </c>
      <c r="BW98" s="572">
        <v>95562</v>
      </c>
      <c r="BX98" s="572">
        <v>111786</v>
      </c>
      <c r="BY98" s="572">
        <v>0</v>
      </c>
      <c r="BZ98" s="572">
        <v>0</v>
      </c>
      <c r="CA98" s="572">
        <v>726867</v>
      </c>
      <c r="CB98" s="572">
        <v>0</v>
      </c>
      <c r="CC98" s="572">
        <v>4970685</v>
      </c>
      <c r="CD98" s="572">
        <v>771282</v>
      </c>
      <c r="CE98" s="572">
        <v>108314</v>
      </c>
      <c r="CF98" s="572">
        <v>0</v>
      </c>
      <c r="CG98" s="572">
        <v>6772</v>
      </c>
      <c r="CH98" s="572">
        <v>43652930</v>
      </c>
      <c r="CI98" s="572">
        <v>918269</v>
      </c>
      <c r="CJ98" s="572">
        <v>5600</v>
      </c>
      <c r="CK98" s="572">
        <v>0</v>
      </c>
      <c r="CL98" s="572">
        <v>270284</v>
      </c>
      <c r="CM98" s="572">
        <v>199720</v>
      </c>
      <c r="CN98" s="572">
        <v>190308</v>
      </c>
      <c r="CO98" s="572">
        <v>119000</v>
      </c>
      <c r="CP98" s="572">
        <v>0</v>
      </c>
      <c r="CQ98" s="572">
        <v>0</v>
      </c>
    </row>
    <row r="99" spans="1:95" ht="30" x14ac:dyDescent="0.25">
      <c r="A99" s="668">
        <v>333</v>
      </c>
      <c r="B99" s="590">
        <v>333</v>
      </c>
      <c r="C99" s="570" t="s">
        <v>269</v>
      </c>
      <c r="D99" s="567" t="s">
        <v>791</v>
      </c>
      <c r="E99" s="573">
        <v>403440</v>
      </c>
      <c r="F99" s="574">
        <v>8525194</v>
      </c>
      <c r="G99" s="574">
        <v>882417</v>
      </c>
      <c r="H99" s="574">
        <v>1012364</v>
      </c>
      <c r="I99" s="574">
        <v>336446</v>
      </c>
      <c r="J99" s="574">
        <v>539550</v>
      </c>
      <c r="K99" s="575">
        <v>29074553</v>
      </c>
      <c r="L99" s="572">
        <v>490763</v>
      </c>
      <c r="M99" s="572">
        <v>425684</v>
      </c>
      <c r="N99" s="571">
        <v>2913540</v>
      </c>
      <c r="O99" s="571">
        <v>592484</v>
      </c>
      <c r="P99" s="571">
        <v>233687</v>
      </c>
      <c r="Q99" s="571">
        <v>219736</v>
      </c>
      <c r="R99" s="571">
        <v>1350021</v>
      </c>
      <c r="S99" s="571">
        <v>6999293</v>
      </c>
      <c r="T99" s="571">
        <v>8927251</v>
      </c>
      <c r="U99" s="571">
        <v>0</v>
      </c>
      <c r="V99" s="571">
        <v>2503993</v>
      </c>
      <c r="W99" s="571">
        <v>3252062</v>
      </c>
      <c r="X99" s="571">
        <v>7349529</v>
      </c>
      <c r="Y99" s="571">
        <v>1906770</v>
      </c>
      <c r="Z99" s="571">
        <v>80746</v>
      </c>
      <c r="AA99" s="571">
        <v>3521493</v>
      </c>
      <c r="AB99" s="572">
        <v>592810</v>
      </c>
      <c r="AC99" s="572">
        <v>386524</v>
      </c>
      <c r="AD99" s="572">
        <v>424589</v>
      </c>
      <c r="AE99" s="572">
        <v>11202112</v>
      </c>
      <c r="AF99" s="572">
        <v>1323952</v>
      </c>
      <c r="AG99" s="572">
        <v>7430879</v>
      </c>
      <c r="AH99" s="572">
        <v>2775570</v>
      </c>
      <c r="AI99" s="572">
        <v>508491</v>
      </c>
      <c r="AJ99" s="572">
        <v>6318501</v>
      </c>
      <c r="AK99" s="572">
        <v>1584441</v>
      </c>
      <c r="AL99" s="572">
        <v>1162181</v>
      </c>
      <c r="AM99" s="572">
        <v>1707656</v>
      </c>
      <c r="AN99" s="572">
        <v>95209</v>
      </c>
      <c r="AO99" s="572">
        <v>2766067</v>
      </c>
      <c r="AP99" s="572">
        <v>4865913</v>
      </c>
      <c r="AQ99" s="572">
        <v>0</v>
      </c>
      <c r="AR99" s="572">
        <v>206144</v>
      </c>
      <c r="AS99" s="572">
        <v>1506110</v>
      </c>
      <c r="AT99" s="572">
        <v>477745</v>
      </c>
      <c r="AU99" s="572">
        <v>52707</v>
      </c>
      <c r="AV99" s="572">
        <v>78533</v>
      </c>
      <c r="AW99" s="572">
        <v>2617307</v>
      </c>
      <c r="AX99" s="572">
        <v>739192</v>
      </c>
      <c r="AY99" s="572">
        <v>18350757</v>
      </c>
      <c r="AZ99" s="572">
        <v>3501072</v>
      </c>
      <c r="BA99" s="572">
        <v>1837000</v>
      </c>
      <c r="BB99" s="572">
        <v>3246146</v>
      </c>
      <c r="BC99" s="572">
        <v>960613</v>
      </c>
      <c r="BD99" s="572">
        <v>1169189</v>
      </c>
      <c r="BE99" s="572">
        <v>169713</v>
      </c>
      <c r="BF99" s="572">
        <v>680047</v>
      </c>
      <c r="BG99" s="572">
        <v>1762264</v>
      </c>
      <c r="BH99" s="572">
        <v>13513675</v>
      </c>
      <c r="BI99" s="572">
        <v>320701</v>
      </c>
      <c r="BJ99" s="572">
        <v>168397</v>
      </c>
      <c r="BK99" s="572">
        <v>7052387</v>
      </c>
      <c r="BL99" s="572">
        <v>7002736</v>
      </c>
      <c r="BM99" s="572">
        <v>6539463</v>
      </c>
      <c r="BN99" s="572">
        <v>140085</v>
      </c>
      <c r="BO99" s="572">
        <v>2703521</v>
      </c>
      <c r="BP99" s="572">
        <v>0</v>
      </c>
      <c r="BQ99" s="572">
        <v>7163690</v>
      </c>
      <c r="BR99" s="572">
        <v>1553441</v>
      </c>
      <c r="BS99" s="572">
        <v>959918</v>
      </c>
      <c r="BT99" s="572">
        <v>1531316</v>
      </c>
      <c r="BU99" s="572">
        <v>1351031</v>
      </c>
      <c r="BV99" s="572">
        <v>449714</v>
      </c>
      <c r="BW99" s="572">
        <v>950558</v>
      </c>
      <c r="BX99" s="572">
        <v>4579754</v>
      </c>
      <c r="BY99" s="572">
        <v>569671</v>
      </c>
      <c r="BZ99" s="572">
        <v>0</v>
      </c>
      <c r="CA99" s="572">
        <v>3847296</v>
      </c>
      <c r="CB99" s="572">
        <v>109870506</v>
      </c>
      <c r="CC99" s="572">
        <v>42206442</v>
      </c>
      <c r="CD99" s="572">
        <v>781681</v>
      </c>
      <c r="CE99" s="572">
        <v>1307905</v>
      </c>
      <c r="CF99" s="572">
        <v>0</v>
      </c>
      <c r="CG99" s="572">
        <v>960078</v>
      </c>
      <c r="CH99" s="572">
        <v>198938422</v>
      </c>
      <c r="CI99" s="572">
        <v>11768236</v>
      </c>
      <c r="CJ99" s="572">
        <v>825665</v>
      </c>
      <c r="CK99" s="572">
        <v>2457456</v>
      </c>
      <c r="CL99" s="572">
        <v>851105</v>
      </c>
      <c r="CM99" s="572">
        <v>14957128</v>
      </c>
      <c r="CN99" s="572">
        <v>2427496</v>
      </c>
      <c r="CO99" s="572">
        <v>1386869</v>
      </c>
      <c r="CP99" s="572">
        <v>1247730</v>
      </c>
      <c r="CQ99" s="572">
        <v>9230172</v>
      </c>
    </row>
    <row r="100" spans="1:95" ht="30" x14ac:dyDescent="0.25">
      <c r="A100" s="668">
        <v>334</v>
      </c>
      <c r="B100" s="590">
        <v>334</v>
      </c>
      <c r="C100" s="570" t="s">
        <v>355</v>
      </c>
      <c r="D100" s="567" t="s">
        <v>792</v>
      </c>
      <c r="E100" s="573">
        <v>52753</v>
      </c>
      <c r="F100" s="574">
        <v>37897294</v>
      </c>
      <c r="G100" s="574">
        <v>1715642</v>
      </c>
      <c r="H100" s="574">
        <v>7836950</v>
      </c>
      <c r="I100" s="574">
        <v>2042598</v>
      </c>
      <c r="J100" s="574">
        <v>2240316</v>
      </c>
      <c r="K100" s="575">
        <v>81886854</v>
      </c>
      <c r="L100" s="572">
        <v>968160</v>
      </c>
      <c r="M100" s="572">
        <v>349307</v>
      </c>
      <c r="N100" s="571">
        <v>2431836</v>
      </c>
      <c r="O100" s="571">
        <v>2203845</v>
      </c>
      <c r="P100" s="571">
        <v>30118</v>
      </c>
      <c r="Q100" s="571">
        <v>460054</v>
      </c>
      <c r="R100" s="571">
        <v>4680875</v>
      </c>
      <c r="S100" s="571">
        <v>6475964</v>
      </c>
      <c r="T100" s="571">
        <v>13296413</v>
      </c>
      <c r="U100" s="571">
        <v>0</v>
      </c>
      <c r="V100" s="571">
        <v>7541506</v>
      </c>
      <c r="W100" s="571">
        <v>289212</v>
      </c>
      <c r="X100" s="571">
        <v>12417613</v>
      </c>
      <c r="Y100" s="571">
        <v>7287824</v>
      </c>
      <c r="Z100" s="571">
        <v>91214</v>
      </c>
      <c r="AA100" s="571">
        <v>70183296</v>
      </c>
      <c r="AB100" s="572">
        <v>2573612</v>
      </c>
      <c r="AC100" s="572">
        <v>1125925</v>
      </c>
      <c r="AD100" s="572">
        <v>346884</v>
      </c>
      <c r="AE100" s="572">
        <v>30464656</v>
      </c>
      <c r="AF100" s="572">
        <v>2764631</v>
      </c>
      <c r="AG100" s="572">
        <v>3277656</v>
      </c>
      <c r="AH100" s="572">
        <v>3739464</v>
      </c>
      <c r="AI100" s="572">
        <v>75851</v>
      </c>
      <c r="AJ100" s="572">
        <v>2932710</v>
      </c>
      <c r="AK100" s="572">
        <v>7220425</v>
      </c>
      <c r="AL100" s="572">
        <v>6428613</v>
      </c>
      <c r="AM100" s="572">
        <v>4398070</v>
      </c>
      <c r="AN100" s="572">
        <v>128174</v>
      </c>
      <c r="AO100" s="572">
        <v>104496</v>
      </c>
      <c r="AP100" s="572">
        <v>11494330</v>
      </c>
      <c r="AQ100" s="572">
        <v>0</v>
      </c>
      <c r="AR100" s="572">
        <v>305964</v>
      </c>
      <c r="AS100" s="572">
        <v>499421</v>
      </c>
      <c r="AT100" s="572">
        <v>1154746</v>
      </c>
      <c r="AU100" s="572">
        <v>211076</v>
      </c>
      <c r="AV100" s="572">
        <v>810280</v>
      </c>
      <c r="AW100" s="572">
        <v>6843327</v>
      </c>
      <c r="AX100" s="572">
        <v>2520244</v>
      </c>
      <c r="AY100" s="572">
        <v>194861518</v>
      </c>
      <c r="AZ100" s="572">
        <v>4314020</v>
      </c>
      <c r="BA100" s="572">
        <v>9799570</v>
      </c>
      <c r="BB100" s="572">
        <v>1980825</v>
      </c>
      <c r="BC100" s="572">
        <v>1552232</v>
      </c>
      <c r="BD100" s="572">
        <v>6048788</v>
      </c>
      <c r="BE100" s="572">
        <v>104035</v>
      </c>
      <c r="BF100" s="572">
        <v>600205</v>
      </c>
      <c r="BG100" s="572">
        <v>0</v>
      </c>
      <c r="BH100" s="572">
        <v>29559864</v>
      </c>
      <c r="BI100" s="572">
        <v>173835</v>
      </c>
      <c r="BJ100" s="572">
        <v>68009</v>
      </c>
      <c r="BK100" s="572">
        <v>75867366</v>
      </c>
      <c r="BL100" s="572">
        <v>59568986</v>
      </c>
      <c r="BM100" s="572">
        <v>15584356</v>
      </c>
      <c r="BN100" s="572">
        <v>340168</v>
      </c>
      <c r="BO100" s="572">
        <v>1509876</v>
      </c>
      <c r="BP100" s="572">
        <v>0</v>
      </c>
      <c r="BQ100" s="572">
        <v>7971686</v>
      </c>
      <c r="BR100" s="572">
        <v>1958305</v>
      </c>
      <c r="BS100" s="572">
        <v>2223819</v>
      </c>
      <c r="BT100" s="572">
        <v>5824479</v>
      </c>
      <c r="BU100" s="572">
        <v>5442777</v>
      </c>
      <c r="BV100" s="572">
        <v>1119380</v>
      </c>
      <c r="BW100" s="572">
        <v>4335513</v>
      </c>
      <c r="BX100" s="572">
        <v>10761002</v>
      </c>
      <c r="BY100" s="572">
        <v>293142</v>
      </c>
      <c r="BZ100" s="572">
        <v>0</v>
      </c>
      <c r="CA100" s="572">
        <v>18886214</v>
      </c>
      <c r="CB100" s="572">
        <v>500507336</v>
      </c>
      <c r="CC100" s="572">
        <v>101078715</v>
      </c>
      <c r="CD100" s="572">
        <v>830107</v>
      </c>
      <c r="CE100" s="572">
        <v>7517164</v>
      </c>
      <c r="CF100" s="572">
        <v>0</v>
      </c>
      <c r="CG100" s="572">
        <v>5704070</v>
      </c>
      <c r="CH100" s="572">
        <v>495325862</v>
      </c>
      <c r="CI100" s="572">
        <v>41086466</v>
      </c>
      <c r="CJ100" s="572">
        <v>1912826</v>
      </c>
      <c r="CK100" s="572">
        <v>3466808</v>
      </c>
      <c r="CL100" s="572">
        <v>1420963</v>
      </c>
      <c r="CM100" s="572">
        <v>15971834</v>
      </c>
      <c r="CN100" s="572">
        <v>4748510</v>
      </c>
      <c r="CO100" s="572">
        <v>3862433</v>
      </c>
      <c r="CP100" s="572">
        <v>2136096</v>
      </c>
      <c r="CQ100" s="572">
        <v>29658162</v>
      </c>
    </row>
    <row r="101" spans="1:95" ht="45" x14ac:dyDescent="0.25">
      <c r="A101" s="668">
        <v>335</v>
      </c>
      <c r="B101" s="590">
        <v>335</v>
      </c>
      <c r="C101" s="570" t="s">
        <v>136</v>
      </c>
      <c r="D101" s="567" t="s">
        <v>793</v>
      </c>
      <c r="E101" s="573">
        <v>0</v>
      </c>
      <c r="F101" s="574">
        <v>0</v>
      </c>
      <c r="G101" s="574">
        <v>0</v>
      </c>
      <c r="H101" s="574">
        <v>0</v>
      </c>
      <c r="I101" s="574">
        <v>0</v>
      </c>
      <c r="J101" s="574">
        <v>0</v>
      </c>
      <c r="K101" s="575">
        <v>0</v>
      </c>
      <c r="L101" s="572">
        <v>0</v>
      </c>
      <c r="M101" s="572">
        <v>0</v>
      </c>
      <c r="N101" s="571">
        <v>0</v>
      </c>
      <c r="O101" s="571">
        <v>0</v>
      </c>
      <c r="P101" s="571">
        <v>0</v>
      </c>
      <c r="Q101" s="571">
        <v>0</v>
      </c>
      <c r="R101" s="571">
        <v>0</v>
      </c>
      <c r="S101" s="571">
        <v>0</v>
      </c>
      <c r="T101" s="571">
        <v>0</v>
      </c>
      <c r="U101" s="571">
        <v>0</v>
      </c>
      <c r="V101" s="571">
        <v>0</v>
      </c>
      <c r="W101" s="571">
        <v>0</v>
      </c>
      <c r="X101" s="571">
        <v>0</v>
      </c>
      <c r="Y101" s="571">
        <v>0</v>
      </c>
      <c r="Z101" s="571">
        <v>0</v>
      </c>
      <c r="AA101" s="571">
        <v>0</v>
      </c>
      <c r="AB101" s="572">
        <v>0</v>
      </c>
      <c r="AC101" s="572">
        <v>0</v>
      </c>
      <c r="AD101" s="572">
        <v>0</v>
      </c>
      <c r="AE101" s="572">
        <v>0</v>
      </c>
      <c r="AF101" s="572">
        <v>0</v>
      </c>
      <c r="AG101" s="572">
        <v>0</v>
      </c>
      <c r="AH101" s="572">
        <v>0</v>
      </c>
      <c r="AI101" s="572">
        <v>0</v>
      </c>
      <c r="AJ101" s="572">
        <v>0</v>
      </c>
      <c r="AK101" s="572">
        <v>18685</v>
      </c>
      <c r="AL101" s="572">
        <v>2107</v>
      </c>
      <c r="AM101" s="572">
        <v>0</v>
      </c>
      <c r="AN101" s="572">
        <v>0</v>
      </c>
      <c r="AO101" s="572">
        <v>0</v>
      </c>
      <c r="AP101" s="572">
        <v>0</v>
      </c>
      <c r="AQ101" s="572">
        <v>0</v>
      </c>
      <c r="AR101" s="572">
        <v>0</v>
      </c>
      <c r="AS101" s="572">
        <v>0</v>
      </c>
      <c r="AT101" s="572">
        <v>0</v>
      </c>
      <c r="AU101" s="572">
        <v>0</v>
      </c>
      <c r="AV101" s="572">
        <v>0</v>
      </c>
      <c r="AW101" s="572">
        <v>0</v>
      </c>
      <c r="AX101" s="572">
        <v>0</v>
      </c>
      <c r="AY101" s="572">
        <v>0</v>
      </c>
      <c r="AZ101" s="572">
        <v>0</v>
      </c>
      <c r="BA101" s="572">
        <v>0</v>
      </c>
      <c r="BB101" s="572">
        <v>0</v>
      </c>
      <c r="BC101" s="572">
        <v>0</v>
      </c>
      <c r="BD101" s="572">
        <v>0</v>
      </c>
      <c r="BE101" s="572">
        <v>0</v>
      </c>
      <c r="BF101" s="572">
        <v>0</v>
      </c>
      <c r="BG101" s="572">
        <v>0</v>
      </c>
      <c r="BH101" s="572">
        <v>42922</v>
      </c>
      <c r="BI101" s="572">
        <v>0</v>
      </c>
      <c r="BJ101" s="572">
        <v>0</v>
      </c>
      <c r="BK101" s="572">
        <v>40774</v>
      </c>
      <c r="BL101" s="572">
        <v>0</v>
      </c>
      <c r="BM101" s="572">
        <v>0</v>
      </c>
      <c r="BN101" s="572">
        <v>0</v>
      </c>
      <c r="BO101" s="572">
        <v>0</v>
      </c>
      <c r="BP101" s="572">
        <v>0</v>
      </c>
      <c r="BQ101" s="572">
        <v>0</v>
      </c>
      <c r="BR101" s="572">
        <v>0</v>
      </c>
      <c r="BS101" s="572">
        <v>0</v>
      </c>
      <c r="BT101" s="572">
        <v>0</v>
      </c>
      <c r="BU101" s="572">
        <v>0</v>
      </c>
      <c r="BV101" s="572">
        <v>0</v>
      </c>
      <c r="BW101" s="572">
        <v>0</v>
      </c>
      <c r="BX101" s="572">
        <v>0</v>
      </c>
      <c r="BY101" s="572">
        <v>0</v>
      </c>
      <c r="BZ101" s="572">
        <v>0</v>
      </c>
      <c r="CA101" s="572">
        <v>0</v>
      </c>
      <c r="CB101" s="572">
        <v>0</v>
      </c>
      <c r="CC101" s="572">
        <v>0</v>
      </c>
      <c r="CD101" s="572">
        <v>0</v>
      </c>
      <c r="CE101" s="572">
        <v>0</v>
      </c>
      <c r="CF101" s="572">
        <v>0</v>
      </c>
      <c r="CG101" s="572">
        <v>0</v>
      </c>
      <c r="CH101" s="572">
        <v>507430</v>
      </c>
      <c r="CI101" s="572">
        <v>0</v>
      </c>
      <c r="CJ101" s="572">
        <v>0</v>
      </c>
      <c r="CK101" s="572">
        <v>0</v>
      </c>
      <c r="CL101" s="572">
        <v>0</v>
      </c>
      <c r="CM101" s="572">
        <v>0</v>
      </c>
      <c r="CN101" s="572">
        <v>0</v>
      </c>
      <c r="CO101" s="572">
        <v>0</v>
      </c>
      <c r="CP101" s="572">
        <v>0</v>
      </c>
      <c r="CQ101" s="572">
        <v>0</v>
      </c>
    </row>
    <row r="102" spans="1:95" s="678" customFormat="1" ht="30" x14ac:dyDescent="0.25">
      <c r="A102" s="687">
        <v>336</v>
      </c>
      <c r="B102" s="688">
        <v>336</v>
      </c>
      <c r="C102" s="689" t="s">
        <v>794</v>
      </c>
      <c r="D102" s="675" t="s">
        <v>795</v>
      </c>
      <c r="E102" s="682">
        <v>4311</v>
      </c>
      <c r="F102" s="683">
        <v>239996</v>
      </c>
      <c r="G102" s="683">
        <v>12373</v>
      </c>
      <c r="H102" s="683">
        <v>424468</v>
      </c>
      <c r="I102" s="683">
        <v>9107</v>
      </c>
      <c r="J102" s="683">
        <v>16865</v>
      </c>
      <c r="K102" s="684">
        <v>3840839</v>
      </c>
      <c r="L102" s="685">
        <v>27096</v>
      </c>
      <c r="M102" s="685">
        <v>10032</v>
      </c>
      <c r="N102" s="686">
        <v>14624</v>
      </c>
      <c r="O102" s="686">
        <v>95394</v>
      </c>
      <c r="P102" s="686">
        <v>1270</v>
      </c>
      <c r="Q102" s="686">
        <v>1831</v>
      </c>
      <c r="R102" s="686">
        <v>305693</v>
      </c>
      <c r="S102" s="686">
        <v>116168</v>
      </c>
      <c r="T102" s="686">
        <v>155822</v>
      </c>
      <c r="U102" s="686">
        <v>0</v>
      </c>
      <c r="V102" s="686">
        <v>782870</v>
      </c>
      <c r="W102" s="686">
        <v>10683</v>
      </c>
      <c r="X102" s="686">
        <v>280072</v>
      </c>
      <c r="Y102" s="686">
        <v>36803</v>
      </c>
      <c r="Z102" s="686">
        <v>1539</v>
      </c>
      <c r="AA102" s="686">
        <v>252917</v>
      </c>
      <c r="AB102" s="685">
        <v>88588</v>
      </c>
      <c r="AC102" s="685">
        <v>17853</v>
      </c>
      <c r="AD102" s="685">
        <v>3813</v>
      </c>
      <c r="AE102" s="685">
        <v>1605976</v>
      </c>
      <c r="AF102" s="685">
        <v>53544</v>
      </c>
      <c r="AG102" s="685">
        <v>356702</v>
      </c>
      <c r="AH102" s="685">
        <v>10210</v>
      </c>
      <c r="AI102" s="685">
        <v>765</v>
      </c>
      <c r="AJ102" s="685">
        <v>54178</v>
      </c>
      <c r="AK102" s="685">
        <v>417862</v>
      </c>
      <c r="AL102" s="685">
        <v>330623</v>
      </c>
      <c r="AM102" s="685">
        <v>433521</v>
      </c>
      <c r="AN102" s="685">
        <v>990</v>
      </c>
      <c r="AO102" s="685">
        <v>15986</v>
      </c>
      <c r="AP102" s="685">
        <v>445212</v>
      </c>
      <c r="AQ102" s="685">
        <v>0</v>
      </c>
      <c r="AR102" s="685">
        <v>6064</v>
      </c>
      <c r="AS102" s="685">
        <v>0</v>
      </c>
      <c r="AT102" s="685">
        <v>50399</v>
      </c>
      <c r="AU102" s="685">
        <v>2561</v>
      </c>
      <c r="AV102" s="685">
        <v>18681</v>
      </c>
      <c r="AW102" s="685">
        <v>227935</v>
      </c>
      <c r="AX102" s="685">
        <v>8374</v>
      </c>
      <c r="AY102" s="685">
        <v>10332990</v>
      </c>
      <c r="AZ102" s="685">
        <v>89054</v>
      </c>
      <c r="BA102" s="685">
        <v>396858</v>
      </c>
      <c r="BB102" s="685">
        <v>0</v>
      </c>
      <c r="BC102" s="685">
        <v>134159</v>
      </c>
      <c r="BD102" s="685">
        <v>567171</v>
      </c>
      <c r="BE102" s="685">
        <v>13466</v>
      </c>
      <c r="BF102" s="685">
        <v>48148</v>
      </c>
      <c r="BG102" s="685">
        <v>43350</v>
      </c>
      <c r="BH102" s="685">
        <v>655009</v>
      </c>
      <c r="BI102" s="685">
        <v>5262</v>
      </c>
      <c r="BJ102" s="685">
        <v>0</v>
      </c>
      <c r="BK102" s="685">
        <v>1135671</v>
      </c>
      <c r="BL102" s="685">
        <v>2127412</v>
      </c>
      <c r="BM102" s="685">
        <v>591795</v>
      </c>
      <c r="BN102" s="685">
        <v>4726</v>
      </c>
      <c r="BO102" s="685">
        <v>107636</v>
      </c>
      <c r="BP102" s="685">
        <v>0</v>
      </c>
      <c r="BQ102" s="685">
        <v>3196237</v>
      </c>
      <c r="BR102" s="685">
        <v>23301</v>
      </c>
      <c r="BS102" s="685">
        <v>208567</v>
      </c>
      <c r="BT102" s="685">
        <v>100842</v>
      </c>
      <c r="BU102" s="685">
        <v>167765</v>
      </c>
      <c r="BV102" s="685">
        <v>27363</v>
      </c>
      <c r="BW102" s="685">
        <v>166394</v>
      </c>
      <c r="BX102" s="685">
        <v>1052929</v>
      </c>
      <c r="BY102" s="685">
        <v>6752</v>
      </c>
      <c r="BZ102" s="685">
        <v>0</v>
      </c>
      <c r="CA102" s="685">
        <v>579707</v>
      </c>
      <c r="CB102" s="685">
        <v>21605007</v>
      </c>
      <c r="CC102" s="685">
        <v>6561430</v>
      </c>
      <c r="CD102" s="685">
        <v>29746</v>
      </c>
      <c r="CE102" s="685">
        <v>26945</v>
      </c>
      <c r="CF102" s="685">
        <v>0</v>
      </c>
      <c r="CG102" s="685">
        <v>161306</v>
      </c>
      <c r="CH102" s="685">
        <v>53469694</v>
      </c>
      <c r="CI102" s="685">
        <v>4763745</v>
      </c>
      <c r="CJ102" s="685">
        <v>49006</v>
      </c>
      <c r="CK102" s="685">
        <v>367198</v>
      </c>
      <c r="CL102" s="685">
        <v>49168</v>
      </c>
      <c r="CM102" s="685">
        <v>720505</v>
      </c>
      <c r="CN102" s="685">
        <v>77297</v>
      </c>
      <c r="CO102" s="685">
        <v>89256</v>
      </c>
      <c r="CP102" s="685">
        <v>184455</v>
      </c>
      <c r="CQ102" s="685">
        <v>1360921</v>
      </c>
    </row>
    <row r="103" spans="1:95" x14ac:dyDescent="0.25">
      <c r="A103" s="668">
        <v>337</v>
      </c>
      <c r="B103" s="590">
        <v>337</v>
      </c>
      <c r="C103" s="570" t="s">
        <v>339</v>
      </c>
      <c r="D103" s="567" t="s">
        <v>796</v>
      </c>
      <c r="E103" s="573">
        <v>0</v>
      </c>
      <c r="F103" s="574">
        <v>0</v>
      </c>
      <c r="G103" s="574">
        <v>0</v>
      </c>
      <c r="H103" s="574">
        <v>942390</v>
      </c>
      <c r="I103" s="574">
        <v>0</v>
      </c>
      <c r="J103" s="574">
        <v>87305</v>
      </c>
      <c r="K103" s="575">
        <v>2489400</v>
      </c>
      <c r="L103" s="572">
        <v>17870</v>
      </c>
      <c r="M103" s="572">
        <v>0</v>
      </c>
      <c r="N103" s="571">
        <v>0</v>
      </c>
      <c r="O103" s="571">
        <v>326616</v>
      </c>
      <c r="P103" s="571">
        <v>0</v>
      </c>
      <c r="Q103" s="571">
        <v>0</v>
      </c>
      <c r="R103" s="571">
        <v>1588626</v>
      </c>
      <c r="S103" s="571">
        <v>0</v>
      </c>
      <c r="T103" s="571">
        <v>389218</v>
      </c>
      <c r="U103" s="571">
        <v>0</v>
      </c>
      <c r="V103" s="571">
        <v>1823407</v>
      </c>
      <c r="W103" s="571">
        <v>0</v>
      </c>
      <c r="X103" s="571">
        <v>1241640</v>
      </c>
      <c r="Y103" s="571">
        <v>136052</v>
      </c>
      <c r="Z103" s="571">
        <v>0</v>
      </c>
      <c r="AA103" s="571">
        <v>0</v>
      </c>
      <c r="AB103" s="572">
        <v>92626</v>
      </c>
      <c r="AC103" s="572">
        <v>0</v>
      </c>
      <c r="AD103" s="572">
        <v>0</v>
      </c>
      <c r="AE103" s="572">
        <v>3395792</v>
      </c>
      <c r="AF103" s="572">
        <v>120000</v>
      </c>
      <c r="AG103" s="572">
        <v>512282</v>
      </c>
      <c r="AH103" s="572">
        <v>0</v>
      </c>
      <c r="AI103" s="572">
        <v>0</v>
      </c>
      <c r="AJ103" s="572">
        <v>0</v>
      </c>
      <c r="AK103" s="572">
        <v>1850391</v>
      </c>
      <c r="AL103" s="572">
        <v>885497</v>
      </c>
      <c r="AM103" s="572">
        <v>320337</v>
      </c>
      <c r="AN103" s="572">
        <v>0</v>
      </c>
      <c r="AO103" s="572">
        <v>0</v>
      </c>
      <c r="AP103" s="572">
        <v>3142152</v>
      </c>
      <c r="AQ103" s="572">
        <v>0</v>
      </c>
      <c r="AR103" s="572">
        <v>69482</v>
      </c>
      <c r="AS103" s="572">
        <v>0</v>
      </c>
      <c r="AT103" s="572">
        <v>469813</v>
      </c>
      <c r="AU103" s="572">
        <v>0</v>
      </c>
      <c r="AV103" s="572">
        <v>73130</v>
      </c>
      <c r="AW103" s="572">
        <v>1466082</v>
      </c>
      <c r="AX103" s="572">
        <v>451147</v>
      </c>
      <c r="AY103" s="572">
        <v>43101092</v>
      </c>
      <c r="AZ103" s="572">
        <v>0</v>
      </c>
      <c r="BA103" s="572">
        <v>1032990</v>
      </c>
      <c r="BB103" s="572">
        <v>0</v>
      </c>
      <c r="BC103" s="572">
        <v>144144</v>
      </c>
      <c r="BD103" s="572">
        <v>0</v>
      </c>
      <c r="BE103" s="572">
        <v>0</v>
      </c>
      <c r="BF103" s="572">
        <v>152801</v>
      </c>
      <c r="BG103" s="572">
        <v>164055</v>
      </c>
      <c r="BH103" s="572">
        <v>1457985</v>
      </c>
      <c r="BI103" s="572">
        <v>0</v>
      </c>
      <c r="BJ103" s="572">
        <v>0</v>
      </c>
      <c r="BK103" s="572">
        <v>4812404</v>
      </c>
      <c r="BL103" s="572">
        <v>6081622</v>
      </c>
      <c r="BM103" s="572">
        <v>1125953</v>
      </c>
      <c r="BN103" s="572">
        <v>0</v>
      </c>
      <c r="BO103" s="572">
        <v>0</v>
      </c>
      <c r="BP103" s="572">
        <v>0</v>
      </c>
      <c r="BQ103" s="572">
        <v>2877939</v>
      </c>
      <c r="BR103" s="572">
        <v>0</v>
      </c>
      <c r="BS103" s="572">
        <v>0</v>
      </c>
      <c r="BT103" s="572">
        <v>326362</v>
      </c>
      <c r="BU103" s="572">
        <v>233332</v>
      </c>
      <c r="BV103" s="572">
        <v>0</v>
      </c>
      <c r="BW103" s="572">
        <v>232876</v>
      </c>
      <c r="BX103" s="572">
        <v>3042073</v>
      </c>
      <c r="BY103" s="572">
        <v>0</v>
      </c>
      <c r="BZ103" s="572">
        <v>0</v>
      </c>
      <c r="CA103" s="572">
        <v>1451619</v>
      </c>
      <c r="CB103" s="572">
        <v>189574314</v>
      </c>
      <c r="CC103" s="572">
        <v>1285927</v>
      </c>
      <c r="CD103" s="572">
        <v>149837</v>
      </c>
      <c r="CE103" s="572">
        <v>0</v>
      </c>
      <c r="CF103" s="572">
        <v>0</v>
      </c>
      <c r="CG103" s="572">
        <v>2253999</v>
      </c>
      <c r="CH103" s="572">
        <v>368623537</v>
      </c>
      <c r="CI103" s="572">
        <v>3011071</v>
      </c>
      <c r="CJ103" s="572">
        <v>403251</v>
      </c>
      <c r="CK103" s="572">
        <v>862972</v>
      </c>
      <c r="CL103" s="572">
        <v>176501</v>
      </c>
      <c r="CM103" s="572">
        <v>2571426</v>
      </c>
      <c r="CN103" s="572">
        <v>279998</v>
      </c>
      <c r="CO103" s="572">
        <v>525000</v>
      </c>
      <c r="CP103" s="572">
        <v>567894</v>
      </c>
      <c r="CQ103" s="572">
        <v>3051525</v>
      </c>
    </row>
    <row r="104" spans="1:95" s="678" customFormat="1" ht="30" x14ac:dyDescent="0.25">
      <c r="A104" s="687">
        <v>338</v>
      </c>
      <c r="B104" s="688">
        <v>338</v>
      </c>
      <c r="C104" s="689" t="s">
        <v>135</v>
      </c>
      <c r="D104" s="675" t="s">
        <v>797</v>
      </c>
      <c r="E104" s="682">
        <v>4311</v>
      </c>
      <c r="F104" s="683">
        <v>1496501</v>
      </c>
      <c r="G104" s="683">
        <v>228352</v>
      </c>
      <c r="H104" s="683">
        <v>2104468</v>
      </c>
      <c r="I104" s="683">
        <v>232490</v>
      </c>
      <c r="J104" s="683">
        <v>180307</v>
      </c>
      <c r="K104" s="684">
        <v>15412463</v>
      </c>
      <c r="L104" s="685">
        <v>1027164</v>
      </c>
      <c r="M104" s="685">
        <v>10032</v>
      </c>
      <c r="N104" s="686">
        <v>61510</v>
      </c>
      <c r="O104" s="686">
        <v>752095</v>
      </c>
      <c r="P104" s="686">
        <v>1270</v>
      </c>
      <c r="Q104" s="686">
        <v>9364</v>
      </c>
      <c r="R104" s="686">
        <v>1980343</v>
      </c>
      <c r="S104" s="686">
        <v>271848</v>
      </c>
      <c r="T104" s="686">
        <v>8657409</v>
      </c>
      <c r="U104" s="686">
        <v>0</v>
      </c>
      <c r="V104" s="686">
        <v>3667584</v>
      </c>
      <c r="W104" s="686">
        <v>10683</v>
      </c>
      <c r="X104" s="686">
        <v>2938192</v>
      </c>
      <c r="Y104" s="686">
        <v>586213</v>
      </c>
      <c r="Z104" s="686">
        <v>1539</v>
      </c>
      <c r="AA104" s="686">
        <v>21811832</v>
      </c>
      <c r="AB104" s="685">
        <v>1779860</v>
      </c>
      <c r="AC104" s="685">
        <v>96751</v>
      </c>
      <c r="AD104" s="685">
        <v>16111</v>
      </c>
      <c r="AE104" s="685">
        <v>16713642</v>
      </c>
      <c r="AF104" s="685">
        <v>177210</v>
      </c>
      <c r="AG104" s="685">
        <v>1265859</v>
      </c>
      <c r="AH104" s="685">
        <v>423512</v>
      </c>
      <c r="AI104" s="685">
        <v>20765</v>
      </c>
      <c r="AJ104" s="685">
        <v>145257</v>
      </c>
      <c r="AK104" s="685">
        <v>3052415</v>
      </c>
      <c r="AL104" s="685">
        <v>1841829</v>
      </c>
      <c r="AM104" s="685">
        <v>1385405</v>
      </c>
      <c r="AN104" s="685">
        <v>5703</v>
      </c>
      <c r="AO104" s="685">
        <v>28711</v>
      </c>
      <c r="AP104" s="685">
        <v>4935163</v>
      </c>
      <c r="AQ104" s="685">
        <v>0</v>
      </c>
      <c r="AR104" s="685">
        <v>72430</v>
      </c>
      <c r="AS104" s="685">
        <v>0</v>
      </c>
      <c r="AT104" s="685">
        <v>588645</v>
      </c>
      <c r="AU104" s="685">
        <v>2561</v>
      </c>
      <c r="AV104" s="685">
        <v>293510</v>
      </c>
      <c r="AW104" s="685">
        <v>8086872</v>
      </c>
      <c r="AX104" s="685">
        <v>519141</v>
      </c>
      <c r="AY104" s="685">
        <v>73465002</v>
      </c>
      <c r="AZ104" s="685">
        <v>119982</v>
      </c>
      <c r="BA104" s="685">
        <v>1883713</v>
      </c>
      <c r="BB104" s="685">
        <v>0</v>
      </c>
      <c r="BC104" s="685">
        <v>289825</v>
      </c>
      <c r="BD104" s="685">
        <v>702085</v>
      </c>
      <c r="BE104" s="685">
        <v>16876</v>
      </c>
      <c r="BF104" s="685">
        <v>330890</v>
      </c>
      <c r="BG104" s="685">
        <v>771375</v>
      </c>
      <c r="BH104" s="685">
        <v>9135056</v>
      </c>
      <c r="BI104" s="685">
        <v>20510</v>
      </c>
      <c r="BJ104" s="685">
        <v>0</v>
      </c>
      <c r="BK104" s="685">
        <v>7255473</v>
      </c>
      <c r="BL104" s="685">
        <v>14230061</v>
      </c>
      <c r="BM104" s="685">
        <v>3997920</v>
      </c>
      <c r="BN104" s="685">
        <v>4726</v>
      </c>
      <c r="BO104" s="685">
        <v>160989</v>
      </c>
      <c r="BP104" s="685">
        <v>0</v>
      </c>
      <c r="BQ104" s="685">
        <v>11713382</v>
      </c>
      <c r="BR104" s="685">
        <v>27129</v>
      </c>
      <c r="BS104" s="685">
        <v>218834</v>
      </c>
      <c r="BT104" s="685">
        <v>742215</v>
      </c>
      <c r="BU104" s="685">
        <v>923302</v>
      </c>
      <c r="BV104" s="685">
        <v>73280</v>
      </c>
      <c r="BW104" s="685">
        <v>688925</v>
      </c>
      <c r="BX104" s="685">
        <v>6901193</v>
      </c>
      <c r="BY104" s="685">
        <v>6752</v>
      </c>
      <c r="BZ104" s="685">
        <v>0</v>
      </c>
      <c r="CA104" s="685">
        <v>7165209</v>
      </c>
      <c r="CB104" s="685">
        <v>278039399</v>
      </c>
      <c r="CC104" s="685">
        <v>70276597</v>
      </c>
      <c r="CD104" s="685">
        <v>352543</v>
      </c>
      <c r="CE104" s="685">
        <v>2115033</v>
      </c>
      <c r="CF104" s="685">
        <v>0</v>
      </c>
      <c r="CG104" s="685">
        <v>2776080</v>
      </c>
      <c r="CH104" s="685">
        <v>499838678</v>
      </c>
      <c r="CI104" s="685">
        <v>10592531</v>
      </c>
      <c r="CJ104" s="685">
        <v>417738</v>
      </c>
      <c r="CK104" s="685">
        <v>4200939</v>
      </c>
      <c r="CL104" s="685">
        <v>239569</v>
      </c>
      <c r="CM104" s="685">
        <v>10288297</v>
      </c>
      <c r="CN104" s="685">
        <v>1295242</v>
      </c>
      <c r="CO104" s="685">
        <v>572092</v>
      </c>
      <c r="CP104" s="685">
        <v>1010159</v>
      </c>
      <c r="CQ104" s="685">
        <v>10911961</v>
      </c>
    </row>
    <row r="105" spans="1:95" x14ac:dyDescent="0.25">
      <c r="A105" s="668">
        <v>339</v>
      </c>
      <c r="B105" s="590">
        <v>339</v>
      </c>
      <c r="C105" s="570" t="s">
        <v>275</v>
      </c>
      <c r="D105" s="567" t="s">
        <v>798</v>
      </c>
      <c r="E105" s="573">
        <v>4300</v>
      </c>
      <c r="F105" s="574">
        <v>97830</v>
      </c>
      <c r="G105" s="574">
        <v>8907</v>
      </c>
      <c r="H105" s="574">
        <v>323265</v>
      </c>
      <c r="I105" s="574">
        <v>108506</v>
      </c>
      <c r="J105" s="574">
        <v>37232</v>
      </c>
      <c r="K105" s="575">
        <v>3444386</v>
      </c>
      <c r="L105" s="572">
        <v>0</v>
      </c>
      <c r="M105" s="572">
        <v>31322</v>
      </c>
      <c r="N105" s="571">
        <v>33753</v>
      </c>
      <c r="O105" s="571">
        <v>115697</v>
      </c>
      <c r="P105" s="571">
        <v>0</v>
      </c>
      <c r="Q105" s="571">
        <v>36804</v>
      </c>
      <c r="R105" s="571">
        <v>19296</v>
      </c>
      <c r="S105" s="571">
        <v>97883</v>
      </c>
      <c r="T105" s="571">
        <v>2053618</v>
      </c>
      <c r="U105" s="571">
        <v>0</v>
      </c>
      <c r="V105" s="571">
        <v>317828</v>
      </c>
      <c r="W105" s="571">
        <v>30</v>
      </c>
      <c r="X105" s="571">
        <v>37650</v>
      </c>
      <c r="Y105" s="571">
        <v>43416</v>
      </c>
      <c r="Z105" s="571">
        <v>1095</v>
      </c>
      <c r="AA105" s="571">
        <v>626500</v>
      </c>
      <c r="AB105" s="572">
        <v>286733</v>
      </c>
      <c r="AC105" s="572">
        <v>35074</v>
      </c>
      <c r="AD105" s="572">
        <v>46716</v>
      </c>
      <c r="AE105" s="572">
        <v>1786290</v>
      </c>
      <c r="AF105" s="572">
        <v>19895</v>
      </c>
      <c r="AG105" s="572">
        <v>537085</v>
      </c>
      <c r="AH105" s="572">
        <v>9042</v>
      </c>
      <c r="AI105" s="572">
        <v>0</v>
      </c>
      <c r="AJ105" s="572">
        <v>474532</v>
      </c>
      <c r="AK105" s="572">
        <v>236907</v>
      </c>
      <c r="AL105" s="572">
        <v>339994</v>
      </c>
      <c r="AM105" s="572">
        <v>70246</v>
      </c>
      <c r="AN105" s="572">
        <v>25144</v>
      </c>
      <c r="AO105" s="572">
        <v>12930</v>
      </c>
      <c r="AP105" s="572">
        <v>701158</v>
      </c>
      <c r="AQ105" s="572">
        <v>0</v>
      </c>
      <c r="AR105" s="572">
        <v>20408</v>
      </c>
      <c r="AS105" s="572">
        <v>0</v>
      </c>
      <c r="AT105" s="572">
        <v>71980</v>
      </c>
      <c r="AU105" s="572">
        <v>0</v>
      </c>
      <c r="AV105" s="572">
        <v>0</v>
      </c>
      <c r="AW105" s="572">
        <v>375273</v>
      </c>
      <c r="AX105" s="572">
        <v>55518</v>
      </c>
      <c r="AY105" s="572">
        <v>4984727</v>
      </c>
      <c r="AZ105" s="572">
        <v>0</v>
      </c>
      <c r="BA105" s="572">
        <v>1268554</v>
      </c>
      <c r="BB105" s="572">
        <v>0</v>
      </c>
      <c r="BC105" s="572">
        <v>78122</v>
      </c>
      <c r="BD105" s="572">
        <v>9428</v>
      </c>
      <c r="BE105" s="572">
        <v>30047</v>
      </c>
      <c r="BF105" s="572">
        <v>152472</v>
      </c>
      <c r="BG105" s="572">
        <v>662554</v>
      </c>
      <c r="BH105" s="572">
        <v>1276792</v>
      </c>
      <c r="BI105" s="572">
        <v>325</v>
      </c>
      <c r="BJ105" s="572">
        <v>900</v>
      </c>
      <c r="BK105" s="572">
        <v>1609386</v>
      </c>
      <c r="BL105" s="572">
        <v>2236338</v>
      </c>
      <c r="BM105" s="572">
        <v>24184</v>
      </c>
      <c r="BN105" s="572">
        <v>8050</v>
      </c>
      <c r="BO105" s="572">
        <v>74660</v>
      </c>
      <c r="BP105" s="572">
        <v>0</v>
      </c>
      <c r="BQ105" s="572">
        <v>1052552</v>
      </c>
      <c r="BR105" s="572">
        <v>0</v>
      </c>
      <c r="BS105" s="572">
        <v>30880</v>
      </c>
      <c r="BT105" s="572">
        <v>23939</v>
      </c>
      <c r="BU105" s="572">
        <v>59343</v>
      </c>
      <c r="BV105" s="572">
        <v>78441</v>
      </c>
      <c r="BW105" s="572">
        <v>501027</v>
      </c>
      <c r="BX105" s="572">
        <v>1272513</v>
      </c>
      <c r="BY105" s="572">
        <v>0</v>
      </c>
      <c r="BZ105" s="572">
        <v>0</v>
      </c>
      <c r="CA105" s="572">
        <v>848905</v>
      </c>
      <c r="CB105" s="572">
        <v>9246480</v>
      </c>
      <c r="CC105" s="572">
        <v>7489676</v>
      </c>
      <c r="CD105" s="572">
        <v>60392</v>
      </c>
      <c r="CE105" s="572">
        <v>491424</v>
      </c>
      <c r="CF105" s="572">
        <v>0</v>
      </c>
      <c r="CG105" s="572">
        <v>394994</v>
      </c>
      <c r="CH105" s="572">
        <v>38375277</v>
      </c>
      <c r="CI105" s="572">
        <v>965174</v>
      </c>
      <c r="CJ105" s="572">
        <v>60069</v>
      </c>
      <c r="CK105" s="572">
        <v>118281</v>
      </c>
      <c r="CL105" s="572">
        <v>18287</v>
      </c>
      <c r="CM105" s="572">
        <v>4845065</v>
      </c>
      <c r="CN105" s="572">
        <v>10054</v>
      </c>
      <c r="CO105" s="572">
        <v>70021</v>
      </c>
      <c r="CP105" s="572">
        <v>194933</v>
      </c>
      <c r="CQ105" s="572">
        <v>872864</v>
      </c>
    </row>
    <row r="106" spans="1:95" ht="30" x14ac:dyDescent="0.25">
      <c r="A106" s="668"/>
      <c r="B106" s="590">
        <v>340</v>
      </c>
      <c r="C106" s="570" t="s">
        <v>799</v>
      </c>
      <c r="D106" s="567" t="s">
        <v>800</v>
      </c>
      <c r="E106" s="573"/>
      <c r="F106" s="574"/>
      <c r="G106" s="574"/>
      <c r="H106" s="574"/>
      <c r="I106" s="574"/>
      <c r="J106" s="574"/>
      <c r="K106" s="575"/>
      <c r="L106" s="572"/>
      <c r="M106" s="572"/>
      <c r="N106" s="571"/>
      <c r="O106" s="571"/>
      <c r="P106" s="571"/>
      <c r="Q106" s="571"/>
      <c r="R106" s="571"/>
      <c r="S106" s="571"/>
      <c r="T106" s="571"/>
      <c r="U106" s="571"/>
      <c r="V106" s="571"/>
      <c r="W106" s="571"/>
      <c r="X106" s="571"/>
      <c r="Y106" s="571"/>
      <c r="Z106" s="571"/>
      <c r="AA106" s="571"/>
      <c r="AB106" s="572"/>
      <c r="AC106" s="572"/>
      <c r="AD106" s="572"/>
      <c r="AE106" s="572"/>
      <c r="AF106" s="572"/>
      <c r="AG106" s="572"/>
      <c r="AH106" s="572"/>
      <c r="AI106" s="572"/>
      <c r="AJ106" s="572"/>
      <c r="AK106" s="572"/>
      <c r="AL106" s="572"/>
      <c r="AM106" s="572"/>
      <c r="AN106" s="572"/>
      <c r="AO106" s="572"/>
      <c r="AP106" s="572"/>
      <c r="AQ106" s="572"/>
      <c r="AR106" s="572"/>
      <c r="AS106" s="572"/>
      <c r="AT106" s="572"/>
      <c r="AU106" s="572"/>
      <c r="AV106" s="572"/>
      <c r="AW106" s="572"/>
      <c r="AX106" s="572"/>
      <c r="AY106" s="572"/>
      <c r="AZ106" s="572"/>
      <c r="BA106" s="572"/>
      <c r="BB106" s="572"/>
      <c r="BC106" s="572"/>
      <c r="BD106" s="572"/>
      <c r="BE106" s="572"/>
      <c r="BF106" s="572"/>
      <c r="BG106" s="572"/>
      <c r="BH106" s="572"/>
      <c r="BI106" s="572"/>
      <c r="BJ106" s="572"/>
      <c r="BK106" s="572"/>
      <c r="BL106" s="572"/>
      <c r="BM106" s="572"/>
      <c r="BN106" s="572"/>
      <c r="BO106" s="572"/>
      <c r="BP106" s="572"/>
      <c r="BQ106" s="572"/>
      <c r="BR106" s="572"/>
      <c r="BS106" s="572"/>
      <c r="BT106" s="572"/>
      <c r="BU106" s="572"/>
      <c r="BV106" s="572"/>
      <c r="BW106" s="572"/>
      <c r="BX106" s="572"/>
      <c r="BY106" s="572"/>
      <c r="BZ106" s="572"/>
      <c r="CA106" s="572"/>
      <c r="CB106" s="572"/>
      <c r="CC106" s="572"/>
      <c r="CD106" s="572"/>
      <c r="CE106" s="572"/>
      <c r="CF106" s="572"/>
      <c r="CG106" s="572"/>
      <c r="CH106" s="572"/>
      <c r="CI106" s="572"/>
      <c r="CJ106" s="572"/>
      <c r="CK106" s="572"/>
      <c r="CL106" s="572"/>
      <c r="CM106" s="572"/>
      <c r="CN106" s="572"/>
      <c r="CO106" s="572"/>
      <c r="CP106" s="572"/>
      <c r="CQ106" s="572"/>
    </row>
    <row r="107" spans="1:95" x14ac:dyDescent="0.25">
      <c r="A107" s="668">
        <v>341</v>
      </c>
      <c r="B107" s="590">
        <v>341</v>
      </c>
      <c r="C107" s="570" t="s">
        <v>278</v>
      </c>
      <c r="D107" s="567" t="s">
        <v>801</v>
      </c>
      <c r="E107" s="573">
        <v>186468</v>
      </c>
      <c r="F107" s="574">
        <v>6160385</v>
      </c>
      <c r="G107" s="574">
        <v>887189</v>
      </c>
      <c r="H107" s="574">
        <v>2346834</v>
      </c>
      <c r="I107" s="574">
        <v>399840</v>
      </c>
      <c r="J107" s="574">
        <v>661954</v>
      </c>
      <c r="K107" s="575">
        <v>24043594</v>
      </c>
      <c r="L107" s="572">
        <v>599475</v>
      </c>
      <c r="M107" s="572">
        <v>446654</v>
      </c>
      <c r="N107" s="571">
        <v>362743</v>
      </c>
      <c r="O107" s="571">
        <v>928553</v>
      </c>
      <c r="P107" s="571">
        <v>55464</v>
      </c>
      <c r="Q107" s="571">
        <v>197002</v>
      </c>
      <c r="R107" s="571">
        <v>1665493</v>
      </c>
      <c r="S107" s="571">
        <v>1200205</v>
      </c>
      <c r="T107" s="571">
        <v>4936140</v>
      </c>
      <c r="U107" s="571">
        <v>0</v>
      </c>
      <c r="V107" s="571">
        <v>2887259</v>
      </c>
      <c r="W107" s="571">
        <v>468207</v>
      </c>
      <c r="X107" s="571">
        <v>3322812</v>
      </c>
      <c r="Y107" s="571">
        <v>2536062</v>
      </c>
      <c r="Z107" s="571">
        <v>38961</v>
      </c>
      <c r="AA107" s="571">
        <v>7256916</v>
      </c>
      <c r="AB107" s="572">
        <v>1650259</v>
      </c>
      <c r="AC107" s="572">
        <v>760338</v>
      </c>
      <c r="AD107" s="572">
        <v>227557</v>
      </c>
      <c r="AE107" s="572">
        <v>20852160</v>
      </c>
      <c r="AF107" s="572">
        <v>563069</v>
      </c>
      <c r="AG107" s="572">
        <v>3767093</v>
      </c>
      <c r="AH107" s="572">
        <v>1706973</v>
      </c>
      <c r="AI107" s="572">
        <v>118681</v>
      </c>
      <c r="AJ107" s="572">
        <v>2448137</v>
      </c>
      <c r="AK107" s="572">
        <v>3252222</v>
      </c>
      <c r="AL107" s="572">
        <v>2504028</v>
      </c>
      <c r="AM107" s="572">
        <v>2007208</v>
      </c>
      <c r="AN107" s="572">
        <v>119994</v>
      </c>
      <c r="AO107" s="572">
        <v>437896</v>
      </c>
      <c r="AP107" s="572">
        <v>4183485</v>
      </c>
      <c r="AQ107" s="572">
        <v>0</v>
      </c>
      <c r="AR107" s="572">
        <v>80357</v>
      </c>
      <c r="AS107" s="572">
        <v>232087</v>
      </c>
      <c r="AT107" s="572">
        <v>642294</v>
      </c>
      <c r="AU107" s="572">
        <v>59729</v>
      </c>
      <c r="AV107" s="572">
        <v>258595</v>
      </c>
      <c r="AW107" s="572">
        <v>3839327</v>
      </c>
      <c r="AX107" s="572">
        <v>325534</v>
      </c>
      <c r="AY107" s="572">
        <v>37690987</v>
      </c>
      <c r="AZ107" s="572">
        <v>1592432</v>
      </c>
      <c r="BA107" s="572">
        <v>2770895</v>
      </c>
      <c r="BB107" s="572">
        <v>958502</v>
      </c>
      <c r="BC107" s="572">
        <v>818230</v>
      </c>
      <c r="BD107" s="572">
        <v>1181335</v>
      </c>
      <c r="BE107" s="572">
        <v>97095</v>
      </c>
      <c r="BF107" s="572">
        <v>860535</v>
      </c>
      <c r="BG107" s="572">
        <v>2168381</v>
      </c>
      <c r="BH107" s="572">
        <v>9697513</v>
      </c>
      <c r="BI107" s="572">
        <v>291504</v>
      </c>
      <c r="BJ107" s="572">
        <v>80316</v>
      </c>
      <c r="BK107" s="572">
        <v>9655102</v>
      </c>
      <c r="BL107" s="572">
        <v>9923113</v>
      </c>
      <c r="BM107" s="572">
        <v>7032174</v>
      </c>
      <c r="BN107" s="572">
        <v>71155</v>
      </c>
      <c r="BO107" s="572">
        <v>2037779</v>
      </c>
      <c r="BP107" s="572">
        <v>0</v>
      </c>
      <c r="BQ107" s="572">
        <v>4951989</v>
      </c>
      <c r="BR107" s="572">
        <v>777756</v>
      </c>
      <c r="BS107" s="572">
        <v>613178</v>
      </c>
      <c r="BT107" s="572">
        <v>2007392</v>
      </c>
      <c r="BU107" s="572">
        <v>3199919</v>
      </c>
      <c r="BV107" s="572">
        <v>454605</v>
      </c>
      <c r="BW107" s="572">
        <v>1101780</v>
      </c>
      <c r="BX107" s="572">
        <v>4507906</v>
      </c>
      <c r="BY107" s="572">
        <v>156555</v>
      </c>
      <c r="BZ107" s="572">
        <v>0</v>
      </c>
      <c r="CA107" s="572">
        <v>4681569</v>
      </c>
      <c r="CB107" s="572">
        <v>115571719</v>
      </c>
      <c r="CC107" s="572">
        <v>39251914</v>
      </c>
      <c r="CD107" s="572">
        <v>1052197</v>
      </c>
      <c r="CE107" s="572">
        <v>1243099</v>
      </c>
      <c r="CF107" s="572">
        <v>0</v>
      </c>
      <c r="CG107" s="572">
        <v>954242</v>
      </c>
      <c r="CH107" s="572">
        <v>188986844</v>
      </c>
      <c r="CI107" s="572">
        <v>6557320</v>
      </c>
      <c r="CJ107" s="572">
        <v>429594</v>
      </c>
      <c r="CK107" s="572">
        <v>3256318</v>
      </c>
      <c r="CL107" s="572">
        <v>443785</v>
      </c>
      <c r="CM107" s="572">
        <v>6378031</v>
      </c>
      <c r="CN107" s="572">
        <v>2651417</v>
      </c>
      <c r="CO107" s="572">
        <v>644958</v>
      </c>
      <c r="CP107" s="572">
        <v>1749441</v>
      </c>
      <c r="CQ107" s="572">
        <v>8272487</v>
      </c>
    </row>
    <row r="108" spans="1:95" ht="30" x14ac:dyDescent="0.25">
      <c r="A108" s="668"/>
      <c r="B108" s="590">
        <v>342</v>
      </c>
      <c r="C108" s="570" t="s">
        <v>802</v>
      </c>
      <c r="D108" s="567" t="s">
        <v>803</v>
      </c>
      <c r="E108" s="573"/>
      <c r="F108" s="574"/>
      <c r="G108" s="574"/>
      <c r="H108" s="574"/>
      <c r="I108" s="574"/>
      <c r="J108" s="574"/>
      <c r="K108" s="575"/>
      <c r="L108" s="572"/>
      <c r="M108" s="572"/>
      <c r="N108" s="571"/>
      <c r="O108" s="571"/>
      <c r="P108" s="571"/>
      <c r="Q108" s="571"/>
      <c r="R108" s="571"/>
      <c r="S108" s="571"/>
      <c r="T108" s="571"/>
      <c r="U108" s="571"/>
      <c r="V108" s="571"/>
      <c r="W108" s="571"/>
      <c r="X108" s="571"/>
      <c r="Y108" s="571"/>
      <c r="Z108" s="571"/>
      <c r="AA108" s="571"/>
      <c r="AB108" s="572"/>
      <c r="AC108" s="572"/>
      <c r="AD108" s="572"/>
      <c r="AE108" s="572"/>
      <c r="AF108" s="572"/>
      <c r="AG108" s="572"/>
      <c r="AH108" s="572"/>
      <c r="AI108" s="572"/>
      <c r="AJ108" s="572"/>
      <c r="AK108" s="572"/>
      <c r="AL108" s="572"/>
      <c r="AM108" s="572"/>
      <c r="AN108" s="572"/>
      <c r="AO108" s="572"/>
      <c r="AP108" s="572"/>
      <c r="AQ108" s="572"/>
      <c r="AR108" s="572"/>
      <c r="AS108" s="572"/>
      <c r="AT108" s="572"/>
      <c r="AU108" s="572"/>
      <c r="AV108" s="572"/>
      <c r="AW108" s="572"/>
      <c r="AX108" s="572"/>
      <c r="AY108" s="572"/>
      <c r="AZ108" s="572"/>
      <c r="BA108" s="572"/>
      <c r="BB108" s="572"/>
      <c r="BC108" s="572"/>
      <c r="BD108" s="572"/>
      <c r="BE108" s="572"/>
      <c r="BF108" s="572"/>
      <c r="BG108" s="572"/>
      <c r="BH108" s="572"/>
      <c r="BI108" s="572"/>
      <c r="BJ108" s="572"/>
      <c r="BK108" s="572"/>
      <c r="BL108" s="572"/>
      <c r="BM108" s="572"/>
      <c r="BN108" s="572"/>
      <c r="BO108" s="572"/>
      <c r="BP108" s="572"/>
      <c r="BQ108" s="572"/>
      <c r="BR108" s="572"/>
      <c r="BS108" s="572"/>
      <c r="BT108" s="572"/>
      <c r="BU108" s="572"/>
      <c r="BV108" s="572"/>
      <c r="BW108" s="572"/>
      <c r="BX108" s="572"/>
      <c r="BY108" s="572"/>
      <c r="BZ108" s="572"/>
      <c r="CA108" s="572"/>
      <c r="CB108" s="572"/>
      <c r="CC108" s="572"/>
      <c r="CD108" s="572"/>
      <c r="CE108" s="572"/>
      <c r="CF108" s="572"/>
      <c r="CG108" s="572"/>
      <c r="CH108" s="572"/>
      <c r="CI108" s="572"/>
      <c r="CJ108" s="572"/>
      <c r="CK108" s="572"/>
      <c r="CL108" s="572"/>
      <c r="CM108" s="572"/>
      <c r="CN108" s="572"/>
      <c r="CO108" s="572"/>
      <c r="CP108" s="572"/>
      <c r="CQ108" s="572"/>
    </row>
    <row r="109" spans="1:95" x14ac:dyDescent="0.25">
      <c r="A109" s="668">
        <v>343</v>
      </c>
      <c r="B109" s="590">
        <v>343</v>
      </c>
      <c r="C109" s="570" t="s">
        <v>340</v>
      </c>
      <c r="D109" s="567" t="s">
        <v>804</v>
      </c>
      <c r="E109" s="573">
        <v>0</v>
      </c>
      <c r="F109" s="574">
        <v>0</v>
      </c>
      <c r="G109" s="574">
        <v>0</v>
      </c>
      <c r="H109" s="574">
        <v>202356</v>
      </c>
      <c r="I109" s="574">
        <v>0</v>
      </c>
      <c r="J109" s="574">
        <v>5188</v>
      </c>
      <c r="K109" s="575">
        <v>894700</v>
      </c>
      <c r="L109" s="572">
        <v>15474</v>
      </c>
      <c r="M109" s="572">
        <v>0</v>
      </c>
      <c r="N109" s="571">
        <v>0</v>
      </c>
      <c r="O109" s="571">
        <v>46544</v>
      </c>
      <c r="P109" s="571">
        <v>0</v>
      </c>
      <c r="Q109" s="571">
        <v>0</v>
      </c>
      <c r="R109" s="571">
        <v>255789</v>
      </c>
      <c r="S109" s="571">
        <v>0</v>
      </c>
      <c r="T109" s="571">
        <v>40126</v>
      </c>
      <c r="U109" s="571">
        <v>0</v>
      </c>
      <c r="V109" s="571">
        <v>214144</v>
      </c>
      <c r="W109" s="571">
        <v>0</v>
      </c>
      <c r="X109" s="571">
        <v>241104</v>
      </c>
      <c r="Y109" s="571">
        <v>51417</v>
      </c>
      <c r="Z109" s="571">
        <v>0</v>
      </c>
      <c r="AA109" s="571">
        <v>0</v>
      </c>
      <c r="AB109" s="572">
        <v>29437</v>
      </c>
      <c r="AC109" s="572">
        <v>0</v>
      </c>
      <c r="AD109" s="572">
        <v>0</v>
      </c>
      <c r="AE109" s="572">
        <v>1163786</v>
      </c>
      <c r="AF109" s="572">
        <v>30000</v>
      </c>
      <c r="AG109" s="572">
        <v>162718</v>
      </c>
      <c r="AH109" s="572">
        <v>512721</v>
      </c>
      <c r="AI109" s="572">
        <v>0</v>
      </c>
      <c r="AJ109" s="572">
        <v>0</v>
      </c>
      <c r="AK109" s="572">
        <v>369919</v>
      </c>
      <c r="AL109" s="572">
        <v>46911</v>
      </c>
      <c r="AM109" s="572">
        <v>89074</v>
      </c>
      <c r="AN109" s="572">
        <v>0</v>
      </c>
      <c r="AO109" s="572">
        <v>0</v>
      </c>
      <c r="AP109" s="572">
        <v>298474</v>
      </c>
      <c r="AQ109" s="572">
        <v>0</v>
      </c>
      <c r="AR109" s="572">
        <v>2867</v>
      </c>
      <c r="AS109" s="572">
        <v>0</v>
      </c>
      <c r="AT109" s="572">
        <v>27032</v>
      </c>
      <c r="AU109" s="572">
        <v>0</v>
      </c>
      <c r="AV109" s="572">
        <v>9161</v>
      </c>
      <c r="AW109" s="572">
        <v>112084</v>
      </c>
      <c r="AX109" s="572">
        <v>8042</v>
      </c>
      <c r="AY109" s="572">
        <v>4209693</v>
      </c>
      <c r="AZ109" s="572">
        <v>0</v>
      </c>
      <c r="BA109" s="572">
        <v>262325</v>
      </c>
      <c r="BB109" s="572">
        <v>0</v>
      </c>
      <c r="BC109" s="572">
        <v>25959</v>
      </c>
      <c r="BD109" s="572">
        <v>0</v>
      </c>
      <c r="BE109" s="572">
        <v>0</v>
      </c>
      <c r="BF109" s="572">
        <v>49323</v>
      </c>
      <c r="BG109" s="572">
        <v>84111</v>
      </c>
      <c r="BH109" s="572">
        <v>164190</v>
      </c>
      <c r="BI109" s="572">
        <v>0</v>
      </c>
      <c r="BJ109" s="572">
        <v>0</v>
      </c>
      <c r="BK109" s="572">
        <v>392509</v>
      </c>
      <c r="BL109" s="572">
        <v>1245464</v>
      </c>
      <c r="BM109" s="572">
        <v>426025</v>
      </c>
      <c r="BN109" s="572">
        <v>0</v>
      </c>
      <c r="BO109" s="572">
        <v>0</v>
      </c>
      <c r="BP109" s="572">
        <v>0</v>
      </c>
      <c r="BQ109" s="572">
        <v>391162</v>
      </c>
      <c r="BR109" s="572">
        <v>0</v>
      </c>
      <c r="BS109" s="572">
        <v>0</v>
      </c>
      <c r="BT109" s="572">
        <v>32300</v>
      </c>
      <c r="BU109" s="572">
        <v>90986</v>
      </c>
      <c r="BV109" s="572">
        <v>0</v>
      </c>
      <c r="BW109" s="572">
        <v>52948</v>
      </c>
      <c r="BX109" s="572">
        <v>234475</v>
      </c>
      <c r="BY109" s="572">
        <v>0</v>
      </c>
      <c r="BZ109" s="572">
        <v>0</v>
      </c>
      <c r="CA109" s="572">
        <v>218666</v>
      </c>
      <c r="CB109" s="572">
        <v>10110024</v>
      </c>
      <c r="CC109" s="572">
        <v>718525</v>
      </c>
      <c r="CD109" s="572">
        <v>30277</v>
      </c>
      <c r="CE109" s="572">
        <v>154812</v>
      </c>
      <c r="CF109" s="572">
        <v>0</v>
      </c>
      <c r="CG109" s="572">
        <v>43778</v>
      </c>
      <c r="CH109" s="572">
        <v>34035758</v>
      </c>
      <c r="CI109" s="572">
        <v>522403</v>
      </c>
      <c r="CJ109" s="572">
        <v>34092</v>
      </c>
      <c r="CK109" s="572">
        <v>257123</v>
      </c>
      <c r="CL109" s="572">
        <v>18318</v>
      </c>
      <c r="CM109" s="572">
        <v>428572</v>
      </c>
      <c r="CN109" s="572">
        <v>46667</v>
      </c>
      <c r="CO109" s="572">
        <v>191800</v>
      </c>
      <c r="CP109" s="572">
        <v>135366</v>
      </c>
      <c r="CQ109" s="572">
        <v>627261</v>
      </c>
    </row>
    <row r="110" spans="1:95" x14ac:dyDescent="0.25">
      <c r="A110" s="668">
        <v>344</v>
      </c>
      <c r="B110" s="590">
        <v>344</v>
      </c>
      <c r="C110" s="570" t="s">
        <v>273</v>
      </c>
      <c r="D110" s="567" t="s">
        <v>805</v>
      </c>
      <c r="E110" s="573">
        <v>0</v>
      </c>
      <c r="F110" s="574">
        <v>0</v>
      </c>
      <c r="G110" s="574">
        <v>0</v>
      </c>
      <c r="H110" s="574">
        <v>25325</v>
      </c>
      <c r="I110" s="574">
        <v>0</v>
      </c>
      <c r="J110" s="574">
        <v>3188</v>
      </c>
      <c r="K110" s="575">
        <v>110981</v>
      </c>
      <c r="L110" s="572">
        <v>586</v>
      </c>
      <c r="M110" s="572">
        <v>0</v>
      </c>
      <c r="N110" s="571">
        <v>0</v>
      </c>
      <c r="O110" s="571">
        <v>10740</v>
      </c>
      <c r="P110" s="571">
        <v>0</v>
      </c>
      <c r="Q110" s="571">
        <v>0</v>
      </c>
      <c r="R110" s="571">
        <v>49930</v>
      </c>
      <c r="S110" s="571">
        <v>0</v>
      </c>
      <c r="T110" s="571">
        <v>10082</v>
      </c>
      <c r="U110" s="571">
        <v>0</v>
      </c>
      <c r="V110" s="571">
        <v>43548</v>
      </c>
      <c r="W110" s="571">
        <v>0</v>
      </c>
      <c r="X110" s="571">
        <v>31279</v>
      </c>
      <c r="Y110" s="571">
        <v>3503</v>
      </c>
      <c r="Z110" s="571">
        <v>0</v>
      </c>
      <c r="AA110" s="571">
        <v>0</v>
      </c>
      <c r="AB110" s="572">
        <v>3336</v>
      </c>
      <c r="AC110" s="572">
        <v>0</v>
      </c>
      <c r="AD110" s="572">
        <v>0</v>
      </c>
      <c r="AE110" s="572">
        <v>41698</v>
      </c>
      <c r="AF110" s="572">
        <v>5590</v>
      </c>
      <c r="AG110" s="572">
        <v>13751</v>
      </c>
      <c r="AH110" s="572">
        <v>7875</v>
      </c>
      <c r="AI110" s="572">
        <v>0</v>
      </c>
      <c r="AJ110" s="572">
        <v>0</v>
      </c>
      <c r="AK110" s="572">
        <v>55866</v>
      </c>
      <c r="AL110" s="572">
        <v>37607</v>
      </c>
      <c r="AM110" s="572">
        <v>8617</v>
      </c>
      <c r="AN110" s="572">
        <v>0</v>
      </c>
      <c r="AO110" s="572">
        <v>0</v>
      </c>
      <c r="AP110" s="572">
        <v>86388</v>
      </c>
      <c r="AQ110" s="572">
        <v>0</v>
      </c>
      <c r="AR110" s="572">
        <v>2948</v>
      </c>
      <c r="AS110" s="572">
        <v>0</v>
      </c>
      <c r="AT110" s="572">
        <v>21051</v>
      </c>
      <c r="AU110" s="572">
        <v>0</v>
      </c>
      <c r="AV110" s="572">
        <v>3176</v>
      </c>
      <c r="AW110" s="572">
        <v>33854</v>
      </c>
      <c r="AX110" s="572">
        <v>18980</v>
      </c>
      <c r="AY110" s="572">
        <v>625012</v>
      </c>
      <c r="AZ110" s="572">
        <v>0</v>
      </c>
      <c r="BA110" s="572">
        <v>20980</v>
      </c>
      <c r="BB110" s="572">
        <v>0</v>
      </c>
      <c r="BC110" s="572">
        <v>5171</v>
      </c>
      <c r="BD110" s="572">
        <v>0</v>
      </c>
      <c r="BE110" s="572">
        <v>0</v>
      </c>
      <c r="BF110" s="572">
        <v>641</v>
      </c>
      <c r="BG110" s="572">
        <v>10205</v>
      </c>
      <c r="BH110" s="572">
        <v>40141</v>
      </c>
      <c r="BI110" s="572">
        <v>0</v>
      </c>
      <c r="BJ110" s="572">
        <v>0</v>
      </c>
      <c r="BK110" s="572">
        <v>162432</v>
      </c>
      <c r="BL110" s="572">
        <v>185444</v>
      </c>
      <c r="BM110" s="572">
        <v>30006</v>
      </c>
      <c r="BN110" s="572">
        <v>0</v>
      </c>
      <c r="BO110" s="572">
        <v>0</v>
      </c>
      <c r="BP110" s="572">
        <v>0</v>
      </c>
      <c r="BQ110" s="572">
        <v>5151</v>
      </c>
      <c r="BR110" s="572">
        <v>0</v>
      </c>
      <c r="BS110" s="572">
        <v>0</v>
      </c>
      <c r="BT110" s="572">
        <v>5107</v>
      </c>
      <c r="BU110" s="572">
        <v>5495</v>
      </c>
      <c r="BV110" s="572">
        <v>0</v>
      </c>
      <c r="BW110" s="572">
        <v>6785</v>
      </c>
      <c r="BX110" s="572">
        <v>60890</v>
      </c>
      <c r="BY110" s="572">
        <v>0</v>
      </c>
      <c r="BZ110" s="572">
        <v>0</v>
      </c>
      <c r="CA110" s="572">
        <v>34341</v>
      </c>
      <c r="CB110" s="572">
        <v>7569643</v>
      </c>
      <c r="CC110" s="572">
        <v>29708</v>
      </c>
      <c r="CD110" s="572">
        <v>4302</v>
      </c>
      <c r="CE110" s="572">
        <v>4234</v>
      </c>
      <c r="CF110" s="572">
        <v>0</v>
      </c>
      <c r="CG110" s="572">
        <v>54813</v>
      </c>
      <c r="CH110" s="572">
        <v>12828440</v>
      </c>
      <c r="CI110" s="572">
        <v>87402</v>
      </c>
      <c r="CJ110" s="572">
        <v>12370</v>
      </c>
      <c r="CK110" s="572">
        <v>14405</v>
      </c>
      <c r="CL110" s="572">
        <v>7891</v>
      </c>
      <c r="CM110" s="572">
        <v>64019</v>
      </c>
      <c r="CN110" s="572">
        <v>11435</v>
      </c>
      <c r="CO110" s="572">
        <v>5738</v>
      </c>
      <c r="CP110" s="572">
        <v>17271</v>
      </c>
      <c r="CQ110" s="572">
        <v>110389</v>
      </c>
    </row>
    <row r="111" spans="1:95" ht="30" x14ac:dyDescent="0.25">
      <c r="A111" s="668"/>
      <c r="B111" s="590">
        <v>346</v>
      </c>
      <c r="C111" s="570" t="s">
        <v>806</v>
      </c>
      <c r="D111" s="567" t="s">
        <v>807</v>
      </c>
      <c r="E111" s="573"/>
      <c r="F111" s="574"/>
      <c r="G111" s="574"/>
      <c r="H111" s="574"/>
      <c r="I111" s="574"/>
      <c r="J111" s="574"/>
      <c r="K111" s="575"/>
      <c r="L111" s="572"/>
      <c r="M111" s="572"/>
      <c r="N111" s="571"/>
      <c r="O111" s="571"/>
      <c r="P111" s="571"/>
      <c r="Q111" s="571"/>
      <c r="R111" s="571"/>
      <c r="S111" s="571"/>
      <c r="T111" s="571"/>
      <c r="U111" s="571"/>
      <c r="V111" s="571"/>
      <c r="W111" s="571"/>
      <c r="X111" s="571"/>
      <c r="Y111" s="571"/>
      <c r="Z111" s="571"/>
      <c r="AA111" s="571"/>
      <c r="AB111" s="572"/>
      <c r="AC111" s="572"/>
      <c r="AD111" s="572"/>
      <c r="AE111" s="572"/>
      <c r="AF111" s="572"/>
      <c r="AG111" s="572"/>
      <c r="AH111" s="572"/>
      <c r="AI111" s="572"/>
      <c r="AJ111" s="572"/>
      <c r="AK111" s="572"/>
      <c r="AL111" s="572"/>
      <c r="AM111" s="572"/>
      <c r="AN111" s="572"/>
      <c r="AO111" s="572"/>
      <c r="AP111" s="572"/>
      <c r="AQ111" s="572"/>
      <c r="AR111" s="572"/>
      <c r="AS111" s="572"/>
      <c r="AT111" s="572"/>
      <c r="AU111" s="572"/>
      <c r="AV111" s="572"/>
      <c r="AW111" s="572"/>
      <c r="AX111" s="572"/>
      <c r="AY111" s="572"/>
      <c r="AZ111" s="572"/>
      <c r="BA111" s="572"/>
      <c r="BB111" s="572"/>
      <c r="BC111" s="572"/>
      <c r="BD111" s="572"/>
      <c r="BE111" s="572"/>
      <c r="BF111" s="572"/>
      <c r="BG111" s="572"/>
      <c r="BH111" s="572"/>
      <c r="BI111" s="572"/>
      <c r="BJ111" s="572"/>
      <c r="BK111" s="572"/>
      <c r="BL111" s="572"/>
      <c r="BM111" s="572"/>
      <c r="BN111" s="572"/>
      <c r="BO111" s="572"/>
      <c r="BP111" s="572"/>
      <c r="BQ111" s="572"/>
      <c r="BR111" s="572"/>
      <c r="BS111" s="572"/>
      <c r="BT111" s="572"/>
      <c r="BU111" s="572"/>
      <c r="BV111" s="572"/>
      <c r="BW111" s="572"/>
      <c r="BX111" s="572"/>
      <c r="BY111" s="572"/>
      <c r="BZ111" s="572"/>
      <c r="CA111" s="572"/>
      <c r="CB111" s="572"/>
      <c r="CC111" s="572"/>
      <c r="CD111" s="572"/>
      <c r="CE111" s="572"/>
      <c r="CF111" s="572"/>
      <c r="CG111" s="572"/>
      <c r="CH111" s="572"/>
      <c r="CI111" s="572"/>
      <c r="CJ111" s="572"/>
      <c r="CK111" s="572"/>
      <c r="CL111" s="572"/>
      <c r="CM111" s="572"/>
      <c r="CN111" s="572"/>
      <c r="CO111" s="572"/>
      <c r="CP111" s="572"/>
      <c r="CQ111" s="572"/>
    </row>
    <row r="112" spans="1:95" ht="30" x14ac:dyDescent="0.25">
      <c r="A112" s="668"/>
      <c r="B112" s="590">
        <v>347</v>
      </c>
      <c r="C112" s="570" t="s">
        <v>808</v>
      </c>
      <c r="D112" s="567" t="s">
        <v>809</v>
      </c>
      <c r="E112" s="573"/>
      <c r="F112" s="574"/>
      <c r="G112" s="574"/>
      <c r="H112" s="574"/>
      <c r="I112" s="574"/>
      <c r="J112" s="574"/>
      <c r="K112" s="575"/>
      <c r="L112" s="572"/>
      <c r="M112" s="572"/>
      <c r="N112" s="571"/>
      <c r="O112" s="571"/>
      <c r="P112" s="571"/>
      <c r="Q112" s="571"/>
      <c r="R112" s="571"/>
      <c r="S112" s="571"/>
      <c r="T112" s="571"/>
      <c r="U112" s="571"/>
      <c r="V112" s="571"/>
      <c r="W112" s="571"/>
      <c r="X112" s="571"/>
      <c r="Y112" s="571"/>
      <c r="Z112" s="571"/>
      <c r="AA112" s="571"/>
      <c r="AB112" s="572"/>
      <c r="AC112" s="572"/>
      <c r="AD112" s="572"/>
      <c r="AE112" s="572"/>
      <c r="AF112" s="572"/>
      <c r="AG112" s="572"/>
      <c r="AH112" s="572"/>
      <c r="AI112" s="572"/>
      <c r="AJ112" s="572"/>
      <c r="AK112" s="572"/>
      <c r="AL112" s="572"/>
      <c r="AM112" s="572"/>
      <c r="AN112" s="572"/>
      <c r="AO112" s="572"/>
      <c r="AP112" s="572"/>
      <c r="AQ112" s="572"/>
      <c r="AR112" s="572"/>
      <c r="AS112" s="572"/>
      <c r="AT112" s="572"/>
      <c r="AU112" s="572"/>
      <c r="AV112" s="572"/>
      <c r="AW112" s="572"/>
      <c r="AX112" s="572"/>
      <c r="AY112" s="572"/>
      <c r="AZ112" s="572"/>
      <c r="BA112" s="572"/>
      <c r="BB112" s="572"/>
      <c r="BC112" s="572"/>
      <c r="BD112" s="572"/>
      <c r="BE112" s="572"/>
      <c r="BF112" s="572"/>
      <c r="BG112" s="572"/>
      <c r="BH112" s="572"/>
      <c r="BI112" s="572"/>
      <c r="BJ112" s="572"/>
      <c r="BK112" s="572"/>
      <c r="BL112" s="572"/>
      <c r="BM112" s="572"/>
      <c r="BN112" s="572"/>
      <c r="BO112" s="572"/>
      <c r="BP112" s="572"/>
      <c r="BQ112" s="572"/>
      <c r="BR112" s="572"/>
      <c r="BS112" s="572"/>
      <c r="BT112" s="572"/>
      <c r="BU112" s="572"/>
      <c r="BV112" s="572"/>
      <c r="BW112" s="572"/>
      <c r="BX112" s="572"/>
      <c r="BY112" s="572"/>
      <c r="BZ112" s="572"/>
      <c r="CA112" s="572"/>
      <c r="CB112" s="572"/>
      <c r="CC112" s="572"/>
      <c r="CD112" s="572"/>
      <c r="CE112" s="572"/>
      <c r="CF112" s="572"/>
      <c r="CG112" s="572"/>
      <c r="CH112" s="572"/>
      <c r="CI112" s="572"/>
      <c r="CJ112" s="572"/>
      <c r="CK112" s="572"/>
      <c r="CL112" s="572"/>
      <c r="CM112" s="572"/>
      <c r="CN112" s="572"/>
      <c r="CO112" s="572"/>
      <c r="CP112" s="572"/>
      <c r="CQ112" s="572"/>
    </row>
    <row r="113" spans="1:95" ht="30" x14ac:dyDescent="0.25">
      <c r="A113" s="668">
        <v>349</v>
      </c>
      <c r="B113" s="590">
        <v>349</v>
      </c>
      <c r="C113" s="570" t="s">
        <v>143</v>
      </c>
      <c r="D113" s="567" t="s">
        <v>810</v>
      </c>
      <c r="E113" s="573">
        <v>0</v>
      </c>
      <c r="F113" s="574">
        <v>0</v>
      </c>
      <c r="G113" s="574">
        <v>32140</v>
      </c>
      <c r="H113" s="574">
        <v>6445580</v>
      </c>
      <c r="I113" s="574">
        <v>2718757</v>
      </c>
      <c r="J113" s="574">
        <v>153836</v>
      </c>
      <c r="K113" s="575">
        <v>29606156</v>
      </c>
      <c r="L113" s="572">
        <v>882201</v>
      </c>
      <c r="M113" s="572">
        <v>0</v>
      </c>
      <c r="N113" s="571">
        <v>64677</v>
      </c>
      <c r="O113" s="571">
        <v>1325003</v>
      </c>
      <c r="P113" s="571">
        <v>0</v>
      </c>
      <c r="Q113" s="571">
        <v>649324</v>
      </c>
      <c r="R113" s="571">
        <v>0</v>
      </c>
      <c r="S113" s="571">
        <v>0</v>
      </c>
      <c r="T113" s="571">
        <v>0</v>
      </c>
      <c r="U113" s="571">
        <v>0</v>
      </c>
      <c r="V113" s="571">
        <v>0</v>
      </c>
      <c r="W113" s="571">
        <v>95059</v>
      </c>
      <c r="X113" s="571">
        <v>0</v>
      </c>
      <c r="Y113" s="571">
        <v>1459893</v>
      </c>
      <c r="Z113" s="571">
        <v>0</v>
      </c>
      <c r="AA113" s="571">
        <v>4528414</v>
      </c>
      <c r="AB113" s="572">
        <v>5067960</v>
      </c>
      <c r="AC113" s="572">
        <v>247011</v>
      </c>
      <c r="AD113" s="572">
        <v>193303</v>
      </c>
      <c r="AE113" s="572">
        <v>39334341</v>
      </c>
      <c r="AF113" s="572">
        <v>0</v>
      </c>
      <c r="AG113" s="572">
        <v>3727092</v>
      </c>
      <c r="AH113" s="572">
        <v>0</v>
      </c>
      <c r="AI113" s="572">
        <v>438739</v>
      </c>
      <c r="AJ113" s="572">
        <v>14163246</v>
      </c>
      <c r="AK113" s="572">
        <v>2556800</v>
      </c>
      <c r="AL113" s="572">
        <v>1283413</v>
      </c>
      <c r="AM113" s="572">
        <v>3376784</v>
      </c>
      <c r="AN113" s="572">
        <v>5379</v>
      </c>
      <c r="AO113" s="572">
        <v>0</v>
      </c>
      <c r="AP113" s="572">
        <v>2795391</v>
      </c>
      <c r="AQ113" s="572">
        <v>0</v>
      </c>
      <c r="AR113" s="572">
        <v>0</v>
      </c>
      <c r="AS113" s="572">
        <v>0</v>
      </c>
      <c r="AT113" s="572">
        <v>0</v>
      </c>
      <c r="AU113" s="572">
        <v>0</v>
      </c>
      <c r="AV113" s="572">
        <v>168540</v>
      </c>
      <c r="AW113" s="572">
        <v>2182167</v>
      </c>
      <c r="AX113" s="572">
        <v>39833</v>
      </c>
      <c r="AY113" s="572">
        <v>0</v>
      </c>
      <c r="AZ113" s="572">
        <v>0</v>
      </c>
      <c r="BA113" s="572">
        <v>5806744</v>
      </c>
      <c r="BB113" s="572">
        <v>0</v>
      </c>
      <c r="BC113" s="572">
        <v>882553</v>
      </c>
      <c r="BD113" s="572">
        <v>556908</v>
      </c>
      <c r="BE113" s="572">
        <v>116763</v>
      </c>
      <c r="BF113" s="572">
        <v>3234550</v>
      </c>
      <c r="BG113" s="572">
        <v>2434915</v>
      </c>
      <c r="BH113" s="572">
        <v>3515857</v>
      </c>
      <c r="BI113" s="572">
        <v>0</v>
      </c>
      <c r="BJ113" s="572">
        <v>0</v>
      </c>
      <c r="BK113" s="572">
        <v>0</v>
      </c>
      <c r="BL113" s="572">
        <v>2823223</v>
      </c>
      <c r="BM113" s="572">
        <v>2771456</v>
      </c>
      <c r="BN113" s="572">
        <v>0</v>
      </c>
      <c r="BO113" s="572">
        <v>0</v>
      </c>
      <c r="BP113" s="572">
        <v>0</v>
      </c>
      <c r="BQ113" s="572">
        <v>0</v>
      </c>
      <c r="BR113" s="572">
        <v>0</v>
      </c>
      <c r="BS113" s="572">
        <v>0</v>
      </c>
      <c r="BT113" s="572">
        <v>554732</v>
      </c>
      <c r="BU113" s="572">
        <v>0</v>
      </c>
      <c r="BV113" s="572">
        <v>818227</v>
      </c>
      <c r="BW113" s="572">
        <v>577646</v>
      </c>
      <c r="BX113" s="572">
        <v>2760749</v>
      </c>
      <c r="BY113" s="572">
        <v>12415</v>
      </c>
      <c r="BZ113" s="572">
        <v>0</v>
      </c>
      <c r="CA113" s="572">
        <v>6476393</v>
      </c>
      <c r="CB113" s="572">
        <v>0</v>
      </c>
      <c r="CC113" s="572">
        <v>33914754</v>
      </c>
      <c r="CD113" s="572">
        <v>3201493</v>
      </c>
      <c r="CE113" s="572">
        <v>1732296</v>
      </c>
      <c r="CF113" s="572">
        <v>0</v>
      </c>
      <c r="CG113" s="572">
        <v>4180733</v>
      </c>
      <c r="CH113" s="572">
        <v>585265034</v>
      </c>
      <c r="CI113" s="572">
        <v>3704692</v>
      </c>
      <c r="CJ113" s="572">
        <v>346746</v>
      </c>
      <c r="CK113" s="572">
        <v>0</v>
      </c>
      <c r="CL113" s="572">
        <v>534025</v>
      </c>
      <c r="CM113" s="572">
        <v>579542</v>
      </c>
      <c r="CN113" s="572">
        <v>471451</v>
      </c>
      <c r="CO113" s="572">
        <v>3164928</v>
      </c>
      <c r="CP113" s="572">
        <v>0</v>
      </c>
      <c r="CQ113" s="572">
        <v>0</v>
      </c>
    </row>
    <row r="114" spans="1:95" ht="30" x14ac:dyDescent="0.25">
      <c r="A114" s="668">
        <v>350</v>
      </c>
      <c r="B114" s="590">
        <v>350</v>
      </c>
      <c r="C114" s="570" t="s">
        <v>316</v>
      </c>
      <c r="D114" s="567" t="s">
        <v>811</v>
      </c>
      <c r="E114" s="573">
        <v>0</v>
      </c>
      <c r="F114" s="574">
        <v>0</v>
      </c>
      <c r="G114" s="574">
        <v>561</v>
      </c>
      <c r="H114" s="574">
        <v>3416</v>
      </c>
      <c r="I114" s="574">
        <v>18317</v>
      </c>
      <c r="J114" s="574">
        <v>15156</v>
      </c>
      <c r="K114" s="575">
        <v>152076</v>
      </c>
      <c r="L114" s="572">
        <v>5918</v>
      </c>
      <c r="M114" s="572">
        <v>0</v>
      </c>
      <c r="N114" s="571">
        <v>8634</v>
      </c>
      <c r="O114" s="571">
        <v>504</v>
      </c>
      <c r="P114" s="571">
        <v>0</v>
      </c>
      <c r="Q114" s="571">
        <v>822</v>
      </c>
      <c r="R114" s="571">
        <v>0</v>
      </c>
      <c r="S114" s="571">
        <v>0</v>
      </c>
      <c r="T114" s="571">
        <v>0</v>
      </c>
      <c r="U114" s="571">
        <v>0</v>
      </c>
      <c r="V114" s="571">
        <v>0</v>
      </c>
      <c r="W114" s="571">
        <v>30590</v>
      </c>
      <c r="X114" s="571">
        <v>0</v>
      </c>
      <c r="Y114" s="571">
        <v>4959</v>
      </c>
      <c r="Z114" s="571">
        <v>0</v>
      </c>
      <c r="AA114" s="571">
        <v>38467</v>
      </c>
      <c r="AB114" s="572">
        <v>416164</v>
      </c>
      <c r="AC114" s="572">
        <v>0</v>
      </c>
      <c r="AD114" s="572">
        <v>2</v>
      </c>
      <c r="AE114" s="572">
        <v>107458</v>
      </c>
      <c r="AF114" s="572">
        <v>0</v>
      </c>
      <c r="AG114" s="572">
        <v>3049</v>
      </c>
      <c r="AH114" s="572">
        <v>0</v>
      </c>
      <c r="AI114" s="572">
        <v>12445</v>
      </c>
      <c r="AJ114" s="572">
        <v>7706</v>
      </c>
      <c r="AK114" s="572">
        <v>782</v>
      </c>
      <c r="AL114" s="572">
        <v>646</v>
      </c>
      <c r="AM114" s="572">
        <v>13418</v>
      </c>
      <c r="AN114" s="572">
        <v>30</v>
      </c>
      <c r="AO114" s="572">
        <v>0</v>
      </c>
      <c r="AP114" s="572">
        <v>16919</v>
      </c>
      <c r="AQ114" s="572">
        <v>0</v>
      </c>
      <c r="AR114" s="572">
        <v>0</v>
      </c>
      <c r="AS114" s="572">
        <v>0</v>
      </c>
      <c r="AT114" s="572">
        <v>0</v>
      </c>
      <c r="AU114" s="572">
        <v>0</v>
      </c>
      <c r="AV114" s="572">
        <v>2710</v>
      </c>
      <c r="AW114" s="572">
        <v>408</v>
      </c>
      <c r="AX114" s="572">
        <v>515</v>
      </c>
      <c r="AY114" s="572">
        <v>0</v>
      </c>
      <c r="AZ114" s="572">
        <v>0</v>
      </c>
      <c r="BA114" s="572">
        <v>169734</v>
      </c>
      <c r="BB114" s="572">
        <v>0</v>
      </c>
      <c r="BC114" s="572">
        <v>93490</v>
      </c>
      <c r="BD114" s="572">
        <v>8072</v>
      </c>
      <c r="BE114" s="572">
        <v>181</v>
      </c>
      <c r="BF114" s="572">
        <v>425</v>
      </c>
      <c r="BG114" s="572">
        <v>9428</v>
      </c>
      <c r="BH114" s="572">
        <v>193959</v>
      </c>
      <c r="BI114" s="572">
        <v>0</v>
      </c>
      <c r="BJ114" s="572">
        <v>0</v>
      </c>
      <c r="BK114" s="572">
        <v>0</v>
      </c>
      <c r="BL114" s="572">
        <v>37747</v>
      </c>
      <c r="BM114" s="572">
        <v>32937</v>
      </c>
      <c r="BN114" s="572">
        <v>0</v>
      </c>
      <c r="BO114" s="572">
        <v>0</v>
      </c>
      <c r="BP114" s="572">
        <v>0</v>
      </c>
      <c r="BQ114" s="572">
        <v>0</v>
      </c>
      <c r="BR114" s="572">
        <v>0</v>
      </c>
      <c r="BS114" s="572">
        <v>0</v>
      </c>
      <c r="BT114" s="572">
        <v>9415</v>
      </c>
      <c r="BU114" s="572">
        <v>0</v>
      </c>
      <c r="BV114" s="572">
        <v>0</v>
      </c>
      <c r="BW114" s="572">
        <v>15814</v>
      </c>
      <c r="BX114" s="572">
        <v>131558</v>
      </c>
      <c r="BY114" s="572">
        <v>767</v>
      </c>
      <c r="BZ114" s="572">
        <v>0</v>
      </c>
      <c r="CA114" s="572">
        <v>112261</v>
      </c>
      <c r="CB114" s="572">
        <v>0</v>
      </c>
      <c r="CC114" s="572">
        <v>516764</v>
      </c>
      <c r="CD114" s="572">
        <v>2</v>
      </c>
      <c r="CE114" s="572">
        <v>11470</v>
      </c>
      <c r="CF114" s="572">
        <v>0</v>
      </c>
      <c r="CG114" s="572">
        <v>3951</v>
      </c>
      <c r="CH114" s="572">
        <v>10786727</v>
      </c>
      <c r="CI114" s="572">
        <v>36282</v>
      </c>
      <c r="CJ114" s="572">
        <v>17739</v>
      </c>
      <c r="CK114" s="572">
        <v>0</v>
      </c>
      <c r="CL114" s="572">
        <v>473</v>
      </c>
      <c r="CM114" s="572">
        <v>37707</v>
      </c>
      <c r="CN114" s="572">
        <v>3900</v>
      </c>
      <c r="CO114" s="572">
        <v>272</v>
      </c>
      <c r="CP114" s="572">
        <v>0</v>
      </c>
      <c r="CQ114" s="572">
        <v>0</v>
      </c>
    </row>
    <row r="115" spans="1:95" ht="30" x14ac:dyDescent="0.25">
      <c r="A115" s="668">
        <v>351</v>
      </c>
      <c r="B115" s="590">
        <v>351</v>
      </c>
      <c r="C115" s="570" t="s">
        <v>317</v>
      </c>
      <c r="D115" s="567" t="s">
        <v>812</v>
      </c>
      <c r="E115" s="573">
        <v>0</v>
      </c>
      <c r="F115" s="574">
        <v>0</v>
      </c>
      <c r="G115" s="574">
        <v>0</v>
      </c>
      <c r="H115" s="574">
        <v>54619</v>
      </c>
      <c r="I115" s="574">
        <v>74768</v>
      </c>
      <c r="J115" s="574">
        <v>0</v>
      </c>
      <c r="K115" s="575">
        <v>559347</v>
      </c>
      <c r="L115" s="572">
        <v>36591</v>
      </c>
      <c r="M115" s="572">
        <v>0</v>
      </c>
      <c r="N115" s="571">
        <v>0</v>
      </c>
      <c r="O115" s="571">
        <v>17926</v>
      </c>
      <c r="P115" s="571">
        <v>0</v>
      </c>
      <c r="Q115" s="571">
        <v>16740</v>
      </c>
      <c r="R115" s="571">
        <v>0</v>
      </c>
      <c r="S115" s="571">
        <v>0</v>
      </c>
      <c r="T115" s="571">
        <v>0</v>
      </c>
      <c r="U115" s="571">
        <v>0</v>
      </c>
      <c r="V115" s="571">
        <v>0</v>
      </c>
      <c r="W115" s="571">
        <v>0</v>
      </c>
      <c r="X115" s="571">
        <v>0</v>
      </c>
      <c r="Y115" s="571">
        <v>45354</v>
      </c>
      <c r="Z115" s="571">
        <v>0</v>
      </c>
      <c r="AA115" s="571">
        <v>1509</v>
      </c>
      <c r="AB115" s="572">
        <v>60014</v>
      </c>
      <c r="AC115" s="572">
        <v>0</v>
      </c>
      <c r="AD115" s="572">
        <v>6046</v>
      </c>
      <c r="AE115" s="572">
        <v>853376</v>
      </c>
      <c r="AF115" s="572">
        <v>0</v>
      </c>
      <c r="AG115" s="572">
        <v>22933</v>
      </c>
      <c r="AH115" s="572">
        <v>0</v>
      </c>
      <c r="AI115" s="572">
        <v>0</v>
      </c>
      <c r="AJ115" s="572">
        <v>462873</v>
      </c>
      <c r="AK115" s="572">
        <v>38135</v>
      </c>
      <c r="AL115" s="572">
        <v>18358</v>
      </c>
      <c r="AM115" s="572">
        <v>72845</v>
      </c>
      <c r="AN115" s="572">
        <v>0</v>
      </c>
      <c r="AO115" s="572">
        <v>0</v>
      </c>
      <c r="AP115" s="572">
        <v>83359</v>
      </c>
      <c r="AQ115" s="572">
        <v>0</v>
      </c>
      <c r="AR115" s="572">
        <v>0</v>
      </c>
      <c r="AS115" s="572">
        <v>0</v>
      </c>
      <c r="AT115" s="572">
        <v>0</v>
      </c>
      <c r="AU115" s="572">
        <v>0</v>
      </c>
      <c r="AV115" s="572">
        <v>5127</v>
      </c>
      <c r="AW115" s="572">
        <v>10702</v>
      </c>
      <c r="AX115" s="572">
        <v>0</v>
      </c>
      <c r="AY115" s="572">
        <v>0</v>
      </c>
      <c r="AZ115" s="572">
        <v>0</v>
      </c>
      <c r="BA115" s="572">
        <v>161082</v>
      </c>
      <c r="BB115" s="572">
        <v>0</v>
      </c>
      <c r="BC115" s="572">
        <v>19812</v>
      </c>
      <c r="BD115" s="572">
        <v>440057</v>
      </c>
      <c r="BE115" s="572">
        <v>0</v>
      </c>
      <c r="BF115" s="572">
        <v>6422</v>
      </c>
      <c r="BG115" s="572">
        <v>38416</v>
      </c>
      <c r="BH115" s="572">
        <v>68094</v>
      </c>
      <c r="BI115" s="572">
        <v>0</v>
      </c>
      <c r="BJ115" s="572">
        <v>0</v>
      </c>
      <c r="BK115" s="572">
        <v>0</v>
      </c>
      <c r="BL115" s="572">
        <v>19652</v>
      </c>
      <c r="BM115" s="572">
        <v>47338</v>
      </c>
      <c r="BN115" s="572">
        <v>0</v>
      </c>
      <c r="BO115" s="572">
        <v>0</v>
      </c>
      <c r="BP115" s="572">
        <v>0</v>
      </c>
      <c r="BQ115" s="572">
        <v>0</v>
      </c>
      <c r="BR115" s="572">
        <v>0</v>
      </c>
      <c r="BS115" s="572">
        <v>0</v>
      </c>
      <c r="BT115" s="572">
        <v>15375</v>
      </c>
      <c r="BU115" s="572">
        <v>0</v>
      </c>
      <c r="BV115" s="572">
        <v>29247</v>
      </c>
      <c r="BW115" s="572">
        <v>52293</v>
      </c>
      <c r="BX115" s="572">
        <v>37931</v>
      </c>
      <c r="BY115" s="572">
        <v>0</v>
      </c>
      <c r="BZ115" s="572">
        <v>0</v>
      </c>
      <c r="CA115" s="572">
        <v>210358</v>
      </c>
      <c r="CB115" s="572">
        <v>0</v>
      </c>
      <c r="CC115" s="572">
        <v>734757</v>
      </c>
      <c r="CD115" s="572">
        <v>67329</v>
      </c>
      <c r="CE115" s="572">
        <v>0</v>
      </c>
      <c r="CF115" s="572">
        <v>0</v>
      </c>
      <c r="CG115" s="572">
        <v>108378</v>
      </c>
      <c r="CH115" s="572">
        <v>18597418</v>
      </c>
      <c r="CI115" s="572">
        <v>80596</v>
      </c>
      <c r="CJ115" s="572">
        <v>3577</v>
      </c>
      <c r="CK115" s="572">
        <v>0</v>
      </c>
      <c r="CL115" s="572">
        <v>0</v>
      </c>
      <c r="CM115" s="572">
        <v>0</v>
      </c>
      <c r="CN115" s="572">
        <v>0</v>
      </c>
      <c r="CO115" s="572">
        <v>99849</v>
      </c>
      <c r="CP115" s="572">
        <v>0</v>
      </c>
      <c r="CQ115" s="572">
        <v>0</v>
      </c>
    </row>
    <row r="116" spans="1:95" x14ac:dyDescent="0.25">
      <c r="A116" s="668">
        <v>352</v>
      </c>
      <c r="B116" s="590">
        <v>352</v>
      </c>
      <c r="C116" s="570" t="s">
        <v>319</v>
      </c>
      <c r="D116" s="567" t="s">
        <v>813</v>
      </c>
      <c r="E116" s="573">
        <v>0</v>
      </c>
      <c r="F116" s="574">
        <v>0</v>
      </c>
      <c r="G116" s="574">
        <v>0</v>
      </c>
      <c r="H116" s="574">
        <v>0</v>
      </c>
      <c r="I116" s="574">
        <v>0</v>
      </c>
      <c r="J116" s="574">
        <v>0</v>
      </c>
      <c r="K116" s="575">
        <v>0</v>
      </c>
      <c r="L116" s="572">
        <v>0</v>
      </c>
      <c r="M116" s="572">
        <v>0</v>
      </c>
      <c r="N116" s="571">
        <v>0</v>
      </c>
      <c r="O116" s="571">
        <v>0</v>
      </c>
      <c r="P116" s="571">
        <v>0</v>
      </c>
      <c r="Q116" s="571">
        <v>10007</v>
      </c>
      <c r="R116" s="571">
        <v>0</v>
      </c>
      <c r="S116" s="571">
        <v>0</v>
      </c>
      <c r="T116" s="571">
        <v>0</v>
      </c>
      <c r="U116" s="571">
        <v>0</v>
      </c>
      <c r="V116" s="571">
        <v>0</v>
      </c>
      <c r="W116" s="571">
        <v>0</v>
      </c>
      <c r="X116" s="571">
        <v>0</v>
      </c>
      <c r="Y116" s="571">
        <v>38258</v>
      </c>
      <c r="Z116" s="571">
        <v>0</v>
      </c>
      <c r="AA116" s="571">
        <v>0</v>
      </c>
      <c r="AB116" s="572">
        <v>0</v>
      </c>
      <c r="AC116" s="572">
        <v>0</v>
      </c>
      <c r="AD116" s="572">
        <v>0</v>
      </c>
      <c r="AE116" s="572">
        <v>0</v>
      </c>
      <c r="AF116" s="572">
        <v>0</v>
      </c>
      <c r="AG116" s="572">
        <v>20000</v>
      </c>
      <c r="AH116" s="572">
        <v>0</v>
      </c>
      <c r="AI116" s="572">
        <v>0</v>
      </c>
      <c r="AJ116" s="572">
        <v>1144641</v>
      </c>
      <c r="AK116" s="572">
        <v>0</v>
      </c>
      <c r="AL116" s="572">
        <v>0</v>
      </c>
      <c r="AM116" s="572">
        <v>0</v>
      </c>
      <c r="AN116" s="572">
        <v>0</v>
      </c>
      <c r="AO116" s="572">
        <v>0</v>
      </c>
      <c r="AP116" s="572">
        <v>0</v>
      </c>
      <c r="AQ116" s="572">
        <v>0</v>
      </c>
      <c r="AR116" s="572">
        <v>0</v>
      </c>
      <c r="AS116" s="572">
        <v>0</v>
      </c>
      <c r="AT116" s="572">
        <v>0</v>
      </c>
      <c r="AU116" s="572">
        <v>0</v>
      </c>
      <c r="AV116" s="572">
        <v>4169</v>
      </c>
      <c r="AW116" s="572">
        <v>0</v>
      </c>
      <c r="AX116" s="572">
        <v>0</v>
      </c>
      <c r="AY116" s="572">
        <v>0</v>
      </c>
      <c r="AZ116" s="572">
        <v>0</v>
      </c>
      <c r="BA116" s="572">
        <v>0</v>
      </c>
      <c r="BB116" s="572">
        <v>0</v>
      </c>
      <c r="BC116" s="572">
        <v>123209</v>
      </c>
      <c r="BD116" s="572">
        <v>156102</v>
      </c>
      <c r="BE116" s="572">
        <v>0</v>
      </c>
      <c r="BF116" s="572">
        <v>0</v>
      </c>
      <c r="BG116" s="572">
        <v>0</v>
      </c>
      <c r="BH116" s="572">
        <v>124088</v>
      </c>
      <c r="BI116" s="572">
        <v>0</v>
      </c>
      <c r="BJ116" s="572">
        <v>0</v>
      </c>
      <c r="BK116" s="572">
        <v>0</v>
      </c>
      <c r="BL116" s="572">
        <v>0</v>
      </c>
      <c r="BM116" s="572">
        <v>0</v>
      </c>
      <c r="BN116" s="572">
        <v>0</v>
      </c>
      <c r="BO116" s="572">
        <v>0</v>
      </c>
      <c r="BP116" s="572">
        <v>0</v>
      </c>
      <c r="BQ116" s="572">
        <v>0</v>
      </c>
      <c r="BR116" s="572">
        <v>0</v>
      </c>
      <c r="BS116" s="572">
        <v>0</v>
      </c>
      <c r="BT116" s="572">
        <v>0</v>
      </c>
      <c r="BU116" s="572">
        <v>0</v>
      </c>
      <c r="BV116" s="572">
        <v>0</v>
      </c>
      <c r="BW116" s="572">
        <v>0</v>
      </c>
      <c r="BX116" s="572">
        <v>0</v>
      </c>
      <c r="BY116" s="572">
        <v>0</v>
      </c>
      <c r="BZ116" s="572">
        <v>0</v>
      </c>
      <c r="CA116" s="572">
        <v>15083</v>
      </c>
      <c r="CB116" s="572">
        <v>0</v>
      </c>
      <c r="CC116" s="572">
        <v>0</v>
      </c>
      <c r="CD116" s="572">
        <v>0</v>
      </c>
      <c r="CE116" s="572">
        <v>0</v>
      </c>
      <c r="CF116" s="572">
        <v>0</v>
      </c>
      <c r="CG116" s="572">
        <v>0</v>
      </c>
      <c r="CH116" s="572">
        <v>0</v>
      </c>
      <c r="CI116" s="572">
        <v>0</v>
      </c>
      <c r="CJ116" s="572">
        <v>0</v>
      </c>
      <c r="CK116" s="572">
        <v>0</v>
      </c>
      <c r="CL116" s="572">
        <v>50000</v>
      </c>
      <c r="CM116" s="572">
        <v>0</v>
      </c>
      <c r="CN116" s="572">
        <v>0</v>
      </c>
      <c r="CO116" s="572">
        <v>0</v>
      </c>
      <c r="CP116" s="572">
        <v>0</v>
      </c>
      <c r="CQ116" s="572">
        <v>0</v>
      </c>
    </row>
    <row r="117" spans="1:95" x14ac:dyDescent="0.25">
      <c r="A117" s="667">
        <v>353</v>
      </c>
      <c r="B117" s="590">
        <v>353</v>
      </c>
      <c r="C117" s="570" t="s">
        <v>320</v>
      </c>
      <c r="D117" s="567" t="s">
        <v>814</v>
      </c>
      <c r="E117" s="573">
        <v>0</v>
      </c>
      <c r="F117" s="574">
        <v>0</v>
      </c>
      <c r="G117" s="574">
        <v>0</v>
      </c>
      <c r="H117" s="574">
        <v>0</v>
      </c>
      <c r="I117" s="574">
        <v>0</v>
      </c>
      <c r="J117" s="574">
        <v>0</v>
      </c>
      <c r="K117" s="575">
        <v>570878</v>
      </c>
      <c r="L117" s="572">
        <v>0</v>
      </c>
      <c r="M117" s="572">
        <v>0</v>
      </c>
      <c r="N117" s="571">
        <v>0</v>
      </c>
      <c r="O117" s="571">
        <v>24000</v>
      </c>
      <c r="P117" s="571">
        <v>0</v>
      </c>
      <c r="Q117" s="571">
        <v>0</v>
      </c>
      <c r="R117" s="571">
        <v>0</v>
      </c>
      <c r="S117" s="571">
        <v>0</v>
      </c>
      <c r="T117" s="571">
        <v>0</v>
      </c>
      <c r="U117" s="571">
        <v>0</v>
      </c>
      <c r="V117" s="571">
        <v>0</v>
      </c>
      <c r="W117" s="571">
        <v>0</v>
      </c>
      <c r="X117" s="571">
        <v>0</v>
      </c>
      <c r="Y117" s="571">
        <v>0</v>
      </c>
      <c r="Z117" s="571">
        <v>0</v>
      </c>
      <c r="AA117" s="571">
        <v>0</v>
      </c>
      <c r="AB117" s="572">
        <v>0</v>
      </c>
      <c r="AC117" s="572">
        <v>0</v>
      </c>
      <c r="AD117" s="572">
        <v>0</v>
      </c>
      <c r="AE117" s="572">
        <v>0</v>
      </c>
      <c r="AF117" s="572">
        <v>0</v>
      </c>
      <c r="AG117" s="572">
        <v>0</v>
      </c>
      <c r="AH117" s="572">
        <v>0</v>
      </c>
      <c r="AI117" s="572">
        <v>0</v>
      </c>
      <c r="AJ117" s="572">
        <v>0</v>
      </c>
      <c r="AK117" s="572">
        <v>0</v>
      </c>
      <c r="AL117" s="572">
        <v>0</v>
      </c>
      <c r="AM117" s="572">
        <v>0</v>
      </c>
      <c r="AN117" s="572">
        <v>0</v>
      </c>
      <c r="AO117" s="572">
        <v>0</v>
      </c>
      <c r="AP117" s="572">
        <v>815348</v>
      </c>
      <c r="AQ117" s="572">
        <v>0</v>
      </c>
      <c r="AR117" s="572">
        <v>0</v>
      </c>
      <c r="AS117" s="572">
        <v>0</v>
      </c>
      <c r="AT117" s="572">
        <v>0</v>
      </c>
      <c r="AU117" s="572">
        <v>0</v>
      </c>
      <c r="AV117" s="572">
        <v>0</v>
      </c>
      <c r="AW117" s="572">
        <v>0</v>
      </c>
      <c r="AX117" s="572">
        <v>20000</v>
      </c>
      <c r="AY117" s="572">
        <v>0</v>
      </c>
      <c r="AZ117" s="572">
        <v>0</v>
      </c>
      <c r="BA117" s="572">
        <v>0</v>
      </c>
      <c r="BB117" s="572">
        <v>0</v>
      </c>
      <c r="BC117" s="572">
        <v>0</v>
      </c>
      <c r="BD117" s="572">
        <v>0</v>
      </c>
      <c r="BE117" s="572">
        <v>0</v>
      </c>
      <c r="BF117" s="572">
        <v>0</v>
      </c>
      <c r="BG117" s="572">
        <v>0</v>
      </c>
      <c r="BH117" s="572">
        <v>384727</v>
      </c>
      <c r="BI117" s="572">
        <v>0</v>
      </c>
      <c r="BJ117" s="572">
        <v>0</v>
      </c>
      <c r="BK117" s="572">
        <v>0</v>
      </c>
      <c r="BL117" s="572">
        <v>214010</v>
      </c>
      <c r="BM117" s="572">
        <v>0</v>
      </c>
      <c r="BN117" s="572">
        <v>0</v>
      </c>
      <c r="BO117" s="572">
        <v>0</v>
      </c>
      <c r="BP117" s="572">
        <v>0</v>
      </c>
      <c r="BQ117" s="572">
        <v>0</v>
      </c>
      <c r="BR117" s="572">
        <v>0</v>
      </c>
      <c r="BS117" s="572">
        <v>0</v>
      </c>
      <c r="BT117" s="572">
        <v>0</v>
      </c>
      <c r="BU117" s="572">
        <v>0</v>
      </c>
      <c r="BV117" s="572">
        <v>0</v>
      </c>
      <c r="BW117" s="572">
        <v>0</v>
      </c>
      <c r="BX117" s="572">
        <v>406400</v>
      </c>
      <c r="BY117" s="572">
        <v>0</v>
      </c>
      <c r="BZ117" s="572">
        <v>0</v>
      </c>
      <c r="CA117" s="572">
        <v>0</v>
      </c>
      <c r="CB117" s="572">
        <v>0</v>
      </c>
      <c r="CC117" s="572">
        <v>0</v>
      </c>
      <c r="CD117" s="572">
        <v>109278</v>
      </c>
      <c r="CE117" s="572">
        <v>0</v>
      </c>
      <c r="CF117" s="572">
        <v>0</v>
      </c>
      <c r="CG117" s="572">
        <v>0</v>
      </c>
      <c r="CH117" s="572">
        <v>433007</v>
      </c>
      <c r="CI117" s="572">
        <v>0</v>
      </c>
      <c r="CJ117" s="572">
        <v>53340</v>
      </c>
      <c r="CK117" s="572">
        <v>0</v>
      </c>
      <c r="CL117" s="572">
        <v>0</v>
      </c>
      <c r="CM117" s="572">
        <v>0</v>
      </c>
      <c r="CN117" s="572">
        <v>0</v>
      </c>
      <c r="CO117" s="572">
        <v>0</v>
      </c>
      <c r="CP117" s="572">
        <v>0</v>
      </c>
      <c r="CQ117" s="572">
        <v>0</v>
      </c>
    </row>
    <row r="118" spans="1:95" ht="45" x14ac:dyDescent="0.25">
      <c r="A118" s="668">
        <v>356</v>
      </c>
      <c r="B118" s="590">
        <v>356</v>
      </c>
      <c r="C118" s="570" t="s">
        <v>433</v>
      </c>
      <c r="D118" s="567" t="s">
        <v>815</v>
      </c>
      <c r="E118" s="573">
        <v>0</v>
      </c>
      <c r="F118" s="574">
        <v>0</v>
      </c>
      <c r="G118" s="574">
        <v>0</v>
      </c>
      <c r="H118" s="574">
        <v>0</v>
      </c>
      <c r="I118" s="574">
        <v>2674272</v>
      </c>
      <c r="J118" s="574">
        <v>0</v>
      </c>
      <c r="K118" s="575">
        <v>48570708</v>
      </c>
      <c r="L118" s="572">
        <v>0</v>
      </c>
      <c r="M118" s="572">
        <v>0</v>
      </c>
      <c r="N118" s="571">
        <v>0</v>
      </c>
      <c r="O118" s="571">
        <v>0</v>
      </c>
      <c r="P118" s="571">
        <v>0</v>
      </c>
      <c r="Q118" s="571">
        <v>0</v>
      </c>
      <c r="R118" s="571">
        <v>0</v>
      </c>
      <c r="S118" s="571">
        <v>0</v>
      </c>
      <c r="T118" s="571">
        <v>0</v>
      </c>
      <c r="U118" s="571">
        <v>0</v>
      </c>
      <c r="V118" s="571">
        <v>0</v>
      </c>
      <c r="W118" s="571">
        <v>0</v>
      </c>
      <c r="X118" s="571">
        <v>0</v>
      </c>
      <c r="Y118" s="571">
        <v>0</v>
      </c>
      <c r="Z118" s="571">
        <v>0</v>
      </c>
      <c r="AA118" s="571">
        <v>53895672</v>
      </c>
      <c r="AB118" s="572">
        <v>0</v>
      </c>
      <c r="AC118" s="572">
        <v>0</v>
      </c>
      <c r="AD118" s="572">
        <v>0</v>
      </c>
      <c r="AE118" s="572">
        <v>0</v>
      </c>
      <c r="AF118" s="572">
        <v>0</v>
      </c>
      <c r="AG118" s="572">
        <v>0</v>
      </c>
      <c r="AH118" s="572">
        <v>0</v>
      </c>
      <c r="AI118" s="572">
        <v>0</v>
      </c>
      <c r="AJ118" s="572">
        <v>0</v>
      </c>
      <c r="AK118" s="572">
        <v>0</v>
      </c>
      <c r="AL118" s="572">
        <v>0</v>
      </c>
      <c r="AM118" s="572">
        <v>0</v>
      </c>
      <c r="AN118" s="572">
        <v>0</v>
      </c>
      <c r="AO118" s="572">
        <v>0</v>
      </c>
      <c r="AP118" s="572">
        <v>0</v>
      </c>
      <c r="AQ118" s="572">
        <v>0</v>
      </c>
      <c r="AR118" s="572">
        <v>0</v>
      </c>
      <c r="AS118" s="572">
        <v>0</v>
      </c>
      <c r="AT118" s="572">
        <v>0</v>
      </c>
      <c r="AU118" s="572">
        <v>0</v>
      </c>
      <c r="AV118" s="572">
        <v>0</v>
      </c>
      <c r="AW118" s="572">
        <v>0</v>
      </c>
      <c r="AX118" s="572">
        <v>0</v>
      </c>
      <c r="AY118" s="572">
        <v>35258714</v>
      </c>
      <c r="AZ118" s="572">
        <v>0</v>
      </c>
      <c r="BA118" s="572">
        <v>0</v>
      </c>
      <c r="BB118" s="572">
        <v>0</v>
      </c>
      <c r="BC118" s="572">
        <v>0</v>
      </c>
      <c r="BD118" s="572">
        <v>0</v>
      </c>
      <c r="BE118" s="572">
        <v>415728</v>
      </c>
      <c r="BF118" s="572">
        <v>0</v>
      </c>
      <c r="BG118" s="572">
        <v>0</v>
      </c>
      <c r="BH118" s="572">
        <v>71098777</v>
      </c>
      <c r="BI118" s="572">
        <v>0</v>
      </c>
      <c r="BJ118" s="572">
        <v>0</v>
      </c>
      <c r="BK118" s="572">
        <v>0</v>
      </c>
      <c r="BL118" s="572">
        <v>8208052</v>
      </c>
      <c r="BM118" s="572">
        <v>0</v>
      </c>
      <c r="BN118" s="572">
        <v>0</v>
      </c>
      <c r="BO118" s="572">
        <v>0</v>
      </c>
      <c r="BP118" s="572">
        <v>0</v>
      </c>
      <c r="BQ118" s="572">
        <v>0</v>
      </c>
      <c r="BR118" s="572">
        <v>0</v>
      </c>
      <c r="BS118" s="572">
        <v>0</v>
      </c>
      <c r="BT118" s="572">
        <v>0</v>
      </c>
      <c r="BU118" s="572">
        <v>0</v>
      </c>
      <c r="BV118" s="572">
        <v>0</v>
      </c>
      <c r="BW118" s="572">
        <v>0</v>
      </c>
      <c r="BX118" s="572">
        <v>0</v>
      </c>
      <c r="BY118" s="572">
        <v>0</v>
      </c>
      <c r="BZ118" s="572">
        <v>0</v>
      </c>
      <c r="CA118" s="572">
        <v>0</v>
      </c>
      <c r="CB118" s="572">
        <v>0</v>
      </c>
      <c r="CC118" s="572">
        <v>163088090</v>
      </c>
      <c r="CD118" s="572">
        <v>0</v>
      </c>
      <c r="CE118" s="572">
        <v>7397088</v>
      </c>
      <c r="CF118" s="572">
        <v>0</v>
      </c>
      <c r="CG118" s="572">
        <v>0</v>
      </c>
      <c r="CH118" s="572">
        <v>0</v>
      </c>
      <c r="CI118" s="572">
        <v>9812051</v>
      </c>
      <c r="CJ118" s="572">
        <v>0</v>
      </c>
      <c r="CK118" s="572">
        <v>0</v>
      </c>
      <c r="CL118" s="572">
        <v>0</v>
      </c>
      <c r="CM118" s="572">
        <v>0</v>
      </c>
      <c r="CN118" s="572">
        <v>0</v>
      </c>
      <c r="CO118" s="572">
        <v>0</v>
      </c>
      <c r="CP118" s="572">
        <v>0</v>
      </c>
      <c r="CQ118" s="572">
        <v>0</v>
      </c>
    </row>
    <row r="119" spans="1:95" ht="30" x14ac:dyDescent="0.25">
      <c r="A119" s="668">
        <v>357</v>
      </c>
      <c r="B119" s="590">
        <v>357</v>
      </c>
      <c r="C119" s="570" t="s">
        <v>434</v>
      </c>
      <c r="D119" s="567" t="s">
        <v>816</v>
      </c>
      <c r="E119" s="573">
        <v>0</v>
      </c>
      <c r="F119" s="574">
        <v>0</v>
      </c>
      <c r="G119" s="574">
        <v>0</v>
      </c>
      <c r="H119" s="574">
        <v>0</v>
      </c>
      <c r="I119" s="574">
        <v>1506536</v>
      </c>
      <c r="J119" s="574">
        <v>0</v>
      </c>
      <c r="K119" s="575">
        <v>25040951</v>
      </c>
      <c r="L119" s="572">
        <v>0</v>
      </c>
      <c r="M119" s="572">
        <v>0</v>
      </c>
      <c r="N119" s="571">
        <v>0</v>
      </c>
      <c r="O119" s="571">
        <v>0</v>
      </c>
      <c r="P119" s="571">
        <v>0</v>
      </c>
      <c r="Q119" s="571">
        <v>0</v>
      </c>
      <c r="R119" s="571">
        <v>0</v>
      </c>
      <c r="S119" s="571">
        <v>0</v>
      </c>
      <c r="T119" s="571">
        <v>0</v>
      </c>
      <c r="U119" s="571">
        <v>0</v>
      </c>
      <c r="V119" s="571">
        <v>0</v>
      </c>
      <c r="W119" s="571">
        <v>0</v>
      </c>
      <c r="X119" s="571">
        <v>0</v>
      </c>
      <c r="Y119" s="571">
        <v>0</v>
      </c>
      <c r="Z119" s="571">
        <v>0</v>
      </c>
      <c r="AA119" s="571">
        <v>36798113</v>
      </c>
      <c r="AB119" s="572">
        <v>0</v>
      </c>
      <c r="AC119" s="572">
        <v>0</v>
      </c>
      <c r="AD119" s="572">
        <v>0</v>
      </c>
      <c r="AE119" s="572">
        <v>0</v>
      </c>
      <c r="AF119" s="572">
        <v>0</v>
      </c>
      <c r="AG119" s="572">
        <v>0</v>
      </c>
      <c r="AH119" s="572">
        <v>0</v>
      </c>
      <c r="AI119" s="572">
        <v>0</v>
      </c>
      <c r="AJ119" s="572">
        <v>0</v>
      </c>
      <c r="AK119" s="572">
        <v>0</v>
      </c>
      <c r="AL119" s="572">
        <v>0</v>
      </c>
      <c r="AM119" s="572">
        <v>0</v>
      </c>
      <c r="AN119" s="572">
        <v>0</v>
      </c>
      <c r="AO119" s="572">
        <v>0</v>
      </c>
      <c r="AP119" s="572">
        <v>0</v>
      </c>
      <c r="AQ119" s="572">
        <v>0</v>
      </c>
      <c r="AR119" s="572">
        <v>0</v>
      </c>
      <c r="AS119" s="572">
        <v>0</v>
      </c>
      <c r="AT119" s="572">
        <v>0</v>
      </c>
      <c r="AU119" s="572">
        <v>0</v>
      </c>
      <c r="AV119" s="572">
        <v>0</v>
      </c>
      <c r="AW119" s="572">
        <v>0</v>
      </c>
      <c r="AX119" s="572">
        <v>0</v>
      </c>
      <c r="AY119" s="572">
        <v>16311778</v>
      </c>
      <c r="AZ119" s="572">
        <v>0</v>
      </c>
      <c r="BA119" s="572">
        <v>0</v>
      </c>
      <c r="BB119" s="572">
        <v>0</v>
      </c>
      <c r="BC119" s="572">
        <v>0</v>
      </c>
      <c r="BD119" s="572">
        <v>0</v>
      </c>
      <c r="BE119" s="572">
        <v>323903</v>
      </c>
      <c r="BF119" s="572">
        <v>0</v>
      </c>
      <c r="BG119" s="572">
        <v>0</v>
      </c>
      <c r="BH119" s="572">
        <v>42455747</v>
      </c>
      <c r="BI119" s="572">
        <v>0</v>
      </c>
      <c r="BJ119" s="572">
        <v>0</v>
      </c>
      <c r="BK119" s="572">
        <v>0</v>
      </c>
      <c r="BL119" s="572">
        <v>5424060</v>
      </c>
      <c r="BM119" s="572">
        <v>0</v>
      </c>
      <c r="BN119" s="572">
        <v>0</v>
      </c>
      <c r="BO119" s="572">
        <v>0</v>
      </c>
      <c r="BP119" s="572">
        <v>0</v>
      </c>
      <c r="BQ119" s="572">
        <v>0</v>
      </c>
      <c r="BR119" s="572">
        <v>0</v>
      </c>
      <c r="BS119" s="572">
        <v>0</v>
      </c>
      <c r="BT119" s="572">
        <v>0</v>
      </c>
      <c r="BU119" s="572">
        <v>0</v>
      </c>
      <c r="BV119" s="572">
        <v>0</v>
      </c>
      <c r="BW119" s="572">
        <v>0</v>
      </c>
      <c r="BX119" s="572">
        <v>0</v>
      </c>
      <c r="BY119" s="572">
        <v>0</v>
      </c>
      <c r="BZ119" s="572">
        <v>0</v>
      </c>
      <c r="CA119" s="572">
        <v>0</v>
      </c>
      <c r="CB119" s="572">
        <v>0</v>
      </c>
      <c r="CC119" s="572">
        <v>87709245</v>
      </c>
      <c r="CD119" s="572">
        <v>0</v>
      </c>
      <c r="CE119" s="572">
        <v>5092985</v>
      </c>
      <c r="CF119" s="572">
        <v>0</v>
      </c>
      <c r="CG119" s="572">
        <v>0</v>
      </c>
      <c r="CH119" s="572">
        <v>0</v>
      </c>
      <c r="CI119" s="572">
        <v>4923353</v>
      </c>
      <c r="CJ119" s="572">
        <v>0</v>
      </c>
      <c r="CK119" s="572">
        <v>0</v>
      </c>
      <c r="CL119" s="572">
        <v>0</v>
      </c>
      <c r="CM119" s="572">
        <v>0</v>
      </c>
      <c r="CN119" s="572">
        <v>0</v>
      </c>
      <c r="CO119" s="572">
        <v>0</v>
      </c>
      <c r="CP119" s="572">
        <v>0</v>
      </c>
      <c r="CQ119" s="572">
        <v>0</v>
      </c>
    </row>
    <row r="120" spans="1:95" x14ac:dyDescent="0.25">
      <c r="A120" s="668">
        <v>359</v>
      </c>
      <c r="B120" s="590">
        <v>359</v>
      </c>
      <c r="C120" s="570" t="s">
        <v>341</v>
      </c>
      <c r="D120" s="567" t="s">
        <v>817</v>
      </c>
      <c r="E120" s="573">
        <v>0</v>
      </c>
      <c r="F120" s="574">
        <v>0</v>
      </c>
      <c r="G120" s="574">
        <v>0</v>
      </c>
      <c r="H120" s="574">
        <v>0</v>
      </c>
      <c r="I120" s="574">
        <v>0</v>
      </c>
      <c r="J120" s="574">
        <v>0</v>
      </c>
      <c r="K120" s="575">
        <v>0</v>
      </c>
      <c r="L120" s="572">
        <v>0</v>
      </c>
      <c r="M120" s="572">
        <v>0</v>
      </c>
      <c r="N120" s="571">
        <v>0</v>
      </c>
      <c r="O120" s="571">
        <v>0</v>
      </c>
      <c r="P120" s="571">
        <v>0</v>
      </c>
      <c r="Q120" s="571">
        <v>0</v>
      </c>
      <c r="R120" s="571">
        <v>0</v>
      </c>
      <c r="S120" s="571">
        <v>0</v>
      </c>
      <c r="T120" s="571">
        <v>0</v>
      </c>
      <c r="U120" s="571">
        <v>0</v>
      </c>
      <c r="V120" s="571">
        <v>0</v>
      </c>
      <c r="W120" s="571">
        <v>0</v>
      </c>
      <c r="X120" s="571">
        <v>0</v>
      </c>
      <c r="Y120" s="571">
        <v>0</v>
      </c>
      <c r="Z120" s="571">
        <v>0</v>
      </c>
      <c r="AA120" s="571">
        <v>18993</v>
      </c>
      <c r="AB120" s="572">
        <v>0</v>
      </c>
      <c r="AC120" s="572">
        <v>0</v>
      </c>
      <c r="AD120" s="572">
        <v>0</v>
      </c>
      <c r="AE120" s="572">
        <v>0</v>
      </c>
      <c r="AF120" s="572">
        <v>0</v>
      </c>
      <c r="AG120" s="572">
        <v>0</v>
      </c>
      <c r="AH120" s="572">
        <v>0</v>
      </c>
      <c r="AI120" s="572">
        <v>0</v>
      </c>
      <c r="AJ120" s="572">
        <v>0</v>
      </c>
      <c r="AK120" s="572">
        <v>0</v>
      </c>
      <c r="AL120" s="572">
        <v>0</v>
      </c>
      <c r="AM120" s="572">
        <v>0</v>
      </c>
      <c r="AN120" s="572">
        <v>0</v>
      </c>
      <c r="AO120" s="572">
        <v>0</v>
      </c>
      <c r="AP120" s="572">
        <v>0</v>
      </c>
      <c r="AQ120" s="572">
        <v>0</v>
      </c>
      <c r="AR120" s="572">
        <v>0</v>
      </c>
      <c r="AS120" s="572">
        <v>0</v>
      </c>
      <c r="AT120" s="572">
        <v>0</v>
      </c>
      <c r="AU120" s="572">
        <v>0</v>
      </c>
      <c r="AV120" s="572">
        <v>0</v>
      </c>
      <c r="AW120" s="572">
        <v>0</v>
      </c>
      <c r="AX120" s="572">
        <v>0</v>
      </c>
      <c r="AY120" s="572">
        <v>2474950</v>
      </c>
      <c r="AZ120" s="572">
        <v>0</v>
      </c>
      <c r="BA120" s="572">
        <v>0</v>
      </c>
      <c r="BB120" s="572">
        <v>0</v>
      </c>
      <c r="BC120" s="572">
        <v>0</v>
      </c>
      <c r="BD120" s="572">
        <v>0</v>
      </c>
      <c r="BE120" s="572">
        <v>0</v>
      </c>
      <c r="BF120" s="572">
        <v>0</v>
      </c>
      <c r="BG120" s="572">
        <v>0</v>
      </c>
      <c r="BH120" s="572">
        <v>0</v>
      </c>
      <c r="BI120" s="572">
        <v>0</v>
      </c>
      <c r="BJ120" s="572">
        <v>0</v>
      </c>
      <c r="BK120" s="572">
        <v>0</v>
      </c>
      <c r="BL120" s="572">
        <v>976747</v>
      </c>
      <c r="BM120" s="572">
        <v>0</v>
      </c>
      <c r="BN120" s="572">
        <v>0</v>
      </c>
      <c r="BO120" s="572">
        <v>0</v>
      </c>
      <c r="BP120" s="572">
        <v>0</v>
      </c>
      <c r="BQ120" s="572">
        <v>0</v>
      </c>
      <c r="BR120" s="572">
        <v>0</v>
      </c>
      <c r="BS120" s="572">
        <v>0</v>
      </c>
      <c r="BT120" s="572">
        <v>0</v>
      </c>
      <c r="BU120" s="572">
        <v>0</v>
      </c>
      <c r="BV120" s="572">
        <v>0</v>
      </c>
      <c r="BW120" s="572">
        <v>0</v>
      </c>
      <c r="BX120" s="572">
        <v>0</v>
      </c>
      <c r="BY120" s="572">
        <v>0</v>
      </c>
      <c r="BZ120" s="572">
        <v>0</v>
      </c>
      <c r="CA120" s="572">
        <v>0</v>
      </c>
      <c r="CB120" s="572">
        <v>0</v>
      </c>
      <c r="CC120" s="572">
        <v>19983025</v>
      </c>
      <c r="CD120" s="572">
        <v>0</v>
      </c>
      <c r="CE120" s="572">
        <v>0</v>
      </c>
      <c r="CF120" s="572">
        <v>0</v>
      </c>
      <c r="CG120" s="572">
        <v>0</v>
      </c>
      <c r="CH120" s="572">
        <v>0</v>
      </c>
      <c r="CI120" s="572">
        <v>1748313</v>
      </c>
      <c r="CJ120" s="572">
        <v>0</v>
      </c>
      <c r="CK120" s="572">
        <v>0</v>
      </c>
      <c r="CL120" s="572">
        <v>0</v>
      </c>
      <c r="CM120" s="572">
        <v>0</v>
      </c>
      <c r="CN120" s="572">
        <v>0</v>
      </c>
      <c r="CO120" s="572">
        <v>0</v>
      </c>
      <c r="CP120" s="572">
        <v>0</v>
      </c>
      <c r="CQ120" s="572">
        <v>0</v>
      </c>
    </row>
    <row r="121" spans="1:95" ht="30" x14ac:dyDescent="0.25">
      <c r="A121" s="668">
        <v>360</v>
      </c>
      <c r="B121" s="590">
        <v>360</v>
      </c>
      <c r="C121" s="570" t="s">
        <v>147</v>
      </c>
      <c r="D121" s="567" t="s">
        <v>818</v>
      </c>
      <c r="E121" s="573">
        <v>0</v>
      </c>
      <c r="F121" s="574">
        <v>0</v>
      </c>
      <c r="G121" s="574">
        <v>0</v>
      </c>
      <c r="H121" s="574">
        <v>0</v>
      </c>
      <c r="I121" s="574">
        <v>346540</v>
      </c>
      <c r="J121" s="574">
        <v>0</v>
      </c>
      <c r="K121" s="575">
        <v>6147982</v>
      </c>
      <c r="L121" s="572">
        <v>0</v>
      </c>
      <c r="M121" s="572">
        <v>0</v>
      </c>
      <c r="N121" s="571">
        <v>0</v>
      </c>
      <c r="O121" s="571">
        <v>0</v>
      </c>
      <c r="P121" s="571">
        <v>0</v>
      </c>
      <c r="Q121" s="571">
        <v>0</v>
      </c>
      <c r="R121" s="571">
        <v>0</v>
      </c>
      <c r="S121" s="571">
        <v>0</v>
      </c>
      <c r="T121" s="571">
        <v>0</v>
      </c>
      <c r="U121" s="571">
        <v>0</v>
      </c>
      <c r="V121" s="571">
        <v>0</v>
      </c>
      <c r="W121" s="571">
        <v>0</v>
      </c>
      <c r="X121" s="571">
        <v>0</v>
      </c>
      <c r="Y121" s="571">
        <v>0</v>
      </c>
      <c r="Z121" s="571">
        <v>0</v>
      </c>
      <c r="AA121" s="571">
        <v>5505660</v>
      </c>
      <c r="AB121" s="572">
        <v>0</v>
      </c>
      <c r="AC121" s="572">
        <v>0</v>
      </c>
      <c r="AD121" s="572">
        <v>0</v>
      </c>
      <c r="AE121" s="572">
        <v>0</v>
      </c>
      <c r="AF121" s="572">
        <v>0</v>
      </c>
      <c r="AG121" s="572">
        <v>0</v>
      </c>
      <c r="AH121" s="572">
        <v>0</v>
      </c>
      <c r="AI121" s="572">
        <v>0</v>
      </c>
      <c r="AJ121" s="572">
        <v>0</v>
      </c>
      <c r="AK121" s="572">
        <v>0</v>
      </c>
      <c r="AL121" s="572">
        <v>0</v>
      </c>
      <c r="AM121" s="572">
        <v>0</v>
      </c>
      <c r="AN121" s="572">
        <v>0</v>
      </c>
      <c r="AO121" s="572">
        <v>0</v>
      </c>
      <c r="AP121" s="572">
        <v>0</v>
      </c>
      <c r="AQ121" s="572">
        <v>0</v>
      </c>
      <c r="AR121" s="572">
        <v>0</v>
      </c>
      <c r="AS121" s="572">
        <v>0</v>
      </c>
      <c r="AT121" s="572">
        <v>0</v>
      </c>
      <c r="AU121" s="572">
        <v>0</v>
      </c>
      <c r="AV121" s="572">
        <v>0</v>
      </c>
      <c r="AW121" s="572">
        <v>0</v>
      </c>
      <c r="AX121" s="572">
        <v>0</v>
      </c>
      <c r="AY121" s="572">
        <v>8502483</v>
      </c>
      <c r="AZ121" s="572">
        <v>0</v>
      </c>
      <c r="BA121" s="572">
        <v>0</v>
      </c>
      <c r="BB121" s="572">
        <v>0</v>
      </c>
      <c r="BC121" s="572">
        <v>0</v>
      </c>
      <c r="BD121" s="572">
        <v>0</v>
      </c>
      <c r="BE121" s="572">
        <v>21100</v>
      </c>
      <c r="BF121" s="572">
        <v>0</v>
      </c>
      <c r="BG121" s="572">
        <v>0</v>
      </c>
      <c r="BH121" s="572">
        <v>4343289</v>
      </c>
      <c r="BI121" s="572">
        <v>0</v>
      </c>
      <c r="BJ121" s="572">
        <v>0</v>
      </c>
      <c r="BK121" s="572">
        <v>0</v>
      </c>
      <c r="BL121" s="572">
        <v>1791996</v>
      </c>
      <c r="BM121" s="572">
        <v>0</v>
      </c>
      <c r="BN121" s="572">
        <v>0</v>
      </c>
      <c r="BO121" s="572">
        <v>0</v>
      </c>
      <c r="BP121" s="572">
        <v>0</v>
      </c>
      <c r="BQ121" s="572">
        <v>0</v>
      </c>
      <c r="BR121" s="572">
        <v>0</v>
      </c>
      <c r="BS121" s="572">
        <v>0</v>
      </c>
      <c r="BT121" s="572">
        <v>0</v>
      </c>
      <c r="BU121" s="572">
        <v>0</v>
      </c>
      <c r="BV121" s="572">
        <v>0</v>
      </c>
      <c r="BW121" s="572">
        <v>0</v>
      </c>
      <c r="BX121" s="572">
        <v>0</v>
      </c>
      <c r="BY121" s="572">
        <v>0</v>
      </c>
      <c r="BZ121" s="572">
        <v>0</v>
      </c>
      <c r="CA121" s="572">
        <v>0</v>
      </c>
      <c r="CB121" s="572">
        <v>0</v>
      </c>
      <c r="CC121" s="572">
        <v>40837385</v>
      </c>
      <c r="CD121" s="572">
        <v>0</v>
      </c>
      <c r="CE121" s="572">
        <v>1353864</v>
      </c>
      <c r="CF121" s="572">
        <v>0</v>
      </c>
      <c r="CG121" s="572">
        <v>0</v>
      </c>
      <c r="CH121" s="572">
        <v>0</v>
      </c>
      <c r="CI121" s="572">
        <v>2389450</v>
      </c>
      <c r="CJ121" s="572">
        <v>0</v>
      </c>
      <c r="CK121" s="572">
        <v>0</v>
      </c>
      <c r="CL121" s="572">
        <v>0</v>
      </c>
      <c r="CM121" s="572">
        <v>0</v>
      </c>
      <c r="CN121" s="572">
        <v>0</v>
      </c>
      <c r="CO121" s="572">
        <v>0</v>
      </c>
      <c r="CP121" s="572">
        <v>0</v>
      </c>
      <c r="CQ121" s="572">
        <v>0</v>
      </c>
    </row>
    <row r="122" spans="1:95" ht="30" x14ac:dyDescent="0.25">
      <c r="A122" s="668">
        <v>361</v>
      </c>
      <c r="B122" s="590">
        <v>361</v>
      </c>
      <c r="C122" s="570" t="s">
        <v>125</v>
      </c>
      <c r="D122" s="567" t="s">
        <v>819</v>
      </c>
      <c r="E122" s="573">
        <v>0</v>
      </c>
      <c r="F122" s="574">
        <v>0</v>
      </c>
      <c r="G122" s="574">
        <v>0</v>
      </c>
      <c r="H122" s="574">
        <v>0</v>
      </c>
      <c r="I122" s="574">
        <v>2898765</v>
      </c>
      <c r="J122" s="574">
        <v>0</v>
      </c>
      <c r="K122" s="575">
        <v>26315673</v>
      </c>
      <c r="L122" s="572">
        <v>0</v>
      </c>
      <c r="M122" s="572">
        <v>0</v>
      </c>
      <c r="N122" s="571">
        <v>0</v>
      </c>
      <c r="O122" s="571">
        <v>0</v>
      </c>
      <c r="P122" s="571">
        <v>0</v>
      </c>
      <c r="Q122" s="571">
        <v>0</v>
      </c>
      <c r="R122" s="571">
        <v>0</v>
      </c>
      <c r="S122" s="571">
        <v>0</v>
      </c>
      <c r="T122" s="571">
        <v>0</v>
      </c>
      <c r="U122" s="571">
        <v>0</v>
      </c>
      <c r="V122" s="571">
        <v>0</v>
      </c>
      <c r="W122" s="571">
        <v>0</v>
      </c>
      <c r="X122" s="571">
        <v>0</v>
      </c>
      <c r="Y122" s="571">
        <v>0</v>
      </c>
      <c r="Z122" s="571">
        <v>0</v>
      </c>
      <c r="AA122" s="571">
        <v>12116950</v>
      </c>
      <c r="AB122" s="572">
        <v>0</v>
      </c>
      <c r="AC122" s="572">
        <v>0</v>
      </c>
      <c r="AD122" s="572">
        <v>0</v>
      </c>
      <c r="AE122" s="572">
        <v>0</v>
      </c>
      <c r="AF122" s="572">
        <v>0</v>
      </c>
      <c r="AG122" s="572">
        <v>0</v>
      </c>
      <c r="AH122" s="572">
        <v>0</v>
      </c>
      <c r="AI122" s="572">
        <v>0</v>
      </c>
      <c r="AJ122" s="572">
        <v>0</v>
      </c>
      <c r="AK122" s="572">
        <v>0</v>
      </c>
      <c r="AL122" s="572">
        <v>0</v>
      </c>
      <c r="AM122" s="572">
        <v>0</v>
      </c>
      <c r="AN122" s="572">
        <v>0</v>
      </c>
      <c r="AO122" s="572">
        <v>0</v>
      </c>
      <c r="AP122" s="572">
        <v>0</v>
      </c>
      <c r="AQ122" s="572">
        <v>0</v>
      </c>
      <c r="AR122" s="572">
        <v>0</v>
      </c>
      <c r="AS122" s="572">
        <v>0</v>
      </c>
      <c r="AT122" s="572">
        <v>0</v>
      </c>
      <c r="AU122" s="572">
        <v>0</v>
      </c>
      <c r="AV122" s="572">
        <v>0</v>
      </c>
      <c r="AW122" s="572">
        <v>0</v>
      </c>
      <c r="AX122" s="572">
        <v>0</v>
      </c>
      <c r="AY122" s="572">
        <v>2447316</v>
      </c>
      <c r="AZ122" s="572">
        <v>0</v>
      </c>
      <c r="BA122" s="572">
        <v>0</v>
      </c>
      <c r="BB122" s="572">
        <v>0</v>
      </c>
      <c r="BC122" s="572">
        <v>0</v>
      </c>
      <c r="BD122" s="572">
        <v>0</v>
      </c>
      <c r="BE122" s="572">
        <v>305199</v>
      </c>
      <c r="BF122" s="572">
        <v>0</v>
      </c>
      <c r="BG122" s="572">
        <v>0</v>
      </c>
      <c r="BH122" s="572">
        <v>16195418</v>
      </c>
      <c r="BI122" s="572">
        <v>0</v>
      </c>
      <c r="BJ122" s="572">
        <v>0</v>
      </c>
      <c r="BK122" s="572">
        <v>0</v>
      </c>
      <c r="BL122" s="572">
        <v>2496561</v>
      </c>
      <c r="BM122" s="572">
        <v>0</v>
      </c>
      <c r="BN122" s="572">
        <v>0</v>
      </c>
      <c r="BO122" s="572">
        <v>0</v>
      </c>
      <c r="BP122" s="572">
        <v>0</v>
      </c>
      <c r="BQ122" s="572">
        <v>0</v>
      </c>
      <c r="BR122" s="572">
        <v>0</v>
      </c>
      <c r="BS122" s="572">
        <v>0</v>
      </c>
      <c r="BT122" s="572">
        <v>0</v>
      </c>
      <c r="BU122" s="572">
        <v>0</v>
      </c>
      <c r="BV122" s="572">
        <v>0</v>
      </c>
      <c r="BW122" s="572">
        <v>0</v>
      </c>
      <c r="BX122" s="572">
        <v>0</v>
      </c>
      <c r="BY122" s="572">
        <v>0</v>
      </c>
      <c r="BZ122" s="572">
        <v>0</v>
      </c>
      <c r="CA122" s="572">
        <v>0</v>
      </c>
      <c r="CB122" s="572">
        <v>0</v>
      </c>
      <c r="CC122" s="572">
        <v>36815387</v>
      </c>
      <c r="CD122" s="572">
        <v>0</v>
      </c>
      <c r="CE122" s="572">
        <v>2903466</v>
      </c>
      <c r="CF122" s="572">
        <v>0</v>
      </c>
      <c r="CG122" s="572">
        <v>0</v>
      </c>
      <c r="CH122" s="572">
        <v>0</v>
      </c>
      <c r="CI122" s="572">
        <v>7143123</v>
      </c>
      <c r="CJ122" s="572">
        <v>0</v>
      </c>
      <c r="CK122" s="572">
        <v>0</v>
      </c>
      <c r="CL122" s="572">
        <v>0</v>
      </c>
      <c r="CM122" s="572">
        <v>0</v>
      </c>
      <c r="CN122" s="572">
        <v>0</v>
      </c>
      <c r="CO122" s="572">
        <v>0</v>
      </c>
      <c r="CP122" s="572">
        <v>0</v>
      </c>
      <c r="CQ122" s="572">
        <v>0</v>
      </c>
    </row>
    <row r="123" spans="1:95" x14ac:dyDescent="0.25">
      <c r="A123" s="668">
        <v>362</v>
      </c>
      <c r="B123" s="590">
        <v>362</v>
      </c>
      <c r="C123" s="570" t="s">
        <v>126</v>
      </c>
      <c r="D123" s="567" t="s">
        <v>820</v>
      </c>
      <c r="E123" s="573">
        <v>0</v>
      </c>
      <c r="F123" s="574">
        <v>0</v>
      </c>
      <c r="G123" s="574">
        <v>0</v>
      </c>
      <c r="H123" s="574">
        <v>0</v>
      </c>
      <c r="I123" s="574">
        <v>4087337</v>
      </c>
      <c r="J123" s="574">
        <v>0</v>
      </c>
      <c r="K123" s="575">
        <v>49863530</v>
      </c>
      <c r="L123" s="572">
        <v>0</v>
      </c>
      <c r="M123" s="572">
        <v>0</v>
      </c>
      <c r="N123" s="571">
        <v>0</v>
      </c>
      <c r="O123" s="571">
        <v>0</v>
      </c>
      <c r="P123" s="571">
        <v>0</v>
      </c>
      <c r="Q123" s="571">
        <v>0</v>
      </c>
      <c r="R123" s="571">
        <v>0</v>
      </c>
      <c r="S123" s="571">
        <v>0</v>
      </c>
      <c r="T123" s="571">
        <v>0</v>
      </c>
      <c r="U123" s="571">
        <v>0</v>
      </c>
      <c r="V123" s="571">
        <v>0</v>
      </c>
      <c r="W123" s="571">
        <v>0</v>
      </c>
      <c r="X123" s="571">
        <v>0</v>
      </c>
      <c r="Y123" s="571">
        <v>0</v>
      </c>
      <c r="Z123" s="571">
        <v>0</v>
      </c>
      <c r="AA123" s="571">
        <v>31280410</v>
      </c>
      <c r="AB123" s="572">
        <v>0</v>
      </c>
      <c r="AC123" s="572">
        <v>0</v>
      </c>
      <c r="AD123" s="572">
        <v>0</v>
      </c>
      <c r="AE123" s="572">
        <v>0</v>
      </c>
      <c r="AF123" s="572">
        <v>0</v>
      </c>
      <c r="AG123" s="572">
        <v>0</v>
      </c>
      <c r="AH123" s="572">
        <v>0</v>
      </c>
      <c r="AI123" s="572">
        <v>0</v>
      </c>
      <c r="AJ123" s="572">
        <v>0</v>
      </c>
      <c r="AK123" s="572">
        <v>0</v>
      </c>
      <c r="AL123" s="572">
        <v>0</v>
      </c>
      <c r="AM123" s="572">
        <v>0</v>
      </c>
      <c r="AN123" s="572">
        <v>0</v>
      </c>
      <c r="AO123" s="572">
        <v>0</v>
      </c>
      <c r="AP123" s="572">
        <v>0</v>
      </c>
      <c r="AQ123" s="572">
        <v>0</v>
      </c>
      <c r="AR123" s="572">
        <v>0</v>
      </c>
      <c r="AS123" s="572">
        <v>0</v>
      </c>
      <c r="AT123" s="572">
        <v>0</v>
      </c>
      <c r="AU123" s="572">
        <v>0</v>
      </c>
      <c r="AV123" s="572">
        <v>0</v>
      </c>
      <c r="AW123" s="572">
        <v>0</v>
      </c>
      <c r="AX123" s="572">
        <v>0</v>
      </c>
      <c r="AY123" s="572">
        <v>19429907</v>
      </c>
      <c r="AZ123" s="572">
        <v>0</v>
      </c>
      <c r="BA123" s="572">
        <v>0</v>
      </c>
      <c r="BB123" s="572">
        <v>0</v>
      </c>
      <c r="BC123" s="572">
        <v>0</v>
      </c>
      <c r="BD123" s="572">
        <v>0</v>
      </c>
      <c r="BE123" s="572">
        <v>397025</v>
      </c>
      <c r="BF123" s="572">
        <v>0</v>
      </c>
      <c r="BG123" s="572">
        <v>0</v>
      </c>
      <c r="BH123" s="572">
        <v>45290513</v>
      </c>
      <c r="BI123" s="572">
        <v>0</v>
      </c>
      <c r="BJ123" s="572">
        <v>0</v>
      </c>
      <c r="BK123" s="572">
        <v>0</v>
      </c>
      <c r="BL123" s="572">
        <v>4533864</v>
      </c>
      <c r="BM123" s="572">
        <v>0</v>
      </c>
      <c r="BN123" s="572">
        <v>0</v>
      </c>
      <c r="BO123" s="572">
        <v>0</v>
      </c>
      <c r="BP123" s="572">
        <v>0</v>
      </c>
      <c r="BQ123" s="572">
        <v>0</v>
      </c>
      <c r="BR123" s="572">
        <v>0</v>
      </c>
      <c r="BS123" s="572">
        <v>0</v>
      </c>
      <c r="BT123" s="572">
        <v>0</v>
      </c>
      <c r="BU123" s="572">
        <v>0</v>
      </c>
      <c r="BV123" s="572">
        <v>0</v>
      </c>
      <c r="BW123" s="572">
        <v>0</v>
      </c>
      <c r="BX123" s="572">
        <v>0</v>
      </c>
      <c r="BY123" s="572">
        <v>0</v>
      </c>
      <c r="BZ123" s="572">
        <v>0</v>
      </c>
      <c r="CA123" s="572">
        <v>0</v>
      </c>
      <c r="CB123" s="572">
        <v>0</v>
      </c>
      <c r="CC123" s="572">
        <v>97734946</v>
      </c>
      <c r="CD123" s="572">
        <v>0</v>
      </c>
      <c r="CE123" s="572">
        <v>5224094</v>
      </c>
      <c r="CF123" s="572">
        <v>0</v>
      </c>
      <c r="CG123" s="572">
        <v>0</v>
      </c>
      <c r="CH123" s="572">
        <v>0</v>
      </c>
      <c r="CI123" s="572">
        <v>10429701</v>
      </c>
      <c r="CJ123" s="572">
        <v>0</v>
      </c>
      <c r="CK123" s="572">
        <v>0</v>
      </c>
      <c r="CL123" s="572">
        <v>0</v>
      </c>
      <c r="CM123" s="572">
        <v>0</v>
      </c>
      <c r="CN123" s="572">
        <v>0</v>
      </c>
      <c r="CO123" s="572">
        <v>0</v>
      </c>
      <c r="CP123" s="572">
        <v>0</v>
      </c>
      <c r="CQ123" s="572">
        <v>0</v>
      </c>
    </row>
    <row r="124" spans="1:95" ht="30" x14ac:dyDescent="0.25">
      <c r="A124" s="668">
        <v>363</v>
      </c>
      <c r="B124" s="590">
        <v>363</v>
      </c>
      <c r="C124" s="570" t="s">
        <v>327</v>
      </c>
      <c r="D124" s="567" t="s">
        <v>821</v>
      </c>
      <c r="E124" s="573">
        <v>0</v>
      </c>
      <c r="F124" s="574">
        <v>0</v>
      </c>
      <c r="G124" s="574">
        <v>0</v>
      </c>
      <c r="H124" s="574">
        <v>0</v>
      </c>
      <c r="I124" s="574">
        <v>66138</v>
      </c>
      <c r="J124" s="574">
        <v>0</v>
      </c>
      <c r="K124" s="575">
        <v>327656</v>
      </c>
      <c r="L124" s="572">
        <v>0</v>
      </c>
      <c r="M124" s="572">
        <v>0</v>
      </c>
      <c r="N124" s="571">
        <v>0</v>
      </c>
      <c r="O124" s="571">
        <v>0</v>
      </c>
      <c r="P124" s="571">
        <v>0</v>
      </c>
      <c r="Q124" s="571">
        <v>0</v>
      </c>
      <c r="R124" s="571">
        <v>0</v>
      </c>
      <c r="S124" s="571">
        <v>0</v>
      </c>
      <c r="T124" s="571">
        <v>0</v>
      </c>
      <c r="U124" s="571">
        <v>0</v>
      </c>
      <c r="V124" s="571">
        <v>0</v>
      </c>
      <c r="W124" s="571">
        <v>0</v>
      </c>
      <c r="X124" s="571">
        <v>0</v>
      </c>
      <c r="Y124" s="571">
        <v>0</v>
      </c>
      <c r="Z124" s="571">
        <v>0</v>
      </c>
      <c r="AA124" s="571">
        <v>180916</v>
      </c>
      <c r="AB124" s="572">
        <v>0</v>
      </c>
      <c r="AC124" s="572">
        <v>0</v>
      </c>
      <c r="AD124" s="572">
        <v>0</v>
      </c>
      <c r="AE124" s="572">
        <v>0</v>
      </c>
      <c r="AF124" s="572">
        <v>0</v>
      </c>
      <c r="AG124" s="572">
        <v>0</v>
      </c>
      <c r="AH124" s="572">
        <v>0</v>
      </c>
      <c r="AI124" s="572">
        <v>0</v>
      </c>
      <c r="AJ124" s="572">
        <v>0</v>
      </c>
      <c r="AK124" s="572">
        <v>0</v>
      </c>
      <c r="AL124" s="572">
        <v>0</v>
      </c>
      <c r="AM124" s="572">
        <v>0</v>
      </c>
      <c r="AN124" s="572">
        <v>0</v>
      </c>
      <c r="AO124" s="572">
        <v>0</v>
      </c>
      <c r="AP124" s="572">
        <v>0</v>
      </c>
      <c r="AQ124" s="572">
        <v>0</v>
      </c>
      <c r="AR124" s="572">
        <v>0</v>
      </c>
      <c r="AS124" s="572">
        <v>0</v>
      </c>
      <c r="AT124" s="572">
        <v>0</v>
      </c>
      <c r="AU124" s="572">
        <v>0</v>
      </c>
      <c r="AV124" s="572">
        <v>0</v>
      </c>
      <c r="AW124" s="572">
        <v>0</v>
      </c>
      <c r="AX124" s="572">
        <v>0</v>
      </c>
      <c r="AY124" s="572">
        <v>89695</v>
      </c>
      <c r="AZ124" s="572">
        <v>0</v>
      </c>
      <c r="BA124" s="572">
        <v>0</v>
      </c>
      <c r="BB124" s="572">
        <v>0</v>
      </c>
      <c r="BC124" s="572">
        <v>0</v>
      </c>
      <c r="BD124" s="572">
        <v>0</v>
      </c>
      <c r="BE124" s="572">
        <v>462</v>
      </c>
      <c r="BF124" s="572">
        <v>0</v>
      </c>
      <c r="BG124" s="572">
        <v>0</v>
      </c>
      <c r="BH124" s="572">
        <v>606668</v>
      </c>
      <c r="BI124" s="572">
        <v>0</v>
      </c>
      <c r="BJ124" s="572">
        <v>0</v>
      </c>
      <c r="BK124" s="572">
        <v>0</v>
      </c>
      <c r="BL124" s="572">
        <v>26314</v>
      </c>
      <c r="BM124" s="572">
        <v>0</v>
      </c>
      <c r="BN124" s="572">
        <v>0</v>
      </c>
      <c r="BO124" s="572">
        <v>0</v>
      </c>
      <c r="BP124" s="572">
        <v>0</v>
      </c>
      <c r="BQ124" s="572">
        <v>0</v>
      </c>
      <c r="BR124" s="572">
        <v>0</v>
      </c>
      <c r="BS124" s="572">
        <v>0</v>
      </c>
      <c r="BT124" s="572">
        <v>0</v>
      </c>
      <c r="BU124" s="572">
        <v>0</v>
      </c>
      <c r="BV124" s="572">
        <v>0</v>
      </c>
      <c r="BW124" s="572">
        <v>0</v>
      </c>
      <c r="BX124" s="572">
        <v>0</v>
      </c>
      <c r="BY124" s="572">
        <v>0</v>
      </c>
      <c r="BZ124" s="572">
        <v>0</v>
      </c>
      <c r="CA124" s="572">
        <v>0</v>
      </c>
      <c r="CB124" s="572">
        <v>0</v>
      </c>
      <c r="CC124" s="572">
        <v>172162</v>
      </c>
      <c r="CD124" s="572">
        <v>0</v>
      </c>
      <c r="CE124" s="572">
        <v>12939</v>
      </c>
      <c r="CF124" s="572">
        <v>0</v>
      </c>
      <c r="CG124" s="572">
        <v>0</v>
      </c>
      <c r="CH124" s="572">
        <v>0</v>
      </c>
      <c r="CI124" s="572">
        <v>39031</v>
      </c>
      <c r="CJ124" s="572">
        <v>0</v>
      </c>
      <c r="CK124" s="572">
        <v>0</v>
      </c>
      <c r="CL124" s="572">
        <v>0</v>
      </c>
      <c r="CM124" s="572">
        <v>0</v>
      </c>
      <c r="CN124" s="572">
        <v>0</v>
      </c>
      <c r="CO124" s="572">
        <v>0</v>
      </c>
      <c r="CP124" s="572">
        <v>0</v>
      </c>
      <c r="CQ124" s="572">
        <v>0</v>
      </c>
    </row>
    <row r="125" spans="1:95" ht="30" x14ac:dyDescent="0.25">
      <c r="A125" s="668">
        <v>364</v>
      </c>
      <c r="B125" s="590">
        <v>364</v>
      </c>
      <c r="C125" s="570" t="s">
        <v>328</v>
      </c>
      <c r="D125" s="567" t="s">
        <v>822</v>
      </c>
      <c r="E125" s="573">
        <v>0</v>
      </c>
      <c r="F125" s="574">
        <v>0</v>
      </c>
      <c r="G125" s="574">
        <v>0</v>
      </c>
      <c r="H125" s="574">
        <v>0</v>
      </c>
      <c r="I125" s="574">
        <v>0</v>
      </c>
      <c r="J125" s="574">
        <v>0</v>
      </c>
      <c r="K125" s="575">
        <v>0</v>
      </c>
      <c r="L125" s="572">
        <v>0</v>
      </c>
      <c r="M125" s="572">
        <v>0</v>
      </c>
      <c r="N125" s="571">
        <v>0</v>
      </c>
      <c r="O125" s="571">
        <v>0</v>
      </c>
      <c r="P125" s="571">
        <v>0</v>
      </c>
      <c r="Q125" s="571">
        <v>0</v>
      </c>
      <c r="R125" s="571">
        <v>0</v>
      </c>
      <c r="S125" s="571">
        <v>0</v>
      </c>
      <c r="T125" s="571">
        <v>0</v>
      </c>
      <c r="U125" s="571">
        <v>0</v>
      </c>
      <c r="V125" s="571">
        <v>0</v>
      </c>
      <c r="W125" s="571">
        <v>0</v>
      </c>
      <c r="X125" s="571">
        <v>0</v>
      </c>
      <c r="Y125" s="571">
        <v>0</v>
      </c>
      <c r="Z125" s="571">
        <v>0</v>
      </c>
      <c r="AA125" s="571">
        <v>993</v>
      </c>
      <c r="AB125" s="572">
        <v>0</v>
      </c>
      <c r="AC125" s="572">
        <v>0</v>
      </c>
      <c r="AD125" s="572">
        <v>0</v>
      </c>
      <c r="AE125" s="572">
        <v>0</v>
      </c>
      <c r="AF125" s="572">
        <v>0</v>
      </c>
      <c r="AG125" s="572">
        <v>0</v>
      </c>
      <c r="AH125" s="572">
        <v>0</v>
      </c>
      <c r="AI125" s="572">
        <v>0</v>
      </c>
      <c r="AJ125" s="572">
        <v>0</v>
      </c>
      <c r="AK125" s="572">
        <v>0</v>
      </c>
      <c r="AL125" s="572">
        <v>0</v>
      </c>
      <c r="AM125" s="572">
        <v>0</v>
      </c>
      <c r="AN125" s="572">
        <v>0</v>
      </c>
      <c r="AO125" s="572">
        <v>0</v>
      </c>
      <c r="AP125" s="572">
        <v>0</v>
      </c>
      <c r="AQ125" s="572">
        <v>0</v>
      </c>
      <c r="AR125" s="572">
        <v>0</v>
      </c>
      <c r="AS125" s="572">
        <v>0</v>
      </c>
      <c r="AT125" s="572">
        <v>0</v>
      </c>
      <c r="AU125" s="572">
        <v>0</v>
      </c>
      <c r="AV125" s="572">
        <v>0</v>
      </c>
      <c r="AW125" s="572">
        <v>0</v>
      </c>
      <c r="AX125" s="572">
        <v>0</v>
      </c>
      <c r="AY125" s="572">
        <v>59413</v>
      </c>
      <c r="AZ125" s="572">
        <v>0</v>
      </c>
      <c r="BA125" s="572">
        <v>0</v>
      </c>
      <c r="BB125" s="572">
        <v>0</v>
      </c>
      <c r="BC125" s="572">
        <v>0</v>
      </c>
      <c r="BD125" s="572">
        <v>0</v>
      </c>
      <c r="BE125" s="572">
        <v>0</v>
      </c>
      <c r="BF125" s="572">
        <v>0</v>
      </c>
      <c r="BG125" s="572">
        <v>0</v>
      </c>
      <c r="BH125" s="572">
        <v>19488</v>
      </c>
      <c r="BI125" s="572">
        <v>0</v>
      </c>
      <c r="BJ125" s="572">
        <v>0</v>
      </c>
      <c r="BK125" s="572">
        <v>0</v>
      </c>
      <c r="BL125" s="572">
        <v>21177</v>
      </c>
      <c r="BM125" s="572">
        <v>0</v>
      </c>
      <c r="BN125" s="572">
        <v>0</v>
      </c>
      <c r="BO125" s="572">
        <v>0</v>
      </c>
      <c r="BP125" s="572">
        <v>0</v>
      </c>
      <c r="BQ125" s="572">
        <v>0</v>
      </c>
      <c r="BR125" s="572">
        <v>0</v>
      </c>
      <c r="BS125" s="572">
        <v>0</v>
      </c>
      <c r="BT125" s="572">
        <v>0</v>
      </c>
      <c r="BU125" s="572">
        <v>0</v>
      </c>
      <c r="BV125" s="572">
        <v>0</v>
      </c>
      <c r="BW125" s="572">
        <v>0</v>
      </c>
      <c r="BX125" s="572">
        <v>0</v>
      </c>
      <c r="BY125" s="572">
        <v>0</v>
      </c>
      <c r="BZ125" s="572">
        <v>0</v>
      </c>
      <c r="CA125" s="572">
        <v>0</v>
      </c>
      <c r="CB125" s="572">
        <v>0</v>
      </c>
      <c r="CC125" s="572">
        <v>2255156</v>
      </c>
      <c r="CD125" s="572">
        <v>0</v>
      </c>
      <c r="CE125" s="572">
        <v>12553</v>
      </c>
      <c r="CF125" s="572">
        <v>0</v>
      </c>
      <c r="CG125" s="572">
        <v>0</v>
      </c>
      <c r="CH125" s="572">
        <v>0</v>
      </c>
      <c r="CI125" s="572">
        <v>40931</v>
      </c>
      <c r="CJ125" s="572">
        <v>0</v>
      </c>
      <c r="CK125" s="572">
        <v>0</v>
      </c>
      <c r="CL125" s="572">
        <v>0</v>
      </c>
      <c r="CM125" s="572">
        <v>0</v>
      </c>
      <c r="CN125" s="572">
        <v>0</v>
      </c>
      <c r="CO125" s="572">
        <v>0</v>
      </c>
      <c r="CP125" s="572">
        <v>0</v>
      </c>
      <c r="CQ125" s="572">
        <v>0</v>
      </c>
    </row>
    <row r="126" spans="1:95" x14ac:dyDescent="0.25">
      <c r="A126" s="668">
        <v>365</v>
      </c>
      <c r="B126" s="590">
        <v>365</v>
      </c>
      <c r="C126" s="570" t="s">
        <v>330</v>
      </c>
      <c r="D126" s="567" t="s">
        <v>823</v>
      </c>
      <c r="E126" s="573">
        <v>0</v>
      </c>
      <c r="F126" s="574">
        <v>0</v>
      </c>
      <c r="G126" s="574">
        <v>0</v>
      </c>
      <c r="H126" s="574">
        <v>0</v>
      </c>
      <c r="I126" s="574">
        <v>0</v>
      </c>
      <c r="J126" s="574">
        <v>0</v>
      </c>
      <c r="K126" s="575">
        <v>0</v>
      </c>
      <c r="L126" s="572">
        <v>0</v>
      </c>
      <c r="M126" s="572">
        <v>0</v>
      </c>
      <c r="N126" s="571">
        <v>0</v>
      </c>
      <c r="O126" s="571">
        <v>0</v>
      </c>
      <c r="P126" s="571">
        <v>0</v>
      </c>
      <c r="Q126" s="571">
        <v>0</v>
      </c>
      <c r="R126" s="571">
        <v>0</v>
      </c>
      <c r="S126" s="571">
        <v>0</v>
      </c>
      <c r="T126" s="571">
        <v>0</v>
      </c>
      <c r="U126" s="571">
        <v>0</v>
      </c>
      <c r="V126" s="571">
        <v>0</v>
      </c>
      <c r="W126" s="571">
        <v>0</v>
      </c>
      <c r="X126" s="571">
        <v>0</v>
      </c>
      <c r="Y126" s="571">
        <v>0</v>
      </c>
      <c r="Z126" s="571">
        <v>0</v>
      </c>
      <c r="AA126" s="571">
        <v>0</v>
      </c>
      <c r="AB126" s="572">
        <v>0</v>
      </c>
      <c r="AC126" s="572">
        <v>0</v>
      </c>
      <c r="AD126" s="572">
        <v>0</v>
      </c>
      <c r="AE126" s="572">
        <v>0</v>
      </c>
      <c r="AF126" s="572">
        <v>0</v>
      </c>
      <c r="AG126" s="572">
        <v>0</v>
      </c>
      <c r="AH126" s="572">
        <v>0</v>
      </c>
      <c r="AI126" s="572">
        <v>0</v>
      </c>
      <c r="AJ126" s="572">
        <v>0</v>
      </c>
      <c r="AK126" s="572">
        <v>0</v>
      </c>
      <c r="AL126" s="572">
        <v>0</v>
      </c>
      <c r="AM126" s="572">
        <v>0</v>
      </c>
      <c r="AN126" s="572">
        <v>0</v>
      </c>
      <c r="AO126" s="572">
        <v>0</v>
      </c>
      <c r="AP126" s="572">
        <v>0</v>
      </c>
      <c r="AQ126" s="572">
        <v>0</v>
      </c>
      <c r="AR126" s="572">
        <v>0</v>
      </c>
      <c r="AS126" s="572">
        <v>0</v>
      </c>
      <c r="AT126" s="572">
        <v>0</v>
      </c>
      <c r="AU126" s="572">
        <v>0</v>
      </c>
      <c r="AV126" s="572">
        <v>0</v>
      </c>
      <c r="AW126" s="572">
        <v>0</v>
      </c>
      <c r="AX126" s="572">
        <v>0</v>
      </c>
      <c r="AY126" s="572">
        <v>0</v>
      </c>
      <c r="AZ126" s="572">
        <v>0</v>
      </c>
      <c r="BA126" s="572">
        <v>0</v>
      </c>
      <c r="BB126" s="572">
        <v>0</v>
      </c>
      <c r="BC126" s="572">
        <v>0</v>
      </c>
      <c r="BD126" s="572">
        <v>0</v>
      </c>
      <c r="BE126" s="572">
        <v>0</v>
      </c>
      <c r="BF126" s="572">
        <v>0</v>
      </c>
      <c r="BG126" s="572">
        <v>0</v>
      </c>
      <c r="BH126" s="572">
        <v>0</v>
      </c>
      <c r="BI126" s="572">
        <v>0</v>
      </c>
      <c r="BJ126" s="572">
        <v>0</v>
      </c>
      <c r="BK126" s="572">
        <v>0</v>
      </c>
      <c r="BL126" s="572">
        <v>0</v>
      </c>
      <c r="BM126" s="572">
        <v>0</v>
      </c>
      <c r="BN126" s="572">
        <v>0</v>
      </c>
      <c r="BO126" s="572">
        <v>0</v>
      </c>
      <c r="BP126" s="572">
        <v>0</v>
      </c>
      <c r="BQ126" s="572">
        <v>0</v>
      </c>
      <c r="BR126" s="572">
        <v>0</v>
      </c>
      <c r="BS126" s="572">
        <v>0</v>
      </c>
      <c r="BT126" s="572">
        <v>0</v>
      </c>
      <c r="BU126" s="572">
        <v>0</v>
      </c>
      <c r="BV126" s="572">
        <v>0</v>
      </c>
      <c r="BW126" s="572">
        <v>0</v>
      </c>
      <c r="BX126" s="572">
        <v>0</v>
      </c>
      <c r="BY126" s="572">
        <v>0</v>
      </c>
      <c r="BZ126" s="572">
        <v>0</v>
      </c>
      <c r="CA126" s="572">
        <v>0</v>
      </c>
      <c r="CB126" s="572">
        <v>0</v>
      </c>
      <c r="CC126" s="572">
        <v>0</v>
      </c>
      <c r="CD126" s="572">
        <v>0</v>
      </c>
      <c r="CE126" s="572">
        <v>0</v>
      </c>
      <c r="CF126" s="572">
        <v>0</v>
      </c>
      <c r="CG126" s="572">
        <v>0</v>
      </c>
      <c r="CH126" s="572">
        <v>0</v>
      </c>
      <c r="CI126" s="572">
        <v>0</v>
      </c>
      <c r="CJ126" s="572">
        <v>0</v>
      </c>
      <c r="CK126" s="572">
        <v>0</v>
      </c>
      <c r="CL126" s="572">
        <v>0</v>
      </c>
      <c r="CM126" s="572">
        <v>0</v>
      </c>
      <c r="CN126" s="572">
        <v>0</v>
      </c>
      <c r="CO126" s="572">
        <v>0</v>
      </c>
      <c r="CP126" s="572">
        <v>0</v>
      </c>
      <c r="CQ126" s="572">
        <v>0</v>
      </c>
    </row>
    <row r="127" spans="1:95" ht="30" x14ac:dyDescent="0.25">
      <c r="A127" s="668">
        <v>366</v>
      </c>
      <c r="B127" s="590">
        <v>366</v>
      </c>
      <c r="C127" s="570" t="s">
        <v>414</v>
      </c>
      <c r="D127" s="567" t="s">
        <v>824</v>
      </c>
      <c r="E127" s="573">
        <v>0</v>
      </c>
      <c r="F127" s="574">
        <v>0</v>
      </c>
      <c r="G127" s="574">
        <v>0</v>
      </c>
      <c r="H127" s="574">
        <v>0</v>
      </c>
      <c r="I127" s="574">
        <v>270000</v>
      </c>
      <c r="J127" s="574">
        <v>0</v>
      </c>
      <c r="K127" s="575">
        <v>265134</v>
      </c>
      <c r="L127" s="572">
        <v>0</v>
      </c>
      <c r="M127" s="572">
        <v>0</v>
      </c>
      <c r="N127" s="571">
        <v>0</v>
      </c>
      <c r="O127" s="571">
        <v>0</v>
      </c>
      <c r="P127" s="571">
        <v>0</v>
      </c>
      <c r="Q127" s="571">
        <v>0</v>
      </c>
      <c r="R127" s="571">
        <v>0</v>
      </c>
      <c r="S127" s="571">
        <v>0</v>
      </c>
      <c r="T127" s="571">
        <v>0</v>
      </c>
      <c r="U127" s="571">
        <v>0</v>
      </c>
      <c r="V127" s="571">
        <v>0</v>
      </c>
      <c r="W127" s="571">
        <v>0</v>
      </c>
      <c r="X127" s="571">
        <v>0</v>
      </c>
      <c r="Y127" s="571">
        <v>0</v>
      </c>
      <c r="Z127" s="571">
        <v>0</v>
      </c>
      <c r="AA127" s="571">
        <v>1669977</v>
      </c>
      <c r="AB127" s="572">
        <v>0</v>
      </c>
      <c r="AC127" s="572">
        <v>0</v>
      </c>
      <c r="AD127" s="572">
        <v>0</v>
      </c>
      <c r="AE127" s="572">
        <v>0</v>
      </c>
      <c r="AF127" s="572">
        <v>0</v>
      </c>
      <c r="AG127" s="572">
        <v>0</v>
      </c>
      <c r="AH127" s="572">
        <v>0</v>
      </c>
      <c r="AI127" s="572">
        <v>0</v>
      </c>
      <c r="AJ127" s="572">
        <v>0</v>
      </c>
      <c r="AK127" s="572">
        <v>0</v>
      </c>
      <c r="AL127" s="572">
        <v>0</v>
      </c>
      <c r="AM127" s="572">
        <v>0</v>
      </c>
      <c r="AN127" s="572">
        <v>0</v>
      </c>
      <c r="AO127" s="572">
        <v>0</v>
      </c>
      <c r="AP127" s="572">
        <v>0</v>
      </c>
      <c r="AQ127" s="572">
        <v>0</v>
      </c>
      <c r="AR127" s="572">
        <v>0</v>
      </c>
      <c r="AS127" s="572">
        <v>0</v>
      </c>
      <c r="AT127" s="572">
        <v>0</v>
      </c>
      <c r="AU127" s="572">
        <v>0</v>
      </c>
      <c r="AV127" s="572">
        <v>0</v>
      </c>
      <c r="AW127" s="572">
        <v>0</v>
      </c>
      <c r="AX127" s="572">
        <v>0</v>
      </c>
      <c r="AY127" s="572">
        <v>0</v>
      </c>
      <c r="AZ127" s="572">
        <v>0</v>
      </c>
      <c r="BA127" s="572">
        <v>0</v>
      </c>
      <c r="BB127" s="572">
        <v>0</v>
      </c>
      <c r="BC127" s="572">
        <v>0</v>
      </c>
      <c r="BD127" s="572">
        <v>0</v>
      </c>
      <c r="BE127" s="572">
        <v>0</v>
      </c>
      <c r="BF127" s="572">
        <v>0</v>
      </c>
      <c r="BG127" s="572">
        <v>0</v>
      </c>
      <c r="BH127" s="572">
        <v>1499309</v>
      </c>
      <c r="BI127" s="572">
        <v>0</v>
      </c>
      <c r="BJ127" s="572">
        <v>0</v>
      </c>
      <c r="BK127" s="572">
        <v>0</v>
      </c>
      <c r="BL127" s="572">
        <v>1275600</v>
      </c>
      <c r="BM127" s="572">
        <v>0</v>
      </c>
      <c r="BN127" s="572">
        <v>0</v>
      </c>
      <c r="BO127" s="572">
        <v>0</v>
      </c>
      <c r="BP127" s="572">
        <v>0</v>
      </c>
      <c r="BQ127" s="572">
        <v>0</v>
      </c>
      <c r="BR127" s="572">
        <v>0</v>
      </c>
      <c r="BS127" s="572">
        <v>0</v>
      </c>
      <c r="BT127" s="572">
        <v>0</v>
      </c>
      <c r="BU127" s="572">
        <v>0</v>
      </c>
      <c r="BV127" s="572">
        <v>0</v>
      </c>
      <c r="BW127" s="572">
        <v>0</v>
      </c>
      <c r="BX127" s="572">
        <v>0</v>
      </c>
      <c r="BY127" s="572">
        <v>0</v>
      </c>
      <c r="BZ127" s="572">
        <v>0</v>
      </c>
      <c r="CA127" s="572">
        <v>0</v>
      </c>
      <c r="CB127" s="572">
        <v>0</v>
      </c>
      <c r="CC127" s="572">
        <v>3129200</v>
      </c>
      <c r="CD127" s="572">
        <v>0</v>
      </c>
      <c r="CE127" s="572">
        <v>948400</v>
      </c>
      <c r="CF127" s="572">
        <v>0</v>
      </c>
      <c r="CG127" s="572">
        <v>0</v>
      </c>
      <c r="CH127" s="572">
        <v>0</v>
      </c>
      <c r="CI127" s="572">
        <v>311000</v>
      </c>
      <c r="CJ127" s="572">
        <v>0</v>
      </c>
      <c r="CK127" s="572">
        <v>0</v>
      </c>
      <c r="CL127" s="572">
        <v>0</v>
      </c>
      <c r="CM127" s="572">
        <v>0</v>
      </c>
      <c r="CN127" s="572">
        <v>0</v>
      </c>
      <c r="CO127" s="572">
        <v>0</v>
      </c>
      <c r="CP127" s="572">
        <v>0</v>
      </c>
      <c r="CQ127" s="572">
        <v>0</v>
      </c>
    </row>
    <row r="128" spans="1:95" ht="30" x14ac:dyDescent="0.25">
      <c r="A128" s="668"/>
      <c r="B128" s="590">
        <v>367</v>
      </c>
      <c r="C128" s="570" t="s">
        <v>825</v>
      </c>
      <c r="D128" s="567" t="s">
        <v>826</v>
      </c>
      <c r="E128" s="573"/>
      <c r="F128" s="574"/>
      <c r="G128" s="574"/>
      <c r="H128" s="574"/>
      <c r="I128" s="574"/>
      <c r="J128" s="574"/>
      <c r="K128" s="575"/>
      <c r="L128" s="572"/>
      <c r="M128" s="572"/>
      <c r="N128" s="571"/>
      <c r="O128" s="571"/>
      <c r="P128" s="571"/>
      <c r="Q128" s="571"/>
      <c r="R128" s="571"/>
      <c r="S128" s="571"/>
      <c r="T128" s="571"/>
      <c r="U128" s="571"/>
      <c r="V128" s="571"/>
      <c r="W128" s="571"/>
      <c r="X128" s="571"/>
      <c r="Y128" s="571"/>
      <c r="Z128" s="571"/>
      <c r="AA128" s="571"/>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2"/>
      <c r="AY128" s="572"/>
      <c r="AZ128" s="572"/>
      <c r="BA128" s="572"/>
      <c r="BB128" s="572"/>
      <c r="BC128" s="572"/>
      <c r="BD128" s="572"/>
      <c r="BE128" s="572"/>
      <c r="BF128" s="572"/>
      <c r="BG128" s="572"/>
      <c r="BH128" s="572"/>
      <c r="BI128" s="572"/>
      <c r="BJ128" s="572"/>
      <c r="BK128" s="572"/>
      <c r="BL128" s="572"/>
      <c r="BM128" s="572"/>
      <c r="BN128" s="572"/>
      <c r="BO128" s="572"/>
      <c r="BP128" s="572"/>
      <c r="BQ128" s="572"/>
      <c r="BR128" s="572"/>
      <c r="BS128" s="572"/>
      <c r="BT128" s="572"/>
      <c r="BU128" s="572"/>
      <c r="BV128" s="572"/>
      <c r="BW128" s="572"/>
      <c r="BX128" s="572"/>
      <c r="BY128" s="572"/>
      <c r="BZ128" s="572"/>
      <c r="CA128" s="572"/>
      <c r="CB128" s="572"/>
      <c r="CC128" s="572"/>
      <c r="CD128" s="572"/>
      <c r="CE128" s="572"/>
      <c r="CF128" s="572"/>
      <c r="CG128" s="572"/>
      <c r="CH128" s="572"/>
      <c r="CI128" s="572"/>
      <c r="CJ128" s="572"/>
      <c r="CK128" s="572"/>
      <c r="CL128" s="572"/>
      <c r="CM128" s="572"/>
      <c r="CN128" s="572"/>
      <c r="CO128" s="572"/>
      <c r="CP128" s="572"/>
      <c r="CQ128" s="572"/>
    </row>
    <row r="129" spans="1:95" ht="30" x14ac:dyDescent="0.25">
      <c r="A129" s="668">
        <v>368</v>
      </c>
      <c r="B129" s="590">
        <v>368</v>
      </c>
      <c r="C129" s="570" t="s">
        <v>285</v>
      </c>
      <c r="D129" s="567" t="s">
        <v>827</v>
      </c>
      <c r="E129" s="573">
        <v>0</v>
      </c>
      <c r="F129" s="574">
        <v>0</v>
      </c>
      <c r="G129" s="574">
        <v>0</v>
      </c>
      <c r="H129" s="574">
        <v>0</v>
      </c>
      <c r="I129" s="574">
        <v>0</v>
      </c>
      <c r="J129" s="574">
        <v>3430</v>
      </c>
      <c r="K129" s="575">
        <v>51239</v>
      </c>
      <c r="L129" s="572">
        <v>0</v>
      </c>
      <c r="M129" s="572">
        <v>0</v>
      </c>
      <c r="N129" s="571">
        <v>46886</v>
      </c>
      <c r="O129" s="571">
        <v>0</v>
      </c>
      <c r="P129" s="571">
        <v>0</v>
      </c>
      <c r="Q129" s="571">
        <v>0</v>
      </c>
      <c r="R129" s="571">
        <v>0</v>
      </c>
      <c r="S129" s="571">
        <v>0</v>
      </c>
      <c r="T129" s="571">
        <v>0</v>
      </c>
      <c r="U129" s="571">
        <v>0</v>
      </c>
      <c r="V129" s="571">
        <v>0</v>
      </c>
      <c r="W129" s="571">
        <v>0</v>
      </c>
      <c r="X129" s="571">
        <v>0</v>
      </c>
      <c r="Y129" s="571">
        <v>0</v>
      </c>
      <c r="Z129" s="571">
        <v>0</v>
      </c>
      <c r="AA129" s="571">
        <v>0</v>
      </c>
      <c r="AB129" s="572">
        <v>0</v>
      </c>
      <c r="AC129" s="572">
        <v>0</v>
      </c>
      <c r="AD129" s="572">
        <v>0</v>
      </c>
      <c r="AE129" s="572">
        <v>22112</v>
      </c>
      <c r="AF129" s="572">
        <v>0</v>
      </c>
      <c r="AG129" s="572">
        <v>0</v>
      </c>
      <c r="AH129" s="572">
        <v>0</v>
      </c>
      <c r="AI129" s="572">
        <v>0</v>
      </c>
      <c r="AJ129" s="572">
        <v>0</v>
      </c>
      <c r="AK129" s="572">
        <v>0</v>
      </c>
      <c r="AL129" s="572">
        <v>0</v>
      </c>
      <c r="AM129" s="572">
        <v>0</v>
      </c>
      <c r="AN129" s="572">
        <v>0</v>
      </c>
      <c r="AO129" s="572">
        <v>0</v>
      </c>
      <c r="AP129" s="572">
        <v>0</v>
      </c>
      <c r="AQ129" s="572">
        <v>0</v>
      </c>
      <c r="AR129" s="572">
        <v>0</v>
      </c>
      <c r="AS129" s="572">
        <v>0</v>
      </c>
      <c r="AT129" s="572">
        <v>0</v>
      </c>
      <c r="AU129" s="572">
        <v>0</v>
      </c>
      <c r="AV129" s="572">
        <v>0</v>
      </c>
      <c r="AW129" s="572">
        <v>0</v>
      </c>
      <c r="AX129" s="572">
        <v>0</v>
      </c>
      <c r="AY129" s="572">
        <v>0</v>
      </c>
      <c r="AZ129" s="572">
        <v>0</v>
      </c>
      <c r="BA129" s="572">
        <v>0</v>
      </c>
      <c r="BB129" s="572">
        <v>0</v>
      </c>
      <c r="BC129" s="572">
        <v>0</v>
      </c>
      <c r="BD129" s="572">
        <v>24449</v>
      </c>
      <c r="BE129" s="572">
        <v>0</v>
      </c>
      <c r="BF129" s="572">
        <v>0</v>
      </c>
      <c r="BG129" s="572">
        <v>0</v>
      </c>
      <c r="BH129" s="572">
        <v>7738</v>
      </c>
      <c r="BI129" s="572">
        <v>0</v>
      </c>
      <c r="BJ129" s="572">
        <v>0</v>
      </c>
      <c r="BK129" s="572">
        <v>0</v>
      </c>
      <c r="BL129" s="572">
        <v>0</v>
      </c>
      <c r="BM129" s="572">
        <v>121505</v>
      </c>
      <c r="BN129" s="572">
        <v>0</v>
      </c>
      <c r="BO129" s="572">
        <v>75002</v>
      </c>
      <c r="BP129" s="572">
        <v>0</v>
      </c>
      <c r="BQ129" s="572">
        <v>1919766</v>
      </c>
      <c r="BR129" s="572">
        <v>0</v>
      </c>
      <c r="BS129" s="572">
        <v>196090</v>
      </c>
      <c r="BT129" s="572">
        <v>0</v>
      </c>
      <c r="BU129" s="572">
        <v>0</v>
      </c>
      <c r="BV129" s="572">
        <v>0</v>
      </c>
      <c r="BW129" s="572">
        <v>0</v>
      </c>
      <c r="BX129" s="572">
        <v>0</v>
      </c>
      <c r="BY129" s="572">
        <v>0</v>
      </c>
      <c r="BZ129" s="572">
        <v>0</v>
      </c>
      <c r="CA129" s="572">
        <v>0</v>
      </c>
      <c r="CB129" s="572">
        <v>0</v>
      </c>
      <c r="CC129" s="572">
        <v>607622</v>
      </c>
      <c r="CD129" s="572">
        <v>0</v>
      </c>
      <c r="CE129" s="572">
        <v>0</v>
      </c>
      <c r="CF129" s="572">
        <v>0</v>
      </c>
      <c r="CG129" s="572">
        <v>1850</v>
      </c>
      <c r="CH129" s="572">
        <v>0</v>
      </c>
      <c r="CI129" s="572">
        <v>645009</v>
      </c>
      <c r="CJ129" s="572">
        <v>0</v>
      </c>
      <c r="CK129" s="572">
        <v>0</v>
      </c>
      <c r="CL129" s="572">
        <v>0</v>
      </c>
      <c r="CM129" s="572">
        <v>0</v>
      </c>
      <c r="CN129" s="572">
        <v>0</v>
      </c>
      <c r="CO129" s="572">
        <v>0</v>
      </c>
      <c r="CP129" s="572">
        <v>0</v>
      </c>
      <c r="CQ129" s="572">
        <v>0</v>
      </c>
    </row>
    <row r="130" spans="1:95" x14ac:dyDescent="0.25">
      <c r="A130" s="668">
        <v>369</v>
      </c>
      <c r="B130" s="590">
        <v>369</v>
      </c>
      <c r="C130" s="570" t="s">
        <v>290</v>
      </c>
      <c r="D130" s="567" t="s">
        <v>828</v>
      </c>
      <c r="E130" s="573">
        <v>119999</v>
      </c>
      <c r="F130" s="574">
        <v>2490865</v>
      </c>
      <c r="G130" s="574">
        <v>497415</v>
      </c>
      <c r="H130" s="574">
        <v>950961</v>
      </c>
      <c r="I130" s="574">
        <v>180422</v>
      </c>
      <c r="J130" s="574">
        <v>316773</v>
      </c>
      <c r="K130" s="575">
        <v>10775969</v>
      </c>
      <c r="L130" s="572">
        <v>309704</v>
      </c>
      <c r="M130" s="572">
        <v>180497</v>
      </c>
      <c r="N130" s="571">
        <v>351213</v>
      </c>
      <c r="O130" s="571">
        <v>485988</v>
      </c>
      <c r="P130" s="571">
        <v>31814</v>
      </c>
      <c r="Q130" s="571">
        <v>154863</v>
      </c>
      <c r="R130" s="571">
        <v>348593</v>
      </c>
      <c r="S130" s="571">
        <v>682822</v>
      </c>
      <c r="T130" s="571">
        <v>1805573</v>
      </c>
      <c r="U130" s="571">
        <v>0</v>
      </c>
      <c r="V130" s="571">
        <v>1396893</v>
      </c>
      <c r="W130" s="571">
        <v>112668</v>
      </c>
      <c r="X130" s="571">
        <v>1797007</v>
      </c>
      <c r="Y130" s="571">
        <v>2435670</v>
      </c>
      <c r="Z130" s="571">
        <v>23108</v>
      </c>
      <c r="AA130" s="571">
        <v>3600288</v>
      </c>
      <c r="AB130" s="572">
        <v>518236</v>
      </c>
      <c r="AC130" s="572">
        <v>263235</v>
      </c>
      <c r="AD130" s="572">
        <v>150951</v>
      </c>
      <c r="AE130" s="572">
        <v>2599046</v>
      </c>
      <c r="AF130" s="572">
        <v>369422</v>
      </c>
      <c r="AG130" s="572">
        <v>623105</v>
      </c>
      <c r="AH130" s="572">
        <v>764861</v>
      </c>
      <c r="AI130" s="572">
        <v>59168</v>
      </c>
      <c r="AJ130" s="572">
        <v>2136445</v>
      </c>
      <c r="AK130" s="572">
        <v>358999</v>
      </c>
      <c r="AL130" s="572">
        <v>1433329</v>
      </c>
      <c r="AM130" s="572">
        <v>684205</v>
      </c>
      <c r="AN130" s="572">
        <v>102107</v>
      </c>
      <c r="AO130" s="572">
        <v>308479</v>
      </c>
      <c r="AP130" s="572">
        <v>729534</v>
      </c>
      <c r="AQ130" s="572">
        <v>0</v>
      </c>
      <c r="AR130" s="572">
        <v>47695</v>
      </c>
      <c r="AS130" s="572">
        <v>198246</v>
      </c>
      <c r="AT130" s="572">
        <v>288024</v>
      </c>
      <c r="AU130" s="572">
        <v>11824</v>
      </c>
      <c r="AV130" s="572">
        <v>160450</v>
      </c>
      <c r="AW130" s="572">
        <v>1901389</v>
      </c>
      <c r="AX130" s="572">
        <v>150008</v>
      </c>
      <c r="AY130" s="572">
        <v>10410450</v>
      </c>
      <c r="AZ130" s="572">
        <v>806758</v>
      </c>
      <c r="BA130" s="572">
        <v>1551013</v>
      </c>
      <c r="BB130" s="572">
        <v>878780</v>
      </c>
      <c r="BC130" s="572">
        <v>467732</v>
      </c>
      <c r="BD130" s="572">
        <v>1466493</v>
      </c>
      <c r="BE130" s="572">
        <v>43149</v>
      </c>
      <c r="BF130" s="572">
        <v>379781</v>
      </c>
      <c r="BG130" s="572">
        <v>1056503</v>
      </c>
      <c r="BH130" s="572">
        <v>2635652</v>
      </c>
      <c r="BI130" s="572">
        <v>150929</v>
      </c>
      <c r="BJ130" s="572">
        <v>85489</v>
      </c>
      <c r="BK130" s="572">
        <v>2986109</v>
      </c>
      <c r="BL130" s="572">
        <v>1493716</v>
      </c>
      <c r="BM130" s="572">
        <v>2086462</v>
      </c>
      <c r="BN130" s="572">
        <v>42722</v>
      </c>
      <c r="BO130" s="572">
        <v>859236</v>
      </c>
      <c r="BP130" s="572">
        <v>0</v>
      </c>
      <c r="BQ130" s="572">
        <v>2242904</v>
      </c>
      <c r="BR130" s="572">
        <v>128461</v>
      </c>
      <c r="BS130" s="572">
        <v>406419</v>
      </c>
      <c r="BT130" s="572">
        <v>1071417</v>
      </c>
      <c r="BU130" s="572">
        <v>1352103</v>
      </c>
      <c r="BV130" s="572">
        <v>228783</v>
      </c>
      <c r="BW130" s="572">
        <v>446092</v>
      </c>
      <c r="BX130" s="572">
        <v>2079749</v>
      </c>
      <c r="BY130" s="572">
        <v>63325</v>
      </c>
      <c r="BZ130" s="572">
        <v>0</v>
      </c>
      <c r="CA130" s="572">
        <v>2335031</v>
      </c>
      <c r="CB130" s="572">
        <v>5239086</v>
      </c>
      <c r="CC130" s="572">
        <v>7186757</v>
      </c>
      <c r="CD130" s="572">
        <v>552977</v>
      </c>
      <c r="CE130" s="572">
        <v>1148634</v>
      </c>
      <c r="CF130" s="572">
        <v>0</v>
      </c>
      <c r="CG130" s="572">
        <v>487150</v>
      </c>
      <c r="CH130" s="572">
        <v>21221202</v>
      </c>
      <c r="CI130" s="572">
        <v>2861277</v>
      </c>
      <c r="CJ130" s="572">
        <v>23722</v>
      </c>
      <c r="CK130" s="572">
        <v>553329</v>
      </c>
      <c r="CL130" s="572">
        <v>236435</v>
      </c>
      <c r="CM130" s="572">
        <v>2334275</v>
      </c>
      <c r="CN130" s="572">
        <v>1381819</v>
      </c>
      <c r="CO130" s="572">
        <v>263926</v>
      </c>
      <c r="CP130" s="572">
        <v>269562</v>
      </c>
      <c r="CQ130" s="572">
        <v>2568171</v>
      </c>
    </row>
    <row r="131" spans="1:95" x14ac:dyDescent="0.25">
      <c r="A131" s="668">
        <v>370</v>
      </c>
      <c r="B131" s="590">
        <v>370</v>
      </c>
      <c r="C131" s="570" t="s">
        <v>292</v>
      </c>
      <c r="D131" s="567" t="s">
        <v>829</v>
      </c>
      <c r="E131" s="573">
        <v>0</v>
      </c>
      <c r="F131" s="574">
        <v>0</v>
      </c>
      <c r="G131" s="574">
        <v>0</v>
      </c>
      <c r="H131" s="574">
        <v>204356</v>
      </c>
      <c r="I131" s="574">
        <v>0</v>
      </c>
      <c r="J131" s="574">
        <v>8541</v>
      </c>
      <c r="K131" s="575">
        <v>1009830</v>
      </c>
      <c r="L131" s="572">
        <v>16060</v>
      </c>
      <c r="M131" s="572">
        <v>0</v>
      </c>
      <c r="N131" s="571">
        <v>0</v>
      </c>
      <c r="O131" s="571">
        <v>57284</v>
      </c>
      <c r="P131" s="571">
        <v>0</v>
      </c>
      <c r="Q131" s="571">
        <v>0</v>
      </c>
      <c r="R131" s="571">
        <v>305719</v>
      </c>
      <c r="S131" s="571">
        <v>0</v>
      </c>
      <c r="T131" s="571">
        <v>51733</v>
      </c>
      <c r="U131" s="571">
        <v>0</v>
      </c>
      <c r="V131" s="571">
        <v>257692</v>
      </c>
      <c r="W131" s="571">
        <v>0</v>
      </c>
      <c r="X131" s="571">
        <v>275487</v>
      </c>
      <c r="Y131" s="571">
        <v>54920</v>
      </c>
      <c r="Z131" s="571">
        <v>0</v>
      </c>
      <c r="AA131" s="571">
        <v>0</v>
      </c>
      <c r="AB131" s="572">
        <v>32773</v>
      </c>
      <c r="AC131" s="572">
        <v>0</v>
      </c>
      <c r="AD131" s="572">
        <v>0</v>
      </c>
      <c r="AE131" s="572">
        <v>1205484</v>
      </c>
      <c r="AF131" s="572">
        <v>35629</v>
      </c>
      <c r="AG131" s="572">
        <v>179011</v>
      </c>
      <c r="AH131" s="572">
        <v>524514</v>
      </c>
      <c r="AI131" s="572">
        <v>0</v>
      </c>
      <c r="AJ131" s="572">
        <v>0</v>
      </c>
      <c r="AK131" s="572">
        <v>425784</v>
      </c>
      <c r="AL131" s="572">
        <v>84849</v>
      </c>
      <c r="AM131" s="572">
        <v>50965</v>
      </c>
      <c r="AN131" s="572">
        <v>0</v>
      </c>
      <c r="AO131" s="572">
        <v>0</v>
      </c>
      <c r="AP131" s="572">
        <v>384862</v>
      </c>
      <c r="AQ131" s="572">
        <v>0</v>
      </c>
      <c r="AR131" s="572">
        <v>6064</v>
      </c>
      <c r="AS131" s="572">
        <v>0</v>
      </c>
      <c r="AT131" s="572">
        <v>48083</v>
      </c>
      <c r="AU131" s="572">
        <v>0</v>
      </c>
      <c r="AV131" s="572">
        <v>12337</v>
      </c>
      <c r="AW131" s="572">
        <v>145178</v>
      </c>
      <c r="AX131" s="572">
        <v>27022</v>
      </c>
      <c r="AY131" s="572">
        <v>0</v>
      </c>
      <c r="AZ131" s="572">
        <v>0</v>
      </c>
      <c r="BA131" s="572">
        <v>283315</v>
      </c>
      <c r="BB131" s="572">
        <v>0</v>
      </c>
      <c r="BC131" s="572">
        <v>31130</v>
      </c>
      <c r="BD131" s="572">
        <v>0</v>
      </c>
      <c r="BE131" s="572">
        <v>0</v>
      </c>
      <c r="BF131" s="572">
        <v>54254</v>
      </c>
      <c r="BG131" s="572">
        <v>94316</v>
      </c>
      <c r="BH131" s="572">
        <v>204337</v>
      </c>
      <c r="BI131" s="572">
        <v>0</v>
      </c>
      <c r="BJ131" s="572">
        <v>0</v>
      </c>
      <c r="BK131" s="572">
        <v>526565</v>
      </c>
      <c r="BL131" s="572">
        <v>1354595</v>
      </c>
      <c r="BM131" s="572">
        <v>457906</v>
      </c>
      <c r="BN131" s="572">
        <v>0</v>
      </c>
      <c r="BO131" s="572">
        <v>0</v>
      </c>
      <c r="BP131" s="572">
        <v>0</v>
      </c>
      <c r="BQ131" s="572">
        <v>442293</v>
      </c>
      <c r="BR131" s="572">
        <v>0</v>
      </c>
      <c r="BS131" s="572">
        <v>0</v>
      </c>
      <c r="BT131" s="572">
        <v>35775</v>
      </c>
      <c r="BU131" s="572">
        <v>96481</v>
      </c>
      <c r="BV131" s="572">
        <v>0</v>
      </c>
      <c r="BW131" s="572">
        <v>60217</v>
      </c>
      <c r="BX131" s="572">
        <v>271471</v>
      </c>
      <c r="BY131" s="572">
        <v>0</v>
      </c>
      <c r="BZ131" s="572">
        <v>0</v>
      </c>
      <c r="CA131" s="572">
        <v>235359</v>
      </c>
      <c r="CB131" s="572">
        <v>0</v>
      </c>
      <c r="CC131" s="572">
        <v>749084</v>
      </c>
      <c r="CD131" s="572">
        <v>34579</v>
      </c>
      <c r="CE131" s="572">
        <v>159046</v>
      </c>
      <c r="CF131" s="572">
        <v>0</v>
      </c>
      <c r="CG131" s="572">
        <v>98772</v>
      </c>
      <c r="CH131" s="572">
        <v>0</v>
      </c>
      <c r="CI131" s="572">
        <v>612221</v>
      </c>
      <c r="CJ131" s="572">
        <v>46462</v>
      </c>
      <c r="CK131" s="572">
        <v>271528</v>
      </c>
      <c r="CL131" s="572">
        <v>0</v>
      </c>
      <c r="CM131" s="572">
        <v>497712</v>
      </c>
      <c r="CN131" s="572">
        <v>58605</v>
      </c>
      <c r="CO131" s="572">
        <v>104178</v>
      </c>
      <c r="CP131" s="572">
        <v>152637</v>
      </c>
      <c r="CQ131" s="572">
        <v>746176</v>
      </c>
    </row>
    <row r="132" spans="1:95" ht="30" x14ac:dyDescent="0.25">
      <c r="A132" s="666">
        <v>371</v>
      </c>
      <c r="B132" s="590">
        <v>371</v>
      </c>
      <c r="C132" s="570" t="s">
        <v>342</v>
      </c>
      <c r="D132" s="567" t="s">
        <v>830</v>
      </c>
      <c r="E132" s="573">
        <v>0</v>
      </c>
      <c r="F132" s="574">
        <v>0</v>
      </c>
      <c r="G132" s="574">
        <v>0</v>
      </c>
      <c r="H132" s="574">
        <v>0</v>
      </c>
      <c r="I132" s="574">
        <v>0</v>
      </c>
      <c r="J132" s="574">
        <v>0</v>
      </c>
      <c r="K132" s="575">
        <v>0</v>
      </c>
      <c r="L132" s="572">
        <v>0</v>
      </c>
      <c r="M132" s="572">
        <v>0</v>
      </c>
      <c r="N132" s="571">
        <v>0</v>
      </c>
      <c r="O132" s="571">
        <v>0</v>
      </c>
      <c r="P132" s="571">
        <v>0</v>
      </c>
      <c r="Q132" s="571">
        <v>0</v>
      </c>
      <c r="R132" s="571">
        <v>0</v>
      </c>
      <c r="S132" s="571">
        <v>0</v>
      </c>
      <c r="T132" s="571">
        <v>0</v>
      </c>
      <c r="U132" s="571">
        <v>0</v>
      </c>
      <c r="V132" s="571">
        <v>0</v>
      </c>
      <c r="W132" s="571">
        <v>0</v>
      </c>
      <c r="X132" s="571">
        <v>0</v>
      </c>
      <c r="Y132" s="571">
        <v>0</v>
      </c>
      <c r="Z132" s="571">
        <v>0</v>
      </c>
      <c r="AA132" s="571">
        <v>0</v>
      </c>
      <c r="AB132" s="572">
        <v>0</v>
      </c>
      <c r="AC132" s="572">
        <v>0</v>
      </c>
      <c r="AD132" s="572">
        <v>0</v>
      </c>
      <c r="AE132" s="572">
        <v>0</v>
      </c>
      <c r="AF132" s="572">
        <v>0</v>
      </c>
      <c r="AG132" s="572">
        <v>0</v>
      </c>
      <c r="AH132" s="572">
        <v>0</v>
      </c>
      <c r="AI132" s="572">
        <v>0</v>
      </c>
      <c r="AJ132" s="572">
        <v>0</v>
      </c>
      <c r="AK132" s="572">
        <v>0</v>
      </c>
      <c r="AL132" s="572">
        <v>0</v>
      </c>
      <c r="AM132" s="572">
        <v>0</v>
      </c>
      <c r="AN132" s="572">
        <v>0</v>
      </c>
      <c r="AO132" s="572">
        <v>0</v>
      </c>
      <c r="AP132" s="572">
        <v>0</v>
      </c>
      <c r="AQ132" s="572">
        <v>0</v>
      </c>
      <c r="AR132" s="572">
        <v>0</v>
      </c>
      <c r="AS132" s="572">
        <v>0</v>
      </c>
      <c r="AT132" s="572">
        <v>0</v>
      </c>
      <c r="AU132" s="572">
        <v>0</v>
      </c>
      <c r="AV132" s="572">
        <v>0</v>
      </c>
      <c r="AW132" s="572">
        <v>0</v>
      </c>
      <c r="AX132" s="572">
        <v>0</v>
      </c>
      <c r="AY132" s="572">
        <v>4610650</v>
      </c>
      <c r="AZ132" s="572">
        <v>0</v>
      </c>
      <c r="BA132" s="572">
        <v>0</v>
      </c>
      <c r="BB132" s="572">
        <v>0</v>
      </c>
      <c r="BC132" s="572">
        <v>0</v>
      </c>
      <c r="BD132" s="572">
        <v>0</v>
      </c>
      <c r="BE132" s="572">
        <v>0</v>
      </c>
      <c r="BF132" s="572">
        <v>0</v>
      </c>
      <c r="BG132" s="572">
        <v>0</v>
      </c>
      <c r="BH132" s="572">
        <v>0</v>
      </c>
      <c r="BI132" s="572">
        <v>0</v>
      </c>
      <c r="BJ132" s="572">
        <v>0</v>
      </c>
      <c r="BK132" s="572">
        <v>0</v>
      </c>
      <c r="BL132" s="572">
        <v>0</v>
      </c>
      <c r="BM132" s="572">
        <v>0</v>
      </c>
      <c r="BN132" s="572">
        <v>0</v>
      </c>
      <c r="BO132" s="572">
        <v>0</v>
      </c>
      <c r="BP132" s="572">
        <v>0</v>
      </c>
      <c r="BQ132" s="572">
        <v>0</v>
      </c>
      <c r="BR132" s="572">
        <v>0</v>
      </c>
      <c r="BS132" s="572">
        <v>0</v>
      </c>
      <c r="BT132" s="572">
        <v>0</v>
      </c>
      <c r="BU132" s="572">
        <v>0</v>
      </c>
      <c r="BV132" s="572">
        <v>0</v>
      </c>
      <c r="BW132" s="572">
        <v>0</v>
      </c>
      <c r="BX132" s="572">
        <v>0</v>
      </c>
      <c r="BY132" s="572">
        <v>0</v>
      </c>
      <c r="BZ132" s="572">
        <v>0</v>
      </c>
      <c r="CA132" s="572">
        <v>0</v>
      </c>
      <c r="CB132" s="572">
        <v>9334832</v>
      </c>
      <c r="CC132" s="572">
        <v>0</v>
      </c>
      <c r="CD132" s="572">
        <v>0</v>
      </c>
      <c r="CE132" s="572">
        <v>0</v>
      </c>
      <c r="CF132" s="572">
        <v>0</v>
      </c>
      <c r="CG132" s="572">
        <v>0</v>
      </c>
      <c r="CH132" s="572">
        <v>1986170</v>
      </c>
      <c r="CI132" s="572">
        <v>0</v>
      </c>
      <c r="CJ132" s="572">
        <v>0</v>
      </c>
      <c r="CK132" s="572">
        <v>0</v>
      </c>
      <c r="CL132" s="572">
        <v>0</v>
      </c>
      <c r="CM132" s="572">
        <v>0</v>
      </c>
      <c r="CN132" s="572">
        <v>0</v>
      </c>
      <c r="CO132" s="572">
        <v>0</v>
      </c>
      <c r="CP132" s="572">
        <v>0</v>
      </c>
      <c r="CQ132" s="572">
        <v>0</v>
      </c>
    </row>
    <row r="133" spans="1:95" x14ac:dyDescent="0.25">
      <c r="A133" s="668">
        <v>373</v>
      </c>
      <c r="B133" s="590">
        <v>373</v>
      </c>
      <c r="C133" s="570" t="s">
        <v>430</v>
      </c>
      <c r="D133" s="567" t="s">
        <v>831</v>
      </c>
      <c r="E133" s="573">
        <v>19809</v>
      </c>
      <c r="F133" s="574">
        <v>24368482</v>
      </c>
      <c r="G133" s="574">
        <v>1137628</v>
      </c>
      <c r="H133" s="574">
        <v>3094518</v>
      </c>
      <c r="I133" s="574">
        <v>1008749</v>
      </c>
      <c r="J133" s="574">
        <v>1329903</v>
      </c>
      <c r="K133" s="575">
        <v>48178541</v>
      </c>
      <c r="L133" s="572">
        <v>621882</v>
      </c>
      <c r="M133" s="572">
        <v>234538</v>
      </c>
      <c r="N133" s="571">
        <v>648766</v>
      </c>
      <c r="O133" s="571">
        <v>1392534</v>
      </c>
      <c r="P133" s="571">
        <v>20497</v>
      </c>
      <c r="Q133" s="571">
        <v>314648</v>
      </c>
      <c r="R133" s="571">
        <v>1650865</v>
      </c>
      <c r="S133" s="571">
        <v>2919532</v>
      </c>
      <c r="T133" s="571">
        <v>4457498</v>
      </c>
      <c r="U133" s="571">
        <v>0</v>
      </c>
      <c r="V133" s="571">
        <v>2831954</v>
      </c>
      <c r="W133" s="571">
        <v>179038</v>
      </c>
      <c r="X133" s="571">
        <v>5771068</v>
      </c>
      <c r="Y133" s="571">
        <v>3548783</v>
      </c>
      <c r="Z133" s="571">
        <v>71961</v>
      </c>
      <c r="AA133" s="571">
        <v>60455916</v>
      </c>
      <c r="AB133" s="572">
        <v>1464982</v>
      </c>
      <c r="AC133" s="572">
        <v>550369</v>
      </c>
      <c r="AD133" s="572">
        <v>169234</v>
      </c>
      <c r="AE133" s="572">
        <v>20651080</v>
      </c>
      <c r="AF133" s="572">
        <v>1215815</v>
      </c>
      <c r="AG133" s="572">
        <v>2023731</v>
      </c>
      <c r="AH133" s="572">
        <v>754328</v>
      </c>
      <c r="AI133" s="572">
        <v>55352</v>
      </c>
      <c r="AJ133" s="572">
        <v>719887</v>
      </c>
      <c r="AK133" s="572">
        <v>2143789</v>
      </c>
      <c r="AL133" s="572">
        <v>3009382</v>
      </c>
      <c r="AM133" s="572">
        <v>3410946</v>
      </c>
      <c r="AN133" s="572">
        <v>73660</v>
      </c>
      <c r="AO133" s="572">
        <v>59276</v>
      </c>
      <c r="AP133" s="572">
        <v>6719115</v>
      </c>
      <c r="AQ133" s="572">
        <v>0</v>
      </c>
      <c r="AR133" s="572">
        <v>108629</v>
      </c>
      <c r="AS133" s="572">
        <v>257633</v>
      </c>
      <c r="AT133" s="572">
        <v>463538</v>
      </c>
      <c r="AU133" s="572">
        <v>164387</v>
      </c>
      <c r="AV133" s="572">
        <v>349438</v>
      </c>
      <c r="AW133" s="572">
        <v>2764218</v>
      </c>
      <c r="AX133" s="572">
        <v>660605</v>
      </c>
      <c r="AY133" s="572">
        <v>63741405</v>
      </c>
      <c r="AZ133" s="572">
        <v>1029814</v>
      </c>
      <c r="BA133" s="572">
        <v>5328853</v>
      </c>
      <c r="BB133" s="572">
        <v>269384</v>
      </c>
      <c r="BC133" s="572">
        <v>392493</v>
      </c>
      <c r="BD133" s="572">
        <v>3794774</v>
      </c>
      <c r="BE133" s="572">
        <v>76833</v>
      </c>
      <c r="BF133" s="572">
        <v>392539</v>
      </c>
      <c r="BG133" s="572">
        <v>0</v>
      </c>
      <c r="BH133" s="572">
        <v>17457196</v>
      </c>
      <c r="BI133" s="572">
        <v>169168</v>
      </c>
      <c r="BJ133" s="572">
        <v>66699</v>
      </c>
      <c r="BK133" s="572">
        <v>30352006</v>
      </c>
      <c r="BL133" s="572">
        <v>39787854</v>
      </c>
      <c r="BM133" s="572">
        <v>6784315</v>
      </c>
      <c r="BN133" s="572">
        <v>135612</v>
      </c>
      <c r="BO133" s="572">
        <v>538103</v>
      </c>
      <c r="BP133" s="572">
        <v>0</v>
      </c>
      <c r="BQ133" s="572">
        <v>3672465</v>
      </c>
      <c r="BR133" s="572">
        <v>421035</v>
      </c>
      <c r="BS133" s="572">
        <v>518211</v>
      </c>
      <c r="BT133" s="572">
        <v>3175309</v>
      </c>
      <c r="BU133" s="572">
        <v>2005974</v>
      </c>
      <c r="BV133" s="572">
        <v>788824</v>
      </c>
      <c r="BW133" s="572">
        <v>1997176</v>
      </c>
      <c r="BX133" s="572">
        <v>6348158</v>
      </c>
      <c r="BY133" s="572">
        <v>209850</v>
      </c>
      <c r="BZ133" s="572">
        <v>0</v>
      </c>
      <c r="CA133" s="572">
        <v>10796487</v>
      </c>
      <c r="CB133" s="572">
        <v>192911787</v>
      </c>
      <c r="CC133" s="572">
        <v>60096031</v>
      </c>
      <c r="CD133" s="572">
        <v>342706</v>
      </c>
      <c r="CE133" s="572">
        <v>3822384</v>
      </c>
      <c r="CF133" s="572">
        <v>0</v>
      </c>
      <c r="CG133" s="572">
        <v>1927026</v>
      </c>
      <c r="CH133" s="572">
        <v>241436974</v>
      </c>
      <c r="CI133" s="572">
        <v>22164163</v>
      </c>
      <c r="CJ133" s="572">
        <v>1465951</v>
      </c>
      <c r="CK133" s="572">
        <v>2117427</v>
      </c>
      <c r="CL133" s="572">
        <v>870737</v>
      </c>
      <c r="CM133" s="572">
        <v>7520165</v>
      </c>
      <c r="CN133" s="572">
        <v>2388907</v>
      </c>
      <c r="CO133" s="572">
        <v>1468851</v>
      </c>
      <c r="CP133" s="572">
        <v>853197</v>
      </c>
      <c r="CQ133" s="572">
        <v>15186389</v>
      </c>
    </row>
    <row r="134" spans="1:95" ht="30" x14ac:dyDescent="0.25">
      <c r="A134" s="668">
        <v>375</v>
      </c>
      <c r="B134" s="590">
        <v>375</v>
      </c>
      <c r="C134" s="570" t="s">
        <v>307</v>
      </c>
      <c r="D134" s="567" t="s">
        <v>832</v>
      </c>
      <c r="E134" s="573">
        <v>0</v>
      </c>
      <c r="F134" s="574">
        <v>0</v>
      </c>
      <c r="G134" s="574">
        <v>392800</v>
      </c>
      <c r="H134" s="574">
        <v>1629752</v>
      </c>
      <c r="I134" s="574">
        <v>1931046</v>
      </c>
      <c r="J134" s="574">
        <v>30356</v>
      </c>
      <c r="K134" s="575">
        <v>17653141</v>
      </c>
      <c r="L134" s="572">
        <v>574880</v>
      </c>
      <c r="M134" s="572">
        <v>0</v>
      </c>
      <c r="N134" s="571">
        <v>1527445</v>
      </c>
      <c r="O134" s="571">
        <v>302328</v>
      </c>
      <c r="P134" s="571">
        <v>0</v>
      </c>
      <c r="Q134" s="571">
        <v>40675</v>
      </c>
      <c r="R134" s="571">
        <v>0</v>
      </c>
      <c r="S134" s="571">
        <v>0</v>
      </c>
      <c r="T134" s="571">
        <v>0</v>
      </c>
      <c r="U134" s="571">
        <v>0</v>
      </c>
      <c r="V134" s="571">
        <v>0</v>
      </c>
      <c r="W134" s="571">
        <v>2272230</v>
      </c>
      <c r="X134" s="571">
        <v>0</v>
      </c>
      <c r="Y134" s="571">
        <v>2239404</v>
      </c>
      <c r="Z134" s="571">
        <v>0</v>
      </c>
      <c r="AA134" s="571">
        <v>-325695</v>
      </c>
      <c r="AB134" s="572">
        <v>1814551</v>
      </c>
      <c r="AC134" s="572">
        <v>-75990</v>
      </c>
      <c r="AD134" s="572">
        <v>152890</v>
      </c>
      <c r="AE134" s="572">
        <v>8031879</v>
      </c>
      <c r="AF134" s="572">
        <v>0</v>
      </c>
      <c r="AG134" s="572">
        <v>1971088</v>
      </c>
      <c r="AH134" s="572">
        <v>0</v>
      </c>
      <c r="AI134" s="572">
        <v>407097</v>
      </c>
      <c r="AJ134" s="572">
        <v>712388</v>
      </c>
      <c r="AK134" s="572">
        <v>574213</v>
      </c>
      <c r="AL134" s="572">
        <v>818071</v>
      </c>
      <c r="AM134" s="572">
        <v>742945</v>
      </c>
      <c r="AN134" s="572">
        <v>49914</v>
      </c>
      <c r="AO134" s="572">
        <v>0</v>
      </c>
      <c r="AP134" s="572">
        <v>1559068</v>
      </c>
      <c r="AQ134" s="572">
        <v>0</v>
      </c>
      <c r="AR134" s="572">
        <v>0</v>
      </c>
      <c r="AS134" s="572">
        <v>0</v>
      </c>
      <c r="AT134" s="572">
        <v>0</v>
      </c>
      <c r="AU134" s="572">
        <v>0</v>
      </c>
      <c r="AV134" s="572">
        <v>237183</v>
      </c>
      <c r="AW134" s="572">
        <v>1735858</v>
      </c>
      <c r="AX134" s="572">
        <v>394480</v>
      </c>
      <c r="AY134" s="572">
        <v>0</v>
      </c>
      <c r="AZ134" s="572">
        <v>0</v>
      </c>
      <c r="BA134" s="572">
        <v>3159218</v>
      </c>
      <c r="BB134" s="572">
        <v>0</v>
      </c>
      <c r="BC134" s="572">
        <v>1490242</v>
      </c>
      <c r="BD134" s="572">
        <v>945207</v>
      </c>
      <c r="BE134" s="572">
        <v>8512</v>
      </c>
      <c r="BF134" s="572">
        <v>666013</v>
      </c>
      <c r="BG134" s="572">
        <v>1905508</v>
      </c>
      <c r="BH134" s="572">
        <v>6245911</v>
      </c>
      <c r="BI134" s="572">
        <v>0</v>
      </c>
      <c r="BJ134" s="572">
        <v>0</v>
      </c>
      <c r="BK134" s="572">
        <v>0</v>
      </c>
      <c r="BL134" s="572">
        <v>3765134</v>
      </c>
      <c r="BM134" s="572">
        <v>2899609</v>
      </c>
      <c r="BN134" s="572">
        <v>0</v>
      </c>
      <c r="BO134" s="572">
        <v>0</v>
      </c>
      <c r="BP134" s="572">
        <v>0</v>
      </c>
      <c r="BQ134" s="572">
        <v>0</v>
      </c>
      <c r="BR134" s="572">
        <v>0</v>
      </c>
      <c r="BS134" s="572">
        <v>0</v>
      </c>
      <c r="BT134" s="572">
        <v>1234882</v>
      </c>
      <c r="BU134" s="572">
        <v>0</v>
      </c>
      <c r="BV134" s="572">
        <v>335257</v>
      </c>
      <c r="BW134" s="572">
        <v>1536448</v>
      </c>
      <c r="BX134" s="572">
        <v>2032776</v>
      </c>
      <c r="BY134" s="572">
        <v>112640</v>
      </c>
      <c r="BZ134" s="572">
        <v>0</v>
      </c>
      <c r="CA134" s="572">
        <v>7751581</v>
      </c>
      <c r="CB134" s="572">
        <v>0</v>
      </c>
      <c r="CC134" s="572">
        <v>10711329</v>
      </c>
      <c r="CD134" s="572">
        <v>-52001</v>
      </c>
      <c r="CE134" s="572">
        <v>1173853</v>
      </c>
      <c r="CF134" s="572">
        <v>0</v>
      </c>
      <c r="CG134" s="572">
        <v>740252</v>
      </c>
      <c r="CH134" s="572">
        <v>117507742</v>
      </c>
      <c r="CI134" s="572">
        <v>2361224</v>
      </c>
      <c r="CJ134" s="572">
        <v>755865</v>
      </c>
      <c r="CK134" s="572">
        <v>0</v>
      </c>
      <c r="CL134" s="572">
        <v>663440</v>
      </c>
      <c r="CM134" s="572">
        <v>7522388</v>
      </c>
      <c r="CN134" s="572">
        <v>2964362</v>
      </c>
      <c r="CO134" s="572">
        <v>1918160</v>
      </c>
      <c r="CP134" s="572">
        <v>0</v>
      </c>
      <c r="CQ134" s="572">
        <v>0</v>
      </c>
    </row>
    <row r="135" spans="1:95" ht="30" x14ac:dyDescent="0.25">
      <c r="A135" s="668">
        <v>376</v>
      </c>
      <c r="B135" s="590">
        <v>376</v>
      </c>
      <c r="C135" s="570" t="s">
        <v>127</v>
      </c>
      <c r="D135" s="567" t="s">
        <v>833</v>
      </c>
      <c r="E135" s="573">
        <v>0</v>
      </c>
      <c r="F135" s="574">
        <v>0</v>
      </c>
      <c r="G135" s="574">
        <v>0</v>
      </c>
      <c r="H135" s="574">
        <v>74720</v>
      </c>
      <c r="I135" s="574">
        <v>0</v>
      </c>
      <c r="J135" s="574">
        <v>0</v>
      </c>
      <c r="K135" s="575">
        <v>-268620</v>
      </c>
      <c r="L135" s="572">
        <v>-860621</v>
      </c>
      <c r="M135" s="572">
        <v>0</v>
      </c>
      <c r="N135" s="571">
        <v>0</v>
      </c>
      <c r="O135" s="571">
        <v>0</v>
      </c>
      <c r="P135" s="571">
        <v>0</v>
      </c>
      <c r="Q135" s="571">
        <v>0</v>
      </c>
      <c r="R135" s="571">
        <v>149700</v>
      </c>
      <c r="S135" s="571">
        <v>0</v>
      </c>
      <c r="T135" s="571">
        <v>-5516688</v>
      </c>
      <c r="U135" s="571">
        <v>0</v>
      </c>
      <c r="V135" s="571">
        <v>-352598</v>
      </c>
      <c r="W135" s="571">
        <v>0</v>
      </c>
      <c r="X135" s="571">
        <v>-236419</v>
      </c>
      <c r="Y135" s="571">
        <v>0</v>
      </c>
      <c r="Z135" s="571">
        <v>0</v>
      </c>
      <c r="AA135" s="571">
        <v>-14509810</v>
      </c>
      <c r="AB135" s="572">
        <v>-521108</v>
      </c>
      <c r="AC135" s="572">
        <v>0</v>
      </c>
      <c r="AD135" s="572">
        <v>0</v>
      </c>
      <c r="AE135" s="572">
        <v>-4297587</v>
      </c>
      <c r="AF135" s="572">
        <v>0</v>
      </c>
      <c r="AG135" s="572">
        <v>-208552</v>
      </c>
      <c r="AH135" s="572">
        <v>0</v>
      </c>
      <c r="AI135" s="572">
        <v>0</v>
      </c>
      <c r="AJ135" s="572">
        <v>0</v>
      </c>
      <c r="AK135" s="572">
        <v>-100750</v>
      </c>
      <c r="AL135" s="572">
        <v>0</v>
      </c>
      <c r="AM135" s="572">
        <v>33585</v>
      </c>
      <c r="AN135" s="572">
        <v>0</v>
      </c>
      <c r="AO135" s="572">
        <v>0</v>
      </c>
      <c r="AP135" s="572">
        <v>-338563</v>
      </c>
      <c r="AQ135" s="572">
        <v>0</v>
      </c>
      <c r="AR135" s="572">
        <v>0</v>
      </c>
      <c r="AS135" s="572">
        <v>0</v>
      </c>
      <c r="AT135" s="572">
        <v>0</v>
      </c>
      <c r="AU135" s="572">
        <v>0</v>
      </c>
      <c r="AV135" s="572">
        <v>-116179</v>
      </c>
      <c r="AW135" s="572">
        <v>-3804938</v>
      </c>
      <c r="AX135" s="572">
        <v>0</v>
      </c>
      <c r="AY135" s="572">
        <v>-9896757</v>
      </c>
      <c r="AZ135" s="572">
        <v>0</v>
      </c>
      <c r="BA135" s="572">
        <v>0</v>
      </c>
      <c r="BB135" s="572">
        <v>0</v>
      </c>
      <c r="BC135" s="572">
        <v>0</v>
      </c>
      <c r="BD135" s="572">
        <v>0</v>
      </c>
      <c r="BE135" s="572">
        <v>0</v>
      </c>
      <c r="BF135" s="572">
        <v>18773</v>
      </c>
      <c r="BG135" s="572">
        <v>0</v>
      </c>
      <c r="BH135" s="572">
        <v>-1783925</v>
      </c>
      <c r="BI135" s="572">
        <v>0</v>
      </c>
      <c r="BJ135" s="572">
        <v>0</v>
      </c>
      <c r="BK135" s="572">
        <v>9566920</v>
      </c>
      <c r="BL135" s="572">
        <v>-2074309</v>
      </c>
      <c r="BM135" s="572">
        <v>-237665</v>
      </c>
      <c r="BN135" s="572">
        <v>0</v>
      </c>
      <c r="BO135" s="572">
        <v>0</v>
      </c>
      <c r="BP135" s="572">
        <v>0</v>
      </c>
      <c r="BQ135" s="572">
        <v>-2947832</v>
      </c>
      <c r="BR135" s="572">
        <v>0</v>
      </c>
      <c r="BS135" s="572">
        <v>0</v>
      </c>
      <c r="BT135" s="572">
        <v>0</v>
      </c>
      <c r="BU135" s="572">
        <v>0</v>
      </c>
      <c r="BV135" s="572">
        <v>0</v>
      </c>
      <c r="BW135" s="572">
        <v>0</v>
      </c>
      <c r="BX135" s="572">
        <v>682332</v>
      </c>
      <c r="BY135" s="572">
        <v>0</v>
      </c>
      <c r="BZ135" s="572">
        <v>0</v>
      </c>
      <c r="CA135" s="572">
        <v>-2297020</v>
      </c>
      <c r="CB135" s="572">
        <v>-19941874</v>
      </c>
      <c r="CC135" s="572">
        <v>-38669249</v>
      </c>
      <c r="CD135" s="572">
        <v>0</v>
      </c>
      <c r="CE135" s="572">
        <v>-1306781</v>
      </c>
      <c r="CF135" s="572">
        <v>0</v>
      </c>
      <c r="CG135" s="572">
        <v>14592</v>
      </c>
      <c r="CH135" s="572">
        <v>-18938582</v>
      </c>
      <c r="CI135" s="572">
        <v>-681369</v>
      </c>
      <c r="CJ135" s="572">
        <v>0</v>
      </c>
      <c r="CK135" s="572">
        <v>-2190088</v>
      </c>
      <c r="CL135" s="572">
        <v>0</v>
      </c>
      <c r="CM135" s="572">
        <v>-3258138</v>
      </c>
      <c r="CN135" s="572">
        <v>0</v>
      </c>
      <c r="CO135" s="572">
        <v>92427</v>
      </c>
      <c r="CP135" s="572">
        <v>44006</v>
      </c>
      <c r="CQ135" s="572">
        <v>-3220357</v>
      </c>
    </row>
    <row r="136" spans="1:95" ht="30" x14ac:dyDescent="0.25">
      <c r="A136" s="668">
        <v>377</v>
      </c>
      <c r="B136" s="590">
        <v>377</v>
      </c>
      <c r="C136" s="570" t="s">
        <v>128</v>
      </c>
      <c r="D136" s="567" t="s">
        <v>834</v>
      </c>
      <c r="E136" s="573">
        <v>0</v>
      </c>
      <c r="F136" s="574">
        <v>0</v>
      </c>
      <c r="G136" s="574">
        <v>0</v>
      </c>
      <c r="H136" s="574">
        <v>22319</v>
      </c>
      <c r="I136" s="574">
        <v>0</v>
      </c>
      <c r="J136" s="574">
        <v>0</v>
      </c>
      <c r="K136" s="575">
        <v>-45948</v>
      </c>
      <c r="L136" s="572">
        <v>-81771</v>
      </c>
      <c r="M136" s="572">
        <v>0</v>
      </c>
      <c r="N136" s="571">
        <v>0</v>
      </c>
      <c r="O136" s="571">
        <v>0</v>
      </c>
      <c r="P136" s="571">
        <v>0</v>
      </c>
      <c r="Q136" s="571">
        <v>0</v>
      </c>
      <c r="R136" s="571">
        <v>0</v>
      </c>
      <c r="S136" s="571">
        <v>0</v>
      </c>
      <c r="T136" s="571">
        <v>0</v>
      </c>
      <c r="U136" s="571">
        <v>0</v>
      </c>
      <c r="V136" s="571">
        <v>0</v>
      </c>
      <c r="W136" s="571">
        <v>0</v>
      </c>
      <c r="X136" s="571">
        <v>0</v>
      </c>
      <c r="Y136" s="571">
        <v>0</v>
      </c>
      <c r="Z136" s="571">
        <v>0</v>
      </c>
      <c r="AA136" s="571">
        <v>-2268360</v>
      </c>
      <c r="AB136" s="572">
        <v>-336500</v>
      </c>
      <c r="AC136" s="572">
        <v>0</v>
      </c>
      <c r="AD136" s="572">
        <v>0</v>
      </c>
      <c r="AE136" s="572">
        <v>-816201</v>
      </c>
      <c r="AF136" s="572">
        <v>0</v>
      </c>
      <c r="AG136" s="572">
        <v>-27646</v>
      </c>
      <c r="AH136" s="572">
        <v>0</v>
      </c>
      <c r="AI136" s="572">
        <v>0</v>
      </c>
      <c r="AJ136" s="572">
        <v>0</v>
      </c>
      <c r="AK136" s="572">
        <v>-69326</v>
      </c>
      <c r="AL136" s="572">
        <v>0</v>
      </c>
      <c r="AM136" s="572">
        <v>0</v>
      </c>
      <c r="AN136" s="572">
        <v>0</v>
      </c>
      <c r="AO136" s="572">
        <v>0</v>
      </c>
      <c r="AP136" s="572">
        <v>-64490</v>
      </c>
      <c r="AQ136" s="572">
        <v>0</v>
      </c>
      <c r="AR136" s="572">
        <v>0</v>
      </c>
      <c r="AS136" s="572">
        <v>0</v>
      </c>
      <c r="AT136" s="572">
        <v>0</v>
      </c>
      <c r="AU136" s="572">
        <v>0</v>
      </c>
      <c r="AV136" s="572">
        <v>-38900</v>
      </c>
      <c r="AW136" s="572">
        <v>-880230</v>
      </c>
      <c r="AX136" s="572">
        <v>0</v>
      </c>
      <c r="AY136" s="572">
        <v>0</v>
      </c>
      <c r="AZ136" s="572">
        <v>0</v>
      </c>
      <c r="BA136" s="572">
        <v>0</v>
      </c>
      <c r="BB136" s="572">
        <v>0</v>
      </c>
      <c r="BC136" s="572">
        <v>0</v>
      </c>
      <c r="BD136" s="572">
        <v>0</v>
      </c>
      <c r="BE136" s="572">
        <v>-1</v>
      </c>
      <c r="BF136" s="572">
        <v>0</v>
      </c>
      <c r="BG136" s="572">
        <v>0</v>
      </c>
      <c r="BH136" s="572">
        <v>-419883</v>
      </c>
      <c r="BI136" s="572">
        <v>0</v>
      </c>
      <c r="BJ136" s="572">
        <v>0</v>
      </c>
      <c r="BK136" s="572">
        <v>0</v>
      </c>
      <c r="BL136" s="572">
        <v>-583454</v>
      </c>
      <c r="BM136" s="572">
        <v>-64687</v>
      </c>
      <c r="BN136" s="572">
        <v>0</v>
      </c>
      <c r="BO136" s="572">
        <v>0</v>
      </c>
      <c r="BP136" s="572">
        <v>0</v>
      </c>
      <c r="BQ136" s="572">
        <v>0</v>
      </c>
      <c r="BR136" s="572">
        <v>0</v>
      </c>
      <c r="BS136" s="572">
        <v>0</v>
      </c>
      <c r="BT136" s="572">
        <v>0</v>
      </c>
      <c r="BU136" s="572">
        <v>0</v>
      </c>
      <c r="BV136" s="572">
        <v>0</v>
      </c>
      <c r="BW136" s="572">
        <v>0</v>
      </c>
      <c r="BX136" s="572">
        <v>221006</v>
      </c>
      <c r="BY136" s="572">
        <v>20000</v>
      </c>
      <c r="BZ136" s="572">
        <v>0</v>
      </c>
      <c r="CA136" s="572">
        <v>-654663</v>
      </c>
      <c r="CB136" s="572">
        <v>0</v>
      </c>
      <c r="CC136" s="572">
        <v>-5784421</v>
      </c>
      <c r="CD136" s="572">
        <v>0</v>
      </c>
      <c r="CE136" s="572">
        <v>-523478</v>
      </c>
      <c r="CF136" s="572">
        <v>0</v>
      </c>
      <c r="CG136" s="572">
        <v>-48495</v>
      </c>
      <c r="CH136" s="572">
        <v>-2635597</v>
      </c>
      <c r="CI136" s="572">
        <v>-70237</v>
      </c>
      <c r="CJ136" s="572">
        <v>0</v>
      </c>
      <c r="CK136" s="572">
        <v>0</v>
      </c>
      <c r="CL136" s="572">
        <v>0</v>
      </c>
      <c r="CM136" s="572">
        <v>-245236</v>
      </c>
      <c r="CN136" s="572">
        <v>0</v>
      </c>
      <c r="CO136" s="572">
        <v>27985</v>
      </c>
      <c r="CP136" s="572">
        <v>0</v>
      </c>
      <c r="CQ136" s="572">
        <v>0</v>
      </c>
    </row>
    <row r="137" spans="1:95" ht="30" x14ac:dyDescent="0.25">
      <c r="A137" s="668">
        <v>378</v>
      </c>
      <c r="B137" s="590">
        <v>378</v>
      </c>
      <c r="C137" s="570" t="s">
        <v>129</v>
      </c>
      <c r="D137" s="567" t="s">
        <v>835</v>
      </c>
      <c r="E137" s="573">
        <v>0</v>
      </c>
      <c r="F137" s="574">
        <v>0</v>
      </c>
      <c r="G137" s="574">
        <v>0</v>
      </c>
      <c r="H137" s="574">
        <v>0</v>
      </c>
      <c r="I137" s="574">
        <v>0</v>
      </c>
      <c r="J137" s="574">
        <v>0</v>
      </c>
      <c r="K137" s="575">
        <v>-28276</v>
      </c>
      <c r="L137" s="572">
        <v>0</v>
      </c>
      <c r="M137" s="572">
        <v>0</v>
      </c>
      <c r="N137" s="571">
        <v>0</v>
      </c>
      <c r="O137" s="571">
        <v>0</v>
      </c>
      <c r="P137" s="571">
        <v>0</v>
      </c>
      <c r="Q137" s="571">
        <v>0</v>
      </c>
      <c r="R137" s="571">
        <v>0</v>
      </c>
      <c r="S137" s="571">
        <v>0</v>
      </c>
      <c r="T137" s="571">
        <v>0</v>
      </c>
      <c r="U137" s="571">
        <v>0</v>
      </c>
      <c r="V137" s="571">
        <v>0</v>
      </c>
      <c r="W137" s="571">
        <v>0</v>
      </c>
      <c r="X137" s="571">
        <v>0</v>
      </c>
      <c r="Y137" s="571">
        <v>0</v>
      </c>
      <c r="Z137" s="571">
        <v>0</v>
      </c>
      <c r="AA137" s="571">
        <v>-1627681</v>
      </c>
      <c r="AB137" s="572">
        <v>0</v>
      </c>
      <c r="AC137" s="572">
        <v>0</v>
      </c>
      <c r="AD137" s="572">
        <v>0</v>
      </c>
      <c r="AE137" s="572">
        <v>0</v>
      </c>
      <c r="AF137" s="572">
        <v>0</v>
      </c>
      <c r="AG137" s="572">
        <v>0</v>
      </c>
      <c r="AH137" s="572">
        <v>0</v>
      </c>
      <c r="AI137" s="572">
        <v>0</v>
      </c>
      <c r="AJ137" s="572">
        <v>0</v>
      </c>
      <c r="AK137" s="572">
        <v>0</v>
      </c>
      <c r="AL137" s="572">
        <v>0</v>
      </c>
      <c r="AM137" s="572">
        <v>0</v>
      </c>
      <c r="AN137" s="572">
        <v>0</v>
      </c>
      <c r="AO137" s="572">
        <v>0</v>
      </c>
      <c r="AP137" s="572">
        <v>0</v>
      </c>
      <c r="AQ137" s="572">
        <v>0</v>
      </c>
      <c r="AR137" s="572">
        <v>0</v>
      </c>
      <c r="AS137" s="572">
        <v>0</v>
      </c>
      <c r="AT137" s="572">
        <v>0</v>
      </c>
      <c r="AU137" s="572">
        <v>0</v>
      </c>
      <c r="AV137" s="572">
        <v>0</v>
      </c>
      <c r="AW137" s="572">
        <v>0</v>
      </c>
      <c r="AX137" s="572">
        <v>0</v>
      </c>
      <c r="AY137" s="572">
        <v>-1805383</v>
      </c>
      <c r="AZ137" s="572">
        <v>0</v>
      </c>
      <c r="BA137" s="572">
        <v>0</v>
      </c>
      <c r="BB137" s="572">
        <v>0</v>
      </c>
      <c r="BC137" s="572">
        <v>0</v>
      </c>
      <c r="BD137" s="572">
        <v>0</v>
      </c>
      <c r="BE137" s="572">
        <v>0</v>
      </c>
      <c r="BF137" s="572">
        <v>0</v>
      </c>
      <c r="BG137" s="572">
        <v>0</v>
      </c>
      <c r="BH137" s="572">
        <v>-465375</v>
      </c>
      <c r="BI137" s="572">
        <v>0</v>
      </c>
      <c r="BJ137" s="572">
        <v>0</v>
      </c>
      <c r="BK137" s="572">
        <v>0</v>
      </c>
      <c r="BL137" s="572">
        <v>-85273</v>
      </c>
      <c r="BM137" s="572">
        <v>0</v>
      </c>
      <c r="BN137" s="572">
        <v>0</v>
      </c>
      <c r="BO137" s="572">
        <v>0</v>
      </c>
      <c r="BP137" s="572">
        <v>0</v>
      </c>
      <c r="BQ137" s="572">
        <v>0</v>
      </c>
      <c r="BR137" s="572">
        <v>0</v>
      </c>
      <c r="BS137" s="572">
        <v>0</v>
      </c>
      <c r="BT137" s="572">
        <v>0</v>
      </c>
      <c r="BU137" s="572">
        <v>0</v>
      </c>
      <c r="BV137" s="572">
        <v>0</v>
      </c>
      <c r="BW137" s="572">
        <v>0</v>
      </c>
      <c r="BX137" s="572">
        <v>0</v>
      </c>
      <c r="BY137" s="572">
        <v>0</v>
      </c>
      <c r="BZ137" s="572">
        <v>0</v>
      </c>
      <c r="CA137" s="572">
        <v>0</v>
      </c>
      <c r="CB137" s="572">
        <v>0</v>
      </c>
      <c r="CC137" s="572">
        <v>-5732309</v>
      </c>
      <c r="CD137" s="572">
        <v>0</v>
      </c>
      <c r="CE137" s="572">
        <v>-329908</v>
      </c>
      <c r="CF137" s="572">
        <v>0</v>
      </c>
      <c r="CG137" s="572">
        <v>0</v>
      </c>
      <c r="CH137" s="572">
        <v>0</v>
      </c>
      <c r="CI137" s="572">
        <v>-143577</v>
      </c>
      <c r="CJ137" s="572">
        <v>0</v>
      </c>
      <c r="CK137" s="572">
        <v>0</v>
      </c>
      <c r="CL137" s="572">
        <v>0</v>
      </c>
      <c r="CM137" s="572">
        <v>0</v>
      </c>
      <c r="CN137" s="572">
        <v>0</v>
      </c>
      <c r="CO137" s="572">
        <v>0</v>
      </c>
      <c r="CP137" s="572">
        <v>0</v>
      </c>
      <c r="CQ137" s="572">
        <v>0</v>
      </c>
    </row>
    <row r="138" spans="1:95" ht="30" x14ac:dyDescent="0.25">
      <c r="A138" s="668">
        <v>379</v>
      </c>
      <c r="B138" s="590">
        <v>379</v>
      </c>
      <c r="C138" s="570" t="s">
        <v>137</v>
      </c>
      <c r="D138" s="567" t="s">
        <v>836</v>
      </c>
      <c r="E138" s="573">
        <v>660021</v>
      </c>
      <c r="F138" s="574">
        <v>9223850</v>
      </c>
      <c r="G138" s="574">
        <v>1074663</v>
      </c>
      <c r="H138" s="574">
        <v>1510975</v>
      </c>
      <c r="I138" s="574">
        <v>707643</v>
      </c>
      <c r="J138" s="574">
        <v>941792</v>
      </c>
      <c r="K138" s="575">
        <v>24591443</v>
      </c>
      <c r="L138" s="572">
        <v>572282</v>
      </c>
      <c r="M138" s="572">
        <v>487535</v>
      </c>
      <c r="N138" s="571">
        <v>3055893</v>
      </c>
      <c r="O138" s="571">
        <v>872065</v>
      </c>
      <c r="P138" s="571">
        <v>357509</v>
      </c>
      <c r="Q138" s="571">
        <v>345153</v>
      </c>
      <c r="R138" s="571">
        <v>1416906</v>
      </c>
      <c r="S138" s="571">
        <v>7155694</v>
      </c>
      <c r="T138" s="571">
        <v>7618963</v>
      </c>
      <c r="U138" s="571">
        <v>0</v>
      </c>
      <c r="V138" s="571">
        <v>2590325</v>
      </c>
      <c r="W138" s="571">
        <v>3349804</v>
      </c>
      <c r="X138" s="571">
        <v>4777856</v>
      </c>
      <c r="Y138" s="571">
        <v>2262198</v>
      </c>
      <c r="Z138" s="571">
        <v>96631</v>
      </c>
      <c r="AA138" s="571">
        <v>6237924</v>
      </c>
      <c r="AB138" s="572">
        <v>808542</v>
      </c>
      <c r="AC138" s="572">
        <v>925235</v>
      </c>
      <c r="AD138" s="572">
        <v>593458</v>
      </c>
      <c r="AE138" s="572">
        <v>13785295</v>
      </c>
      <c r="AF138" s="572">
        <v>2316700</v>
      </c>
      <c r="AG138" s="572">
        <v>2875663</v>
      </c>
      <c r="AH138" s="572">
        <v>3058888</v>
      </c>
      <c r="AI138" s="572">
        <v>527052</v>
      </c>
      <c r="AJ138" s="572">
        <v>8657357</v>
      </c>
      <c r="AK138" s="572">
        <v>1856324</v>
      </c>
      <c r="AL138" s="572">
        <v>2068962</v>
      </c>
      <c r="AM138" s="572">
        <v>1855209</v>
      </c>
      <c r="AN138" s="572">
        <v>139234</v>
      </c>
      <c r="AO138" s="572">
        <v>2841654</v>
      </c>
      <c r="AP138" s="572">
        <v>2549184</v>
      </c>
      <c r="AQ138" s="572">
        <v>0</v>
      </c>
      <c r="AR138" s="572">
        <v>318801</v>
      </c>
      <c r="AS138" s="572">
        <v>1543406</v>
      </c>
      <c r="AT138" s="572">
        <v>610656</v>
      </c>
      <c r="AU138" s="572">
        <v>200176</v>
      </c>
      <c r="AV138" s="572">
        <v>264117</v>
      </c>
      <c r="AW138" s="572">
        <v>3772808</v>
      </c>
      <c r="AX138" s="572">
        <v>919479</v>
      </c>
      <c r="AY138" s="572">
        <v>19499686</v>
      </c>
      <c r="AZ138" s="572">
        <v>4602519</v>
      </c>
      <c r="BA138" s="572">
        <v>2955489</v>
      </c>
      <c r="BB138" s="572">
        <v>2761349</v>
      </c>
      <c r="BC138" s="572">
        <v>1129153</v>
      </c>
      <c r="BD138" s="572">
        <v>1632211</v>
      </c>
      <c r="BE138" s="572">
        <v>244636</v>
      </c>
      <c r="BF138" s="572">
        <v>939748</v>
      </c>
      <c r="BG138" s="572">
        <v>1838768</v>
      </c>
      <c r="BH138" s="572">
        <v>10305665</v>
      </c>
      <c r="BI138" s="572">
        <v>447999</v>
      </c>
      <c r="BJ138" s="572">
        <v>234104</v>
      </c>
      <c r="BK138" s="572">
        <v>6130405</v>
      </c>
      <c r="BL138" s="572">
        <v>8543772</v>
      </c>
      <c r="BM138" s="572">
        <v>7381899</v>
      </c>
      <c r="BN138" s="572">
        <v>149656</v>
      </c>
      <c r="BO138" s="572">
        <v>2876097</v>
      </c>
      <c r="BP138" s="572">
        <v>0</v>
      </c>
      <c r="BQ138" s="572">
        <v>9487674</v>
      </c>
      <c r="BR138" s="572">
        <v>1550220</v>
      </c>
      <c r="BS138" s="572">
        <v>1419192</v>
      </c>
      <c r="BT138" s="572">
        <v>2248394</v>
      </c>
      <c r="BU138" s="572">
        <v>2496186</v>
      </c>
      <c r="BV138" s="572">
        <v>639713</v>
      </c>
      <c r="BW138" s="572">
        <v>1014196</v>
      </c>
      <c r="BX138" s="572">
        <v>4576773</v>
      </c>
      <c r="BY138" s="572">
        <v>599529</v>
      </c>
      <c r="BZ138" s="572">
        <v>0</v>
      </c>
      <c r="CA138" s="572">
        <v>5454680</v>
      </c>
      <c r="CB138" s="572">
        <v>67767980</v>
      </c>
      <c r="CC138" s="572">
        <v>30639484</v>
      </c>
      <c r="CD138" s="572">
        <v>1212340</v>
      </c>
      <c r="CE138" s="572">
        <v>2643083</v>
      </c>
      <c r="CF138" s="572">
        <v>0</v>
      </c>
      <c r="CG138" s="572">
        <v>1220206</v>
      </c>
      <c r="CH138" s="572">
        <v>60154576</v>
      </c>
      <c r="CI138" s="572">
        <v>14042471</v>
      </c>
      <c r="CJ138" s="572">
        <v>1219724</v>
      </c>
      <c r="CK138" s="572">
        <v>2862159</v>
      </c>
      <c r="CL138" s="572">
        <v>908234</v>
      </c>
      <c r="CM138" s="572">
        <v>11814189</v>
      </c>
      <c r="CN138" s="572">
        <v>2773472</v>
      </c>
      <c r="CO138" s="572">
        <v>1764642</v>
      </c>
      <c r="CP138" s="572">
        <v>1570695</v>
      </c>
      <c r="CQ138" s="572">
        <v>10207635</v>
      </c>
    </row>
    <row r="139" spans="1:95" ht="30" x14ac:dyDescent="0.25">
      <c r="A139" s="668">
        <v>380</v>
      </c>
      <c r="B139" s="590">
        <v>380</v>
      </c>
      <c r="C139" s="570" t="s">
        <v>140</v>
      </c>
      <c r="D139" s="567" t="s">
        <v>837</v>
      </c>
      <c r="E139" s="573">
        <v>1243</v>
      </c>
      <c r="F139" s="574">
        <v>38815</v>
      </c>
      <c r="G139" s="574">
        <v>121005</v>
      </c>
      <c r="H139" s="574">
        <v>17296</v>
      </c>
      <c r="I139" s="574">
        <v>47919</v>
      </c>
      <c r="J139" s="574">
        <v>44435</v>
      </c>
      <c r="K139" s="575">
        <v>355517</v>
      </c>
      <c r="L139" s="572">
        <v>2790</v>
      </c>
      <c r="M139" s="572">
        <v>532</v>
      </c>
      <c r="N139" s="571">
        <v>0</v>
      </c>
      <c r="O139" s="571">
        <v>13481</v>
      </c>
      <c r="P139" s="571">
        <v>3542</v>
      </c>
      <c r="Q139" s="571">
        <v>4059</v>
      </c>
      <c r="R139" s="571">
        <v>17728</v>
      </c>
      <c r="S139" s="571">
        <v>1206</v>
      </c>
      <c r="T139" s="571">
        <v>50068</v>
      </c>
      <c r="U139" s="571">
        <v>0</v>
      </c>
      <c r="V139" s="571">
        <v>51194</v>
      </c>
      <c r="W139" s="571">
        <v>0</v>
      </c>
      <c r="X139" s="571">
        <v>50948</v>
      </c>
      <c r="Y139" s="571">
        <v>70684</v>
      </c>
      <c r="Z139" s="571">
        <v>2434</v>
      </c>
      <c r="AA139" s="571">
        <v>350182</v>
      </c>
      <c r="AB139" s="572">
        <v>23363</v>
      </c>
      <c r="AC139" s="572">
        <v>5016</v>
      </c>
      <c r="AD139" s="572">
        <v>12583</v>
      </c>
      <c r="AE139" s="572">
        <v>994493</v>
      </c>
      <c r="AF139" s="572">
        <v>0</v>
      </c>
      <c r="AG139" s="572">
        <v>10533</v>
      </c>
      <c r="AH139" s="572">
        <v>6279</v>
      </c>
      <c r="AI139" s="572">
        <v>7355</v>
      </c>
      <c r="AJ139" s="572">
        <v>13729</v>
      </c>
      <c r="AK139" s="572">
        <v>69494</v>
      </c>
      <c r="AL139" s="572">
        <v>26526</v>
      </c>
      <c r="AM139" s="572">
        <v>8704</v>
      </c>
      <c r="AN139" s="572">
        <v>554</v>
      </c>
      <c r="AO139" s="572">
        <v>9489</v>
      </c>
      <c r="AP139" s="572">
        <v>272911</v>
      </c>
      <c r="AQ139" s="572">
        <v>0</v>
      </c>
      <c r="AR139" s="572">
        <v>6516</v>
      </c>
      <c r="AS139" s="572">
        <v>1418</v>
      </c>
      <c r="AT139" s="572">
        <v>6086</v>
      </c>
      <c r="AU139" s="572">
        <v>549</v>
      </c>
      <c r="AV139" s="572">
        <v>1187</v>
      </c>
      <c r="AW139" s="572">
        <v>381890</v>
      </c>
      <c r="AX139" s="572">
        <v>63120</v>
      </c>
      <c r="AY139" s="572">
        <v>131437</v>
      </c>
      <c r="AZ139" s="572">
        <v>29360</v>
      </c>
      <c r="BA139" s="572">
        <v>255850</v>
      </c>
      <c r="BB139" s="572">
        <v>7863</v>
      </c>
      <c r="BC139" s="572">
        <v>16494</v>
      </c>
      <c r="BD139" s="572">
        <v>2459</v>
      </c>
      <c r="BE139" s="572">
        <v>1800</v>
      </c>
      <c r="BF139" s="572">
        <v>22771</v>
      </c>
      <c r="BG139" s="572">
        <v>126077</v>
      </c>
      <c r="BH139" s="572">
        <v>305311</v>
      </c>
      <c r="BI139" s="572">
        <v>1563</v>
      </c>
      <c r="BJ139" s="572">
        <v>351</v>
      </c>
      <c r="BK139" s="572">
        <v>117727</v>
      </c>
      <c r="BL139" s="572">
        <v>612620</v>
      </c>
      <c r="BM139" s="572">
        <v>3642</v>
      </c>
      <c r="BN139" s="572">
        <v>665</v>
      </c>
      <c r="BO139" s="572">
        <v>23471</v>
      </c>
      <c r="BP139" s="572">
        <v>0</v>
      </c>
      <c r="BQ139" s="572">
        <v>41426</v>
      </c>
      <c r="BR139" s="572">
        <v>0</v>
      </c>
      <c r="BS139" s="572">
        <v>201</v>
      </c>
      <c r="BT139" s="572">
        <v>36256</v>
      </c>
      <c r="BU139" s="572">
        <v>3756</v>
      </c>
      <c r="BV139" s="572">
        <v>95638</v>
      </c>
      <c r="BW139" s="572">
        <v>33916</v>
      </c>
      <c r="BX139" s="572">
        <v>28894</v>
      </c>
      <c r="BY139" s="572">
        <v>2336</v>
      </c>
      <c r="BZ139" s="572">
        <v>0</v>
      </c>
      <c r="CA139" s="572">
        <v>848156</v>
      </c>
      <c r="CB139" s="572">
        <v>2097456</v>
      </c>
      <c r="CC139" s="572">
        <v>2023356</v>
      </c>
      <c r="CD139" s="572">
        <v>3320</v>
      </c>
      <c r="CE139" s="572">
        <v>55821</v>
      </c>
      <c r="CF139" s="572">
        <v>0</v>
      </c>
      <c r="CG139" s="572">
        <v>7118</v>
      </c>
      <c r="CH139" s="572">
        <v>1239501</v>
      </c>
      <c r="CI139" s="572">
        <v>142048</v>
      </c>
      <c r="CJ139" s="572">
        <v>46042</v>
      </c>
      <c r="CK139" s="572">
        <v>8666</v>
      </c>
      <c r="CL139" s="572">
        <v>39261</v>
      </c>
      <c r="CM139" s="572">
        <v>20378</v>
      </c>
      <c r="CN139" s="572">
        <v>54932</v>
      </c>
      <c r="CO139" s="572">
        <v>23037</v>
      </c>
      <c r="CP139" s="572">
        <v>55179</v>
      </c>
      <c r="CQ139" s="572">
        <v>137878</v>
      </c>
    </row>
    <row r="140" spans="1:95" ht="30" x14ac:dyDescent="0.25">
      <c r="A140" s="668">
        <v>381</v>
      </c>
      <c r="B140" s="590">
        <v>381</v>
      </c>
      <c r="C140" s="570" t="s">
        <v>132</v>
      </c>
      <c r="D140" s="567" t="s">
        <v>838</v>
      </c>
      <c r="E140" s="573">
        <v>0</v>
      </c>
      <c r="F140" s="574">
        <v>0</v>
      </c>
      <c r="G140" s="574">
        <v>4379862</v>
      </c>
      <c r="H140" s="574">
        <v>15401584</v>
      </c>
      <c r="I140" s="574">
        <v>8902486</v>
      </c>
      <c r="J140" s="574">
        <v>1258084</v>
      </c>
      <c r="K140" s="575">
        <v>89228271</v>
      </c>
      <c r="L140" s="572">
        <v>5027498</v>
      </c>
      <c r="M140" s="572">
        <v>0</v>
      </c>
      <c r="N140" s="571">
        <v>4622720</v>
      </c>
      <c r="O140" s="571">
        <v>5206580</v>
      </c>
      <c r="P140" s="571">
        <v>0</v>
      </c>
      <c r="Q140" s="571">
        <v>4638310</v>
      </c>
      <c r="R140" s="571">
        <v>0</v>
      </c>
      <c r="S140" s="571">
        <v>0</v>
      </c>
      <c r="T140" s="571">
        <v>0</v>
      </c>
      <c r="U140" s="571">
        <v>0</v>
      </c>
      <c r="V140" s="571">
        <v>0</v>
      </c>
      <c r="W140" s="571">
        <v>4373821</v>
      </c>
      <c r="X140" s="571">
        <v>0</v>
      </c>
      <c r="Y140" s="571">
        <v>10631321</v>
      </c>
      <c r="Z140" s="571">
        <v>0</v>
      </c>
      <c r="AA140" s="571">
        <v>15811600</v>
      </c>
      <c r="AB140" s="572">
        <v>17051397</v>
      </c>
      <c r="AC140" s="572">
        <v>727999</v>
      </c>
      <c r="AD140" s="572">
        <v>2745239</v>
      </c>
      <c r="AE140" s="572">
        <v>54684672</v>
      </c>
      <c r="AF140" s="572">
        <v>0</v>
      </c>
      <c r="AG140" s="572">
        <v>7819939</v>
      </c>
      <c r="AH140" s="572">
        <v>0</v>
      </c>
      <c r="AI140" s="572">
        <v>3658311</v>
      </c>
      <c r="AJ140" s="572">
        <v>27249883</v>
      </c>
      <c r="AK140" s="572">
        <v>16764943</v>
      </c>
      <c r="AL140" s="572">
        <v>7521992</v>
      </c>
      <c r="AM140" s="572">
        <v>7386359</v>
      </c>
      <c r="AN140" s="572">
        <v>180111</v>
      </c>
      <c r="AO140" s="572">
        <v>0</v>
      </c>
      <c r="AP140" s="572">
        <v>23047447</v>
      </c>
      <c r="AQ140" s="572">
        <v>0</v>
      </c>
      <c r="AR140" s="572">
        <v>0</v>
      </c>
      <c r="AS140" s="572">
        <v>0</v>
      </c>
      <c r="AT140" s="572">
        <v>0</v>
      </c>
      <c r="AU140" s="572">
        <v>0</v>
      </c>
      <c r="AV140" s="572">
        <v>735729</v>
      </c>
      <c r="AW140" s="572">
        <v>14794273</v>
      </c>
      <c r="AX140" s="572">
        <v>3697004</v>
      </c>
      <c r="AY140" s="572">
        <v>0</v>
      </c>
      <c r="AZ140" s="572">
        <v>0</v>
      </c>
      <c r="BA140" s="572">
        <v>20436763</v>
      </c>
      <c r="BB140" s="572">
        <v>0</v>
      </c>
      <c r="BC140" s="572">
        <v>5181459</v>
      </c>
      <c r="BD140" s="572">
        <v>3035025</v>
      </c>
      <c r="BE140" s="572">
        <v>1654553</v>
      </c>
      <c r="BF140" s="572">
        <v>6680577</v>
      </c>
      <c r="BG140" s="572">
        <v>17742014</v>
      </c>
      <c r="BH140" s="572">
        <v>40899443</v>
      </c>
      <c r="BI140" s="572">
        <v>0</v>
      </c>
      <c r="BJ140" s="572">
        <v>0</v>
      </c>
      <c r="BK140" s="572">
        <v>0</v>
      </c>
      <c r="BL140" s="572">
        <v>25876595</v>
      </c>
      <c r="BM140" s="572">
        <v>11786278</v>
      </c>
      <c r="BN140" s="572">
        <v>0</v>
      </c>
      <c r="BO140" s="572">
        <v>0</v>
      </c>
      <c r="BP140" s="572">
        <v>0</v>
      </c>
      <c r="BQ140" s="572">
        <v>0</v>
      </c>
      <c r="BR140" s="572">
        <v>0</v>
      </c>
      <c r="BS140" s="572">
        <v>0</v>
      </c>
      <c r="BT140" s="572">
        <v>10236392</v>
      </c>
      <c r="BU140" s="572">
        <v>0</v>
      </c>
      <c r="BV140" s="572">
        <v>2834694</v>
      </c>
      <c r="BW140" s="572">
        <v>5949902</v>
      </c>
      <c r="BX140" s="572">
        <v>18674180</v>
      </c>
      <c r="BY140" s="572">
        <v>726980</v>
      </c>
      <c r="BZ140" s="572">
        <v>0</v>
      </c>
      <c r="CA140" s="572">
        <v>20472619</v>
      </c>
      <c r="CB140" s="572">
        <v>0</v>
      </c>
      <c r="CC140" s="572">
        <v>163842385</v>
      </c>
      <c r="CD140" s="572">
        <v>4525657</v>
      </c>
      <c r="CE140" s="572">
        <v>7505618</v>
      </c>
      <c r="CF140" s="572">
        <v>0</v>
      </c>
      <c r="CG140" s="572">
        <v>10369824</v>
      </c>
      <c r="CH140" s="572">
        <v>1085085635</v>
      </c>
      <c r="CI140" s="572">
        <v>8064585</v>
      </c>
      <c r="CJ140" s="572">
        <v>4524912</v>
      </c>
      <c r="CK140" s="572">
        <v>0</v>
      </c>
      <c r="CL140" s="572">
        <v>2255781</v>
      </c>
      <c r="CM140" s="572">
        <v>12198259</v>
      </c>
      <c r="CN140" s="572">
        <v>15417059</v>
      </c>
      <c r="CO140" s="572">
        <v>11508597</v>
      </c>
      <c r="CP140" s="572">
        <v>0</v>
      </c>
      <c r="CQ140" s="572">
        <v>0</v>
      </c>
    </row>
    <row r="141" spans="1:95" ht="30" x14ac:dyDescent="0.25">
      <c r="A141" s="668">
        <v>382</v>
      </c>
      <c r="B141" s="590">
        <v>382</v>
      </c>
      <c r="C141" s="570" t="s">
        <v>133</v>
      </c>
      <c r="D141" s="567" t="s">
        <v>839</v>
      </c>
      <c r="E141" s="573">
        <v>0</v>
      </c>
      <c r="F141" s="574">
        <v>0</v>
      </c>
      <c r="G141" s="574">
        <v>0</v>
      </c>
      <c r="H141" s="574">
        <v>0</v>
      </c>
      <c r="I141" s="574">
        <v>4433877</v>
      </c>
      <c r="J141" s="574">
        <v>0</v>
      </c>
      <c r="K141" s="575">
        <v>56011512</v>
      </c>
      <c r="L141" s="572">
        <v>0</v>
      </c>
      <c r="M141" s="572">
        <v>0</v>
      </c>
      <c r="N141" s="571">
        <v>0</v>
      </c>
      <c r="O141" s="571">
        <v>0</v>
      </c>
      <c r="P141" s="571">
        <v>0</v>
      </c>
      <c r="Q141" s="571">
        <v>0</v>
      </c>
      <c r="R141" s="571">
        <v>0</v>
      </c>
      <c r="S141" s="571">
        <v>0</v>
      </c>
      <c r="T141" s="571">
        <v>0</v>
      </c>
      <c r="U141" s="571">
        <v>0</v>
      </c>
      <c r="V141" s="571">
        <v>0</v>
      </c>
      <c r="W141" s="571">
        <v>0</v>
      </c>
      <c r="X141" s="571">
        <v>0</v>
      </c>
      <c r="Y141" s="571">
        <v>0</v>
      </c>
      <c r="Z141" s="571">
        <v>0</v>
      </c>
      <c r="AA141" s="571">
        <v>36786070</v>
      </c>
      <c r="AB141" s="572">
        <v>0</v>
      </c>
      <c r="AC141" s="572">
        <v>0</v>
      </c>
      <c r="AD141" s="572">
        <v>0</v>
      </c>
      <c r="AE141" s="572">
        <v>0</v>
      </c>
      <c r="AF141" s="572">
        <v>0</v>
      </c>
      <c r="AG141" s="572">
        <v>0</v>
      </c>
      <c r="AH141" s="572">
        <v>0</v>
      </c>
      <c r="AI141" s="572">
        <v>0</v>
      </c>
      <c r="AJ141" s="572">
        <v>0</v>
      </c>
      <c r="AK141" s="572">
        <v>0</v>
      </c>
      <c r="AL141" s="572">
        <v>0</v>
      </c>
      <c r="AM141" s="572">
        <v>0</v>
      </c>
      <c r="AN141" s="572">
        <v>0</v>
      </c>
      <c r="AO141" s="572">
        <v>0</v>
      </c>
      <c r="AP141" s="572">
        <v>0</v>
      </c>
      <c r="AQ141" s="572">
        <v>0</v>
      </c>
      <c r="AR141" s="572">
        <v>0</v>
      </c>
      <c r="AS141" s="572">
        <v>0</v>
      </c>
      <c r="AT141" s="572">
        <v>0</v>
      </c>
      <c r="AU141" s="572">
        <v>0</v>
      </c>
      <c r="AV141" s="572">
        <v>0</v>
      </c>
      <c r="AW141" s="572">
        <v>0</v>
      </c>
      <c r="AX141" s="572">
        <v>0</v>
      </c>
      <c r="AY141" s="572">
        <v>27932390</v>
      </c>
      <c r="AZ141" s="572">
        <v>0</v>
      </c>
      <c r="BA141" s="572">
        <v>0</v>
      </c>
      <c r="BB141" s="572">
        <v>0</v>
      </c>
      <c r="BC141" s="572">
        <v>0</v>
      </c>
      <c r="BD141" s="572">
        <v>0</v>
      </c>
      <c r="BE141" s="572">
        <v>418125</v>
      </c>
      <c r="BF141" s="572">
        <v>0</v>
      </c>
      <c r="BG141" s="572">
        <v>0</v>
      </c>
      <c r="BH141" s="572">
        <v>49633802</v>
      </c>
      <c r="BI141" s="572">
        <v>0</v>
      </c>
      <c r="BJ141" s="572">
        <v>0</v>
      </c>
      <c r="BK141" s="572">
        <v>0</v>
      </c>
      <c r="BL141" s="572">
        <v>6325860</v>
      </c>
      <c r="BM141" s="572">
        <v>0</v>
      </c>
      <c r="BN141" s="572">
        <v>0</v>
      </c>
      <c r="BO141" s="572">
        <v>0</v>
      </c>
      <c r="BP141" s="572">
        <v>0</v>
      </c>
      <c r="BQ141" s="572">
        <v>0</v>
      </c>
      <c r="BR141" s="572">
        <v>0</v>
      </c>
      <c r="BS141" s="572">
        <v>0</v>
      </c>
      <c r="BT141" s="572">
        <v>0</v>
      </c>
      <c r="BU141" s="572">
        <v>0</v>
      </c>
      <c r="BV141" s="572">
        <v>0</v>
      </c>
      <c r="BW141" s="572">
        <v>0</v>
      </c>
      <c r="BX141" s="572">
        <v>0</v>
      </c>
      <c r="BY141" s="572">
        <v>0</v>
      </c>
      <c r="BZ141" s="572">
        <v>0</v>
      </c>
      <c r="CA141" s="572">
        <v>0</v>
      </c>
      <c r="CB141" s="572">
        <v>0</v>
      </c>
      <c r="CC141" s="572">
        <v>138572331</v>
      </c>
      <c r="CD141" s="572">
        <v>0</v>
      </c>
      <c r="CE141" s="572">
        <v>6577958</v>
      </c>
      <c r="CF141" s="572">
        <v>0</v>
      </c>
      <c r="CG141" s="572">
        <v>0</v>
      </c>
      <c r="CH141" s="572">
        <v>0</v>
      </c>
      <c r="CI141" s="572">
        <v>12819151</v>
      </c>
      <c r="CJ141" s="572">
        <v>0</v>
      </c>
      <c r="CK141" s="572">
        <v>0</v>
      </c>
      <c r="CL141" s="572">
        <v>0</v>
      </c>
      <c r="CM141" s="572">
        <v>0</v>
      </c>
      <c r="CN141" s="572">
        <v>0</v>
      </c>
      <c r="CO141" s="572">
        <v>0</v>
      </c>
      <c r="CP141" s="572">
        <v>0</v>
      </c>
      <c r="CQ141" s="572">
        <v>0</v>
      </c>
    </row>
    <row r="142" spans="1:95" x14ac:dyDescent="0.25">
      <c r="A142" s="668">
        <v>383</v>
      </c>
      <c r="B142" s="590">
        <v>383</v>
      </c>
      <c r="C142" s="570" t="s">
        <v>306</v>
      </c>
      <c r="D142" s="567" t="s">
        <v>840</v>
      </c>
      <c r="E142" s="573">
        <v>0</v>
      </c>
      <c r="F142" s="574">
        <v>0</v>
      </c>
      <c r="G142" s="574">
        <v>0</v>
      </c>
      <c r="H142" s="574">
        <v>0</v>
      </c>
      <c r="I142" s="574">
        <v>0</v>
      </c>
      <c r="J142" s="574">
        <v>0</v>
      </c>
      <c r="K142" s="575">
        <v>0</v>
      </c>
      <c r="L142" s="572">
        <v>0</v>
      </c>
      <c r="M142" s="572">
        <v>0</v>
      </c>
      <c r="N142" s="571">
        <v>0</v>
      </c>
      <c r="O142" s="571">
        <v>0</v>
      </c>
      <c r="P142" s="571">
        <v>0</v>
      </c>
      <c r="Q142" s="571">
        <v>0</v>
      </c>
      <c r="R142" s="571">
        <v>0</v>
      </c>
      <c r="S142" s="571">
        <v>0</v>
      </c>
      <c r="T142" s="571">
        <v>0</v>
      </c>
      <c r="U142" s="571">
        <v>0</v>
      </c>
      <c r="V142" s="571">
        <v>0</v>
      </c>
      <c r="W142" s="571">
        <v>0</v>
      </c>
      <c r="X142" s="571">
        <v>0</v>
      </c>
      <c r="Y142" s="571">
        <v>0</v>
      </c>
      <c r="Z142" s="571">
        <v>0</v>
      </c>
      <c r="AA142" s="571">
        <v>0</v>
      </c>
      <c r="AB142" s="572">
        <v>0</v>
      </c>
      <c r="AC142" s="572">
        <v>0</v>
      </c>
      <c r="AD142" s="572">
        <v>0</v>
      </c>
      <c r="AE142" s="572">
        <v>129923</v>
      </c>
      <c r="AF142" s="572">
        <v>0</v>
      </c>
      <c r="AG142" s="572">
        <v>81880</v>
      </c>
      <c r="AH142" s="572">
        <v>0</v>
      </c>
      <c r="AI142" s="572">
        <v>0</v>
      </c>
      <c r="AJ142" s="572">
        <v>0</v>
      </c>
      <c r="AK142" s="572">
        <v>0</v>
      </c>
      <c r="AL142" s="572">
        <v>0</v>
      </c>
      <c r="AM142" s="572">
        <v>0</v>
      </c>
      <c r="AN142" s="572">
        <v>0</v>
      </c>
      <c r="AO142" s="572">
        <v>0</v>
      </c>
      <c r="AP142" s="572">
        <v>0</v>
      </c>
      <c r="AQ142" s="572">
        <v>0</v>
      </c>
      <c r="AR142" s="572">
        <v>0</v>
      </c>
      <c r="AS142" s="572">
        <v>0</v>
      </c>
      <c r="AT142" s="572">
        <v>0</v>
      </c>
      <c r="AU142" s="572">
        <v>0</v>
      </c>
      <c r="AV142" s="572">
        <v>0</v>
      </c>
      <c r="AW142" s="572">
        <v>0</v>
      </c>
      <c r="AX142" s="572">
        <v>0</v>
      </c>
      <c r="AY142" s="572">
        <v>0</v>
      </c>
      <c r="AZ142" s="572">
        <v>0</v>
      </c>
      <c r="BA142" s="572">
        <v>0</v>
      </c>
      <c r="BB142" s="572">
        <v>0</v>
      </c>
      <c r="BC142" s="572">
        <v>0</v>
      </c>
      <c r="BD142" s="572">
        <v>0</v>
      </c>
      <c r="BE142" s="572">
        <v>0</v>
      </c>
      <c r="BF142" s="572">
        <v>0</v>
      </c>
      <c r="BG142" s="572">
        <v>0</v>
      </c>
      <c r="BH142" s="572">
        <v>0</v>
      </c>
      <c r="BI142" s="572">
        <v>0</v>
      </c>
      <c r="BJ142" s="572">
        <v>0</v>
      </c>
      <c r="BK142" s="572">
        <v>0</v>
      </c>
      <c r="BL142" s="572">
        <v>0</v>
      </c>
      <c r="BM142" s="572">
        <v>0</v>
      </c>
      <c r="BN142" s="572">
        <v>0</v>
      </c>
      <c r="BO142" s="572">
        <v>0</v>
      </c>
      <c r="BP142" s="572">
        <v>0</v>
      </c>
      <c r="BQ142" s="572">
        <v>0</v>
      </c>
      <c r="BR142" s="572">
        <v>0</v>
      </c>
      <c r="BS142" s="572">
        <v>0</v>
      </c>
      <c r="BT142" s="572">
        <v>0</v>
      </c>
      <c r="BU142" s="572">
        <v>0</v>
      </c>
      <c r="BV142" s="572">
        <v>0</v>
      </c>
      <c r="BW142" s="572">
        <v>0</v>
      </c>
      <c r="BX142" s="572">
        <v>0</v>
      </c>
      <c r="BY142" s="572">
        <v>0</v>
      </c>
      <c r="BZ142" s="572">
        <v>0</v>
      </c>
      <c r="CA142" s="572">
        <v>0</v>
      </c>
      <c r="CB142" s="572">
        <v>0</v>
      </c>
      <c r="CC142" s="572">
        <v>0</v>
      </c>
      <c r="CD142" s="572">
        <v>0</v>
      </c>
      <c r="CE142" s="572">
        <v>0</v>
      </c>
      <c r="CF142" s="572">
        <v>0</v>
      </c>
      <c r="CG142" s="572">
        <v>2136</v>
      </c>
      <c r="CH142" s="572">
        <v>2600</v>
      </c>
      <c r="CI142" s="572">
        <v>0</v>
      </c>
      <c r="CJ142" s="572">
        <v>0</v>
      </c>
      <c r="CK142" s="572">
        <v>0</v>
      </c>
      <c r="CL142" s="572">
        <v>0</v>
      </c>
      <c r="CM142" s="572">
        <v>0</v>
      </c>
      <c r="CN142" s="572">
        <v>0</v>
      </c>
      <c r="CO142" s="572">
        <v>0</v>
      </c>
      <c r="CP142" s="572">
        <v>0</v>
      </c>
      <c r="CQ142" s="572">
        <v>0</v>
      </c>
    </row>
    <row r="143" spans="1:95" ht="45" x14ac:dyDescent="0.25">
      <c r="A143" s="668">
        <v>384</v>
      </c>
      <c r="B143" s="590">
        <v>384</v>
      </c>
      <c r="C143" s="570" t="s">
        <v>146</v>
      </c>
      <c r="D143" s="567" t="s">
        <v>841</v>
      </c>
      <c r="E143" s="573">
        <v>0</v>
      </c>
      <c r="F143" s="574">
        <v>0</v>
      </c>
      <c r="G143" s="574">
        <v>0</v>
      </c>
      <c r="H143" s="574">
        <v>0</v>
      </c>
      <c r="I143" s="574">
        <v>0</v>
      </c>
      <c r="J143" s="574">
        <v>0</v>
      </c>
      <c r="K143" s="575">
        <v>0</v>
      </c>
      <c r="L143" s="572">
        <v>0</v>
      </c>
      <c r="M143" s="572">
        <v>0</v>
      </c>
      <c r="N143" s="571">
        <v>0</v>
      </c>
      <c r="O143" s="571">
        <v>0</v>
      </c>
      <c r="P143" s="571">
        <v>0</v>
      </c>
      <c r="Q143" s="571">
        <v>0</v>
      </c>
      <c r="R143" s="571">
        <v>0</v>
      </c>
      <c r="S143" s="571">
        <v>0</v>
      </c>
      <c r="T143" s="571">
        <v>0</v>
      </c>
      <c r="U143" s="571">
        <v>0</v>
      </c>
      <c r="V143" s="571">
        <v>0</v>
      </c>
      <c r="W143" s="571">
        <v>0</v>
      </c>
      <c r="X143" s="571">
        <v>0</v>
      </c>
      <c r="Y143" s="571">
        <v>0</v>
      </c>
      <c r="Z143" s="571">
        <v>0</v>
      </c>
      <c r="AA143" s="571">
        <v>0</v>
      </c>
      <c r="AB143" s="572">
        <v>0</v>
      </c>
      <c r="AC143" s="572">
        <v>0</v>
      </c>
      <c r="AD143" s="572">
        <v>0</v>
      </c>
      <c r="AE143" s="572">
        <v>0</v>
      </c>
      <c r="AF143" s="572">
        <v>0</v>
      </c>
      <c r="AG143" s="572">
        <v>0</v>
      </c>
      <c r="AH143" s="572">
        <v>0</v>
      </c>
      <c r="AI143" s="572">
        <v>0</v>
      </c>
      <c r="AJ143" s="572">
        <v>0</v>
      </c>
      <c r="AK143" s="572">
        <v>0</v>
      </c>
      <c r="AL143" s="572">
        <v>0</v>
      </c>
      <c r="AM143" s="572">
        <v>0</v>
      </c>
      <c r="AN143" s="572">
        <v>0</v>
      </c>
      <c r="AO143" s="572">
        <v>0</v>
      </c>
      <c r="AP143" s="572">
        <v>0</v>
      </c>
      <c r="AQ143" s="572">
        <v>0</v>
      </c>
      <c r="AR143" s="572">
        <v>0</v>
      </c>
      <c r="AS143" s="572">
        <v>0</v>
      </c>
      <c r="AT143" s="572">
        <v>0</v>
      </c>
      <c r="AU143" s="572">
        <v>0</v>
      </c>
      <c r="AV143" s="572">
        <v>0</v>
      </c>
      <c r="AW143" s="572">
        <v>0</v>
      </c>
      <c r="AX143" s="572">
        <v>0</v>
      </c>
      <c r="AY143" s="572">
        <v>289369</v>
      </c>
      <c r="AZ143" s="572">
        <v>0</v>
      </c>
      <c r="BA143" s="572">
        <v>0</v>
      </c>
      <c r="BB143" s="572">
        <v>0</v>
      </c>
      <c r="BC143" s="572">
        <v>0</v>
      </c>
      <c r="BD143" s="572">
        <v>0</v>
      </c>
      <c r="BE143" s="572">
        <v>0</v>
      </c>
      <c r="BF143" s="572">
        <v>0</v>
      </c>
      <c r="BG143" s="572">
        <v>0</v>
      </c>
      <c r="BH143" s="572">
        <v>0</v>
      </c>
      <c r="BI143" s="572">
        <v>0</v>
      </c>
      <c r="BJ143" s="572">
        <v>0</v>
      </c>
      <c r="BK143" s="572">
        <v>0</v>
      </c>
      <c r="BL143" s="572">
        <v>0</v>
      </c>
      <c r="BM143" s="572">
        <v>0</v>
      </c>
      <c r="BN143" s="572">
        <v>0</v>
      </c>
      <c r="BO143" s="572">
        <v>0</v>
      </c>
      <c r="BP143" s="572">
        <v>0</v>
      </c>
      <c r="BQ143" s="572">
        <v>0</v>
      </c>
      <c r="BR143" s="572">
        <v>0</v>
      </c>
      <c r="BS143" s="572">
        <v>0</v>
      </c>
      <c r="BT143" s="572">
        <v>0</v>
      </c>
      <c r="BU143" s="572">
        <v>0</v>
      </c>
      <c r="BV143" s="572">
        <v>0</v>
      </c>
      <c r="BW143" s="572">
        <v>0</v>
      </c>
      <c r="BX143" s="572">
        <v>0</v>
      </c>
      <c r="BY143" s="572">
        <v>0</v>
      </c>
      <c r="BZ143" s="572">
        <v>0</v>
      </c>
      <c r="CA143" s="572">
        <v>0</v>
      </c>
      <c r="CB143" s="572">
        <v>0</v>
      </c>
      <c r="CC143" s="572">
        <v>0</v>
      </c>
      <c r="CD143" s="572">
        <v>0</v>
      </c>
      <c r="CE143" s="572">
        <v>0</v>
      </c>
      <c r="CF143" s="572">
        <v>0</v>
      </c>
      <c r="CG143" s="572">
        <v>0</v>
      </c>
      <c r="CH143" s="572">
        <v>0</v>
      </c>
      <c r="CI143" s="572">
        <v>0</v>
      </c>
      <c r="CJ143" s="572">
        <v>0</v>
      </c>
      <c r="CK143" s="572">
        <v>0</v>
      </c>
      <c r="CL143" s="572">
        <v>0</v>
      </c>
      <c r="CM143" s="572">
        <v>0</v>
      </c>
      <c r="CN143" s="572">
        <v>0</v>
      </c>
      <c r="CO143" s="572">
        <v>0</v>
      </c>
      <c r="CP143" s="572">
        <v>0</v>
      </c>
      <c r="CQ143" s="572">
        <v>0</v>
      </c>
    </row>
    <row r="144" spans="1:95" s="678" customFormat="1" ht="30" x14ac:dyDescent="0.25">
      <c r="A144" s="687">
        <v>385</v>
      </c>
      <c r="B144" s="688">
        <v>385</v>
      </c>
      <c r="C144" s="689" t="s">
        <v>134</v>
      </c>
      <c r="D144" s="675" t="s">
        <v>842</v>
      </c>
      <c r="E144" s="682">
        <v>830202</v>
      </c>
      <c r="F144" s="683">
        <v>24921270</v>
      </c>
      <c r="G144" s="683">
        <v>1872343</v>
      </c>
      <c r="H144" s="683">
        <v>7035515</v>
      </c>
      <c r="I144" s="683">
        <v>1867816</v>
      </c>
      <c r="J144" s="683">
        <v>2134124</v>
      </c>
      <c r="K144" s="684">
        <v>82920287</v>
      </c>
      <c r="L144" s="685">
        <v>982058</v>
      </c>
      <c r="M144" s="685">
        <v>794280</v>
      </c>
      <c r="N144" s="686">
        <v>5213963</v>
      </c>
      <c r="O144" s="686">
        <v>1908865</v>
      </c>
      <c r="P144" s="686">
        <v>367630</v>
      </c>
      <c r="Q144" s="686">
        <v>529243</v>
      </c>
      <c r="R144" s="686">
        <v>4972901</v>
      </c>
      <c r="S144" s="686">
        <v>13749418</v>
      </c>
      <c r="T144" s="686">
        <v>25746911</v>
      </c>
      <c r="U144" s="686">
        <v>0</v>
      </c>
      <c r="V144" s="686">
        <v>10668187</v>
      </c>
      <c r="W144" s="686">
        <v>3677891</v>
      </c>
      <c r="X144" s="686">
        <v>16889826</v>
      </c>
      <c r="Y144" s="686">
        <v>7009138</v>
      </c>
      <c r="Z144" s="686">
        <v>115884</v>
      </c>
      <c r="AA144" s="686">
        <v>19602127</v>
      </c>
      <c r="AB144" s="685">
        <v>2687342</v>
      </c>
      <c r="AC144" s="685">
        <v>1915862</v>
      </c>
      <c r="AD144" s="685">
        <v>829590</v>
      </c>
      <c r="AE144" s="685">
        <v>29831873</v>
      </c>
      <c r="AF144" s="685">
        <v>4343336</v>
      </c>
      <c r="AG144" s="685">
        <v>13242677</v>
      </c>
      <c r="AH144" s="685">
        <v>7077116</v>
      </c>
      <c r="AI144" s="685">
        <v>564824</v>
      </c>
      <c r="AJ144" s="685">
        <v>11213859</v>
      </c>
      <c r="AK144" s="685">
        <v>8520347</v>
      </c>
      <c r="AL144" s="685">
        <v>8238501</v>
      </c>
      <c r="AM144" s="685">
        <v>5138152</v>
      </c>
      <c r="AN144" s="685">
        <v>212333</v>
      </c>
      <c r="AO144" s="685">
        <v>2931051</v>
      </c>
      <c r="AP144" s="685">
        <v>13139379</v>
      </c>
      <c r="AQ144" s="685">
        <v>0</v>
      </c>
      <c r="AR144" s="685">
        <v>1541368</v>
      </c>
      <c r="AS144" s="685">
        <v>2182078</v>
      </c>
      <c r="AT144" s="685">
        <v>1397380</v>
      </c>
      <c r="AU144" s="685">
        <v>266865</v>
      </c>
      <c r="AV144" s="685">
        <v>941886</v>
      </c>
      <c r="AW144" s="685">
        <v>9200166</v>
      </c>
      <c r="AX144" s="685">
        <v>2816072</v>
      </c>
      <c r="AY144" s="685">
        <v>241366448</v>
      </c>
      <c r="AZ144" s="685">
        <v>8916844</v>
      </c>
      <c r="BA144" s="685">
        <v>11184937</v>
      </c>
      <c r="BB144" s="685">
        <v>6091296</v>
      </c>
      <c r="BC144" s="685">
        <v>2414841</v>
      </c>
      <c r="BD144" s="685">
        <v>5459140</v>
      </c>
      <c r="BE144" s="685">
        <v>294207</v>
      </c>
      <c r="BF144" s="685">
        <v>1399633</v>
      </c>
      <c r="BG144" s="685">
        <v>4566393</v>
      </c>
      <c r="BH144" s="685">
        <v>36614049</v>
      </c>
      <c r="BI144" s="685">
        <v>486206</v>
      </c>
      <c r="BJ144" s="685">
        <v>245227</v>
      </c>
      <c r="BK144" s="685">
        <v>63970291</v>
      </c>
      <c r="BL144" s="685">
        <v>32868794</v>
      </c>
      <c r="BM144" s="685">
        <v>17856089</v>
      </c>
      <c r="BN144" s="685">
        <v>357452</v>
      </c>
      <c r="BO144" s="685">
        <v>4881650</v>
      </c>
      <c r="BP144" s="685">
        <v>0</v>
      </c>
      <c r="BQ144" s="685">
        <v>16275838</v>
      </c>
      <c r="BR144" s="685">
        <v>3903438</v>
      </c>
      <c r="BS144" s="685">
        <v>3950055</v>
      </c>
      <c r="BT144" s="685">
        <v>5630637</v>
      </c>
      <c r="BU144" s="685">
        <v>7324966</v>
      </c>
      <c r="BV144" s="685">
        <v>1026065</v>
      </c>
      <c r="BW144" s="685">
        <v>3918410</v>
      </c>
      <c r="BX144" s="685">
        <v>13435633</v>
      </c>
      <c r="BY144" s="685">
        <v>710035</v>
      </c>
      <c r="BZ144" s="685">
        <v>0</v>
      </c>
      <c r="CA144" s="685">
        <v>17044064</v>
      </c>
      <c r="CB144" s="685">
        <v>579315362</v>
      </c>
      <c r="CC144" s="685">
        <v>122227874</v>
      </c>
      <c r="CD144" s="685">
        <v>2316313</v>
      </c>
      <c r="CE144" s="685">
        <v>8328351</v>
      </c>
      <c r="CF144" s="685">
        <v>0</v>
      </c>
      <c r="CG144" s="685">
        <v>5722980</v>
      </c>
      <c r="CH144" s="685">
        <v>777120245</v>
      </c>
      <c r="CI144" s="685">
        <v>37776368</v>
      </c>
      <c r="CJ144" s="685">
        <v>1779554</v>
      </c>
      <c r="CK144" s="685">
        <v>5721000</v>
      </c>
      <c r="CL144" s="685">
        <v>1594865</v>
      </c>
      <c r="CM144" s="685">
        <v>27734821</v>
      </c>
      <c r="CN144" s="685">
        <v>6977550</v>
      </c>
      <c r="CO144" s="685">
        <v>4806205</v>
      </c>
      <c r="CP144" s="685">
        <v>3120759</v>
      </c>
      <c r="CQ144" s="685">
        <v>31318155</v>
      </c>
    </row>
    <row r="145" spans="1:95" x14ac:dyDescent="0.25">
      <c r="A145" s="668">
        <v>386</v>
      </c>
      <c r="B145" s="590">
        <v>386</v>
      </c>
      <c r="C145" s="570" t="s">
        <v>279</v>
      </c>
      <c r="D145" s="567" t="s">
        <v>843</v>
      </c>
      <c r="E145" s="573">
        <v>0</v>
      </c>
      <c r="F145" s="574">
        <v>0</v>
      </c>
      <c r="G145" s="574">
        <v>0</v>
      </c>
      <c r="H145" s="574">
        <v>0</v>
      </c>
      <c r="I145" s="574">
        <v>270000</v>
      </c>
      <c r="J145" s="574">
        <v>0</v>
      </c>
      <c r="K145" s="575">
        <v>268272</v>
      </c>
      <c r="L145" s="572">
        <v>0</v>
      </c>
      <c r="M145" s="572">
        <v>0</v>
      </c>
      <c r="N145" s="571">
        <v>0</v>
      </c>
      <c r="O145" s="571">
        <v>24000</v>
      </c>
      <c r="P145" s="571">
        <v>0</v>
      </c>
      <c r="Q145" s="571">
        <v>0</v>
      </c>
      <c r="R145" s="571">
        <v>0</v>
      </c>
      <c r="S145" s="571">
        <v>0</v>
      </c>
      <c r="T145" s="571">
        <v>0</v>
      </c>
      <c r="U145" s="571">
        <v>0</v>
      </c>
      <c r="V145" s="571">
        <v>0</v>
      </c>
      <c r="W145" s="571">
        <v>0</v>
      </c>
      <c r="X145" s="571">
        <v>0</v>
      </c>
      <c r="Y145" s="571">
        <v>0</v>
      </c>
      <c r="Z145" s="571">
        <v>0</v>
      </c>
      <c r="AA145" s="571">
        <v>1669977</v>
      </c>
      <c r="AB145" s="572">
        <v>0</v>
      </c>
      <c r="AC145" s="572">
        <v>0</v>
      </c>
      <c r="AD145" s="572">
        <v>0</v>
      </c>
      <c r="AE145" s="572">
        <v>0</v>
      </c>
      <c r="AF145" s="572">
        <v>0</v>
      </c>
      <c r="AG145" s="572">
        <v>0</v>
      </c>
      <c r="AH145" s="572">
        <v>0</v>
      </c>
      <c r="AI145" s="572">
        <v>0</v>
      </c>
      <c r="AJ145" s="572">
        <v>0</v>
      </c>
      <c r="AK145" s="572">
        <v>0</v>
      </c>
      <c r="AL145" s="572">
        <v>0</v>
      </c>
      <c r="AM145" s="572">
        <v>0</v>
      </c>
      <c r="AN145" s="572">
        <v>0</v>
      </c>
      <c r="AO145" s="572">
        <v>0</v>
      </c>
      <c r="AP145" s="572">
        <v>815348</v>
      </c>
      <c r="AQ145" s="572">
        <v>0</v>
      </c>
      <c r="AR145" s="572">
        <v>0</v>
      </c>
      <c r="AS145" s="572">
        <v>0</v>
      </c>
      <c r="AT145" s="572">
        <v>0</v>
      </c>
      <c r="AU145" s="572">
        <v>0</v>
      </c>
      <c r="AV145" s="572">
        <v>0</v>
      </c>
      <c r="AW145" s="572">
        <v>0</v>
      </c>
      <c r="AX145" s="572">
        <v>32720</v>
      </c>
      <c r="AY145" s="572">
        <v>0</v>
      </c>
      <c r="AZ145" s="572">
        <v>101270</v>
      </c>
      <c r="BA145" s="572">
        <v>0</v>
      </c>
      <c r="BB145" s="572">
        <v>0</v>
      </c>
      <c r="BC145" s="572">
        <v>0</v>
      </c>
      <c r="BD145" s="572">
        <v>0</v>
      </c>
      <c r="BE145" s="572">
        <v>0</v>
      </c>
      <c r="BF145" s="572">
        <v>0</v>
      </c>
      <c r="BG145" s="572">
        <v>0</v>
      </c>
      <c r="BH145" s="572">
        <v>2412490</v>
      </c>
      <c r="BI145" s="572">
        <v>0</v>
      </c>
      <c r="BJ145" s="572">
        <v>0</v>
      </c>
      <c r="BK145" s="572">
        <v>0</v>
      </c>
      <c r="BL145" s="572">
        <v>1489610</v>
      </c>
      <c r="BM145" s="572">
        <v>0</v>
      </c>
      <c r="BN145" s="572">
        <v>0</v>
      </c>
      <c r="BO145" s="572">
        <v>0</v>
      </c>
      <c r="BP145" s="572">
        <v>0</v>
      </c>
      <c r="BQ145" s="572">
        <v>0</v>
      </c>
      <c r="BR145" s="572">
        <v>0</v>
      </c>
      <c r="BS145" s="572">
        <v>0</v>
      </c>
      <c r="BT145" s="572">
        <v>0</v>
      </c>
      <c r="BU145" s="572">
        <v>0</v>
      </c>
      <c r="BV145" s="572">
        <v>0</v>
      </c>
      <c r="BW145" s="572">
        <v>0</v>
      </c>
      <c r="BX145" s="572">
        <v>406400</v>
      </c>
      <c r="BY145" s="572">
        <v>0</v>
      </c>
      <c r="BZ145" s="572">
        <v>0</v>
      </c>
      <c r="CA145" s="572">
        <v>0</v>
      </c>
      <c r="CB145" s="572">
        <v>0</v>
      </c>
      <c r="CC145" s="572">
        <v>4000980</v>
      </c>
      <c r="CD145" s="572">
        <v>109278</v>
      </c>
      <c r="CE145" s="572">
        <v>948400</v>
      </c>
      <c r="CF145" s="572">
        <v>0</v>
      </c>
      <c r="CG145" s="572">
        <v>0</v>
      </c>
      <c r="CH145" s="572">
        <v>13268469</v>
      </c>
      <c r="CI145" s="572">
        <v>311000</v>
      </c>
      <c r="CJ145" s="572">
        <v>53340</v>
      </c>
      <c r="CK145" s="572">
        <v>0</v>
      </c>
      <c r="CL145" s="572">
        <v>0</v>
      </c>
      <c r="CM145" s="572">
        <v>0</v>
      </c>
      <c r="CN145" s="572">
        <v>0</v>
      </c>
      <c r="CO145" s="572">
        <v>0</v>
      </c>
      <c r="CP145" s="572">
        <v>0</v>
      </c>
      <c r="CQ145" s="572">
        <v>0</v>
      </c>
    </row>
    <row r="146" spans="1:95" x14ac:dyDescent="0.25">
      <c r="A146" s="668">
        <v>387</v>
      </c>
      <c r="B146" s="590">
        <v>387</v>
      </c>
      <c r="C146" s="570" t="s">
        <v>280</v>
      </c>
      <c r="D146" s="567" t="s">
        <v>844</v>
      </c>
      <c r="E146" s="573">
        <v>0</v>
      </c>
      <c r="F146" s="574">
        <v>0</v>
      </c>
      <c r="G146" s="574">
        <v>0</v>
      </c>
      <c r="H146" s="574">
        <v>0</v>
      </c>
      <c r="I146" s="574">
        <v>0</v>
      </c>
      <c r="J146" s="574">
        <v>0</v>
      </c>
      <c r="K146" s="575">
        <v>0</v>
      </c>
      <c r="L146" s="572">
        <v>0</v>
      </c>
      <c r="M146" s="572">
        <v>0</v>
      </c>
      <c r="N146" s="571">
        <v>0</v>
      </c>
      <c r="O146" s="571">
        <v>0</v>
      </c>
      <c r="P146" s="571">
        <v>0</v>
      </c>
      <c r="Q146" s="571">
        <v>10007</v>
      </c>
      <c r="R146" s="571">
        <v>0</v>
      </c>
      <c r="S146" s="571">
        <v>0</v>
      </c>
      <c r="T146" s="571">
        <v>0</v>
      </c>
      <c r="U146" s="571">
        <v>0</v>
      </c>
      <c r="V146" s="571">
        <v>20000</v>
      </c>
      <c r="W146" s="571">
        <v>0</v>
      </c>
      <c r="X146" s="571">
        <v>0</v>
      </c>
      <c r="Y146" s="571">
        <v>38258</v>
      </c>
      <c r="Z146" s="571">
        <v>0</v>
      </c>
      <c r="AA146" s="571">
        <v>0</v>
      </c>
      <c r="AB146" s="572">
        <v>0</v>
      </c>
      <c r="AC146" s="572">
        <v>0</v>
      </c>
      <c r="AD146" s="572">
        <v>0</v>
      </c>
      <c r="AE146" s="572">
        <v>294576</v>
      </c>
      <c r="AF146" s="572">
        <v>0</v>
      </c>
      <c r="AG146" s="572">
        <v>20000</v>
      </c>
      <c r="AH146" s="572">
        <v>0</v>
      </c>
      <c r="AI146" s="572">
        <v>0</v>
      </c>
      <c r="AJ146" s="572">
        <v>1144641</v>
      </c>
      <c r="AK146" s="572">
        <v>0</v>
      </c>
      <c r="AL146" s="572">
        <v>0</v>
      </c>
      <c r="AM146" s="572">
        <v>0</v>
      </c>
      <c r="AN146" s="572">
        <v>0</v>
      </c>
      <c r="AO146" s="572">
        <v>0</v>
      </c>
      <c r="AP146" s="572">
        <v>0</v>
      </c>
      <c r="AQ146" s="572">
        <v>0</v>
      </c>
      <c r="AR146" s="572">
        <v>0</v>
      </c>
      <c r="AS146" s="572">
        <v>0</v>
      </c>
      <c r="AT146" s="572">
        <v>0</v>
      </c>
      <c r="AU146" s="572">
        <v>0</v>
      </c>
      <c r="AV146" s="572">
        <v>4169</v>
      </c>
      <c r="AW146" s="572">
        <v>0</v>
      </c>
      <c r="AX146" s="572">
        <v>12720</v>
      </c>
      <c r="AY146" s="572">
        <v>0</v>
      </c>
      <c r="AZ146" s="572">
        <v>99112</v>
      </c>
      <c r="BA146" s="572">
        <v>0</v>
      </c>
      <c r="BB146" s="572">
        <v>0</v>
      </c>
      <c r="BC146" s="572">
        <v>123209</v>
      </c>
      <c r="BD146" s="572">
        <v>156102</v>
      </c>
      <c r="BE146" s="572">
        <v>0</v>
      </c>
      <c r="BF146" s="572">
        <v>0</v>
      </c>
      <c r="BG146" s="572">
        <v>0</v>
      </c>
      <c r="BH146" s="572">
        <v>943312</v>
      </c>
      <c r="BI146" s="572">
        <v>0</v>
      </c>
      <c r="BJ146" s="572">
        <v>0</v>
      </c>
      <c r="BK146" s="572">
        <v>0</v>
      </c>
      <c r="BL146" s="572">
        <v>0</v>
      </c>
      <c r="BM146" s="572">
        <v>0</v>
      </c>
      <c r="BN146" s="572">
        <v>0</v>
      </c>
      <c r="BO146" s="572">
        <v>0</v>
      </c>
      <c r="BP146" s="572">
        <v>0</v>
      </c>
      <c r="BQ146" s="572">
        <v>0</v>
      </c>
      <c r="BR146" s="572">
        <v>0</v>
      </c>
      <c r="BS146" s="572">
        <v>0</v>
      </c>
      <c r="BT146" s="572">
        <v>0</v>
      </c>
      <c r="BU146" s="572">
        <v>0</v>
      </c>
      <c r="BV146" s="572">
        <v>0</v>
      </c>
      <c r="BW146" s="572">
        <v>0</v>
      </c>
      <c r="BX146" s="572">
        <v>0</v>
      </c>
      <c r="BY146" s="572">
        <v>20000</v>
      </c>
      <c r="BZ146" s="572">
        <v>0</v>
      </c>
      <c r="CA146" s="572">
        <v>15083</v>
      </c>
      <c r="CB146" s="572">
        <v>955300</v>
      </c>
      <c r="CC146" s="572">
        <v>0</v>
      </c>
      <c r="CD146" s="572">
        <v>0</v>
      </c>
      <c r="CE146" s="572">
        <v>0</v>
      </c>
      <c r="CF146" s="572">
        <v>0</v>
      </c>
      <c r="CG146" s="572">
        <v>0</v>
      </c>
      <c r="CH146" s="572">
        <v>14976953</v>
      </c>
      <c r="CI146" s="572">
        <v>0</v>
      </c>
      <c r="CJ146" s="572">
        <v>0</v>
      </c>
      <c r="CK146" s="572">
        <v>0</v>
      </c>
      <c r="CL146" s="572">
        <v>50000</v>
      </c>
      <c r="CM146" s="572">
        <v>0</v>
      </c>
      <c r="CN146" s="572">
        <v>0</v>
      </c>
      <c r="CO146" s="572">
        <v>0</v>
      </c>
      <c r="CP146" s="572">
        <v>0</v>
      </c>
      <c r="CQ146" s="572">
        <v>0</v>
      </c>
    </row>
    <row r="147" spans="1:95" x14ac:dyDescent="0.25">
      <c r="A147" s="668">
        <v>388</v>
      </c>
      <c r="B147" s="590">
        <v>388</v>
      </c>
      <c r="C147" s="570" t="s">
        <v>274</v>
      </c>
      <c r="D147" s="567" t="s">
        <v>845</v>
      </c>
      <c r="E147" s="573">
        <v>127167</v>
      </c>
      <c r="F147" s="574">
        <v>10067112</v>
      </c>
      <c r="G147" s="574">
        <v>869045</v>
      </c>
      <c r="H147" s="574">
        <v>3037182</v>
      </c>
      <c r="I147" s="574">
        <v>764017</v>
      </c>
      <c r="J147" s="574">
        <v>587109</v>
      </c>
      <c r="K147" s="575">
        <v>30753756</v>
      </c>
      <c r="L147" s="572">
        <v>615162</v>
      </c>
      <c r="M147" s="572">
        <v>447459</v>
      </c>
      <c r="N147" s="571">
        <v>326133</v>
      </c>
      <c r="O147" s="571">
        <v>1285822</v>
      </c>
      <c r="P147" s="571">
        <v>48044</v>
      </c>
      <c r="Q147" s="571">
        <v>230618</v>
      </c>
      <c r="R147" s="571">
        <v>1494451</v>
      </c>
      <c r="S147" s="571">
        <v>1529942</v>
      </c>
      <c r="T147" s="571">
        <v>6347713</v>
      </c>
      <c r="U147" s="571">
        <v>0</v>
      </c>
      <c r="V147" s="571">
        <v>3569813</v>
      </c>
      <c r="W147" s="571">
        <v>159189</v>
      </c>
      <c r="X147" s="571">
        <v>3085473</v>
      </c>
      <c r="Y147" s="571">
        <v>2779067</v>
      </c>
      <c r="Z147" s="571">
        <v>61001</v>
      </c>
      <c r="AA147" s="571">
        <v>11453254</v>
      </c>
      <c r="AB147" s="572">
        <v>1825801</v>
      </c>
      <c r="AC147" s="572">
        <v>659638</v>
      </c>
      <c r="AD147" s="572">
        <v>244743</v>
      </c>
      <c r="AE147" s="572">
        <v>23353769</v>
      </c>
      <c r="AF147" s="572">
        <v>552663</v>
      </c>
      <c r="AG147" s="572">
        <v>2992296</v>
      </c>
      <c r="AH147" s="572">
        <v>1175324</v>
      </c>
      <c r="AI147" s="572">
        <v>165352</v>
      </c>
      <c r="AJ147" s="572">
        <v>1368720</v>
      </c>
      <c r="AK147" s="572">
        <v>3555015</v>
      </c>
      <c r="AL147" s="572">
        <v>4068476</v>
      </c>
      <c r="AM147" s="572">
        <v>1980863</v>
      </c>
      <c r="AN147" s="572">
        <v>158022</v>
      </c>
      <c r="AO147" s="572">
        <v>271434</v>
      </c>
      <c r="AP147" s="572">
        <v>6138133</v>
      </c>
      <c r="AQ147" s="572">
        <v>0</v>
      </c>
      <c r="AR147" s="572">
        <v>98881</v>
      </c>
      <c r="AS147" s="572">
        <v>138356</v>
      </c>
      <c r="AT147" s="572">
        <v>748565</v>
      </c>
      <c r="AU147" s="572">
        <v>73639</v>
      </c>
      <c r="AV147" s="572">
        <v>296050</v>
      </c>
      <c r="AW147" s="572">
        <v>4075369</v>
      </c>
      <c r="AX147" s="572">
        <v>374950</v>
      </c>
      <c r="AY147" s="572">
        <v>42886860</v>
      </c>
      <c r="AZ147" s="572">
        <v>1592121</v>
      </c>
      <c r="BA147" s="572">
        <v>4180958</v>
      </c>
      <c r="BB147" s="572">
        <v>550900</v>
      </c>
      <c r="BC147" s="572">
        <v>836970</v>
      </c>
      <c r="BD147" s="572">
        <v>1108247</v>
      </c>
      <c r="BE147" s="572">
        <v>125845</v>
      </c>
      <c r="BF147" s="572">
        <v>1089853</v>
      </c>
      <c r="BG147" s="572">
        <v>2652405</v>
      </c>
      <c r="BH147" s="572">
        <v>11459292</v>
      </c>
      <c r="BI147" s="572">
        <v>259893</v>
      </c>
      <c r="BJ147" s="572">
        <v>59903</v>
      </c>
      <c r="BK147" s="572">
        <v>11368196</v>
      </c>
      <c r="BL147" s="572">
        <v>13743447</v>
      </c>
      <c r="BM147" s="572">
        <v>6069352</v>
      </c>
      <c r="BN147" s="572">
        <v>93605</v>
      </c>
      <c r="BO147" s="572">
        <v>1849848</v>
      </c>
      <c r="BP147" s="572">
        <v>0</v>
      </c>
      <c r="BQ147" s="572">
        <v>5523172</v>
      </c>
      <c r="BR147" s="572">
        <v>512383</v>
      </c>
      <c r="BS147" s="572">
        <v>882326</v>
      </c>
      <c r="BT147" s="572">
        <v>2345779</v>
      </c>
      <c r="BU147" s="572">
        <v>2927567</v>
      </c>
      <c r="BV147" s="572">
        <v>600229</v>
      </c>
      <c r="BW147" s="572">
        <v>2211180</v>
      </c>
      <c r="BX147" s="572">
        <v>6343104</v>
      </c>
      <c r="BY147" s="572">
        <v>130225</v>
      </c>
      <c r="BZ147" s="572">
        <v>0</v>
      </c>
      <c r="CA147" s="572">
        <v>6134019</v>
      </c>
      <c r="CB147" s="572">
        <v>123289028</v>
      </c>
      <c r="CC147" s="572">
        <v>49361881</v>
      </c>
      <c r="CD147" s="572">
        <v>973934</v>
      </c>
      <c r="CE147" s="572">
        <v>2687237</v>
      </c>
      <c r="CF147" s="572">
        <v>0</v>
      </c>
      <c r="CG147" s="572">
        <v>1580824</v>
      </c>
      <c r="CH147" s="572">
        <v>230234610</v>
      </c>
      <c r="CI147" s="572">
        <v>7943269</v>
      </c>
      <c r="CJ147" s="572">
        <v>458985</v>
      </c>
      <c r="CK147" s="572">
        <v>3633405</v>
      </c>
      <c r="CL147" s="572">
        <v>404885</v>
      </c>
      <c r="CM147" s="572">
        <v>9220972</v>
      </c>
      <c r="CN147" s="572">
        <v>2596560</v>
      </c>
      <c r="CO147" s="572">
        <v>684918</v>
      </c>
      <c r="CP147" s="572">
        <v>1727526</v>
      </c>
      <c r="CQ147" s="572">
        <v>9780194</v>
      </c>
    </row>
    <row r="148" spans="1:95" ht="30" x14ac:dyDescent="0.25">
      <c r="A148" s="668">
        <v>389</v>
      </c>
      <c r="B148" s="590">
        <v>389</v>
      </c>
      <c r="C148" s="570" t="s">
        <v>281</v>
      </c>
      <c r="D148" s="567" t="s">
        <v>846</v>
      </c>
      <c r="E148" s="573">
        <v>0</v>
      </c>
      <c r="F148" s="574">
        <v>0</v>
      </c>
      <c r="G148" s="574">
        <v>0</v>
      </c>
      <c r="H148" s="574">
        <v>0</v>
      </c>
      <c r="I148" s="574">
        <v>0</v>
      </c>
      <c r="J148" s="574">
        <v>0</v>
      </c>
      <c r="K148" s="575">
        <v>0</v>
      </c>
      <c r="L148" s="572">
        <v>0</v>
      </c>
      <c r="M148" s="572">
        <v>0</v>
      </c>
      <c r="N148" s="571">
        <v>0</v>
      </c>
      <c r="O148" s="571">
        <v>0</v>
      </c>
      <c r="P148" s="571">
        <v>0</v>
      </c>
      <c r="Q148" s="571">
        <v>0</v>
      </c>
      <c r="R148" s="571">
        <v>0</v>
      </c>
      <c r="S148" s="571">
        <v>0</v>
      </c>
      <c r="T148" s="571">
        <v>0</v>
      </c>
      <c r="U148" s="571">
        <v>0</v>
      </c>
      <c r="V148" s="571">
        <v>0</v>
      </c>
      <c r="W148" s="571">
        <v>0</v>
      </c>
      <c r="X148" s="571">
        <v>0</v>
      </c>
      <c r="Y148" s="571">
        <v>0</v>
      </c>
      <c r="Z148" s="571">
        <v>0</v>
      </c>
      <c r="AA148" s="571">
        <v>0</v>
      </c>
      <c r="AB148" s="572">
        <v>0</v>
      </c>
      <c r="AC148" s="572">
        <v>0</v>
      </c>
      <c r="AD148" s="572">
        <v>0</v>
      </c>
      <c r="AE148" s="572">
        <v>0</v>
      </c>
      <c r="AF148" s="572">
        <v>0</v>
      </c>
      <c r="AG148" s="572">
        <v>0</v>
      </c>
      <c r="AH148" s="572">
        <v>0</v>
      </c>
      <c r="AI148" s="572">
        <v>0</v>
      </c>
      <c r="AJ148" s="572">
        <v>0</v>
      </c>
      <c r="AK148" s="572">
        <v>0</v>
      </c>
      <c r="AL148" s="572">
        <v>0</v>
      </c>
      <c r="AM148" s="572">
        <v>0</v>
      </c>
      <c r="AN148" s="572">
        <v>0</v>
      </c>
      <c r="AO148" s="572">
        <v>0</v>
      </c>
      <c r="AP148" s="572">
        <v>1</v>
      </c>
      <c r="AQ148" s="572">
        <v>0</v>
      </c>
      <c r="AR148" s="572">
        <v>0</v>
      </c>
      <c r="AS148" s="572">
        <v>0</v>
      </c>
      <c r="AT148" s="572">
        <v>0</v>
      </c>
      <c r="AU148" s="572">
        <v>0</v>
      </c>
      <c r="AV148" s="572">
        <v>0</v>
      </c>
      <c r="AW148" s="572">
        <v>0</v>
      </c>
      <c r="AX148" s="572">
        <v>0</v>
      </c>
      <c r="AY148" s="572">
        <v>0</v>
      </c>
      <c r="AZ148" s="572">
        <v>0</v>
      </c>
      <c r="BA148" s="572">
        <v>0</v>
      </c>
      <c r="BB148" s="572">
        <v>0</v>
      </c>
      <c r="BC148" s="572">
        <v>0</v>
      </c>
      <c r="BD148" s="572">
        <v>0</v>
      </c>
      <c r="BE148" s="572">
        <v>0</v>
      </c>
      <c r="BF148" s="572">
        <v>0</v>
      </c>
      <c r="BG148" s="572">
        <v>0</v>
      </c>
      <c r="BH148" s="572">
        <v>0</v>
      </c>
      <c r="BI148" s="572">
        <v>0</v>
      </c>
      <c r="BJ148" s="572">
        <v>0</v>
      </c>
      <c r="BK148" s="572">
        <v>0</v>
      </c>
      <c r="BL148" s="572">
        <v>0</v>
      </c>
      <c r="BM148" s="572">
        <v>0</v>
      </c>
      <c r="BN148" s="572">
        <v>0</v>
      </c>
      <c r="BO148" s="572">
        <v>0</v>
      </c>
      <c r="BP148" s="572">
        <v>0</v>
      </c>
      <c r="BQ148" s="572">
        <v>0</v>
      </c>
      <c r="BR148" s="572">
        <v>0</v>
      </c>
      <c r="BS148" s="572">
        <v>0</v>
      </c>
      <c r="BT148" s="572">
        <v>0</v>
      </c>
      <c r="BU148" s="572">
        <v>0</v>
      </c>
      <c r="BV148" s="572">
        <v>0</v>
      </c>
      <c r="BW148" s="572">
        <v>0</v>
      </c>
      <c r="BX148" s="572">
        <v>0</v>
      </c>
      <c r="BY148" s="572">
        <v>0</v>
      </c>
      <c r="BZ148" s="572">
        <v>0</v>
      </c>
      <c r="CA148" s="572">
        <v>0</v>
      </c>
      <c r="CB148" s="572">
        <v>0</v>
      </c>
      <c r="CC148" s="572">
        <v>0</v>
      </c>
      <c r="CD148" s="572">
        <v>0</v>
      </c>
      <c r="CE148" s="572">
        <v>0</v>
      </c>
      <c r="CF148" s="572">
        <v>0</v>
      </c>
      <c r="CG148" s="572">
        <v>0</v>
      </c>
      <c r="CH148" s="572">
        <v>0</v>
      </c>
      <c r="CI148" s="572">
        <v>0</v>
      </c>
      <c r="CJ148" s="572">
        <v>0</v>
      </c>
      <c r="CK148" s="572">
        <v>0</v>
      </c>
      <c r="CL148" s="572">
        <v>0</v>
      </c>
      <c r="CM148" s="572">
        <v>0</v>
      </c>
      <c r="CN148" s="572">
        <v>0</v>
      </c>
      <c r="CO148" s="572">
        <v>0</v>
      </c>
      <c r="CP148" s="572">
        <v>0</v>
      </c>
      <c r="CQ148" s="572">
        <v>0</v>
      </c>
    </row>
    <row r="149" spans="1:95" x14ac:dyDescent="0.25">
      <c r="A149" s="668">
        <v>391</v>
      </c>
      <c r="B149" s="590">
        <v>391</v>
      </c>
      <c r="C149" s="570" t="s">
        <v>286</v>
      </c>
      <c r="D149" s="567" t="s">
        <v>847</v>
      </c>
      <c r="E149" s="573">
        <v>29507</v>
      </c>
      <c r="F149" s="574">
        <v>592583</v>
      </c>
      <c r="G149" s="574">
        <v>0</v>
      </c>
      <c r="H149" s="574">
        <v>215316</v>
      </c>
      <c r="I149" s="574">
        <v>51063</v>
      </c>
      <c r="J149" s="574">
        <v>200248</v>
      </c>
      <c r="K149" s="575">
        <v>5670519</v>
      </c>
      <c r="L149" s="572">
        <v>30020</v>
      </c>
      <c r="M149" s="572">
        <v>37276</v>
      </c>
      <c r="N149" s="571">
        <v>95467</v>
      </c>
      <c r="O149" s="571">
        <v>116113</v>
      </c>
      <c r="P149" s="571">
        <v>0</v>
      </c>
      <c r="Q149" s="571">
        <v>65687</v>
      </c>
      <c r="R149" s="571">
        <v>49157</v>
      </c>
      <c r="S149" s="571">
        <v>149790</v>
      </c>
      <c r="T149" s="571">
        <v>398542</v>
      </c>
      <c r="U149" s="571">
        <v>0</v>
      </c>
      <c r="V149" s="571">
        <v>251763</v>
      </c>
      <c r="W149" s="571">
        <v>87903</v>
      </c>
      <c r="X149" s="571">
        <v>248894</v>
      </c>
      <c r="Y149" s="571">
        <v>284744</v>
      </c>
      <c r="Z149" s="571">
        <v>3589</v>
      </c>
      <c r="AA149" s="571">
        <v>825856</v>
      </c>
      <c r="AB149" s="572">
        <v>163389</v>
      </c>
      <c r="AC149" s="572">
        <v>295480</v>
      </c>
      <c r="AD149" s="572">
        <v>44229</v>
      </c>
      <c r="AE149" s="572">
        <v>2992494</v>
      </c>
      <c r="AF149" s="572">
        <v>33524</v>
      </c>
      <c r="AG149" s="572">
        <v>214571</v>
      </c>
      <c r="AH149" s="572">
        <v>133728</v>
      </c>
      <c r="AI149" s="572">
        <v>11159</v>
      </c>
      <c r="AJ149" s="572">
        <v>1889009</v>
      </c>
      <c r="AK149" s="572">
        <v>270615</v>
      </c>
      <c r="AL149" s="572">
        <v>495872</v>
      </c>
      <c r="AM149" s="572">
        <v>345819</v>
      </c>
      <c r="AN149" s="572">
        <v>29396</v>
      </c>
      <c r="AO149" s="572">
        <v>63874</v>
      </c>
      <c r="AP149" s="572">
        <v>686502</v>
      </c>
      <c r="AQ149" s="572">
        <v>0</v>
      </c>
      <c r="AR149" s="572">
        <v>5624</v>
      </c>
      <c r="AS149" s="572">
        <v>35878</v>
      </c>
      <c r="AT149" s="572">
        <v>47972</v>
      </c>
      <c r="AU149" s="572">
        <v>5370</v>
      </c>
      <c r="AV149" s="572">
        <v>6760</v>
      </c>
      <c r="AW149" s="572">
        <v>465683</v>
      </c>
      <c r="AX149" s="572">
        <v>35092</v>
      </c>
      <c r="AY149" s="572">
        <v>5201309</v>
      </c>
      <c r="AZ149" s="572">
        <v>151227</v>
      </c>
      <c r="BA149" s="572">
        <v>685045</v>
      </c>
      <c r="BB149" s="572">
        <v>156924</v>
      </c>
      <c r="BC149" s="572">
        <v>113166</v>
      </c>
      <c r="BD149" s="572">
        <v>359094</v>
      </c>
      <c r="BE149" s="572">
        <v>0</v>
      </c>
      <c r="BF149" s="572">
        <v>248029</v>
      </c>
      <c r="BG149" s="572">
        <v>446973</v>
      </c>
      <c r="BH149" s="572">
        <v>1469879</v>
      </c>
      <c r="BI149" s="572">
        <v>1904</v>
      </c>
      <c r="BJ149" s="572">
        <v>16894</v>
      </c>
      <c r="BK149" s="572">
        <v>872820</v>
      </c>
      <c r="BL149" s="572">
        <v>1561344</v>
      </c>
      <c r="BM149" s="572">
        <v>663670</v>
      </c>
      <c r="BN149" s="572">
        <v>8906</v>
      </c>
      <c r="BO149" s="572">
        <v>200467</v>
      </c>
      <c r="BP149" s="572">
        <v>0</v>
      </c>
      <c r="BQ149" s="572">
        <v>299040</v>
      </c>
      <c r="BR149" s="572">
        <v>146520</v>
      </c>
      <c r="BS149" s="572">
        <v>89157</v>
      </c>
      <c r="BT149" s="572">
        <v>180101</v>
      </c>
      <c r="BU149" s="572">
        <v>177241</v>
      </c>
      <c r="BV149" s="572">
        <v>36281</v>
      </c>
      <c r="BW149" s="572">
        <v>133990</v>
      </c>
      <c r="BX149" s="572">
        <v>901553</v>
      </c>
      <c r="BY149" s="572">
        <v>27522</v>
      </c>
      <c r="BZ149" s="572">
        <v>0</v>
      </c>
      <c r="CA149" s="572">
        <v>415563</v>
      </c>
      <c r="CB149" s="572">
        <v>13637741</v>
      </c>
      <c r="CC149" s="572">
        <v>3976946</v>
      </c>
      <c r="CD149" s="572">
        <v>72501</v>
      </c>
      <c r="CE149" s="572">
        <v>1279357</v>
      </c>
      <c r="CF149" s="572">
        <v>0</v>
      </c>
      <c r="CG149" s="572">
        <v>111437</v>
      </c>
      <c r="CH149" s="572">
        <v>22168518</v>
      </c>
      <c r="CI149" s="572">
        <v>2786746</v>
      </c>
      <c r="CJ149" s="572">
        <v>193668</v>
      </c>
      <c r="CK149" s="572">
        <v>278578</v>
      </c>
      <c r="CL149" s="572">
        <v>45352</v>
      </c>
      <c r="CM149" s="572">
        <v>749483</v>
      </c>
      <c r="CN149" s="572">
        <v>365423</v>
      </c>
      <c r="CO149" s="572">
        <v>108043</v>
      </c>
      <c r="CP149" s="572">
        <v>242934</v>
      </c>
      <c r="CQ149" s="572">
        <v>693676</v>
      </c>
    </row>
    <row r="150" spans="1:95" ht="30" x14ac:dyDescent="0.25">
      <c r="A150" s="668">
        <v>500</v>
      </c>
      <c r="B150" s="590">
        <v>500</v>
      </c>
      <c r="C150" s="570" t="s">
        <v>268</v>
      </c>
      <c r="D150" s="567" t="s">
        <v>848</v>
      </c>
      <c r="E150" s="573">
        <v>298009</v>
      </c>
      <c r="F150" s="574">
        <v>393104</v>
      </c>
      <c r="G150" s="574">
        <v>71241</v>
      </c>
      <c r="H150" s="574">
        <v>286141</v>
      </c>
      <c r="I150" s="574">
        <v>272215</v>
      </c>
      <c r="J150" s="574">
        <v>157559</v>
      </c>
      <c r="K150" s="575">
        <v>51239</v>
      </c>
      <c r="L150" s="572">
        <v>48709</v>
      </c>
      <c r="M150" s="572">
        <v>22657</v>
      </c>
      <c r="N150" s="571">
        <v>46886</v>
      </c>
      <c r="O150" s="571">
        <v>130956</v>
      </c>
      <c r="P150" s="571">
        <v>120280</v>
      </c>
      <c r="Q150" s="571">
        <v>35322</v>
      </c>
      <c r="R150" s="571">
        <v>0</v>
      </c>
      <c r="S150" s="571">
        <v>2355</v>
      </c>
      <c r="T150" s="571">
        <v>144776</v>
      </c>
      <c r="U150" s="571">
        <v>0</v>
      </c>
      <c r="V150" s="571">
        <v>54510</v>
      </c>
      <c r="W150" s="571">
        <v>0</v>
      </c>
      <c r="X150" s="571">
        <v>461654</v>
      </c>
      <c r="Y150" s="571">
        <v>0</v>
      </c>
      <c r="Z150" s="571">
        <v>9862</v>
      </c>
      <c r="AA150" s="571">
        <v>1799649</v>
      </c>
      <c r="AB150" s="572">
        <v>28980</v>
      </c>
      <c r="AC150" s="572">
        <v>238215</v>
      </c>
      <c r="AD150" s="572">
        <v>112057</v>
      </c>
      <c r="AE150" s="572">
        <v>367712</v>
      </c>
      <c r="AF150" s="572">
        <v>959224</v>
      </c>
      <c r="AG150" s="572">
        <v>35371</v>
      </c>
      <c r="AH150" s="572">
        <v>166687</v>
      </c>
      <c r="AI150" s="572">
        <v>47</v>
      </c>
      <c r="AJ150" s="572">
        <v>550374</v>
      </c>
      <c r="AK150" s="572">
        <v>3829</v>
      </c>
      <c r="AL150" s="572">
        <v>774548</v>
      </c>
      <c r="AM150" s="572">
        <v>13428</v>
      </c>
      <c r="AN150" s="572">
        <v>14075</v>
      </c>
      <c r="AO150" s="572">
        <v>0</v>
      </c>
      <c r="AP150" s="572">
        <v>151314</v>
      </c>
      <c r="AQ150" s="572">
        <v>0</v>
      </c>
      <c r="AR150" s="572">
        <v>100517</v>
      </c>
      <c r="AS150" s="572">
        <v>0</v>
      </c>
      <c r="AT150" s="572">
        <v>78853</v>
      </c>
      <c r="AU150" s="572">
        <v>141550</v>
      </c>
      <c r="AV150" s="572">
        <v>177637</v>
      </c>
      <c r="AW150" s="572">
        <v>352320</v>
      </c>
      <c r="AX150" s="572">
        <v>82075</v>
      </c>
      <c r="AY150" s="572">
        <v>17879392</v>
      </c>
      <c r="AZ150" s="572">
        <v>920860</v>
      </c>
      <c r="BA150" s="572">
        <v>163819</v>
      </c>
      <c r="BB150" s="572">
        <v>0</v>
      </c>
      <c r="BC150" s="572">
        <v>38880</v>
      </c>
      <c r="BD150" s="572">
        <v>101469</v>
      </c>
      <c r="BE150" s="572">
        <v>63839</v>
      </c>
      <c r="BF150" s="572">
        <v>22870</v>
      </c>
      <c r="BG150" s="572">
        <v>107872</v>
      </c>
      <c r="BH150" s="572">
        <v>7738</v>
      </c>
      <c r="BI150" s="572">
        <v>118561</v>
      </c>
      <c r="BJ150" s="572">
        <v>48462</v>
      </c>
      <c r="BK150" s="572">
        <v>3029767</v>
      </c>
      <c r="BL150" s="572">
        <v>193008</v>
      </c>
      <c r="BM150" s="572">
        <v>128203</v>
      </c>
      <c r="BN150" s="572">
        <v>0</v>
      </c>
      <c r="BO150" s="572">
        <v>75002</v>
      </c>
      <c r="BP150" s="572">
        <v>0</v>
      </c>
      <c r="BQ150" s="572">
        <v>1983517</v>
      </c>
      <c r="BR150" s="572">
        <v>0</v>
      </c>
      <c r="BS150" s="572">
        <v>369634</v>
      </c>
      <c r="BT150" s="572">
        <v>684616</v>
      </c>
      <c r="BU150" s="572">
        <v>1023738</v>
      </c>
      <c r="BV150" s="572">
        <v>58080</v>
      </c>
      <c r="BW150" s="572">
        <v>49169</v>
      </c>
      <c r="BX150" s="572">
        <v>1501496</v>
      </c>
      <c r="BY150" s="572">
        <v>0</v>
      </c>
      <c r="BZ150" s="572">
        <v>0</v>
      </c>
      <c r="CA150" s="572">
        <v>441656</v>
      </c>
      <c r="CB150" s="572">
        <v>24921308</v>
      </c>
      <c r="CC150" s="572">
        <v>1354377</v>
      </c>
      <c r="CD150" s="572">
        <v>350414</v>
      </c>
      <c r="CE150" s="572">
        <v>0</v>
      </c>
      <c r="CF150" s="572">
        <v>0</v>
      </c>
      <c r="CG150" s="572">
        <v>158226</v>
      </c>
      <c r="CH150" s="572">
        <v>0</v>
      </c>
      <c r="CI150" s="572">
        <v>1282671</v>
      </c>
      <c r="CJ150" s="572">
        <v>138063</v>
      </c>
      <c r="CK150" s="572">
        <v>117459</v>
      </c>
      <c r="CL150" s="572">
        <v>49108</v>
      </c>
      <c r="CM150" s="572">
        <v>121787</v>
      </c>
      <c r="CN150" s="572">
        <v>97021</v>
      </c>
      <c r="CO150" s="572">
        <v>252002</v>
      </c>
      <c r="CP150" s="572">
        <v>28484</v>
      </c>
      <c r="CQ150" s="572">
        <v>696768</v>
      </c>
    </row>
    <row r="151" spans="1:95" x14ac:dyDescent="0.25">
      <c r="A151" s="668"/>
      <c r="B151" s="590">
        <v>501</v>
      </c>
      <c r="C151" s="570" t="s">
        <v>849</v>
      </c>
      <c r="D151" s="567" t="s">
        <v>850</v>
      </c>
      <c r="E151" s="573">
        <v>0</v>
      </c>
      <c r="F151" s="574">
        <v>0</v>
      </c>
      <c r="G151" s="574">
        <v>0</v>
      </c>
      <c r="H151" s="574">
        <v>0</v>
      </c>
      <c r="I151" s="574">
        <v>0</v>
      </c>
      <c r="J151" s="574">
        <v>0</v>
      </c>
      <c r="K151" s="575">
        <v>0</v>
      </c>
      <c r="L151" s="572">
        <v>0</v>
      </c>
      <c r="M151" s="572">
        <v>0</v>
      </c>
      <c r="N151" s="571">
        <v>0</v>
      </c>
      <c r="O151" s="571">
        <v>0</v>
      </c>
      <c r="P151" s="571">
        <v>0</v>
      </c>
      <c r="Q151" s="571">
        <v>0</v>
      </c>
      <c r="R151" s="571">
        <v>0</v>
      </c>
      <c r="S151" s="571">
        <v>0</v>
      </c>
      <c r="T151" s="571">
        <v>0</v>
      </c>
      <c r="U151" s="571">
        <v>0</v>
      </c>
      <c r="V151" s="571">
        <v>0</v>
      </c>
      <c r="W151" s="571">
        <v>0</v>
      </c>
      <c r="X151" s="571">
        <v>0</v>
      </c>
      <c r="Y151" s="571">
        <v>0</v>
      </c>
      <c r="Z151" s="571">
        <v>0</v>
      </c>
      <c r="AA151" s="571">
        <v>0</v>
      </c>
      <c r="AB151" s="572">
        <v>0</v>
      </c>
      <c r="AC151" s="572">
        <v>0</v>
      </c>
      <c r="AD151" s="572">
        <v>0</v>
      </c>
      <c r="AE151" s="572">
        <v>0</v>
      </c>
      <c r="AF151" s="572">
        <v>0</v>
      </c>
      <c r="AG151" s="572">
        <v>0</v>
      </c>
      <c r="AH151" s="572">
        <v>0</v>
      </c>
      <c r="AI151" s="572">
        <v>0</v>
      </c>
      <c r="AJ151" s="572">
        <v>0</v>
      </c>
      <c r="AK151" s="572">
        <v>0</v>
      </c>
      <c r="AL151" s="572">
        <v>0</v>
      </c>
      <c r="AM151" s="572">
        <v>0</v>
      </c>
      <c r="AN151" s="572">
        <v>0</v>
      </c>
      <c r="AO151" s="572">
        <v>0</v>
      </c>
      <c r="AP151" s="572">
        <v>0</v>
      </c>
      <c r="AQ151" s="572">
        <v>0</v>
      </c>
      <c r="AR151" s="572">
        <v>0</v>
      </c>
      <c r="AS151" s="572">
        <v>0</v>
      </c>
      <c r="AT151" s="572">
        <v>0</v>
      </c>
      <c r="AU151" s="572">
        <v>0</v>
      </c>
      <c r="AV151" s="572">
        <v>0</v>
      </c>
      <c r="AW151" s="572">
        <v>0</v>
      </c>
      <c r="AX151" s="572">
        <v>0</v>
      </c>
      <c r="AY151" s="572">
        <v>0</v>
      </c>
      <c r="AZ151" s="572">
        <v>0</v>
      </c>
      <c r="BA151" s="572">
        <v>0</v>
      </c>
      <c r="BB151" s="572">
        <v>0</v>
      </c>
      <c r="BC151" s="572">
        <v>0</v>
      </c>
      <c r="BD151" s="572">
        <v>0</v>
      </c>
      <c r="BE151" s="572">
        <v>0</v>
      </c>
      <c r="BF151" s="572">
        <v>0</v>
      </c>
      <c r="BG151" s="572">
        <v>0</v>
      </c>
      <c r="BH151" s="572">
        <v>0</v>
      </c>
      <c r="BI151" s="572">
        <v>0</v>
      </c>
      <c r="BJ151" s="572">
        <v>0</v>
      </c>
      <c r="BK151" s="572">
        <v>0</v>
      </c>
      <c r="BL151" s="572">
        <v>0</v>
      </c>
      <c r="BM151" s="572">
        <v>0</v>
      </c>
      <c r="BN151" s="572">
        <v>0</v>
      </c>
      <c r="BO151" s="572">
        <v>0</v>
      </c>
      <c r="BP151" s="572">
        <v>0</v>
      </c>
      <c r="BQ151" s="572">
        <v>0</v>
      </c>
      <c r="BR151" s="572">
        <v>0</v>
      </c>
      <c r="BS151" s="572">
        <v>0</v>
      </c>
      <c r="BT151" s="572">
        <v>0</v>
      </c>
      <c r="BU151" s="572">
        <v>0</v>
      </c>
      <c r="BV151" s="572">
        <v>0</v>
      </c>
      <c r="BW151" s="572">
        <v>0</v>
      </c>
      <c r="BX151" s="572">
        <v>0</v>
      </c>
      <c r="BY151" s="572">
        <v>0</v>
      </c>
      <c r="BZ151" s="572">
        <v>0</v>
      </c>
      <c r="CA151" s="572">
        <v>0</v>
      </c>
      <c r="CB151" s="572">
        <v>0</v>
      </c>
      <c r="CC151" s="572">
        <v>0</v>
      </c>
      <c r="CD151" s="572">
        <v>0</v>
      </c>
      <c r="CE151" s="572">
        <v>0</v>
      </c>
      <c r="CF151" s="572">
        <v>0</v>
      </c>
      <c r="CG151" s="572">
        <v>0</v>
      </c>
      <c r="CH151" s="572">
        <v>0</v>
      </c>
      <c r="CI151" s="572">
        <v>0</v>
      </c>
      <c r="CJ151" s="572">
        <v>0</v>
      </c>
      <c r="CK151" s="572">
        <v>0</v>
      </c>
      <c r="CL151" s="572">
        <v>0</v>
      </c>
      <c r="CM151" s="572">
        <v>0</v>
      </c>
      <c r="CN151" s="572">
        <v>0</v>
      </c>
      <c r="CO151" s="572">
        <v>0</v>
      </c>
      <c r="CP151" s="572">
        <v>0</v>
      </c>
      <c r="CQ151" s="572">
        <v>0</v>
      </c>
    </row>
    <row r="152" spans="1:95" ht="30" x14ac:dyDescent="0.25">
      <c r="A152" s="668">
        <v>502</v>
      </c>
      <c r="B152" s="590">
        <v>502</v>
      </c>
      <c r="C152" s="570" t="s">
        <v>271</v>
      </c>
      <c r="D152" s="567" t="s">
        <v>851</v>
      </c>
      <c r="E152" s="573">
        <v>0</v>
      </c>
      <c r="F152" s="574">
        <v>1155423</v>
      </c>
      <c r="G152" s="574">
        <v>370452</v>
      </c>
      <c r="H152" s="574">
        <v>1074706</v>
      </c>
      <c r="I152" s="574">
        <v>4503186</v>
      </c>
      <c r="J152" s="574">
        <v>61075</v>
      </c>
      <c r="K152" s="575">
        <v>43078940</v>
      </c>
      <c r="L152" s="572">
        <v>666103</v>
      </c>
      <c r="M152" s="572">
        <v>0</v>
      </c>
      <c r="N152" s="571">
        <v>1533577</v>
      </c>
      <c r="O152" s="571">
        <v>335132</v>
      </c>
      <c r="P152" s="571">
        <v>0</v>
      </c>
      <c r="Q152" s="571">
        <v>51009</v>
      </c>
      <c r="R152" s="571">
        <v>87186</v>
      </c>
      <c r="S152" s="571">
        <v>0</v>
      </c>
      <c r="T152" s="571">
        <v>0</v>
      </c>
      <c r="U152" s="571">
        <v>0</v>
      </c>
      <c r="V152" s="571">
        <v>39050</v>
      </c>
      <c r="W152" s="571">
        <v>2256225</v>
      </c>
      <c r="X152" s="571">
        <v>0</v>
      </c>
      <c r="Y152" s="571">
        <v>2628905</v>
      </c>
      <c r="Z152" s="571">
        <v>0</v>
      </c>
      <c r="AA152" s="571">
        <v>14856574</v>
      </c>
      <c r="AB152" s="572">
        <v>2007081</v>
      </c>
      <c r="AC152" s="572">
        <v>152954</v>
      </c>
      <c r="AD152" s="572">
        <v>182576</v>
      </c>
      <c r="AE152" s="572">
        <v>7220195</v>
      </c>
      <c r="AF152" s="572">
        <v>0</v>
      </c>
      <c r="AG152" s="572">
        <v>1920516</v>
      </c>
      <c r="AH152" s="572">
        <v>0</v>
      </c>
      <c r="AI152" s="572">
        <v>384160</v>
      </c>
      <c r="AJ152" s="572">
        <v>1570376</v>
      </c>
      <c r="AK152" s="572">
        <v>535330</v>
      </c>
      <c r="AL152" s="572">
        <v>689224</v>
      </c>
      <c r="AM152" s="572">
        <v>812083</v>
      </c>
      <c r="AN152" s="572">
        <v>47252</v>
      </c>
      <c r="AO152" s="572">
        <v>0</v>
      </c>
      <c r="AP152" s="572">
        <v>468680</v>
      </c>
      <c r="AQ152" s="572">
        <v>0</v>
      </c>
      <c r="AR152" s="572">
        <v>0</v>
      </c>
      <c r="AS152" s="572">
        <v>0</v>
      </c>
      <c r="AT152" s="572">
        <v>0</v>
      </c>
      <c r="AU152" s="572">
        <v>0</v>
      </c>
      <c r="AV152" s="572">
        <v>297290</v>
      </c>
      <c r="AW152" s="572">
        <v>2503870</v>
      </c>
      <c r="AX152" s="572">
        <v>389254</v>
      </c>
      <c r="AY152" s="572">
        <v>3922030</v>
      </c>
      <c r="AZ152" s="572">
        <v>0</v>
      </c>
      <c r="BA152" s="572">
        <v>2797348</v>
      </c>
      <c r="BB152" s="572">
        <v>0</v>
      </c>
      <c r="BC152" s="572">
        <v>1376586</v>
      </c>
      <c r="BD152" s="572">
        <v>872597</v>
      </c>
      <c r="BE152" s="572">
        <v>287924</v>
      </c>
      <c r="BF152" s="572">
        <v>505403</v>
      </c>
      <c r="BG152" s="572">
        <v>1714009</v>
      </c>
      <c r="BH152" s="572">
        <v>22135718</v>
      </c>
      <c r="BI152" s="572">
        <v>0</v>
      </c>
      <c r="BJ152" s="572">
        <v>0</v>
      </c>
      <c r="BK152" s="572">
        <v>0</v>
      </c>
      <c r="BL152" s="572">
        <v>5843064</v>
      </c>
      <c r="BM152" s="572">
        <v>2985995</v>
      </c>
      <c r="BN152" s="572">
        <v>0</v>
      </c>
      <c r="BO152" s="572">
        <v>0</v>
      </c>
      <c r="BP152" s="572">
        <v>0</v>
      </c>
      <c r="BQ152" s="572">
        <v>0</v>
      </c>
      <c r="BR152" s="572">
        <v>0</v>
      </c>
      <c r="BS152" s="572">
        <v>0</v>
      </c>
      <c r="BT152" s="572">
        <v>1160344</v>
      </c>
      <c r="BU152" s="572">
        <v>0</v>
      </c>
      <c r="BV152" s="572">
        <v>299044</v>
      </c>
      <c r="BW152" s="572">
        <v>1247163</v>
      </c>
      <c r="BX152" s="572">
        <v>2386431</v>
      </c>
      <c r="BY152" s="572">
        <v>123006</v>
      </c>
      <c r="BZ152" s="572">
        <v>0</v>
      </c>
      <c r="CA152" s="572">
        <v>6720466</v>
      </c>
      <c r="CB152" s="572">
        <v>38897652</v>
      </c>
      <c r="CC152" s="572">
        <v>66564412</v>
      </c>
      <c r="CD152" s="572">
        <v>11254</v>
      </c>
      <c r="CE152" s="572">
        <v>5080102</v>
      </c>
      <c r="CF152" s="572">
        <v>0</v>
      </c>
      <c r="CG152" s="572">
        <v>711611</v>
      </c>
      <c r="CH152" s="572">
        <v>170355167</v>
      </c>
      <c r="CI152" s="572">
        <v>4400749</v>
      </c>
      <c r="CJ152" s="572">
        <v>897344</v>
      </c>
      <c r="CK152" s="572">
        <v>0</v>
      </c>
      <c r="CL152" s="572">
        <v>434466</v>
      </c>
      <c r="CM152" s="572">
        <v>7315124</v>
      </c>
      <c r="CN152" s="572">
        <v>2739789</v>
      </c>
      <c r="CO152" s="572">
        <v>1790167</v>
      </c>
      <c r="CP152" s="572">
        <v>0</v>
      </c>
      <c r="CQ152" s="572">
        <v>101585</v>
      </c>
    </row>
    <row r="153" spans="1:95" ht="30" x14ac:dyDescent="0.25">
      <c r="A153" s="668">
        <v>503</v>
      </c>
      <c r="B153" s="590">
        <v>503</v>
      </c>
      <c r="C153" s="570" t="s">
        <v>272</v>
      </c>
      <c r="D153" s="567" t="s">
        <v>852</v>
      </c>
      <c r="E153" s="573">
        <v>0</v>
      </c>
      <c r="F153" s="574">
        <v>0</v>
      </c>
      <c r="G153" s="574">
        <v>0</v>
      </c>
      <c r="H153" s="574">
        <v>224028</v>
      </c>
      <c r="I153" s="574">
        <v>147326</v>
      </c>
      <c r="J153" s="574">
        <v>1950</v>
      </c>
      <c r="K153" s="575">
        <v>1099234</v>
      </c>
      <c r="L153" s="572">
        <v>18569</v>
      </c>
      <c r="M153" s="572">
        <v>0</v>
      </c>
      <c r="N153" s="571">
        <v>28077</v>
      </c>
      <c r="O153" s="571">
        <v>278797</v>
      </c>
      <c r="P153" s="571">
        <v>0</v>
      </c>
      <c r="Q153" s="571">
        <v>278290</v>
      </c>
      <c r="R153" s="571">
        <v>0</v>
      </c>
      <c r="S153" s="571">
        <v>0</v>
      </c>
      <c r="T153" s="571">
        <v>0</v>
      </c>
      <c r="U153" s="571">
        <v>0</v>
      </c>
      <c r="V153" s="571">
        <v>0</v>
      </c>
      <c r="W153" s="571">
        <v>15375</v>
      </c>
      <c r="X153" s="571">
        <v>0</v>
      </c>
      <c r="Y153" s="571">
        <v>0</v>
      </c>
      <c r="Z153" s="571">
        <v>0</v>
      </c>
      <c r="AA153" s="571">
        <v>953795</v>
      </c>
      <c r="AB153" s="572">
        <v>6364</v>
      </c>
      <c r="AC153" s="572">
        <v>0</v>
      </c>
      <c r="AD153" s="572">
        <v>0</v>
      </c>
      <c r="AE153" s="572">
        <v>448027</v>
      </c>
      <c r="AF153" s="572">
        <v>0</v>
      </c>
      <c r="AG153" s="572">
        <v>0</v>
      </c>
      <c r="AH153" s="572">
        <v>0</v>
      </c>
      <c r="AI153" s="572">
        <v>4611</v>
      </c>
      <c r="AJ153" s="572">
        <v>0</v>
      </c>
      <c r="AK153" s="572">
        <v>130527</v>
      </c>
      <c r="AL153" s="572">
        <v>15221</v>
      </c>
      <c r="AM153" s="572">
        <v>126873</v>
      </c>
      <c r="AN153" s="572">
        <v>2815</v>
      </c>
      <c r="AO153" s="572">
        <v>0</v>
      </c>
      <c r="AP153" s="572">
        <v>68864</v>
      </c>
      <c r="AQ153" s="572">
        <v>0</v>
      </c>
      <c r="AR153" s="572">
        <v>0</v>
      </c>
      <c r="AS153" s="572">
        <v>0</v>
      </c>
      <c r="AT153" s="572">
        <v>0</v>
      </c>
      <c r="AU153" s="572">
        <v>0</v>
      </c>
      <c r="AV153" s="572">
        <v>15965</v>
      </c>
      <c r="AW153" s="572">
        <v>480408</v>
      </c>
      <c r="AX153" s="572">
        <v>0</v>
      </c>
      <c r="AY153" s="572">
        <v>0</v>
      </c>
      <c r="AZ153" s="572">
        <v>0</v>
      </c>
      <c r="BA153" s="572">
        <v>0</v>
      </c>
      <c r="BB153" s="572">
        <v>0</v>
      </c>
      <c r="BC153" s="572">
        <v>29946</v>
      </c>
      <c r="BD153" s="572">
        <v>0</v>
      </c>
      <c r="BE153" s="572">
        <v>14256</v>
      </c>
      <c r="BF153" s="572">
        <v>2145434</v>
      </c>
      <c r="BG153" s="572">
        <v>182042</v>
      </c>
      <c r="BH153" s="572">
        <v>485781</v>
      </c>
      <c r="BI153" s="572">
        <v>0</v>
      </c>
      <c r="BJ153" s="572">
        <v>0</v>
      </c>
      <c r="BK153" s="572">
        <v>0</v>
      </c>
      <c r="BL153" s="572">
        <v>291793</v>
      </c>
      <c r="BM153" s="572">
        <v>27261</v>
      </c>
      <c r="BN153" s="572">
        <v>0</v>
      </c>
      <c r="BO153" s="572">
        <v>0</v>
      </c>
      <c r="BP153" s="572">
        <v>0</v>
      </c>
      <c r="BQ153" s="572">
        <v>0</v>
      </c>
      <c r="BR153" s="572">
        <v>0</v>
      </c>
      <c r="BS153" s="572">
        <v>0</v>
      </c>
      <c r="BT153" s="572">
        <v>27630</v>
      </c>
      <c r="BU153" s="572">
        <v>0</v>
      </c>
      <c r="BV153" s="572">
        <v>86239</v>
      </c>
      <c r="BW153" s="572">
        <v>117250</v>
      </c>
      <c r="BX153" s="572">
        <v>186851</v>
      </c>
      <c r="BY153" s="572">
        <v>600</v>
      </c>
      <c r="BZ153" s="572">
        <v>0</v>
      </c>
      <c r="CA153" s="572">
        <v>149368</v>
      </c>
      <c r="CB153" s="572">
        <v>1938659</v>
      </c>
      <c r="CC153" s="572">
        <v>2464202</v>
      </c>
      <c r="CD153" s="572">
        <v>2025739</v>
      </c>
      <c r="CE153" s="572">
        <v>101275</v>
      </c>
      <c r="CF153" s="572">
        <v>0</v>
      </c>
      <c r="CG153" s="572">
        <v>69978</v>
      </c>
      <c r="CH153" s="572">
        <v>102820939</v>
      </c>
      <c r="CI153" s="572">
        <v>382862</v>
      </c>
      <c r="CJ153" s="572">
        <v>42762</v>
      </c>
      <c r="CK153" s="572">
        <v>0</v>
      </c>
      <c r="CL153" s="572">
        <v>20991</v>
      </c>
      <c r="CM153" s="572">
        <v>0</v>
      </c>
      <c r="CN153" s="572">
        <v>46479</v>
      </c>
      <c r="CO153" s="572">
        <v>2121</v>
      </c>
      <c r="CP153" s="572">
        <v>0</v>
      </c>
      <c r="CQ153" s="572">
        <v>0</v>
      </c>
    </row>
    <row r="154" spans="1:95" ht="30" x14ac:dyDescent="0.25">
      <c r="A154" s="668">
        <v>504</v>
      </c>
      <c r="B154" s="590">
        <v>504</v>
      </c>
      <c r="C154" s="570" t="s">
        <v>276</v>
      </c>
      <c r="D154" s="567" t="s">
        <v>853</v>
      </c>
      <c r="E154" s="573">
        <v>13926</v>
      </c>
      <c r="F154" s="574">
        <v>411580</v>
      </c>
      <c r="G154" s="574">
        <v>800</v>
      </c>
      <c r="H154" s="574">
        <v>139920</v>
      </c>
      <c r="I154" s="574">
        <v>27919</v>
      </c>
      <c r="J154" s="574">
        <v>32112</v>
      </c>
      <c r="K154" s="575">
        <v>285478</v>
      </c>
      <c r="L154" s="572">
        <v>31496</v>
      </c>
      <c r="M154" s="572">
        <v>20480</v>
      </c>
      <c r="N154" s="571">
        <v>0</v>
      </c>
      <c r="O154" s="571">
        <v>301023</v>
      </c>
      <c r="P154" s="571">
        <v>8049</v>
      </c>
      <c r="Q154" s="571">
        <v>24456</v>
      </c>
      <c r="R154" s="571">
        <v>27781</v>
      </c>
      <c r="S154" s="571">
        <v>500</v>
      </c>
      <c r="T154" s="571">
        <v>274141</v>
      </c>
      <c r="U154" s="571">
        <v>0</v>
      </c>
      <c r="V154" s="571">
        <v>305050</v>
      </c>
      <c r="W154" s="571">
        <v>0</v>
      </c>
      <c r="X154" s="571">
        <v>393822</v>
      </c>
      <c r="Y154" s="571">
        <v>1178887</v>
      </c>
      <c r="Z154" s="571">
        <v>6148</v>
      </c>
      <c r="AA154" s="571">
        <v>1319269</v>
      </c>
      <c r="AB154" s="572">
        <v>379908</v>
      </c>
      <c r="AC154" s="572">
        <v>23226</v>
      </c>
      <c r="AD154" s="572">
        <v>13869</v>
      </c>
      <c r="AE154" s="572">
        <v>1017231</v>
      </c>
      <c r="AF154" s="572">
        <v>48892</v>
      </c>
      <c r="AG154" s="572">
        <v>435571</v>
      </c>
      <c r="AH154" s="572">
        <v>127540</v>
      </c>
      <c r="AI154" s="572">
        <v>9959</v>
      </c>
      <c r="AJ154" s="572">
        <v>191352</v>
      </c>
      <c r="AK154" s="572">
        <v>98473</v>
      </c>
      <c r="AL154" s="572">
        <v>696092</v>
      </c>
      <c r="AM154" s="572">
        <v>286830</v>
      </c>
      <c r="AN154" s="572">
        <v>10542</v>
      </c>
      <c r="AO154" s="572">
        <v>0</v>
      </c>
      <c r="AP154" s="572">
        <v>556663</v>
      </c>
      <c r="AQ154" s="572">
        <v>0</v>
      </c>
      <c r="AR154" s="572">
        <v>15703</v>
      </c>
      <c r="AS154" s="572">
        <v>0</v>
      </c>
      <c r="AT154" s="572">
        <v>30782</v>
      </c>
      <c r="AU154" s="572">
        <v>17169</v>
      </c>
      <c r="AV154" s="572">
        <v>16965</v>
      </c>
      <c r="AW154" s="572">
        <v>288449</v>
      </c>
      <c r="AX154" s="572">
        <v>29522</v>
      </c>
      <c r="AY154" s="572">
        <v>1704026</v>
      </c>
      <c r="AZ154" s="572">
        <v>172959</v>
      </c>
      <c r="BA154" s="572">
        <v>430187</v>
      </c>
      <c r="BB154" s="572">
        <v>75000</v>
      </c>
      <c r="BC154" s="572">
        <v>44981</v>
      </c>
      <c r="BD154" s="572">
        <v>35378</v>
      </c>
      <c r="BE154" s="572">
        <v>7762</v>
      </c>
      <c r="BF154" s="572">
        <v>120143</v>
      </c>
      <c r="BG154" s="572">
        <v>231217</v>
      </c>
      <c r="BH154" s="572">
        <v>345913</v>
      </c>
      <c r="BI154" s="572">
        <v>16432</v>
      </c>
      <c r="BJ154" s="572">
        <v>8665</v>
      </c>
      <c r="BK154" s="572">
        <v>175688</v>
      </c>
      <c r="BL154" s="572">
        <v>417635</v>
      </c>
      <c r="BM154" s="572">
        <v>38859</v>
      </c>
      <c r="BN154" s="572">
        <v>0</v>
      </c>
      <c r="BO154" s="572">
        <v>0</v>
      </c>
      <c r="BP154" s="572">
        <v>0</v>
      </c>
      <c r="BQ154" s="572">
        <v>447171</v>
      </c>
      <c r="BR154" s="572">
        <v>0</v>
      </c>
      <c r="BS154" s="572">
        <v>0</v>
      </c>
      <c r="BT154" s="572">
        <v>179819</v>
      </c>
      <c r="BU154" s="572">
        <v>129914</v>
      </c>
      <c r="BV154" s="572">
        <v>29609</v>
      </c>
      <c r="BW154" s="572">
        <v>57598</v>
      </c>
      <c r="BX154" s="572">
        <v>993419</v>
      </c>
      <c r="BY154" s="572">
        <v>0</v>
      </c>
      <c r="BZ154" s="572">
        <v>0</v>
      </c>
      <c r="CA154" s="572">
        <v>737386</v>
      </c>
      <c r="CB154" s="572">
        <v>6479533</v>
      </c>
      <c r="CC154" s="572">
        <v>2469319</v>
      </c>
      <c r="CD154" s="572">
        <v>200683</v>
      </c>
      <c r="CE154" s="572">
        <v>147886</v>
      </c>
      <c r="CF154" s="572">
        <v>0</v>
      </c>
      <c r="CG154" s="572">
        <v>97830</v>
      </c>
      <c r="CH154" s="572">
        <v>17446122</v>
      </c>
      <c r="CI154" s="572">
        <v>416410</v>
      </c>
      <c r="CJ154" s="572">
        <v>23722</v>
      </c>
      <c r="CK154" s="572">
        <v>188472</v>
      </c>
      <c r="CL154" s="572">
        <v>75416</v>
      </c>
      <c r="CM154" s="572">
        <v>101222</v>
      </c>
      <c r="CN154" s="572">
        <v>189825</v>
      </c>
      <c r="CO154" s="572">
        <v>50976</v>
      </c>
      <c r="CP154" s="572">
        <v>42739</v>
      </c>
      <c r="CQ154" s="572">
        <v>920532</v>
      </c>
    </row>
    <row r="155" spans="1:95" ht="30" x14ac:dyDescent="0.25">
      <c r="A155" s="668">
        <v>505</v>
      </c>
      <c r="B155" s="590">
        <v>505</v>
      </c>
      <c r="C155" s="570" t="s">
        <v>277</v>
      </c>
      <c r="D155" s="567" t="s">
        <v>854</v>
      </c>
      <c r="E155" s="573">
        <v>0</v>
      </c>
      <c r="F155" s="574">
        <v>0</v>
      </c>
      <c r="G155" s="574">
        <v>46677</v>
      </c>
      <c r="H155" s="574">
        <v>118627</v>
      </c>
      <c r="I155" s="574">
        <v>0</v>
      </c>
      <c r="J155" s="574">
        <v>10000</v>
      </c>
      <c r="K155" s="575">
        <v>851559</v>
      </c>
      <c r="L155" s="572">
        <v>25000</v>
      </c>
      <c r="M155" s="572">
        <v>0</v>
      </c>
      <c r="N155" s="571">
        <v>2455</v>
      </c>
      <c r="O155" s="571">
        <v>50400</v>
      </c>
      <c r="P155" s="571">
        <v>0</v>
      </c>
      <c r="Q155" s="571">
        <v>25000</v>
      </c>
      <c r="R155" s="571">
        <v>0</v>
      </c>
      <c r="S155" s="571">
        <v>0</v>
      </c>
      <c r="T155" s="571">
        <v>0</v>
      </c>
      <c r="U155" s="571">
        <v>0</v>
      </c>
      <c r="V155" s="571">
        <v>263936</v>
      </c>
      <c r="W155" s="571">
        <v>0</v>
      </c>
      <c r="X155" s="571">
        <v>103467</v>
      </c>
      <c r="Y155" s="571">
        <v>0</v>
      </c>
      <c r="Z155" s="571">
        <v>0</v>
      </c>
      <c r="AA155" s="571">
        <v>0</v>
      </c>
      <c r="AB155" s="572">
        <v>14956</v>
      </c>
      <c r="AC155" s="572">
        <v>0</v>
      </c>
      <c r="AD155" s="572">
        <v>27000</v>
      </c>
      <c r="AE155" s="572">
        <v>244600</v>
      </c>
      <c r="AF155" s="572">
        <v>0</v>
      </c>
      <c r="AG155" s="572">
        <v>0</v>
      </c>
      <c r="AH155" s="572">
        <v>25000</v>
      </c>
      <c r="AI155" s="572">
        <v>0</v>
      </c>
      <c r="AJ155" s="572">
        <v>100000</v>
      </c>
      <c r="AK155" s="572">
        <v>534029</v>
      </c>
      <c r="AL155" s="572">
        <v>18364</v>
      </c>
      <c r="AM155" s="572">
        <v>0</v>
      </c>
      <c r="AN155" s="572">
        <v>0</v>
      </c>
      <c r="AO155" s="572">
        <v>0</v>
      </c>
      <c r="AP155" s="572">
        <v>1321941</v>
      </c>
      <c r="AQ155" s="572">
        <v>0</v>
      </c>
      <c r="AR155" s="572">
        <v>0</v>
      </c>
      <c r="AS155" s="572">
        <v>0</v>
      </c>
      <c r="AT155" s="572">
        <v>0</v>
      </c>
      <c r="AU155" s="572">
        <v>0</v>
      </c>
      <c r="AV155" s="572">
        <v>205494</v>
      </c>
      <c r="AW155" s="572">
        <v>45306</v>
      </c>
      <c r="AX155" s="572">
        <v>140</v>
      </c>
      <c r="AY155" s="572">
        <v>8369287</v>
      </c>
      <c r="AZ155" s="572">
        <v>0</v>
      </c>
      <c r="BA155" s="572">
        <v>0</v>
      </c>
      <c r="BB155" s="572">
        <v>0</v>
      </c>
      <c r="BC155" s="572">
        <v>95000</v>
      </c>
      <c r="BD155" s="572">
        <v>1014250</v>
      </c>
      <c r="BE155" s="572">
        <v>0</v>
      </c>
      <c r="BF155" s="572">
        <v>48263</v>
      </c>
      <c r="BG155" s="572">
        <v>0</v>
      </c>
      <c r="BH155" s="572">
        <v>228954</v>
      </c>
      <c r="BI155" s="572">
        <v>0</v>
      </c>
      <c r="BJ155" s="572">
        <v>0</v>
      </c>
      <c r="BK155" s="572">
        <v>6992899</v>
      </c>
      <c r="BL155" s="572">
        <v>126300</v>
      </c>
      <c r="BM155" s="572">
        <v>106428</v>
      </c>
      <c r="BN155" s="572">
        <v>0</v>
      </c>
      <c r="BO155" s="572">
        <v>0</v>
      </c>
      <c r="BP155" s="572">
        <v>0</v>
      </c>
      <c r="BQ155" s="572">
        <v>0</v>
      </c>
      <c r="BR155" s="572">
        <v>0</v>
      </c>
      <c r="BS155" s="572">
        <v>70652</v>
      </c>
      <c r="BT155" s="572">
        <v>239298</v>
      </c>
      <c r="BU155" s="572">
        <v>1862</v>
      </c>
      <c r="BV155" s="572">
        <v>0</v>
      </c>
      <c r="BW155" s="572">
        <v>0</v>
      </c>
      <c r="BX155" s="572">
        <v>0</v>
      </c>
      <c r="BY155" s="572">
        <v>0</v>
      </c>
      <c r="BZ155" s="572">
        <v>0</v>
      </c>
      <c r="CA155" s="572">
        <v>0</v>
      </c>
      <c r="CB155" s="572">
        <v>1253284</v>
      </c>
      <c r="CC155" s="572">
        <v>280143</v>
      </c>
      <c r="CD155" s="572">
        <v>0</v>
      </c>
      <c r="CE155" s="572">
        <v>218445</v>
      </c>
      <c r="CF155" s="572">
        <v>0</v>
      </c>
      <c r="CG155" s="572">
        <v>0</v>
      </c>
      <c r="CH155" s="572">
        <v>2753420</v>
      </c>
      <c r="CI155" s="572">
        <v>384852</v>
      </c>
      <c r="CJ155" s="572">
        <v>0</v>
      </c>
      <c r="CK155" s="572">
        <v>0</v>
      </c>
      <c r="CL155" s="572">
        <v>0</v>
      </c>
      <c r="CM155" s="572">
        <v>71201</v>
      </c>
      <c r="CN155" s="572">
        <v>0</v>
      </c>
      <c r="CO155" s="572">
        <v>352411</v>
      </c>
      <c r="CP155" s="572">
        <v>0</v>
      </c>
      <c r="CQ155" s="572">
        <v>2044350</v>
      </c>
    </row>
    <row r="156" spans="1:95" ht="30" x14ac:dyDescent="0.25">
      <c r="A156" s="668">
        <v>506</v>
      </c>
      <c r="B156" s="590">
        <v>506</v>
      </c>
      <c r="C156" s="570" t="s">
        <v>283</v>
      </c>
      <c r="D156" s="567" t="s">
        <v>855</v>
      </c>
      <c r="E156" s="573">
        <v>403440</v>
      </c>
      <c r="F156" s="574">
        <v>8525194</v>
      </c>
      <c r="G156" s="574">
        <v>882417</v>
      </c>
      <c r="H156" s="574">
        <v>992222</v>
      </c>
      <c r="I156" s="574">
        <v>336446</v>
      </c>
      <c r="J156" s="574">
        <v>539550</v>
      </c>
      <c r="K156" s="575">
        <v>20824545</v>
      </c>
      <c r="L156" s="572">
        <v>490763</v>
      </c>
      <c r="M156" s="572">
        <v>425684</v>
      </c>
      <c r="N156" s="571">
        <v>2913540</v>
      </c>
      <c r="O156" s="571">
        <v>592484</v>
      </c>
      <c r="P156" s="571">
        <v>233687</v>
      </c>
      <c r="Q156" s="571">
        <v>219736</v>
      </c>
      <c r="R156" s="571">
        <v>1350021</v>
      </c>
      <c r="S156" s="571">
        <v>6999293</v>
      </c>
      <c r="T156" s="571">
        <v>7005577</v>
      </c>
      <c r="U156" s="571">
        <v>0</v>
      </c>
      <c r="V156" s="571">
        <v>2232858</v>
      </c>
      <c r="W156" s="571">
        <v>3252062</v>
      </c>
      <c r="X156" s="571">
        <v>4016360</v>
      </c>
      <c r="Y156" s="571">
        <v>1906770</v>
      </c>
      <c r="Z156" s="571">
        <v>80746</v>
      </c>
      <c r="AA156" s="571">
        <v>3184954</v>
      </c>
      <c r="AB156" s="572">
        <v>592810</v>
      </c>
      <c r="AC156" s="572">
        <v>386524</v>
      </c>
      <c r="AD156" s="572">
        <v>424589</v>
      </c>
      <c r="AE156" s="572">
        <v>9589072</v>
      </c>
      <c r="AF156" s="572">
        <v>1323952</v>
      </c>
      <c r="AG156" s="572">
        <v>2615188</v>
      </c>
      <c r="AH156" s="572">
        <v>2752194</v>
      </c>
      <c r="AI156" s="572">
        <v>508491</v>
      </c>
      <c r="AJ156" s="572">
        <v>6204245</v>
      </c>
      <c r="AK156" s="572">
        <v>1581880</v>
      </c>
      <c r="AL156" s="572">
        <v>859988</v>
      </c>
      <c r="AM156" s="572">
        <v>1473570</v>
      </c>
      <c r="AN156" s="572">
        <v>95209</v>
      </c>
      <c r="AO156" s="572">
        <v>2766067</v>
      </c>
      <c r="AP156" s="572">
        <v>1438458</v>
      </c>
      <c r="AQ156" s="572">
        <v>0</v>
      </c>
      <c r="AR156" s="572">
        <v>206144</v>
      </c>
      <c r="AS156" s="572">
        <v>1506110</v>
      </c>
      <c r="AT156" s="572">
        <v>477745</v>
      </c>
      <c r="AU156" s="572">
        <v>52707</v>
      </c>
      <c r="AV156" s="572">
        <v>78533</v>
      </c>
      <c r="AW156" s="572">
        <v>2543999</v>
      </c>
      <c r="AX156" s="572">
        <v>739192</v>
      </c>
      <c r="AY156" s="572">
        <v>12835658</v>
      </c>
      <c r="AZ156" s="572">
        <v>3501072</v>
      </c>
      <c r="BA156" s="572">
        <v>1824886</v>
      </c>
      <c r="BB156" s="572">
        <v>2596562</v>
      </c>
      <c r="BC156" s="572">
        <v>960613</v>
      </c>
      <c r="BD156" s="572">
        <v>1169189</v>
      </c>
      <c r="BE156" s="572">
        <v>169713</v>
      </c>
      <c r="BF156" s="572">
        <v>680047</v>
      </c>
      <c r="BG156" s="572">
        <v>1157846</v>
      </c>
      <c r="BH156" s="572">
        <v>8607631</v>
      </c>
      <c r="BI156" s="572">
        <v>320701</v>
      </c>
      <c r="BJ156" s="572">
        <v>168397</v>
      </c>
      <c r="BK156" s="572">
        <v>5098548</v>
      </c>
      <c r="BL156" s="572">
        <v>6214942</v>
      </c>
      <c r="BM156" s="572">
        <v>6539463</v>
      </c>
      <c r="BN156" s="572">
        <v>140085</v>
      </c>
      <c r="BO156" s="572">
        <v>2703521</v>
      </c>
      <c r="BP156" s="572">
        <v>0</v>
      </c>
      <c r="BQ156" s="572">
        <v>7163690</v>
      </c>
      <c r="BR156" s="572">
        <v>1403181</v>
      </c>
      <c r="BS156" s="572">
        <v>959918</v>
      </c>
      <c r="BT156" s="572">
        <v>1347421</v>
      </c>
      <c r="BU156" s="572">
        <v>1351030</v>
      </c>
      <c r="BV156" s="572">
        <v>449714</v>
      </c>
      <c r="BW156" s="572">
        <v>797121</v>
      </c>
      <c r="BX156" s="572">
        <v>3089554</v>
      </c>
      <c r="BY156" s="572">
        <v>569671</v>
      </c>
      <c r="BZ156" s="572">
        <v>0</v>
      </c>
      <c r="CA156" s="572">
        <v>3787568</v>
      </c>
      <c r="CB156" s="572">
        <v>51673963</v>
      </c>
      <c r="CC156" s="572">
        <v>23649094</v>
      </c>
      <c r="CD156" s="572">
        <v>781681</v>
      </c>
      <c r="CE156" s="572">
        <v>1307905</v>
      </c>
      <c r="CF156" s="572">
        <v>0</v>
      </c>
      <c r="CG156" s="572">
        <v>937578</v>
      </c>
      <c r="CH156" s="572">
        <v>40290628</v>
      </c>
      <c r="CI156" s="572">
        <v>11768236</v>
      </c>
      <c r="CJ156" s="572">
        <v>825665</v>
      </c>
      <c r="CK156" s="572">
        <v>2457456</v>
      </c>
      <c r="CL156" s="572">
        <v>779121</v>
      </c>
      <c r="CM156" s="572">
        <v>10883297</v>
      </c>
      <c r="CN156" s="572">
        <v>2333157</v>
      </c>
      <c r="CO156" s="572">
        <v>1381560</v>
      </c>
      <c r="CP156" s="572">
        <v>1244098</v>
      </c>
      <c r="CQ156" s="572">
        <v>8679313</v>
      </c>
    </row>
    <row r="157" spans="1:95" ht="30" x14ac:dyDescent="0.25">
      <c r="A157" s="668">
        <v>507</v>
      </c>
      <c r="B157" s="590">
        <v>507</v>
      </c>
      <c r="C157" s="570" t="s">
        <v>301</v>
      </c>
      <c r="D157" s="567" t="s">
        <v>856</v>
      </c>
      <c r="E157" s="573">
        <v>0</v>
      </c>
      <c r="F157" s="574">
        <v>0</v>
      </c>
      <c r="G157" s="574">
        <v>0</v>
      </c>
      <c r="H157" s="574">
        <v>0</v>
      </c>
      <c r="I157" s="574">
        <v>0</v>
      </c>
      <c r="J157" s="574">
        <v>0</v>
      </c>
      <c r="K157" s="575">
        <v>0</v>
      </c>
      <c r="L157" s="572">
        <v>0</v>
      </c>
      <c r="M157" s="572">
        <v>0</v>
      </c>
      <c r="N157" s="571">
        <v>0</v>
      </c>
      <c r="O157" s="571">
        <v>0</v>
      </c>
      <c r="P157" s="571">
        <v>0</v>
      </c>
      <c r="Q157" s="571">
        <v>0</v>
      </c>
      <c r="R157" s="571">
        <v>0</v>
      </c>
      <c r="S157" s="571">
        <v>0</v>
      </c>
      <c r="T157" s="571">
        <v>0</v>
      </c>
      <c r="U157" s="571">
        <v>0</v>
      </c>
      <c r="V157" s="571">
        <v>0</v>
      </c>
      <c r="W157" s="571">
        <v>0</v>
      </c>
      <c r="X157" s="571">
        <v>0</v>
      </c>
      <c r="Y157" s="571">
        <v>0</v>
      </c>
      <c r="Z157" s="571">
        <v>0</v>
      </c>
      <c r="AA157" s="571">
        <v>0</v>
      </c>
      <c r="AB157" s="572">
        <v>0</v>
      </c>
      <c r="AC157" s="572">
        <v>0</v>
      </c>
      <c r="AD157" s="572">
        <v>0</v>
      </c>
      <c r="AE157" s="572">
        <v>0</v>
      </c>
      <c r="AF157" s="572">
        <v>0</v>
      </c>
      <c r="AG157" s="572">
        <v>0</v>
      </c>
      <c r="AH157" s="572">
        <v>0</v>
      </c>
      <c r="AI157" s="572">
        <v>0</v>
      </c>
      <c r="AJ157" s="572">
        <v>0</v>
      </c>
      <c r="AK157" s="572">
        <v>0</v>
      </c>
      <c r="AL157" s="572">
        <v>0</v>
      </c>
      <c r="AM157" s="572">
        <v>0</v>
      </c>
      <c r="AN157" s="572">
        <v>0</v>
      </c>
      <c r="AO157" s="572">
        <v>0</v>
      </c>
      <c r="AP157" s="572">
        <v>-1</v>
      </c>
      <c r="AQ157" s="572">
        <v>0</v>
      </c>
      <c r="AR157" s="572">
        <v>0</v>
      </c>
      <c r="AS157" s="572">
        <v>0</v>
      </c>
      <c r="AT157" s="572">
        <v>0</v>
      </c>
      <c r="AU157" s="572">
        <v>0</v>
      </c>
      <c r="AV157" s="572">
        <v>0</v>
      </c>
      <c r="AW157" s="572">
        <v>0</v>
      </c>
      <c r="AX157" s="572">
        <v>0</v>
      </c>
      <c r="AY157" s="572">
        <v>-144816</v>
      </c>
      <c r="AZ157" s="572">
        <v>0</v>
      </c>
      <c r="BA157" s="572">
        <v>0</v>
      </c>
      <c r="BB157" s="572">
        <v>0</v>
      </c>
      <c r="BC157" s="572">
        <v>0</v>
      </c>
      <c r="BD157" s="572">
        <v>0</v>
      </c>
      <c r="BE157" s="572">
        <v>0</v>
      </c>
      <c r="BF157" s="572">
        <v>18773</v>
      </c>
      <c r="BG157" s="572">
        <v>0</v>
      </c>
      <c r="BH157" s="572">
        <v>0</v>
      </c>
      <c r="BI157" s="572">
        <v>0</v>
      </c>
      <c r="BJ157" s="572">
        <v>1</v>
      </c>
      <c r="BK157" s="572">
        <v>-1490806</v>
      </c>
      <c r="BL157" s="572">
        <v>0</v>
      </c>
      <c r="BM157" s="572">
        <v>0</v>
      </c>
      <c r="BN157" s="572">
        <v>0</v>
      </c>
      <c r="BO157" s="572">
        <v>0</v>
      </c>
      <c r="BP157" s="572">
        <v>0</v>
      </c>
      <c r="BQ157" s="572">
        <v>0</v>
      </c>
      <c r="BR157" s="572">
        <v>0</v>
      </c>
      <c r="BS157" s="572">
        <v>0</v>
      </c>
      <c r="BT157" s="572">
        <v>0</v>
      </c>
      <c r="BU157" s="572">
        <v>0</v>
      </c>
      <c r="BV157" s="572">
        <v>0</v>
      </c>
      <c r="BW157" s="572">
        <v>0</v>
      </c>
      <c r="BX157" s="572">
        <v>0</v>
      </c>
      <c r="BY157" s="572">
        <v>0</v>
      </c>
      <c r="BZ157" s="572">
        <v>0</v>
      </c>
      <c r="CA157" s="572">
        <v>-190146</v>
      </c>
      <c r="CB157" s="572">
        <v>-98785</v>
      </c>
      <c r="CC157" s="572">
        <v>0</v>
      </c>
      <c r="CD157" s="572">
        <v>0</v>
      </c>
      <c r="CE157" s="572">
        <v>71356</v>
      </c>
      <c r="CF157" s="572">
        <v>0</v>
      </c>
      <c r="CG157" s="572">
        <v>0</v>
      </c>
      <c r="CH157" s="572">
        <v>0</v>
      </c>
      <c r="CI157" s="572">
        <v>-10700</v>
      </c>
      <c r="CJ157" s="572">
        <v>0</v>
      </c>
      <c r="CK157" s="572">
        <v>0</v>
      </c>
      <c r="CL157" s="572">
        <v>0</v>
      </c>
      <c r="CM157" s="572">
        <v>0</v>
      </c>
      <c r="CN157" s="572">
        <v>0</v>
      </c>
      <c r="CO157" s="572">
        <v>0</v>
      </c>
      <c r="CP157" s="572">
        <v>44006</v>
      </c>
      <c r="CQ157" s="572">
        <v>0</v>
      </c>
    </row>
    <row r="158" spans="1:95" ht="30" x14ac:dyDescent="0.25">
      <c r="A158" s="668">
        <v>508</v>
      </c>
      <c r="B158" s="590">
        <v>508</v>
      </c>
      <c r="C158" s="570" t="s">
        <v>298</v>
      </c>
      <c r="D158" s="567" t="s">
        <v>857</v>
      </c>
      <c r="E158" s="573">
        <v>0</v>
      </c>
      <c r="F158" s="574">
        <v>0</v>
      </c>
      <c r="G158" s="574">
        <v>0</v>
      </c>
      <c r="H158" s="574">
        <v>0</v>
      </c>
      <c r="I158" s="574">
        <v>0</v>
      </c>
      <c r="J158" s="574">
        <v>0</v>
      </c>
      <c r="K158" s="575">
        <v>0</v>
      </c>
      <c r="L158" s="572">
        <v>0</v>
      </c>
      <c r="M158" s="572">
        <v>0</v>
      </c>
      <c r="N158" s="571">
        <v>0</v>
      </c>
      <c r="O158" s="571">
        <v>0</v>
      </c>
      <c r="P158" s="571">
        <v>0</v>
      </c>
      <c r="Q158" s="571">
        <v>0</v>
      </c>
      <c r="R158" s="571">
        <v>0</v>
      </c>
      <c r="S158" s="571">
        <v>0</v>
      </c>
      <c r="T158" s="571">
        <v>0</v>
      </c>
      <c r="U158" s="571">
        <v>0</v>
      </c>
      <c r="V158" s="571">
        <v>0</v>
      </c>
      <c r="W158" s="571">
        <v>0</v>
      </c>
      <c r="X158" s="571">
        <v>0</v>
      </c>
      <c r="Y158" s="571">
        <v>0</v>
      </c>
      <c r="Z158" s="571">
        <v>0</v>
      </c>
      <c r="AA158" s="571">
        <v>0</v>
      </c>
      <c r="AB158" s="572">
        <v>0</v>
      </c>
      <c r="AC158" s="572">
        <v>0</v>
      </c>
      <c r="AD158" s="572">
        <v>0</v>
      </c>
      <c r="AE158" s="572">
        <v>0</v>
      </c>
      <c r="AF158" s="572">
        <v>0</v>
      </c>
      <c r="AG158" s="572">
        <v>0</v>
      </c>
      <c r="AH158" s="572">
        <v>0</v>
      </c>
      <c r="AI158" s="572">
        <v>0</v>
      </c>
      <c r="AJ158" s="572">
        <v>0</v>
      </c>
      <c r="AK158" s="572">
        <v>0</v>
      </c>
      <c r="AL158" s="572">
        <v>0</v>
      </c>
      <c r="AM158" s="572">
        <v>0</v>
      </c>
      <c r="AN158" s="572">
        <v>0</v>
      </c>
      <c r="AO158" s="572">
        <v>0</v>
      </c>
      <c r="AP158" s="572">
        <v>0</v>
      </c>
      <c r="AQ158" s="572">
        <v>0</v>
      </c>
      <c r="AR158" s="572">
        <v>0</v>
      </c>
      <c r="AS158" s="572">
        <v>0</v>
      </c>
      <c r="AT158" s="572">
        <v>0</v>
      </c>
      <c r="AU158" s="572">
        <v>0</v>
      </c>
      <c r="AV158" s="572">
        <v>0</v>
      </c>
      <c r="AW158" s="572">
        <v>0</v>
      </c>
      <c r="AX158" s="572">
        <v>0</v>
      </c>
      <c r="AY158" s="572">
        <v>0</v>
      </c>
      <c r="AZ158" s="572">
        <v>0</v>
      </c>
      <c r="BA158" s="572">
        <v>0</v>
      </c>
      <c r="BB158" s="572">
        <v>0</v>
      </c>
      <c r="BC158" s="572">
        <v>0</v>
      </c>
      <c r="BD158" s="572">
        <v>0</v>
      </c>
      <c r="BE158" s="572">
        <v>0</v>
      </c>
      <c r="BF158" s="572">
        <v>0</v>
      </c>
      <c r="BG158" s="572">
        <v>0</v>
      </c>
      <c r="BH158" s="572">
        <v>0</v>
      </c>
      <c r="BI158" s="572">
        <v>0</v>
      </c>
      <c r="BJ158" s="572">
        <v>0</v>
      </c>
      <c r="BK158" s="572">
        <v>0</v>
      </c>
      <c r="BL158" s="572">
        <v>0</v>
      </c>
      <c r="BM158" s="572">
        <v>0</v>
      </c>
      <c r="BN158" s="572">
        <v>0</v>
      </c>
      <c r="BO158" s="572">
        <v>0</v>
      </c>
      <c r="BP158" s="572">
        <v>0</v>
      </c>
      <c r="BQ158" s="572">
        <v>0</v>
      </c>
      <c r="BR158" s="572">
        <v>0</v>
      </c>
      <c r="BS158" s="572">
        <v>0</v>
      </c>
      <c r="BT158" s="572">
        <v>0</v>
      </c>
      <c r="BU158" s="572">
        <v>0</v>
      </c>
      <c r="BV158" s="572">
        <v>0</v>
      </c>
      <c r="BW158" s="572">
        <v>0</v>
      </c>
      <c r="BX158" s="572">
        <v>0</v>
      </c>
      <c r="BY158" s="572">
        <v>0</v>
      </c>
      <c r="BZ158" s="572">
        <v>0</v>
      </c>
      <c r="CA158" s="572">
        <v>0</v>
      </c>
      <c r="CB158" s="572">
        <v>0</v>
      </c>
      <c r="CC158" s="572">
        <v>0</v>
      </c>
      <c r="CD158" s="572">
        <v>0</v>
      </c>
      <c r="CE158" s="572">
        <v>0</v>
      </c>
      <c r="CF158" s="572">
        <v>0</v>
      </c>
      <c r="CG158" s="572">
        <v>0</v>
      </c>
      <c r="CH158" s="572">
        <v>0</v>
      </c>
      <c r="CI158" s="572">
        <v>0</v>
      </c>
      <c r="CJ158" s="572">
        <v>0</v>
      </c>
      <c r="CK158" s="572">
        <v>0</v>
      </c>
      <c r="CL158" s="572">
        <v>0</v>
      </c>
      <c r="CM158" s="572">
        <v>0</v>
      </c>
      <c r="CN158" s="572">
        <v>0</v>
      </c>
      <c r="CO158" s="572">
        <v>0</v>
      </c>
      <c r="CP158" s="572">
        <v>0</v>
      </c>
      <c r="CQ158" s="572">
        <v>0</v>
      </c>
    </row>
    <row r="159" spans="1:95" ht="30" x14ac:dyDescent="0.25">
      <c r="A159" s="668">
        <v>509</v>
      </c>
      <c r="B159" s="590">
        <v>509</v>
      </c>
      <c r="C159" s="570" t="s">
        <v>299</v>
      </c>
      <c r="D159" s="567" t="s">
        <v>858</v>
      </c>
      <c r="E159" s="573">
        <v>0</v>
      </c>
      <c r="F159" s="574">
        <v>0</v>
      </c>
      <c r="G159" s="574">
        <v>0</v>
      </c>
      <c r="H159" s="574">
        <v>0</v>
      </c>
      <c r="I159" s="574">
        <v>0</v>
      </c>
      <c r="J159" s="574">
        <v>0</v>
      </c>
      <c r="K159" s="575">
        <v>0</v>
      </c>
      <c r="L159" s="572">
        <v>0</v>
      </c>
      <c r="M159" s="572">
        <v>0</v>
      </c>
      <c r="N159" s="571">
        <v>0</v>
      </c>
      <c r="O159" s="571">
        <v>0</v>
      </c>
      <c r="P159" s="571">
        <v>0</v>
      </c>
      <c r="Q159" s="571">
        <v>0</v>
      </c>
      <c r="R159" s="571">
        <v>0</v>
      </c>
      <c r="S159" s="571">
        <v>0</v>
      </c>
      <c r="T159" s="571">
        <v>0</v>
      </c>
      <c r="U159" s="571">
        <v>0</v>
      </c>
      <c r="V159" s="571">
        <v>0</v>
      </c>
      <c r="W159" s="571">
        <v>0</v>
      </c>
      <c r="X159" s="571">
        <v>0</v>
      </c>
      <c r="Y159" s="571">
        <v>0</v>
      </c>
      <c r="Z159" s="571">
        <v>0</v>
      </c>
      <c r="AA159" s="571">
        <v>0</v>
      </c>
      <c r="AB159" s="572">
        <v>0</v>
      </c>
      <c r="AC159" s="572">
        <v>0</v>
      </c>
      <c r="AD159" s="572">
        <v>0</v>
      </c>
      <c r="AE159" s="572">
        <v>0</v>
      </c>
      <c r="AF159" s="572">
        <v>0</v>
      </c>
      <c r="AG159" s="572">
        <v>0</v>
      </c>
      <c r="AH159" s="572">
        <v>0</v>
      </c>
      <c r="AI159" s="572">
        <v>0</v>
      </c>
      <c r="AJ159" s="572">
        <v>0</v>
      </c>
      <c r="AK159" s="572">
        <v>0</v>
      </c>
      <c r="AL159" s="572">
        <v>0</v>
      </c>
      <c r="AM159" s="572">
        <v>0</v>
      </c>
      <c r="AN159" s="572">
        <v>0</v>
      </c>
      <c r="AO159" s="572">
        <v>0</v>
      </c>
      <c r="AP159" s="572">
        <v>0</v>
      </c>
      <c r="AQ159" s="572">
        <v>0</v>
      </c>
      <c r="AR159" s="572">
        <v>0</v>
      </c>
      <c r="AS159" s="572">
        <v>0</v>
      </c>
      <c r="AT159" s="572">
        <v>0</v>
      </c>
      <c r="AU159" s="572">
        <v>0</v>
      </c>
      <c r="AV159" s="572">
        <v>0</v>
      </c>
      <c r="AW159" s="572">
        <v>0</v>
      </c>
      <c r="AX159" s="572">
        <v>0</v>
      </c>
      <c r="AY159" s="572">
        <v>0</v>
      </c>
      <c r="AZ159" s="572">
        <v>0</v>
      </c>
      <c r="BA159" s="572">
        <v>0</v>
      </c>
      <c r="BB159" s="572">
        <v>0</v>
      </c>
      <c r="BC159" s="572">
        <v>0</v>
      </c>
      <c r="BD159" s="572">
        <v>0</v>
      </c>
      <c r="BE159" s="572">
        <v>0</v>
      </c>
      <c r="BF159" s="572">
        <v>0</v>
      </c>
      <c r="BG159" s="572">
        <v>0</v>
      </c>
      <c r="BH159" s="572">
        <v>0</v>
      </c>
      <c r="BI159" s="572">
        <v>0</v>
      </c>
      <c r="BJ159" s="572">
        <v>0</v>
      </c>
      <c r="BK159" s="572">
        <v>0</v>
      </c>
      <c r="BL159" s="572">
        <v>0</v>
      </c>
      <c r="BM159" s="572">
        <v>0</v>
      </c>
      <c r="BN159" s="572">
        <v>0</v>
      </c>
      <c r="BO159" s="572">
        <v>0</v>
      </c>
      <c r="BP159" s="572">
        <v>0</v>
      </c>
      <c r="BQ159" s="572">
        <v>0</v>
      </c>
      <c r="BR159" s="572">
        <v>0</v>
      </c>
      <c r="BS159" s="572">
        <v>0</v>
      </c>
      <c r="BT159" s="572">
        <v>0</v>
      </c>
      <c r="BU159" s="572">
        <v>0</v>
      </c>
      <c r="BV159" s="572">
        <v>0</v>
      </c>
      <c r="BW159" s="572">
        <v>0</v>
      </c>
      <c r="BX159" s="572">
        <v>0</v>
      </c>
      <c r="BY159" s="572">
        <v>0</v>
      </c>
      <c r="BZ159" s="572">
        <v>0</v>
      </c>
      <c r="CA159" s="572">
        <v>0</v>
      </c>
      <c r="CB159" s="572">
        <v>0</v>
      </c>
      <c r="CC159" s="572">
        <v>0</v>
      </c>
      <c r="CD159" s="572">
        <v>0</v>
      </c>
      <c r="CE159" s="572">
        <v>0</v>
      </c>
      <c r="CF159" s="572">
        <v>0</v>
      </c>
      <c r="CG159" s="572">
        <v>0</v>
      </c>
      <c r="CH159" s="572">
        <v>0</v>
      </c>
      <c r="CI159" s="572">
        <v>0</v>
      </c>
      <c r="CJ159" s="572">
        <v>0</v>
      </c>
      <c r="CK159" s="572">
        <v>0</v>
      </c>
      <c r="CL159" s="572">
        <v>0</v>
      </c>
      <c r="CM159" s="572">
        <v>0</v>
      </c>
      <c r="CN159" s="572">
        <v>0</v>
      </c>
      <c r="CO159" s="572">
        <v>0</v>
      </c>
      <c r="CP159" s="572">
        <v>0</v>
      </c>
      <c r="CQ159" s="572">
        <v>0</v>
      </c>
    </row>
    <row r="160" spans="1:95" ht="30" x14ac:dyDescent="0.25">
      <c r="A160" s="668">
        <v>510</v>
      </c>
      <c r="B160" s="590">
        <v>510</v>
      </c>
      <c r="C160" s="570" t="s">
        <v>305</v>
      </c>
      <c r="D160" s="567" t="s">
        <v>859</v>
      </c>
      <c r="E160" s="573">
        <v>0</v>
      </c>
      <c r="F160" s="574">
        <v>0</v>
      </c>
      <c r="G160" s="574">
        <v>0</v>
      </c>
      <c r="H160" s="574">
        <v>0</v>
      </c>
      <c r="I160" s="574">
        <v>3948</v>
      </c>
      <c r="J160" s="574">
        <v>0</v>
      </c>
      <c r="K160" s="575">
        <v>157100</v>
      </c>
      <c r="L160" s="572">
        <v>0</v>
      </c>
      <c r="M160" s="572">
        <v>0</v>
      </c>
      <c r="N160" s="571">
        <v>0</v>
      </c>
      <c r="O160" s="571">
        <v>0</v>
      </c>
      <c r="P160" s="571">
        <v>0</v>
      </c>
      <c r="Q160" s="571">
        <v>0</v>
      </c>
      <c r="R160" s="571">
        <v>0</v>
      </c>
      <c r="S160" s="571">
        <v>0</v>
      </c>
      <c r="T160" s="571">
        <v>0</v>
      </c>
      <c r="U160" s="571">
        <v>0</v>
      </c>
      <c r="V160" s="571">
        <v>0</v>
      </c>
      <c r="W160" s="571">
        <v>0</v>
      </c>
      <c r="X160" s="571">
        <v>0</v>
      </c>
      <c r="Y160" s="571">
        <v>0</v>
      </c>
      <c r="Z160" s="571">
        <v>0</v>
      </c>
      <c r="AA160" s="571">
        <v>78013</v>
      </c>
      <c r="AB160" s="572">
        <v>0</v>
      </c>
      <c r="AC160" s="572">
        <v>0</v>
      </c>
      <c r="AD160" s="572">
        <v>0</v>
      </c>
      <c r="AE160" s="572">
        <v>252994</v>
      </c>
      <c r="AF160" s="572">
        <v>0</v>
      </c>
      <c r="AG160" s="572">
        <v>0</v>
      </c>
      <c r="AH160" s="572">
        <v>0</v>
      </c>
      <c r="AI160" s="572">
        <v>0</v>
      </c>
      <c r="AJ160" s="572">
        <v>0</v>
      </c>
      <c r="AK160" s="572">
        <v>0</v>
      </c>
      <c r="AL160" s="572">
        <v>21600</v>
      </c>
      <c r="AM160" s="572">
        <v>42920</v>
      </c>
      <c r="AN160" s="572">
        <v>0</v>
      </c>
      <c r="AO160" s="572">
        <v>0</v>
      </c>
      <c r="AP160" s="572">
        <v>231712</v>
      </c>
      <c r="AQ160" s="572">
        <v>0</v>
      </c>
      <c r="AR160" s="572">
        <v>0</v>
      </c>
      <c r="AS160" s="572">
        <v>0</v>
      </c>
      <c r="AT160" s="572">
        <v>0</v>
      </c>
      <c r="AU160" s="572">
        <v>0</v>
      </c>
      <c r="AV160" s="572">
        <v>0</v>
      </c>
      <c r="AW160" s="572">
        <v>143761</v>
      </c>
      <c r="AX160" s="572">
        <v>0</v>
      </c>
      <c r="AY160" s="572">
        <v>0</v>
      </c>
      <c r="AZ160" s="572">
        <v>0</v>
      </c>
      <c r="BA160" s="572">
        <v>28300</v>
      </c>
      <c r="BB160" s="572">
        <v>0</v>
      </c>
      <c r="BC160" s="572">
        <v>9285</v>
      </c>
      <c r="BD160" s="572">
        <v>0</v>
      </c>
      <c r="BE160" s="572">
        <v>0</v>
      </c>
      <c r="BF160" s="572">
        <v>50367</v>
      </c>
      <c r="BG160" s="572">
        <v>0</v>
      </c>
      <c r="BH160" s="572">
        <v>178442</v>
      </c>
      <c r="BI160" s="572">
        <v>0</v>
      </c>
      <c r="BJ160" s="572">
        <v>0</v>
      </c>
      <c r="BK160" s="572">
        <v>0</v>
      </c>
      <c r="BL160" s="572">
        <v>229838</v>
      </c>
      <c r="BM160" s="572">
        <v>11730</v>
      </c>
      <c r="BN160" s="572">
        <v>0</v>
      </c>
      <c r="BO160" s="572">
        <v>0</v>
      </c>
      <c r="BP160" s="572">
        <v>0</v>
      </c>
      <c r="BQ160" s="572">
        <v>0</v>
      </c>
      <c r="BR160" s="572">
        <v>0</v>
      </c>
      <c r="BS160" s="572">
        <v>0</v>
      </c>
      <c r="BT160" s="572">
        <v>0</v>
      </c>
      <c r="BU160" s="572">
        <v>0</v>
      </c>
      <c r="BV160" s="572">
        <v>0</v>
      </c>
      <c r="BW160" s="572">
        <v>9179</v>
      </c>
      <c r="BX160" s="572">
        <v>0</v>
      </c>
      <c r="BY160" s="572">
        <v>0</v>
      </c>
      <c r="BZ160" s="572">
        <v>0</v>
      </c>
      <c r="CA160" s="572">
        <v>0</v>
      </c>
      <c r="CB160" s="572">
        <v>0</v>
      </c>
      <c r="CC160" s="572">
        <v>253897</v>
      </c>
      <c r="CD160" s="572">
        <v>0</v>
      </c>
      <c r="CE160" s="572">
        <v>0</v>
      </c>
      <c r="CF160" s="572">
        <v>0</v>
      </c>
      <c r="CG160" s="572">
        <v>0</v>
      </c>
      <c r="CH160" s="572">
        <v>3418314</v>
      </c>
      <c r="CI160" s="572">
        <v>91363</v>
      </c>
      <c r="CJ160" s="572">
        <v>10157</v>
      </c>
      <c r="CK160" s="572">
        <v>0</v>
      </c>
      <c r="CL160" s="572">
        <v>0</v>
      </c>
      <c r="CM160" s="572">
        <v>160447</v>
      </c>
      <c r="CN160" s="572">
        <v>122560</v>
      </c>
      <c r="CO160" s="572">
        <v>0</v>
      </c>
      <c r="CP160" s="572">
        <v>0</v>
      </c>
      <c r="CQ160" s="572">
        <v>0</v>
      </c>
    </row>
    <row r="161" spans="1:95" ht="30" x14ac:dyDescent="0.25">
      <c r="A161" s="668">
        <v>511</v>
      </c>
      <c r="B161" s="590">
        <v>511</v>
      </c>
      <c r="C161" s="570" t="s">
        <v>310</v>
      </c>
      <c r="D161" s="567" t="s">
        <v>860</v>
      </c>
      <c r="E161" s="573">
        <v>0</v>
      </c>
      <c r="F161" s="574">
        <v>0</v>
      </c>
      <c r="G161" s="574">
        <v>0</v>
      </c>
      <c r="H161" s="574">
        <v>0</v>
      </c>
      <c r="I161" s="574">
        <v>85630</v>
      </c>
      <c r="J161" s="574">
        <v>0</v>
      </c>
      <c r="K161" s="575">
        <v>1652247</v>
      </c>
      <c r="L161" s="572">
        <v>0</v>
      </c>
      <c r="M161" s="572">
        <v>0</v>
      </c>
      <c r="N161" s="571">
        <v>0</v>
      </c>
      <c r="O161" s="571">
        <v>0</v>
      </c>
      <c r="P161" s="571">
        <v>0</v>
      </c>
      <c r="Q161" s="571">
        <v>0</v>
      </c>
      <c r="R161" s="571">
        <v>0</v>
      </c>
      <c r="S161" s="571">
        <v>0</v>
      </c>
      <c r="T161" s="571">
        <v>0</v>
      </c>
      <c r="U161" s="571">
        <v>0</v>
      </c>
      <c r="V161" s="571">
        <v>0</v>
      </c>
      <c r="W161" s="571">
        <v>0</v>
      </c>
      <c r="X161" s="571">
        <v>0</v>
      </c>
      <c r="Y161" s="571">
        <v>0</v>
      </c>
      <c r="Z161" s="571">
        <v>0</v>
      </c>
      <c r="AA161" s="571">
        <v>1429124</v>
      </c>
      <c r="AB161" s="572">
        <v>0</v>
      </c>
      <c r="AC161" s="572">
        <v>0</v>
      </c>
      <c r="AD161" s="572">
        <v>0</v>
      </c>
      <c r="AE161" s="572">
        <v>0</v>
      </c>
      <c r="AF161" s="572">
        <v>0</v>
      </c>
      <c r="AG161" s="572">
        <v>0</v>
      </c>
      <c r="AH161" s="572">
        <v>0</v>
      </c>
      <c r="AI161" s="572">
        <v>0</v>
      </c>
      <c r="AJ161" s="572">
        <v>0</v>
      </c>
      <c r="AK161" s="572">
        <v>0</v>
      </c>
      <c r="AL161" s="572">
        <v>0</v>
      </c>
      <c r="AM161" s="572">
        <v>0</v>
      </c>
      <c r="AN161" s="572">
        <v>0</v>
      </c>
      <c r="AO161" s="572">
        <v>0</v>
      </c>
      <c r="AP161" s="572">
        <v>0</v>
      </c>
      <c r="AQ161" s="572">
        <v>0</v>
      </c>
      <c r="AR161" s="572">
        <v>0</v>
      </c>
      <c r="AS161" s="572">
        <v>0</v>
      </c>
      <c r="AT161" s="572">
        <v>0</v>
      </c>
      <c r="AU161" s="572">
        <v>0</v>
      </c>
      <c r="AV161" s="572">
        <v>0</v>
      </c>
      <c r="AW161" s="572">
        <v>0</v>
      </c>
      <c r="AX161" s="572">
        <v>0</v>
      </c>
      <c r="AY161" s="572">
        <v>1550119</v>
      </c>
      <c r="AZ161" s="572">
        <v>0</v>
      </c>
      <c r="BA161" s="572">
        <v>0</v>
      </c>
      <c r="BB161" s="572">
        <v>0</v>
      </c>
      <c r="BC161" s="572">
        <v>0</v>
      </c>
      <c r="BD161" s="572">
        <v>0</v>
      </c>
      <c r="BE161" s="572">
        <v>0</v>
      </c>
      <c r="BF161" s="572">
        <v>0</v>
      </c>
      <c r="BG161" s="572">
        <v>0</v>
      </c>
      <c r="BH161" s="572">
        <v>948913</v>
      </c>
      <c r="BI161" s="572">
        <v>0</v>
      </c>
      <c r="BJ161" s="572">
        <v>0</v>
      </c>
      <c r="BK161" s="572">
        <v>0</v>
      </c>
      <c r="BL161" s="572">
        <v>288923</v>
      </c>
      <c r="BM161" s="572">
        <v>0</v>
      </c>
      <c r="BN161" s="572">
        <v>0</v>
      </c>
      <c r="BO161" s="572">
        <v>0</v>
      </c>
      <c r="BP161" s="572">
        <v>0</v>
      </c>
      <c r="BQ161" s="572">
        <v>0</v>
      </c>
      <c r="BR161" s="572">
        <v>0</v>
      </c>
      <c r="BS161" s="572">
        <v>0</v>
      </c>
      <c r="BT161" s="572">
        <v>0</v>
      </c>
      <c r="BU161" s="572">
        <v>0</v>
      </c>
      <c r="BV161" s="572">
        <v>0</v>
      </c>
      <c r="BW161" s="572">
        <v>0</v>
      </c>
      <c r="BX161" s="572">
        <v>0</v>
      </c>
      <c r="BY161" s="572">
        <v>0</v>
      </c>
      <c r="BZ161" s="572">
        <v>0</v>
      </c>
      <c r="CA161" s="572">
        <v>0</v>
      </c>
      <c r="CB161" s="572">
        <v>0</v>
      </c>
      <c r="CC161" s="572">
        <v>1897524</v>
      </c>
      <c r="CD161" s="572">
        <v>0</v>
      </c>
      <c r="CE161" s="572">
        <v>119511</v>
      </c>
      <c r="CF161" s="572">
        <v>0</v>
      </c>
      <c r="CG161" s="572">
        <v>0</v>
      </c>
      <c r="CH161" s="572">
        <v>0</v>
      </c>
      <c r="CI161" s="572">
        <v>493982</v>
      </c>
      <c r="CJ161" s="572">
        <v>0</v>
      </c>
      <c r="CK161" s="572">
        <v>0</v>
      </c>
      <c r="CL161" s="572">
        <v>0</v>
      </c>
      <c r="CM161" s="572">
        <v>0</v>
      </c>
      <c r="CN161" s="572">
        <v>0</v>
      </c>
      <c r="CO161" s="572">
        <v>0</v>
      </c>
      <c r="CP161" s="572">
        <v>0</v>
      </c>
      <c r="CQ161" s="572">
        <v>0</v>
      </c>
    </row>
    <row r="162" spans="1:95" ht="30" x14ac:dyDescent="0.25">
      <c r="A162" s="668">
        <v>512</v>
      </c>
      <c r="B162" s="590">
        <v>512</v>
      </c>
      <c r="C162" s="570" t="s">
        <v>337</v>
      </c>
      <c r="D162" s="567" t="s">
        <v>861</v>
      </c>
      <c r="E162" s="573">
        <v>0</v>
      </c>
      <c r="F162" s="574">
        <v>0</v>
      </c>
      <c r="G162" s="574">
        <v>0</v>
      </c>
      <c r="H162" s="574">
        <v>0</v>
      </c>
      <c r="I162" s="574">
        <v>0</v>
      </c>
      <c r="J162" s="574">
        <v>0</v>
      </c>
      <c r="K162" s="575">
        <v>619</v>
      </c>
      <c r="L162" s="572">
        <v>0</v>
      </c>
      <c r="M162" s="572">
        <v>0</v>
      </c>
      <c r="N162" s="571">
        <v>0</v>
      </c>
      <c r="O162" s="571">
        <v>0</v>
      </c>
      <c r="P162" s="571">
        <v>0</v>
      </c>
      <c r="Q162" s="571">
        <v>0</v>
      </c>
      <c r="R162" s="571">
        <v>0</v>
      </c>
      <c r="S162" s="571">
        <v>0</v>
      </c>
      <c r="T162" s="571">
        <v>0</v>
      </c>
      <c r="U162" s="571">
        <v>0</v>
      </c>
      <c r="V162" s="571">
        <v>0</v>
      </c>
      <c r="W162" s="571">
        <v>0</v>
      </c>
      <c r="X162" s="571">
        <v>0</v>
      </c>
      <c r="Y162" s="571">
        <v>0</v>
      </c>
      <c r="Z162" s="571">
        <v>0</v>
      </c>
      <c r="AA162" s="571">
        <v>0</v>
      </c>
      <c r="AB162" s="572">
        <v>0</v>
      </c>
      <c r="AC162" s="572">
        <v>0</v>
      </c>
      <c r="AD162" s="572">
        <v>0</v>
      </c>
      <c r="AE162" s="572">
        <v>0</v>
      </c>
      <c r="AF162" s="572">
        <v>0</v>
      </c>
      <c r="AG162" s="572">
        <v>0</v>
      </c>
      <c r="AH162" s="572">
        <v>498</v>
      </c>
      <c r="AI162" s="572">
        <v>623</v>
      </c>
      <c r="AJ162" s="572">
        <v>0</v>
      </c>
      <c r="AK162" s="572">
        <v>0</v>
      </c>
      <c r="AL162" s="572">
        <v>0</v>
      </c>
      <c r="AM162" s="572">
        <v>30177</v>
      </c>
      <c r="AN162" s="572">
        <v>0</v>
      </c>
      <c r="AO162" s="572">
        <v>0</v>
      </c>
      <c r="AP162" s="572">
        <v>0</v>
      </c>
      <c r="AQ162" s="572">
        <v>0</v>
      </c>
      <c r="AR162" s="572">
        <v>0</v>
      </c>
      <c r="AS162" s="572">
        <v>0</v>
      </c>
      <c r="AT162" s="572">
        <v>0</v>
      </c>
      <c r="AU162" s="572">
        <v>0</v>
      </c>
      <c r="AV162" s="572">
        <v>0</v>
      </c>
      <c r="AW162" s="572">
        <v>0</v>
      </c>
      <c r="AX162" s="572">
        <v>0</v>
      </c>
      <c r="AY162" s="572">
        <v>0</v>
      </c>
      <c r="AZ162" s="572">
        <v>0</v>
      </c>
      <c r="BA162" s="572">
        <v>0</v>
      </c>
      <c r="BB162" s="572">
        <v>0</v>
      </c>
      <c r="BC162" s="572">
        <v>2687</v>
      </c>
      <c r="BD162" s="572">
        <v>0</v>
      </c>
      <c r="BE162" s="572">
        <v>0</v>
      </c>
      <c r="BF162" s="572">
        <v>3990</v>
      </c>
      <c r="BG162" s="572">
        <v>0</v>
      </c>
      <c r="BH162" s="572">
        <v>0</v>
      </c>
      <c r="BI162" s="572">
        <v>0</v>
      </c>
      <c r="BJ162" s="572">
        <v>0</v>
      </c>
      <c r="BK162" s="572">
        <v>0</v>
      </c>
      <c r="BL162" s="572">
        <v>0</v>
      </c>
      <c r="BM162" s="572">
        <v>0</v>
      </c>
      <c r="BN162" s="572">
        <v>0</v>
      </c>
      <c r="BO162" s="572">
        <v>0</v>
      </c>
      <c r="BP162" s="572">
        <v>0</v>
      </c>
      <c r="BQ162" s="572">
        <v>0</v>
      </c>
      <c r="BR162" s="572">
        <v>0</v>
      </c>
      <c r="BS162" s="572">
        <v>0</v>
      </c>
      <c r="BT162" s="572">
        <v>0</v>
      </c>
      <c r="BU162" s="572">
        <v>0</v>
      </c>
      <c r="BV162" s="572">
        <v>0</v>
      </c>
      <c r="BW162" s="572">
        <v>0</v>
      </c>
      <c r="BX162" s="572">
        <v>0</v>
      </c>
      <c r="BY162" s="572">
        <v>0</v>
      </c>
      <c r="BZ162" s="572">
        <v>0</v>
      </c>
      <c r="CA162" s="572">
        <v>728785</v>
      </c>
      <c r="CB162" s="572">
        <v>3561057</v>
      </c>
      <c r="CC162" s="572">
        <v>10203</v>
      </c>
      <c r="CD162" s="572">
        <v>27036</v>
      </c>
      <c r="CE162" s="572">
        <v>0</v>
      </c>
      <c r="CF162" s="572">
        <v>0</v>
      </c>
      <c r="CG162" s="572">
        <v>0</v>
      </c>
      <c r="CH162" s="572">
        <v>238893325</v>
      </c>
      <c r="CI162" s="572">
        <v>0</v>
      </c>
      <c r="CJ162" s="572">
        <v>0</v>
      </c>
      <c r="CK162" s="572">
        <v>0</v>
      </c>
      <c r="CL162" s="572">
        <v>0</v>
      </c>
      <c r="CM162" s="572">
        <v>0</v>
      </c>
      <c r="CN162" s="572">
        <v>0</v>
      </c>
      <c r="CO162" s="572">
        <v>0</v>
      </c>
      <c r="CP162" s="572">
        <v>0</v>
      </c>
      <c r="CQ162" s="572">
        <v>0</v>
      </c>
    </row>
    <row r="163" spans="1:95" ht="30" x14ac:dyDescent="0.25">
      <c r="A163" s="668">
        <v>513</v>
      </c>
      <c r="B163" s="590">
        <v>513</v>
      </c>
      <c r="C163" s="570" t="s">
        <v>343</v>
      </c>
      <c r="D163" s="567" t="s">
        <v>862</v>
      </c>
      <c r="E163" s="573">
        <v>0</v>
      </c>
      <c r="F163" s="574">
        <v>0</v>
      </c>
      <c r="G163" s="574">
        <v>0</v>
      </c>
      <c r="H163" s="574">
        <v>0</v>
      </c>
      <c r="I163" s="574">
        <v>0</v>
      </c>
      <c r="J163" s="574">
        <v>0</v>
      </c>
      <c r="K163" s="575">
        <v>0</v>
      </c>
      <c r="L163" s="572">
        <v>0</v>
      </c>
      <c r="M163" s="572">
        <v>0</v>
      </c>
      <c r="N163" s="571">
        <v>0</v>
      </c>
      <c r="O163" s="571">
        <v>0</v>
      </c>
      <c r="P163" s="571">
        <v>0</v>
      </c>
      <c r="Q163" s="571">
        <v>0</v>
      </c>
      <c r="R163" s="571">
        <v>0</v>
      </c>
      <c r="S163" s="571">
        <v>0</v>
      </c>
      <c r="T163" s="571">
        <v>0</v>
      </c>
      <c r="U163" s="571">
        <v>0</v>
      </c>
      <c r="V163" s="571">
        <v>0</v>
      </c>
      <c r="W163" s="571">
        <v>0</v>
      </c>
      <c r="X163" s="571">
        <v>0</v>
      </c>
      <c r="Y163" s="571">
        <v>0</v>
      </c>
      <c r="Z163" s="571">
        <v>0</v>
      </c>
      <c r="AA163" s="571">
        <v>0</v>
      </c>
      <c r="AB163" s="572">
        <v>0</v>
      </c>
      <c r="AC163" s="572">
        <v>0</v>
      </c>
      <c r="AD163" s="572">
        <v>0</v>
      </c>
      <c r="AE163" s="572">
        <v>0</v>
      </c>
      <c r="AF163" s="572">
        <v>0</v>
      </c>
      <c r="AG163" s="572">
        <v>0</v>
      </c>
      <c r="AH163" s="572">
        <v>0</v>
      </c>
      <c r="AI163" s="572">
        <v>0</v>
      </c>
      <c r="AJ163" s="572">
        <v>0</v>
      </c>
      <c r="AK163" s="572">
        <v>0</v>
      </c>
      <c r="AL163" s="572">
        <v>0</v>
      </c>
      <c r="AM163" s="572">
        <v>0</v>
      </c>
      <c r="AN163" s="572">
        <v>0</v>
      </c>
      <c r="AO163" s="572">
        <v>0</v>
      </c>
      <c r="AP163" s="572">
        <v>0</v>
      </c>
      <c r="AQ163" s="572">
        <v>0</v>
      </c>
      <c r="AR163" s="572">
        <v>0</v>
      </c>
      <c r="AS163" s="572">
        <v>0</v>
      </c>
      <c r="AT163" s="572">
        <v>0</v>
      </c>
      <c r="AU163" s="572">
        <v>0</v>
      </c>
      <c r="AV163" s="572">
        <v>0</v>
      </c>
      <c r="AW163" s="572">
        <v>0</v>
      </c>
      <c r="AX163" s="572">
        <v>0</v>
      </c>
      <c r="AY163" s="572">
        <v>0</v>
      </c>
      <c r="AZ163" s="572">
        <v>0</v>
      </c>
      <c r="BA163" s="572">
        <v>0</v>
      </c>
      <c r="BB163" s="572">
        <v>0</v>
      </c>
      <c r="BC163" s="572">
        <v>0</v>
      </c>
      <c r="BD163" s="572">
        <v>0</v>
      </c>
      <c r="BE163" s="572">
        <v>0</v>
      </c>
      <c r="BF163" s="572">
        <v>0</v>
      </c>
      <c r="BG163" s="572">
        <v>0</v>
      </c>
      <c r="BH163" s="572">
        <v>0</v>
      </c>
      <c r="BI163" s="572">
        <v>0</v>
      </c>
      <c r="BJ163" s="572">
        <v>0</v>
      </c>
      <c r="BK163" s="572">
        <v>0</v>
      </c>
      <c r="BL163" s="572">
        <v>0</v>
      </c>
      <c r="BM163" s="572">
        <v>0</v>
      </c>
      <c r="BN163" s="572">
        <v>0</v>
      </c>
      <c r="BO163" s="572">
        <v>0</v>
      </c>
      <c r="BP163" s="572">
        <v>0</v>
      </c>
      <c r="BQ163" s="572">
        <v>0</v>
      </c>
      <c r="BR163" s="572">
        <v>0</v>
      </c>
      <c r="BS163" s="572">
        <v>0</v>
      </c>
      <c r="BT163" s="572">
        <v>0</v>
      </c>
      <c r="BU163" s="572">
        <v>0</v>
      </c>
      <c r="BV163" s="572">
        <v>0</v>
      </c>
      <c r="BW163" s="572">
        <v>0</v>
      </c>
      <c r="BX163" s="572">
        <v>0</v>
      </c>
      <c r="BY163" s="572">
        <v>0</v>
      </c>
      <c r="BZ163" s="572">
        <v>0</v>
      </c>
      <c r="CA163" s="572">
        <v>0</v>
      </c>
      <c r="CB163" s="572">
        <v>0</v>
      </c>
      <c r="CC163" s="572">
        <v>0</v>
      </c>
      <c r="CD163" s="572">
        <v>0</v>
      </c>
      <c r="CE163" s="572">
        <v>0</v>
      </c>
      <c r="CF163" s="572">
        <v>0</v>
      </c>
      <c r="CG163" s="572">
        <v>0</v>
      </c>
      <c r="CH163" s="572">
        <v>0</v>
      </c>
      <c r="CI163" s="572">
        <v>0</v>
      </c>
      <c r="CJ163" s="572">
        <v>0</v>
      </c>
      <c r="CK163" s="572">
        <v>0</v>
      </c>
      <c r="CL163" s="572">
        <v>0</v>
      </c>
      <c r="CM163" s="572">
        <v>0</v>
      </c>
      <c r="CN163" s="572">
        <v>0</v>
      </c>
      <c r="CO163" s="572">
        <v>0</v>
      </c>
      <c r="CP163" s="572">
        <v>0</v>
      </c>
      <c r="CQ163" s="572">
        <v>0</v>
      </c>
    </row>
    <row r="164" spans="1:95" ht="30" x14ac:dyDescent="0.25">
      <c r="A164" s="668">
        <v>514</v>
      </c>
      <c r="B164" s="590">
        <v>514</v>
      </c>
      <c r="C164" s="570" t="s">
        <v>344</v>
      </c>
      <c r="D164" s="567" t="s">
        <v>863</v>
      </c>
      <c r="E164" s="573">
        <v>0</v>
      </c>
      <c r="F164" s="574">
        <v>0</v>
      </c>
      <c r="G164" s="574">
        <v>0</v>
      </c>
      <c r="H164" s="574">
        <v>0</v>
      </c>
      <c r="I164" s="574">
        <v>270000</v>
      </c>
      <c r="J164" s="574">
        <v>0</v>
      </c>
      <c r="K164" s="575">
        <v>102134</v>
      </c>
      <c r="L164" s="572">
        <v>0</v>
      </c>
      <c r="M164" s="572">
        <v>0</v>
      </c>
      <c r="N164" s="571">
        <v>0</v>
      </c>
      <c r="O164" s="571">
        <v>0</v>
      </c>
      <c r="P164" s="571">
        <v>0</v>
      </c>
      <c r="Q164" s="571">
        <v>0</v>
      </c>
      <c r="R164" s="571">
        <v>0</v>
      </c>
      <c r="S164" s="571">
        <v>0</v>
      </c>
      <c r="T164" s="571">
        <v>0</v>
      </c>
      <c r="U164" s="571">
        <v>0</v>
      </c>
      <c r="V164" s="571">
        <v>0</v>
      </c>
      <c r="W164" s="571">
        <v>0</v>
      </c>
      <c r="X164" s="571">
        <v>0</v>
      </c>
      <c r="Y164" s="571">
        <v>0</v>
      </c>
      <c r="Z164" s="571">
        <v>0</v>
      </c>
      <c r="AA164" s="571">
        <v>1669977</v>
      </c>
      <c r="AB164" s="572">
        <v>0</v>
      </c>
      <c r="AC164" s="572">
        <v>0</v>
      </c>
      <c r="AD164" s="572">
        <v>0</v>
      </c>
      <c r="AE164" s="572">
        <v>0</v>
      </c>
      <c r="AF164" s="572">
        <v>0</v>
      </c>
      <c r="AG164" s="572">
        <v>0</v>
      </c>
      <c r="AH164" s="572">
        <v>0</v>
      </c>
      <c r="AI164" s="572">
        <v>0</v>
      </c>
      <c r="AJ164" s="572">
        <v>0</v>
      </c>
      <c r="AK164" s="572">
        <v>0</v>
      </c>
      <c r="AL164" s="572">
        <v>0</v>
      </c>
      <c r="AM164" s="572">
        <v>0</v>
      </c>
      <c r="AN164" s="572">
        <v>0</v>
      </c>
      <c r="AO164" s="572">
        <v>0</v>
      </c>
      <c r="AP164" s="572">
        <v>0</v>
      </c>
      <c r="AQ164" s="572">
        <v>0</v>
      </c>
      <c r="AR164" s="572">
        <v>0</v>
      </c>
      <c r="AS164" s="572">
        <v>0</v>
      </c>
      <c r="AT164" s="572">
        <v>0</v>
      </c>
      <c r="AU164" s="572">
        <v>0</v>
      </c>
      <c r="AV164" s="572">
        <v>0</v>
      </c>
      <c r="AW164" s="572">
        <v>0</v>
      </c>
      <c r="AX164" s="572">
        <v>0</v>
      </c>
      <c r="AY164" s="572">
        <v>0</v>
      </c>
      <c r="AZ164" s="572">
        <v>0</v>
      </c>
      <c r="BA164" s="572">
        <v>0</v>
      </c>
      <c r="BB164" s="572">
        <v>0</v>
      </c>
      <c r="BC164" s="572">
        <v>0</v>
      </c>
      <c r="BD164" s="572">
        <v>0</v>
      </c>
      <c r="BE164" s="572">
        <v>0</v>
      </c>
      <c r="BF164" s="572">
        <v>0</v>
      </c>
      <c r="BG164" s="572">
        <v>0</v>
      </c>
      <c r="BH164" s="572">
        <v>1426057</v>
      </c>
      <c r="BI164" s="572">
        <v>0</v>
      </c>
      <c r="BJ164" s="572">
        <v>0</v>
      </c>
      <c r="BK164" s="572">
        <v>0</v>
      </c>
      <c r="BL164" s="572">
        <v>1275600</v>
      </c>
      <c r="BM164" s="572">
        <v>0</v>
      </c>
      <c r="BN164" s="572">
        <v>0</v>
      </c>
      <c r="BO164" s="572">
        <v>0</v>
      </c>
      <c r="BP164" s="572">
        <v>0</v>
      </c>
      <c r="BQ164" s="572">
        <v>0</v>
      </c>
      <c r="BR164" s="572">
        <v>0</v>
      </c>
      <c r="BS164" s="572">
        <v>0</v>
      </c>
      <c r="BT164" s="572">
        <v>0</v>
      </c>
      <c r="BU164" s="572">
        <v>0</v>
      </c>
      <c r="BV164" s="572">
        <v>0</v>
      </c>
      <c r="BW164" s="572">
        <v>0</v>
      </c>
      <c r="BX164" s="572">
        <v>0</v>
      </c>
      <c r="BY164" s="572">
        <v>0</v>
      </c>
      <c r="BZ164" s="572">
        <v>0</v>
      </c>
      <c r="CA164" s="572">
        <v>0</v>
      </c>
      <c r="CB164" s="572">
        <v>0</v>
      </c>
      <c r="CC164" s="572">
        <v>2225500</v>
      </c>
      <c r="CD164" s="572">
        <v>0</v>
      </c>
      <c r="CE164" s="572">
        <v>948400</v>
      </c>
      <c r="CF164" s="572">
        <v>0</v>
      </c>
      <c r="CG164" s="572">
        <v>0</v>
      </c>
      <c r="CH164" s="572">
        <v>0</v>
      </c>
      <c r="CI164" s="572">
        <v>311000</v>
      </c>
      <c r="CJ164" s="572">
        <v>0</v>
      </c>
      <c r="CK164" s="572">
        <v>0</v>
      </c>
      <c r="CL164" s="572">
        <v>0</v>
      </c>
      <c r="CM164" s="572">
        <v>0</v>
      </c>
      <c r="CN164" s="572">
        <v>0</v>
      </c>
      <c r="CO164" s="572">
        <v>0</v>
      </c>
      <c r="CP164" s="572">
        <v>0</v>
      </c>
      <c r="CQ164" s="572">
        <v>0</v>
      </c>
    </row>
    <row r="165" spans="1:95" x14ac:dyDescent="0.25">
      <c r="A165" s="668">
        <v>515</v>
      </c>
      <c r="B165" s="590">
        <v>515</v>
      </c>
      <c r="C165" s="570" t="s">
        <v>356</v>
      </c>
      <c r="D165" s="567" t="s">
        <v>864</v>
      </c>
      <c r="E165" s="573">
        <v>0</v>
      </c>
      <c r="F165" s="574">
        <v>0</v>
      </c>
      <c r="G165" s="574">
        <v>0</v>
      </c>
      <c r="H165" s="574">
        <v>38288</v>
      </c>
      <c r="I165" s="574">
        <v>36853</v>
      </c>
      <c r="J165" s="574">
        <v>0</v>
      </c>
      <c r="K165" s="575">
        <v>0</v>
      </c>
      <c r="L165" s="572">
        <v>0</v>
      </c>
      <c r="M165" s="572">
        <v>0</v>
      </c>
      <c r="N165" s="571">
        <v>0</v>
      </c>
      <c r="O165" s="571">
        <v>0</v>
      </c>
      <c r="P165" s="571">
        <v>0</v>
      </c>
      <c r="Q165" s="571">
        <v>10803</v>
      </c>
      <c r="R165" s="571">
        <v>0</v>
      </c>
      <c r="S165" s="571">
        <v>0</v>
      </c>
      <c r="T165" s="571">
        <v>0</v>
      </c>
      <c r="U165" s="571">
        <v>0</v>
      </c>
      <c r="V165" s="571">
        <v>0</v>
      </c>
      <c r="W165" s="571">
        <v>0</v>
      </c>
      <c r="X165" s="571">
        <v>0</v>
      </c>
      <c r="Y165" s="571">
        <v>0</v>
      </c>
      <c r="Z165" s="571">
        <v>0</v>
      </c>
      <c r="AA165" s="571">
        <v>0</v>
      </c>
      <c r="AB165" s="572">
        <v>139025</v>
      </c>
      <c r="AC165" s="572">
        <v>0</v>
      </c>
      <c r="AD165" s="572">
        <v>0</v>
      </c>
      <c r="AE165" s="572">
        <v>7582068</v>
      </c>
      <c r="AF165" s="572">
        <v>0</v>
      </c>
      <c r="AG165" s="572">
        <v>5000</v>
      </c>
      <c r="AH165" s="572">
        <v>0</v>
      </c>
      <c r="AI165" s="572">
        <v>0</v>
      </c>
      <c r="AJ165" s="572">
        <v>4367</v>
      </c>
      <c r="AK165" s="572">
        <v>311711</v>
      </c>
      <c r="AL165" s="572">
        <v>2935237</v>
      </c>
      <c r="AM165" s="572">
        <v>105011</v>
      </c>
      <c r="AN165" s="572">
        <v>0</v>
      </c>
      <c r="AO165" s="572">
        <v>0</v>
      </c>
      <c r="AP165" s="572">
        <v>0</v>
      </c>
      <c r="AQ165" s="572">
        <v>0</v>
      </c>
      <c r="AR165" s="572">
        <v>0</v>
      </c>
      <c r="AS165" s="572">
        <v>0</v>
      </c>
      <c r="AT165" s="572">
        <v>0</v>
      </c>
      <c r="AU165" s="572">
        <v>0</v>
      </c>
      <c r="AV165" s="572">
        <v>0</v>
      </c>
      <c r="AW165" s="572">
        <v>0</v>
      </c>
      <c r="AX165" s="572">
        <v>0</v>
      </c>
      <c r="AY165" s="572">
        <v>0</v>
      </c>
      <c r="AZ165" s="572">
        <v>0</v>
      </c>
      <c r="BA165" s="572">
        <v>91344</v>
      </c>
      <c r="BB165" s="572">
        <v>0</v>
      </c>
      <c r="BC165" s="572">
        <v>0</v>
      </c>
      <c r="BD165" s="572">
        <v>0</v>
      </c>
      <c r="BE165" s="572">
        <v>0</v>
      </c>
      <c r="BF165" s="572">
        <v>0</v>
      </c>
      <c r="BG165" s="572">
        <v>0</v>
      </c>
      <c r="BH165" s="572">
        <v>9598963</v>
      </c>
      <c r="BI165" s="572">
        <v>0</v>
      </c>
      <c r="BJ165" s="572">
        <v>0</v>
      </c>
      <c r="BK165" s="572">
        <v>0</v>
      </c>
      <c r="BL165" s="572">
        <v>10522228</v>
      </c>
      <c r="BM165" s="572">
        <v>0</v>
      </c>
      <c r="BN165" s="572">
        <v>0</v>
      </c>
      <c r="BO165" s="572">
        <v>0</v>
      </c>
      <c r="BP165" s="572">
        <v>0</v>
      </c>
      <c r="BQ165" s="572">
        <v>0</v>
      </c>
      <c r="BR165" s="572">
        <v>0</v>
      </c>
      <c r="BS165" s="572">
        <v>0</v>
      </c>
      <c r="BT165" s="572">
        <v>0</v>
      </c>
      <c r="BU165" s="572">
        <v>0</v>
      </c>
      <c r="BV165" s="572">
        <v>3436</v>
      </c>
      <c r="BW165" s="572">
        <v>0</v>
      </c>
      <c r="BX165" s="572">
        <v>0</v>
      </c>
      <c r="BY165" s="572">
        <v>0</v>
      </c>
      <c r="BZ165" s="572">
        <v>0</v>
      </c>
      <c r="CA165" s="572">
        <v>241512</v>
      </c>
      <c r="CB165" s="572">
        <v>0</v>
      </c>
      <c r="CC165" s="572">
        <v>11469153</v>
      </c>
      <c r="CD165" s="572">
        <v>0</v>
      </c>
      <c r="CE165" s="572">
        <v>0</v>
      </c>
      <c r="CF165" s="572">
        <v>0</v>
      </c>
      <c r="CG165" s="572">
        <v>1249236</v>
      </c>
      <c r="CH165" s="572">
        <v>280619311</v>
      </c>
      <c r="CI165" s="572">
        <v>0</v>
      </c>
      <c r="CJ165" s="572">
        <v>21286</v>
      </c>
      <c r="CK165" s="572">
        <v>0</v>
      </c>
      <c r="CL165" s="572">
        <v>0</v>
      </c>
      <c r="CM165" s="572">
        <v>0</v>
      </c>
      <c r="CN165" s="572">
        <v>0</v>
      </c>
      <c r="CO165" s="572">
        <v>627039</v>
      </c>
      <c r="CP165" s="572">
        <v>0</v>
      </c>
      <c r="CQ165" s="572">
        <v>0</v>
      </c>
    </row>
    <row r="166" spans="1:95" ht="30" x14ac:dyDescent="0.25">
      <c r="A166" s="668">
        <v>516</v>
      </c>
      <c r="B166" s="590">
        <v>516</v>
      </c>
      <c r="C166" s="570" t="s">
        <v>357</v>
      </c>
      <c r="D166" s="567" t="s">
        <v>865</v>
      </c>
      <c r="E166" s="573">
        <v>0</v>
      </c>
      <c r="F166" s="574">
        <v>0</v>
      </c>
      <c r="G166" s="574">
        <v>5935989</v>
      </c>
      <c r="H166" s="574">
        <v>19100324</v>
      </c>
      <c r="I166" s="574">
        <v>10280833</v>
      </c>
      <c r="J166" s="574">
        <v>4646326</v>
      </c>
      <c r="K166" s="575">
        <v>120585241</v>
      </c>
      <c r="L166" s="572">
        <v>7563798</v>
      </c>
      <c r="M166" s="572">
        <v>0</v>
      </c>
      <c r="N166" s="571">
        <v>4463260</v>
      </c>
      <c r="O166" s="571">
        <v>6188857</v>
      </c>
      <c r="P166" s="571">
        <v>0</v>
      </c>
      <c r="Q166" s="571">
        <v>5562154</v>
      </c>
      <c r="R166" s="571">
        <v>0</v>
      </c>
      <c r="S166" s="571">
        <v>0</v>
      </c>
      <c r="T166" s="571">
        <v>0</v>
      </c>
      <c r="U166" s="571">
        <v>0</v>
      </c>
      <c r="V166" s="571">
        <v>0</v>
      </c>
      <c r="W166" s="571">
        <v>3313106</v>
      </c>
      <c r="X166" s="571">
        <v>0</v>
      </c>
      <c r="Y166" s="571">
        <v>13064035</v>
      </c>
      <c r="Z166" s="571">
        <v>0</v>
      </c>
      <c r="AA166" s="571">
        <v>36222545</v>
      </c>
      <c r="AB166" s="572">
        <v>17732830</v>
      </c>
      <c r="AC166" s="572">
        <v>1476044</v>
      </c>
      <c r="AD166" s="572">
        <v>4011096</v>
      </c>
      <c r="AE166" s="572">
        <v>38447093</v>
      </c>
      <c r="AF166" s="572">
        <v>0</v>
      </c>
      <c r="AG166" s="572">
        <v>5826567</v>
      </c>
      <c r="AH166" s="572">
        <v>0</v>
      </c>
      <c r="AI166" s="572">
        <v>2853564</v>
      </c>
      <c r="AJ166" s="572">
        <v>30677021</v>
      </c>
      <c r="AK166" s="572">
        <v>21191379</v>
      </c>
      <c r="AL166" s="572">
        <v>11131576</v>
      </c>
      <c r="AM166" s="572">
        <v>13930117</v>
      </c>
      <c r="AN166" s="572">
        <v>0</v>
      </c>
      <c r="AO166" s="572">
        <v>0</v>
      </c>
      <c r="AP166" s="572">
        <v>39020383</v>
      </c>
      <c r="AQ166" s="572">
        <v>0</v>
      </c>
      <c r="AR166" s="572">
        <v>0</v>
      </c>
      <c r="AS166" s="572">
        <v>0</v>
      </c>
      <c r="AT166" s="572">
        <v>0</v>
      </c>
      <c r="AU166" s="572">
        <v>0</v>
      </c>
      <c r="AV166" s="572">
        <v>1037880</v>
      </c>
      <c r="AW166" s="572">
        <v>20711593</v>
      </c>
      <c r="AX166" s="572">
        <v>0</v>
      </c>
      <c r="AY166" s="572">
        <v>0</v>
      </c>
      <c r="AZ166" s="572">
        <v>0</v>
      </c>
      <c r="BA166" s="572">
        <v>30291883</v>
      </c>
      <c r="BB166" s="572">
        <v>0</v>
      </c>
      <c r="BC166" s="572">
        <v>6324198</v>
      </c>
      <c r="BD166" s="572">
        <v>3178805</v>
      </c>
      <c r="BE166" s="572">
        <v>2431041</v>
      </c>
      <c r="BF166" s="572">
        <v>6023025</v>
      </c>
      <c r="BG166" s="572">
        <v>21465229</v>
      </c>
      <c r="BH166" s="572">
        <v>57630839</v>
      </c>
      <c r="BI166" s="572">
        <v>0</v>
      </c>
      <c r="BJ166" s="572">
        <v>0</v>
      </c>
      <c r="BK166" s="572">
        <v>0</v>
      </c>
      <c r="BL166" s="572">
        <v>34187259</v>
      </c>
      <c r="BM166" s="572">
        <v>13882584</v>
      </c>
      <c r="BN166" s="572">
        <v>0</v>
      </c>
      <c r="BO166" s="572">
        <v>0</v>
      </c>
      <c r="BP166" s="572">
        <v>0</v>
      </c>
      <c r="BQ166" s="572">
        <v>0</v>
      </c>
      <c r="BR166" s="572">
        <v>0</v>
      </c>
      <c r="BS166" s="572">
        <v>0</v>
      </c>
      <c r="BT166" s="572">
        <v>14251971</v>
      </c>
      <c r="BU166" s="572">
        <v>0</v>
      </c>
      <c r="BV166" s="572">
        <v>3463983</v>
      </c>
      <c r="BW166" s="572">
        <v>7046132</v>
      </c>
      <c r="BX166" s="572">
        <v>24451287</v>
      </c>
      <c r="BY166" s="572">
        <v>688680</v>
      </c>
      <c r="BZ166" s="572">
        <v>0</v>
      </c>
      <c r="CA166" s="572">
        <v>21953987</v>
      </c>
      <c r="CB166" s="572">
        <v>0</v>
      </c>
      <c r="CC166" s="572">
        <v>187661424</v>
      </c>
      <c r="CD166" s="572">
        <v>378213</v>
      </c>
      <c r="CE166" s="572">
        <v>10520347</v>
      </c>
      <c r="CF166" s="572">
        <v>0</v>
      </c>
      <c r="CG166" s="572">
        <v>10193237</v>
      </c>
      <c r="CH166" s="572">
        <v>863058630</v>
      </c>
      <c r="CI166" s="572">
        <v>6329038</v>
      </c>
      <c r="CJ166" s="572">
        <v>7234250</v>
      </c>
      <c r="CK166" s="572">
        <v>0</v>
      </c>
      <c r="CL166" s="572">
        <v>2394317</v>
      </c>
      <c r="CM166" s="572">
        <v>9638184</v>
      </c>
      <c r="CN166" s="572">
        <v>22433238</v>
      </c>
      <c r="CO166" s="572">
        <v>13700853</v>
      </c>
      <c r="CP166" s="572">
        <v>0</v>
      </c>
      <c r="CQ166" s="572">
        <v>0</v>
      </c>
    </row>
    <row r="167" spans="1:95" x14ac:dyDescent="0.25">
      <c r="A167" s="668">
        <v>517</v>
      </c>
      <c r="B167" s="590">
        <v>517</v>
      </c>
      <c r="C167" s="570" t="s">
        <v>358</v>
      </c>
      <c r="D167" s="567" t="s">
        <v>866</v>
      </c>
      <c r="E167" s="573">
        <v>0</v>
      </c>
      <c r="F167" s="574">
        <v>0</v>
      </c>
      <c r="G167" s="574">
        <v>0</v>
      </c>
      <c r="H167" s="574">
        <v>0</v>
      </c>
      <c r="I167" s="574">
        <v>0</v>
      </c>
      <c r="J167" s="574">
        <v>0</v>
      </c>
      <c r="K167" s="575">
        <v>0</v>
      </c>
      <c r="L167" s="572">
        <v>0</v>
      </c>
      <c r="M167" s="572">
        <v>0</v>
      </c>
      <c r="N167" s="571">
        <v>0</v>
      </c>
      <c r="O167" s="571">
        <v>0</v>
      </c>
      <c r="P167" s="571">
        <v>0</v>
      </c>
      <c r="Q167" s="571">
        <v>5890</v>
      </c>
      <c r="R167" s="571">
        <v>0</v>
      </c>
      <c r="S167" s="571">
        <v>0</v>
      </c>
      <c r="T167" s="571">
        <v>0</v>
      </c>
      <c r="U167" s="571">
        <v>0</v>
      </c>
      <c r="V167" s="571">
        <v>0</v>
      </c>
      <c r="W167" s="571">
        <v>0</v>
      </c>
      <c r="X167" s="571">
        <v>0</v>
      </c>
      <c r="Y167" s="571">
        <v>0</v>
      </c>
      <c r="Z167" s="571">
        <v>0</v>
      </c>
      <c r="AA167" s="571">
        <v>0</v>
      </c>
      <c r="AB167" s="572">
        <v>0</v>
      </c>
      <c r="AC167" s="572">
        <v>0</v>
      </c>
      <c r="AD167" s="572">
        <v>0</v>
      </c>
      <c r="AE167" s="572">
        <v>57853032</v>
      </c>
      <c r="AF167" s="572">
        <v>0</v>
      </c>
      <c r="AG167" s="572">
        <v>0</v>
      </c>
      <c r="AH167" s="572">
        <v>0</v>
      </c>
      <c r="AI167" s="572">
        <v>0</v>
      </c>
      <c r="AJ167" s="572">
        <v>0</v>
      </c>
      <c r="AK167" s="572">
        <v>0</v>
      </c>
      <c r="AL167" s="572">
        <v>0</v>
      </c>
      <c r="AM167" s="572">
        <v>0</v>
      </c>
      <c r="AN167" s="572">
        <v>0</v>
      </c>
      <c r="AO167" s="572">
        <v>0</v>
      </c>
      <c r="AP167" s="572">
        <v>0</v>
      </c>
      <c r="AQ167" s="572">
        <v>0</v>
      </c>
      <c r="AR167" s="572">
        <v>0</v>
      </c>
      <c r="AS167" s="572">
        <v>0</v>
      </c>
      <c r="AT167" s="572">
        <v>0</v>
      </c>
      <c r="AU167" s="572">
        <v>0</v>
      </c>
      <c r="AV167" s="572">
        <v>0</v>
      </c>
      <c r="AW167" s="572">
        <v>0</v>
      </c>
      <c r="AX167" s="572">
        <v>4757339</v>
      </c>
      <c r="AY167" s="572">
        <v>0</v>
      </c>
      <c r="AZ167" s="572">
        <v>0</v>
      </c>
      <c r="BA167" s="572">
        <v>0</v>
      </c>
      <c r="BB167" s="572">
        <v>0</v>
      </c>
      <c r="BC167" s="572">
        <v>0</v>
      </c>
      <c r="BD167" s="572">
        <v>0</v>
      </c>
      <c r="BE167" s="572">
        <v>0</v>
      </c>
      <c r="BF167" s="572">
        <v>0</v>
      </c>
      <c r="BG167" s="572">
        <v>0</v>
      </c>
      <c r="BH167" s="572">
        <v>0</v>
      </c>
      <c r="BI167" s="572">
        <v>0</v>
      </c>
      <c r="BJ167" s="572">
        <v>0</v>
      </c>
      <c r="BK167" s="572">
        <v>0</v>
      </c>
      <c r="BL167" s="572">
        <v>0</v>
      </c>
      <c r="BM167" s="572">
        <v>0</v>
      </c>
      <c r="BN167" s="572">
        <v>0</v>
      </c>
      <c r="BO167" s="572">
        <v>0</v>
      </c>
      <c r="BP167" s="572">
        <v>0</v>
      </c>
      <c r="BQ167" s="572">
        <v>0</v>
      </c>
      <c r="BR167" s="572">
        <v>0</v>
      </c>
      <c r="BS167" s="572">
        <v>0</v>
      </c>
      <c r="BT167" s="572">
        <v>0</v>
      </c>
      <c r="BU167" s="572">
        <v>0</v>
      </c>
      <c r="BV167" s="572">
        <v>0</v>
      </c>
      <c r="BW167" s="572">
        <v>0</v>
      </c>
      <c r="BX167" s="572">
        <v>0</v>
      </c>
      <c r="BY167" s="572">
        <v>0</v>
      </c>
      <c r="BZ167" s="572">
        <v>0</v>
      </c>
      <c r="CA167" s="572">
        <v>0</v>
      </c>
      <c r="CB167" s="572">
        <v>0</v>
      </c>
      <c r="CC167" s="572">
        <v>0</v>
      </c>
      <c r="CD167" s="572">
        <v>0</v>
      </c>
      <c r="CE167" s="572">
        <v>0</v>
      </c>
      <c r="CF167" s="572">
        <v>0</v>
      </c>
      <c r="CG167" s="572">
        <v>26748</v>
      </c>
      <c r="CH167" s="572">
        <v>0</v>
      </c>
      <c r="CI167" s="572">
        <v>0</v>
      </c>
      <c r="CJ167" s="572">
        <v>0</v>
      </c>
      <c r="CK167" s="572">
        <v>0</v>
      </c>
      <c r="CL167" s="572">
        <v>0</v>
      </c>
      <c r="CM167" s="572">
        <v>0</v>
      </c>
      <c r="CN167" s="572">
        <v>0</v>
      </c>
      <c r="CO167" s="572">
        <v>0</v>
      </c>
      <c r="CP167" s="572">
        <v>0</v>
      </c>
      <c r="CQ167" s="572">
        <v>0</v>
      </c>
    </row>
    <row r="168" spans="1:95" ht="30" x14ac:dyDescent="0.25">
      <c r="A168" s="668">
        <v>518</v>
      </c>
      <c r="B168" s="590">
        <v>518</v>
      </c>
      <c r="C168" s="570" t="s">
        <v>359</v>
      </c>
      <c r="D168" s="567" t="s">
        <v>867</v>
      </c>
      <c r="E168" s="573">
        <v>0</v>
      </c>
      <c r="F168" s="574">
        <v>0</v>
      </c>
      <c r="G168" s="574">
        <v>0</v>
      </c>
      <c r="H168" s="574">
        <v>408110</v>
      </c>
      <c r="I168" s="574">
        <v>498285</v>
      </c>
      <c r="J168" s="574">
        <v>227422</v>
      </c>
      <c r="K168" s="575">
        <v>4249696</v>
      </c>
      <c r="L168" s="572">
        <v>58240</v>
      </c>
      <c r="M168" s="572">
        <v>0</v>
      </c>
      <c r="N168" s="571">
        <v>9000</v>
      </c>
      <c r="O168" s="571">
        <v>275114</v>
      </c>
      <c r="P168" s="571">
        <v>0</v>
      </c>
      <c r="Q168" s="571">
        <v>161442</v>
      </c>
      <c r="R168" s="571">
        <v>0</v>
      </c>
      <c r="S168" s="571">
        <v>0</v>
      </c>
      <c r="T168" s="571">
        <v>0</v>
      </c>
      <c r="U168" s="571">
        <v>0</v>
      </c>
      <c r="V168" s="571">
        <v>0</v>
      </c>
      <c r="W168" s="571">
        <v>115684</v>
      </c>
      <c r="X168" s="571">
        <v>0</v>
      </c>
      <c r="Y168" s="571">
        <v>114194</v>
      </c>
      <c r="Z168" s="571">
        <v>0</v>
      </c>
      <c r="AA168" s="571">
        <v>2061308</v>
      </c>
      <c r="AB168" s="572">
        <v>1582942</v>
      </c>
      <c r="AC168" s="572">
        <v>9619</v>
      </c>
      <c r="AD168" s="572">
        <v>30988</v>
      </c>
      <c r="AE168" s="572">
        <v>3744783</v>
      </c>
      <c r="AF168" s="572">
        <v>0</v>
      </c>
      <c r="AG168" s="572">
        <v>312858</v>
      </c>
      <c r="AH168" s="572">
        <v>0</v>
      </c>
      <c r="AI168" s="572">
        <v>72087</v>
      </c>
      <c r="AJ168" s="572">
        <v>105611</v>
      </c>
      <c r="AK168" s="572">
        <v>1378337</v>
      </c>
      <c r="AL168" s="572">
        <v>1993875</v>
      </c>
      <c r="AM168" s="572">
        <v>1600498</v>
      </c>
      <c r="AN168" s="572">
        <v>545536</v>
      </c>
      <c r="AO168" s="572">
        <v>0</v>
      </c>
      <c r="AP168" s="572">
        <v>2349444</v>
      </c>
      <c r="AQ168" s="572">
        <v>0</v>
      </c>
      <c r="AR168" s="572">
        <v>0</v>
      </c>
      <c r="AS168" s="572">
        <v>0</v>
      </c>
      <c r="AT168" s="572">
        <v>0</v>
      </c>
      <c r="AU168" s="572">
        <v>0</v>
      </c>
      <c r="AV168" s="572">
        <v>3048</v>
      </c>
      <c r="AW168" s="572">
        <v>1341313</v>
      </c>
      <c r="AX168" s="572">
        <v>94680</v>
      </c>
      <c r="AY168" s="572">
        <v>0</v>
      </c>
      <c r="AZ168" s="572">
        <v>0</v>
      </c>
      <c r="BA168" s="572">
        <v>1584570</v>
      </c>
      <c r="BB168" s="572">
        <v>0</v>
      </c>
      <c r="BC168" s="572">
        <v>571365</v>
      </c>
      <c r="BD168" s="572">
        <v>0</v>
      </c>
      <c r="BE168" s="572">
        <v>73206</v>
      </c>
      <c r="BF168" s="572">
        <v>820525</v>
      </c>
      <c r="BG168" s="572">
        <v>347113</v>
      </c>
      <c r="BH168" s="572">
        <v>7293227</v>
      </c>
      <c r="BI168" s="572">
        <v>0</v>
      </c>
      <c r="BJ168" s="572">
        <v>0</v>
      </c>
      <c r="BK168" s="572">
        <v>0</v>
      </c>
      <c r="BL168" s="572">
        <v>2561472</v>
      </c>
      <c r="BM168" s="572">
        <v>1341562</v>
      </c>
      <c r="BN168" s="572">
        <v>0</v>
      </c>
      <c r="BO168" s="572">
        <v>0</v>
      </c>
      <c r="BP168" s="572">
        <v>0</v>
      </c>
      <c r="BQ168" s="572">
        <v>0</v>
      </c>
      <c r="BR168" s="572">
        <v>0</v>
      </c>
      <c r="BS168" s="572">
        <v>0</v>
      </c>
      <c r="BT168" s="572">
        <v>763653</v>
      </c>
      <c r="BU168" s="572">
        <v>0</v>
      </c>
      <c r="BV168" s="572">
        <v>0</v>
      </c>
      <c r="BW168" s="572">
        <v>578684</v>
      </c>
      <c r="BX168" s="572">
        <v>1541618</v>
      </c>
      <c r="BY168" s="572">
        <v>0</v>
      </c>
      <c r="BZ168" s="572">
        <v>0</v>
      </c>
      <c r="CA168" s="572">
        <v>1043468</v>
      </c>
      <c r="CB168" s="572">
        <v>0</v>
      </c>
      <c r="CC168" s="572">
        <v>15218429</v>
      </c>
      <c r="CD168" s="572">
        <v>0</v>
      </c>
      <c r="CE168" s="572">
        <v>112428</v>
      </c>
      <c r="CF168" s="572">
        <v>0</v>
      </c>
      <c r="CG168" s="572">
        <v>682516</v>
      </c>
      <c r="CH168" s="572">
        <v>21173114</v>
      </c>
      <c r="CI168" s="572">
        <v>780352</v>
      </c>
      <c r="CJ168" s="572">
        <v>258810</v>
      </c>
      <c r="CK168" s="572">
        <v>0</v>
      </c>
      <c r="CL168" s="572">
        <v>259839</v>
      </c>
      <c r="CM168" s="572">
        <v>1181487</v>
      </c>
      <c r="CN168" s="572">
        <v>2708893</v>
      </c>
      <c r="CO168" s="572">
        <v>890440</v>
      </c>
      <c r="CP168" s="572">
        <v>0</v>
      </c>
      <c r="CQ168" s="572">
        <v>0</v>
      </c>
    </row>
    <row r="169" spans="1:95" x14ac:dyDescent="0.25">
      <c r="A169" s="668">
        <v>519</v>
      </c>
      <c r="B169" s="590">
        <v>519</v>
      </c>
      <c r="C169" s="570" t="s">
        <v>360</v>
      </c>
      <c r="D169" s="567" t="s">
        <v>868</v>
      </c>
      <c r="E169" s="573">
        <v>0</v>
      </c>
      <c r="F169" s="574">
        <v>0</v>
      </c>
      <c r="G169" s="574">
        <v>0</v>
      </c>
      <c r="H169" s="574">
        <v>716</v>
      </c>
      <c r="I169" s="574">
        <v>850</v>
      </c>
      <c r="J169" s="574">
        <v>0</v>
      </c>
      <c r="K169" s="575">
        <v>0</v>
      </c>
      <c r="L169" s="572">
        <v>0</v>
      </c>
      <c r="M169" s="572">
        <v>0</v>
      </c>
      <c r="N169" s="571">
        <v>0</v>
      </c>
      <c r="O169" s="571">
        <v>0</v>
      </c>
      <c r="P169" s="571">
        <v>0</v>
      </c>
      <c r="Q169" s="571">
        <v>400</v>
      </c>
      <c r="R169" s="571">
        <v>0</v>
      </c>
      <c r="S169" s="571">
        <v>0</v>
      </c>
      <c r="T169" s="571">
        <v>0</v>
      </c>
      <c r="U169" s="571">
        <v>0</v>
      </c>
      <c r="V169" s="571">
        <v>0</v>
      </c>
      <c r="W169" s="571">
        <v>0</v>
      </c>
      <c r="X169" s="571">
        <v>0</v>
      </c>
      <c r="Y169" s="571">
        <v>0</v>
      </c>
      <c r="Z169" s="571">
        <v>0</v>
      </c>
      <c r="AA169" s="571">
        <v>0</v>
      </c>
      <c r="AB169" s="572">
        <v>7464</v>
      </c>
      <c r="AC169" s="572">
        <v>0</v>
      </c>
      <c r="AD169" s="572">
        <v>0</v>
      </c>
      <c r="AE169" s="572">
        <v>147744</v>
      </c>
      <c r="AF169" s="572">
        <v>0</v>
      </c>
      <c r="AG169" s="572">
        <v>250</v>
      </c>
      <c r="AH169" s="572">
        <v>0</v>
      </c>
      <c r="AI169" s="572">
        <v>0</v>
      </c>
      <c r="AJ169" s="572">
        <v>146</v>
      </c>
      <c r="AK169" s="572">
        <v>9372</v>
      </c>
      <c r="AL169" s="572">
        <v>62744</v>
      </c>
      <c r="AM169" s="572">
        <v>1574</v>
      </c>
      <c r="AN169" s="572">
        <v>0</v>
      </c>
      <c r="AO169" s="572">
        <v>0</v>
      </c>
      <c r="AP169" s="572">
        <v>0</v>
      </c>
      <c r="AQ169" s="572">
        <v>0</v>
      </c>
      <c r="AR169" s="572">
        <v>0</v>
      </c>
      <c r="AS169" s="572">
        <v>0</v>
      </c>
      <c r="AT169" s="572">
        <v>0</v>
      </c>
      <c r="AU169" s="572">
        <v>0</v>
      </c>
      <c r="AV169" s="572">
        <v>0</v>
      </c>
      <c r="AW169" s="572">
        <v>0</v>
      </c>
      <c r="AX169" s="572">
        <v>0</v>
      </c>
      <c r="AY169" s="572">
        <v>0</v>
      </c>
      <c r="AZ169" s="572">
        <v>0</v>
      </c>
      <c r="BA169" s="572">
        <v>4783</v>
      </c>
      <c r="BB169" s="572">
        <v>0</v>
      </c>
      <c r="BC169" s="572">
        <v>0</v>
      </c>
      <c r="BD169" s="572">
        <v>0</v>
      </c>
      <c r="BE169" s="572">
        <v>0</v>
      </c>
      <c r="BF169" s="572">
        <v>0</v>
      </c>
      <c r="BG169" s="572">
        <v>0</v>
      </c>
      <c r="BH169" s="572">
        <v>212885</v>
      </c>
      <c r="BI169" s="572">
        <v>0</v>
      </c>
      <c r="BJ169" s="572">
        <v>0</v>
      </c>
      <c r="BK169" s="572">
        <v>0</v>
      </c>
      <c r="BL169" s="572">
        <v>205252</v>
      </c>
      <c r="BM169" s="572">
        <v>0</v>
      </c>
      <c r="BN169" s="572">
        <v>0</v>
      </c>
      <c r="BO169" s="572">
        <v>0</v>
      </c>
      <c r="BP169" s="572">
        <v>0</v>
      </c>
      <c r="BQ169" s="572">
        <v>0</v>
      </c>
      <c r="BR169" s="572">
        <v>0</v>
      </c>
      <c r="BS169" s="572">
        <v>0</v>
      </c>
      <c r="BT169" s="572">
        <v>0</v>
      </c>
      <c r="BU169" s="572">
        <v>0</v>
      </c>
      <c r="BV169" s="572">
        <v>0</v>
      </c>
      <c r="BW169" s="572">
        <v>0</v>
      </c>
      <c r="BX169" s="572">
        <v>0</v>
      </c>
      <c r="BY169" s="572">
        <v>0</v>
      </c>
      <c r="BZ169" s="572">
        <v>0</v>
      </c>
      <c r="CA169" s="572">
        <v>7907</v>
      </c>
      <c r="CB169" s="572">
        <v>0</v>
      </c>
      <c r="CC169" s="572">
        <v>175680</v>
      </c>
      <c r="CD169" s="572">
        <v>0</v>
      </c>
      <c r="CE169" s="572">
        <v>0</v>
      </c>
      <c r="CF169" s="572">
        <v>0</v>
      </c>
      <c r="CG169" s="572">
        <v>31321</v>
      </c>
      <c r="CH169" s="572">
        <v>6808422</v>
      </c>
      <c r="CI169" s="572">
        <v>0</v>
      </c>
      <c r="CJ169" s="572">
        <v>0</v>
      </c>
      <c r="CK169" s="572">
        <v>0</v>
      </c>
      <c r="CL169" s="572">
        <v>0</v>
      </c>
      <c r="CM169" s="572">
        <v>0</v>
      </c>
      <c r="CN169" s="572">
        <v>0</v>
      </c>
      <c r="CO169" s="572">
        <v>12540</v>
      </c>
      <c r="CP169" s="572">
        <v>0</v>
      </c>
      <c r="CQ169" s="572">
        <v>0</v>
      </c>
    </row>
    <row r="170" spans="1:95" ht="30" x14ac:dyDescent="0.25">
      <c r="A170" s="668">
        <v>520</v>
      </c>
      <c r="B170" s="590">
        <v>520</v>
      </c>
      <c r="C170" s="570" t="s">
        <v>361</v>
      </c>
      <c r="D170" s="567" t="s">
        <v>869</v>
      </c>
      <c r="E170" s="573">
        <v>0</v>
      </c>
      <c r="F170" s="574">
        <v>0</v>
      </c>
      <c r="G170" s="574">
        <v>128927</v>
      </c>
      <c r="H170" s="574">
        <v>354390</v>
      </c>
      <c r="I170" s="574">
        <v>271747</v>
      </c>
      <c r="J170" s="574">
        <v>33654</v>
      </c>
      <c r="K170" s="575">
        <v>3308748</v>
      </c>
      <c r="L170" s="572">
        <v>185541</v>
      </c>
      <c r="M170" s="572">
        <v>0</v>
      </c>
      <c r="N170" s="571">
        <v>110355</v>
      </c>
      <c r="O170" s="571">
        <v>141789</v>
      </c>
      <c r="P170" s="571">
        <v>0</v>
      </c>
      <c r="Q170" s="571">
        <v>82553</v>
      </c>
      <c r="R170" s="571">
        <v>0</v>
      </c>
      <c r="S170" s="571">
        <v>0</v>
      </c>
      <c r="T170" s="571">
        <v>0</v>
      </c>
      <c r="U170" s="571">
        <v>0</v>
      </c>
      <c r="V170" s="571">
        <v>0</v>
      </c>
      <c r="W170" s="571">
        <v>105467</v>
      </c>
      <c r="X170" s="571">
        <v>0</v>
      </c>
      <c r="Y170" s="571">
        <v>281942</v>
      </c>
      <c r="Z170" s="571">
        <v>0</v>
      </c>
      <c r="AA170" s="571">
        <v>1116256</v>
      </c>
      <c r="AB170" s="572">
        <v>562686</v>
      </c>
      <c r="AC170" s="572">
        <v>33245</v>
      </c>
      <c r="AD170" s="572">
        <v>96001</v>
      </c>
      <c r="AE170" s="572">
        <v>1774240</v>
      </c>
      <c r="AF170" s="572">
        <v>0</v>
      </c>
      <c r="AG170" s="572">
        <v>133559</v>
      </c>
      <c r="AH170" s="572">
        <v>0</v>
      </c>
      <c r="AI170" s="572">
        <v>71407</v>
      </c>
      <c r="AJ170" s="572">
        <v>761140</v>
      </c>
      <c r="AK170" s="572">
        <v>404950</v>
      </c>
      <c r="AL170" s="572">
        <v>121621</v>
      </c>
      <c r="AM170" s="572">
        <v>210297</v>
      </c>
      <c r="AN170" s="572">
        <v>0</v>
      </c>
      <c r="AO170" s="572">
        <v>0</v>
      </c>
      <c r="AP170" s="572">
        <v>789917</v>
      </c>
      <c r="AQ170" s="572">
        <v>0</v>
      </c>
      <c r="AR170" s="572">
        <v>0</v>
      </c>
      <c r="AS170" s="572">
        <v>0</v>
      </c>
      <c r="AT170" s="572">
        <v>0</v>
      </c>
      <c r="AU170" s="572">
        <v>0</v>
      </c>
      <c r="AV170" s="572">
        <v>25947</v>
      </c>
      <c r="AW170" s="572">
        <v>303186</v>
      </c>
      <c r="AX170" s="572">
        <v>0</v>
      </c>
      <c r="AY170" s="572">
        <v>0</v>
      </c>
      <c r="AZ170" s="572">
        <v>0</v>
      </c>
      <c r="BA170" s="572">
        <v>802399</v>
      </c>
      <c r="BB170" s="572">
        <v>0</v>
      </c>
      <c r="BC170" s="572">
        <v>115115</v>
      </c>
      <c r="BD170" s="572">
        <v>132062</v>
      </c>
      <c r="BE170" s="572">
        <v>58838</v>
      </c>
      <c r="BF170" s="572">
        <v>234426</v>
      </c>
      <c r="BG170" s="572">
        <v>536631</v>
      </c>
      <c r="BH170" s="572">
        <v>976298</v>
      </c>
      <c r="BI170" s="572">
        <v>0</v>
      </c>
      <c r="BJ170" s="572">
        <v>0</v>
      </c>
      <c r="BK170" s="572">
        <v>0</v>
      </c>
      <c r="BL170" s="572">
        <v>703895</v>
      </c>
      <c r="BM170" s="572">
        <v>303033</v>
      </c>
      <c r="BN170" s="572">
        <v>0</v>
      </c>
      <c r="BO170" s="572">
        <v>0</v>
      </c>
      <c r="BP170" s="572">
        <v>0</v>
      </c>
      <c r="BQ170" s="572">
        <v>0</v>
      </c>
      <c r="BR170" s="572">
        <v>0</v>
      </c>
      <c r="BS170" s="572">
        <v>0</v>
      </c>
      <c r="BT170" s="572">
        <v>284483</v>
      </c>
      <c r="BU170" s="572">
        <v>0</v>
      </c>
      <c r="BV170" s="572">
        <v>71275</v>
      </c>
      <c r="BW170" s="572">
        <v>119422</v>
      </c>
      <c r="BX170" s="572">
        <v>397209</v>
      </c>
      <c r="BY170" s="572">
        <v>17217</v>
      </c>
      <c r="BZ170" s="572">
        <v>0</v>
      </c>
      <c r="CA170" s="572">
        <v>565705</v>
      </c>
      <c r="CB170" s="572">
        <v>0</v>
      </c>
      <c r="CC170" s="572">
        <v>2547325</v>
      </c>
      <c r="CD170" s="572">
        <v>7564</v>
      </c>
      <c r="CE170" s="572">
        <v>207366</v>
      </c>
      <c r="CF170" s="572">
        <v>0</v>
      </c>
      <c r="CG170" s="572">
        <v>205865</v>
      </c>
      <c r="CH170" s="572">
        <v>19183383</v>
      </c>
      <c r="CI170" s="572">
        <v>184512</v>
      </c>
      <c r="CJ170" s="572">
        <v>166225</v>
      </c>
      <c r="CK170" s="572">
        <v>0</v>
      </c>
      <c r="CL170" s="572">
        <v>53539</v>
      </c>
      <c r="CM170" s="572">
        <v>163873</v>
      </c>
      <c r="CN170" s="572">
        <v>532662</v>
      </c>
      <c r="CO170" s="572">
        <v>269561</v>
      </c>
      <c r="CP170" s="572">
        <v>0</v>
      </c>
      <c r="CQ170" s="572">
        <v>0</v>
      </c>
    </row>
    <row r="171" spans="1:95" ht="30" x14ac:dyDescent="0.25">
      <c r="A171" s="668">
        <v>521</v>
      </c>
      <c r="B171" s="590">
        <v>521</v>
      </c>
      <c r="C171" s="570" t="s">
        <v>362</v>
      </c>
      <c r="D171" s="567" t="s">
        <v>870</v>
      </c>
      <c r="E171" s="573">
        <v>0</v>
      </c>
      <c r="F171" s="574">
        <v>0</v>
      </c>
      <c r="G171" s="574">
        <v>0</v>
      </c>
      <c r="H171" s="574">
        <v>0</v>
      </c>
      <c r="I171" s="574">
        <v>0</v>
      </c>
      <c r="J171" s="574">
        <v>0</v>
      </c>
      <c r="K171" s="575">
        <v>0</v>
      </c>
      <c r="L171" s="572">
        <v>0</v>
      </c>
      <c r="M171" s="572">
        <v>0</v>
      </c>
      <c r="N171" s="571">
        <v>0</v>
      </c>
      <c r="O171" s="571">
        <v>0</v>
      </c>
      <c r="P171" s="571">
        <v>0</v>
      </c>
      <c r="Q171" s="571">
        <v>126</v>
      </c>
      <c r="R171" s="571">
        <v>0</v>
      </c>
      <c r="S171" s="571">
        <v>0</v>
      </c>
      <c r="T171" s="571">
        <v>0</v>
      </c>
      <c r="U171" s="571">
        <v>0</v>
      </c>
      <c r="V171" s="571">
        <v>0</v>
      </c>
      <c r="W171" s="571">
        <v>0</v>
      </c>
      <c r="X171" s="571">
        <v>0</v>
      </c>
      <c r="Y171" s="571">
        <v>0</v>
      </c>
      <c r="Z171" s="571">
        <v>0</v>
      </c>
      <c r="AA171" s="571">
        <v>0</v>
      </c>
      <c r="AB171" s="572">
        <v>0</v>
      </c>
      <c r="AC171" s="572">
        <v>0</v>
      </c>
      <c r="AD171" s="572">
        <v>0</v>
      </c>
      <c r="AE171" s="572">
        <v>1309795</v>
      </c>
      <c r="AF171" s="572">
        <v>0</v>
      </c>
      <c r="AG171" s="572">
        <v>0</v>
      </c>
      <c r="AH171" s="572">
        <v>0</v>
      </c>
      <c r="AI171" s="572">
        <v>0</v>
      </c>
      <c r="AJ171" s="572">
        <v>0</v>
      </c>
      <c r="AK171" s="572">
        <v>0</v>
      </c>
      <c r="AL171" s="572">
        <v>0</v>
      </c>
      <c r="AM171" s="572">
        <v>0</v>
      </c>
      <c r="AN171" s="572">
        <v>0</v>
      </c>
      <c r="AO171" s="572">
        <v>0</v>
      </c>
      <c r="AP171" s="572">
        <v>0</v>
      </c>
      <c r="AQ171" s="572">
        <v>0</v>
      </c>
      <c r="AR171" s="572">
        <v>0</v>
      </c>
      <c r="AS171" s="572">
        <v>0</v>
      </c>
      <c r="AT171" s="572">
        <v>0</v>
      </c>
      <c r="AU171" s="572">
        <v>0</v>
      </c>
      <c r="AV171" s="572">
        <v>0</v>
      </c>
      <c r="AW171" s="572">
        <v>0</v>
      </c>
      <c r="AX171" s="572">
        <v>99107</v>
      </c>
      <c r="AY171" s="572">
        <v>0</v>
      </c>
      <c r="AZ171" s="572">
        <v>0</v>
      </c>
      <c r="BA171" s="572">
        <v>0</v>
      </c>
      <c r="BB171" s="572">
        <v>0</v>
      </c>
      <c r="BC171" s="572">
        <v>0</v>
      </c>
      <c r="BD171" s="572">
        <v>0</v>
      </c>
      <c r="BE171" s="572">
        <v>0</v>
      </c>
      <c r="BF171" s="572">
        <v>0</v>
      </c>
      <c r="BG171" s="572">
        <v>0</v>
      </c>
      <c r="BH171" s="572">
        <v>0</v>
      </c>
      <c r="BI171" s="572">
        <v>0</v>
      </c>
      <c r="BJ171" s="572">
        <v>0</v>
      </c>
      <c r="BK171" s="572">
        <v>0</v>
      </c>
      <c r="BL171" s="572">
        <v>0</v>
      </c>
      <c r="BM171" s="572">
        <v>0</v>
      </c>
      <c r="BN171" s="572">
        <v>0</v>
      </c>
      <c r="BO171" s="572">
        <v>0</v>
      </c>
      <c r="BP171" s="572">
        <v>0</v>
      </c>
      <c r="BQ171" s="572">
        <v>0</v>
      </c>
      <c r="BR171" s="572">
        <v>0</v>
      </c>
      <c r="BS171" s="572">
        <v>0</v>
      </c>
      <c r="BT171" s="572">
        <v>0</v>
      </c>
      <c r="BU171" s="572">
        <v>0</v>
      </c>
      <c r="BV171" s="572">
        <v>0</v>
      </c>
      <c r="BW171" s="572">
        <v>0</v>
      </c>
      <c r="BX171" s="572">
        <v>0</v>
      </c>
      <c r="BY171" s="572">
        <v>0</v>
      </c>
      <c r="BZ171" s="572">
        <v>0</v>
      </c>
      <c r="CA171" s="572">
        <v>0</v>
      </c>
      <c r="CB171" s="572">
        <v>0</v>
      </c>
      <c r="CC171" s="572">
        <v>809825</v>
      </c>
      <c r="CD171" s="572">
        <v>0</v>
      </c>
      <c r="CE171" s="572">
        <v>0</v>
      </c>
      <c r="CF171" s="572">
        <v>0</v>
      </c>
      <c r="CG171" s="572">
        <v>535</v>
      </c>
      <c r="CH171" s="572">
        <v>0</v>
      </c>
      <c r="CI171" s="572">
        <v>0</v>
      </c>
      <c r="CJ171" s="572">
        <v>0</v>
      </c>
      <c r="CK171" s="572">
        <v>0</v>
      </c>
      <c r="CL171" s="572">
        <v>0</v>
      </c>
      <c r="CM171" s="572">
        <v>0</v>
      </c>
      <c r="CN171" s="572">
        <v>0</v>
      </c>
      <c r="CO171" s="572">
        <v>0</v>
      </c>
      <c r="CP171" s="572">
        <v>0</v>
      </c>
      <c r="CQ171" s="572">
        <v>0</v>
      </c>
    </row>
    <row r="172" spans="1:95" ht="30" x14ac:dyDescent="0.25">
      <c r="A172" s="668">
        <v>522</v>
      </c>
      <c r="B172" s="590">
        <v>522</v>
      </c>
      <c r="C172" s="570" t="s">
        <v>363</v>
      </c>
      <c r="D172" s="567" t="s">
        <v>871</v>
      </c>
      <c r="E172" s="573">
        <v>0</v>
      </c>
      <c r="F172" s="574">
        <v>0</v>
      </c>
      <c r="G172" s="574">
        <v>0</v>
      </c>
      <c r="H172" s="574">
        <v>26880</v>
      </c>
      <c r="I172" s="574">
        <v>33669</v>
      </c>
      <c r="J172" s="574">
        <v>10476</v>
      </c>
      <c r="K172" s="575">
        <v>209241</v>
      </c>
      <c r="L172" s="572">
        <v>3837</v>
      </c>
      <c r="M172" s="572">
        <v>0</v>
      </c>
      <c r="N172" s="571">
        <v>1800</v>
      </c>
      <c r="O172" s="571">
        <v>12380</v>
      </c>
      <c r="P172" s="571">
        <v>0</v>
      </c>
      <c r="Q172" s="571">
        <v>3518</v>
      </c>
      <c r="R172" s="571">
        <v>0</v>
      </c>
      <c r="S172" s="571">
        <v>0</v>
      </c>
      <c r="T172" s="571">
        <v>0</v>
      </c>
      <c r="U172" s="571">
        <v>0</v>
      </c>
      <c r="V172" s="571">
        <v>0</v>
      </c>
      <c r="W172" s="571">
        <v>2925</v>
      </c>
      <c r="X172" s="571">
        <v>0</v>
      </c>
      <c r="Y172" s="571">
        <v>8540</v>
      </c>
      <c r="Z172" s="571">
        <v>0</v>
      </c>
      <c r="AA172" s="571">
        <v>40731</v>
      </c>
      <c r="AB172" s="572">
        <v>57126</v>
      </c>
      <c r="AC172" s="572">
        <v>0</v>
      </c>
      <c r="AD172" s="572">
        <v>0</v>
      </c>
      <c r="AE172" s="572">
        <v>254473</v>
      </c>
      <c r="AF172" s="572">
        <v>0</v>
      </c>
      <c r="AG172" s="572">
        <v>11693</v>
      </c>
      <c r="AH172" s="572">
        <v>0</v>
      </c>
      <c r="AI172" s="572">
        <v>1229</v>
      </c>
      <c r="AJ172" s="572">
        <v>17691</v>
      </c>
      <c r="AK172" s="572">
        <v>64970</v>
      </c>
      <c r="AL172" s="572">
        <v>57791</v>
      </c>
      <c r="AM172" s="572">
        <v>32893</v>
      </c>
      <c r="AN172" s="572">
        <v>10412</v>
      </c>
      <c r="AO172" s="572">
        <v>0</v>
      </c>
      <c r="AP172" s="572">
        <v>66553</v>
      </c>
      <c r="AQ172" s="572">
        <v>0</v>
      </c>
      <c r="AR172" s="572">
        <v>0</v>
      </c>
      <c r="AS172" s="572">
        <v>0</v>
      </c>
      <c r="AT172" s="572">
        <v>0</v>
      </c>
      <c r="AU172" s="572">
        <v>0</v>
      </c>
      <c r="AV172" s="572">
        <v>0</v>
      </c>
      <c r="AW172" s="572">
        <v>60935</v>
      </c>
      <c r="AX172" s="572">
        <v>4946</v>
      </c>
      <c r="AY172" s="572">
        <v>0</v>
      </c>
      <c r="AZ172" s="572">
        <v>0</v>
      </c>
      <c r="BA172" s="572">
        <v>69035</v>
      </c>
      <c r="BB172" s="572">
        <v>0</v>
      </c>
      <c r="BC172" s="572">
        <v>19242</v>
      </c>
      <c r="BD172" s="572">
        <v>0</v>
      </c>
      <c r="BE172" s="572">
        <v>5824</v>
      </c>
      <c r="BF172" s="572">
        <v>41464</v>
      </c>
      <c r="BG172" s="572">
        <v>16565</v>
      </c>
      <c r="BH172" s="572">
        <v>297592</v>
      </c>
      <c r="BI172" s="572">
        <v>0</v>
      </c>
      <c r="BJ172" s="572">
        <v>0</v>
      </c>
      <c r="BK172" s="572">
        <v>0</v>
      </c>
      <c r="BL172" s="572">
        <v>146618</v>
      </c>
      <c r="BM172" s="572">
        <v>46258</v>
      </c>
      <c r="BN172" s="572">
        <v>0</v>
      </c>
      <c r="BO172" s="572">
        <v>0</v>
      </c>
      <c r="BP172" s="572">
        <v>0</v>
      </c>
      <c r="BQ172" s="572">
        <v>0</v>
      </c>
      <c r="BR172" s="572">
        <v>0</v>
      </c>
      <c r="BS172" s="572">
        <v>0</v>
      </c>
      <c r="BT172" s="572">
        <v>18787</v>
      </c>
      <c r="BU172" s="572">
        <v>0</v>
      </c>
      <c r="BV172" s="572">
        <v>0</v>
      </c>
      <c r="BW172" s="572">
        <v>12093</v>
      </c>
      <c r="BX172" s="572">
        <v>480918</v>
      </c>
      <c r="BY172" s="572">
        <v>0</v>
      </c>
      <c r="BZ172" s="572">
        <v>0</v>
      </c>
      <c r="CA172" s="572">
        <v>58891</v>
      </c>
      <c r="CB172" s="572">
        <v>0</v>
      </c>
      <c r="CC172" s="572">
        <v>676802</v>
      </c>
      <c r="CD172" s="572">
        <v>0</v>
      </c>
      <c r="CE172" s="572">
        <v>11916</v>
      </c>
      <c r="CF172" s="572">
        <v>0</v>
      </c>
      <c r="CG172" s="572">
        <v>30668</v>
      </c>
      <c r="CH172" s="572">
        <v>947754</v>
      </c>
      <c r="CI172" s="572">
        <v>15508</v>
      </c>
      <c r="CJ172" s="572">
        <v>7610</v>
      </c>
      <c r="CK172" s="572">
        <v>0</v>
      </c>
      <c r="CL172" s="572">
        <v>14631</v>
      </c>
      <c r="CM172" s="572">
        <v>59573</v>
      </c>
      <c r="CN172" s="572">
        <v>75686</v>
      </c>
      <c r="CO172" s="572">
        <v>31506</v>
      </c>
      <c r="CP172" s="572">
        <v>0</v>
      </c>
      <c r="CQ172" s="572">
        <v>0</v>
      </c>
    </row>
    <row r="173" spans="1:95" x14ac:dyDescent="0.25">
      <c r="A173" s="668">
        <v>523</v>
      </c>
      <c r="B173" s="590">
        <v>523</v>
      </c>
      <c r="C173" s="570" t="s">
        <v>364</v>
      </c>
      <c r="D173" s="567" t="s">
        <v>872</v>
      </c>
      <c r="E173" s="573">
        <v>0</v>
      </c>
      <c r="F173" s="574">
        <v>0</v>
      </c>
      <c r="G173" s="574">
        <v>0</v>
      </c>
      <c r="H173" s="574">
        <v>27141</v>
      </c>
      <c r="I173" s="574">
        <v>7457</v>
      </c>
      <c r="J173" s="574">
        <v>0</v>
      </c>
      <c r="K173" s="575">
        <v>0</v>
      </c>
      <c r="L173" s="572">
        <v>0</v>
      </c>
      <c r="M173" s="572">
        <v>0</v>
      </c>
      <c r="N173" s="571">
        <v>0</v>
      </c>
      <c r="O173" s="571">
        <v>0</v>
      </c>
      <c r="P173" s="571">
        <v>0</v>
      </c>
      <c r="Q173" s="571">
        <v>5864</v>
      </c>
      <c r="R173" s="571">
        <v>0</v>
      </c>
      <c r="S173" s="571">
        <v>0</v>
      </c>
      <c r="T173" s="571">
        <v>0</v>
      </c>
      <c r="U173" s="571">
        <v>0</v>
      </c>
      <c r="V173" s="571">
        <v>0</v>
      </c>
      <c r="W173" s="571">
        <v>0</v>
      </c>
      <c r="X173" s="571">
        <v>0</v>
      </c>
      <c r="Y173" s="571">
        <v>0</v>
      </c>
      <c r="Z173" s="571">
        <v>0</v>
      </c>
      <c r="AA173" s="571">
        <v>0</v>
      </c>
      <c r="AB173" s="572">
        <v>62466</v>
      </c>
      <c r="AC173" s="572">
        <v>0</v>
      </c>
      <c r="AD173" s="572">
        <v>0</v>
      </c>
      <c r="AE173" s="572">
        <v>7175742</v>
      </c>
      <c r="AF173" s="572">
        <v>0</v>
      </c>
      <c r="AG173" s="572">
        <v>4433</v>
      </c>
      <c r="AH173" s="572">
        <v>0</v>
      </c>
      <c r="AI173" s="572">
        <v>0</v>
      </c>
      <c r="AJ173" s="572">
        <v>291</v>
      </c>
      <c r="AK173" s="572">
        <v>286569</v>
      </c>
      <c r="AL173" s="572">
        <v>2011938</v>
      </c>
      <c r="AM173" s="572">
        <v>84456</v>
      </c>
      <c r="AN173" s="572">
        <v>0</v>
      </c>
      <c r="AO173" s="572">
        <v>0</v>
      </c>
      <c r="AP173" s="572">
        <v>0</v>
      </c>
      <c r="AQ173" s="572">
        <v>0</v>
      </c>
      <c r="AR173" s="572">
        <v>0</v>
      </c>
      <c r="AS173" s="572">
        <v>0</v>
      </c>
      <c r="AT173" s="572">
        <v>0</v>
      </c>
      <c r="AU173" s="572">
        <v>0</v>
      </c>
      <c r="AV173" s="572">
        <v>0</v>
      </c>
      <c r="AW173" s="572">
        <v>0</v>
      </c>
      <c r="AX173" s="572">
        <v>0</v>
      </c>
      <c r="AY173" s="572">
        <v>0</v>
      </c>
      <c r="AZ173" s="572">
        <v>0</v>
      </c>
      <c r="BA173" s="572">
        <v>67110</v>
      </c>
      <c r="BB173" s="572">
        <v>0</v>
      </c>
      <c r="BC173" s="572">
        <v>0</v>
      </c>
      <c r="BD173" s="572">
        <v>0</v>
      </c>
      <c r="BE173" s="572">
        <v>0</v>
      </c>
      <c r="BF173" s="572">
        <v>0</v>
      </c>
      <c r="BG173" s="572">
        <v>0</v>
      </c>
      <c r="BH173" s="572">
        <v>6326903</v>
      </c>
      <c r="BI173" s="572">
        <v>0</v>
      </c>
      <c r="BJ173" s="572">
        <v>0</v>
      </c>
      <c r="BK173" s="572">
        <v>0</v>
      </c>
      <c r="BL173" s="572">
        <v>8295890</v>
      </c>
      <c r="BM173" s="572">
        <v>0</v>
      </c>
      <c r="BN173" s="572">
        <v>0</v>
      </c>
      <c r="BO173" s="572">
        <v>0</v>
      </c>
      <c r="BP173" s="572">
        <v>0</v>
      </c>
      <c r="BQ173" s="572">
        <v>0</v>
      </c>
      <c r="BR173" s="572">
        <v>0</v>
      </c>
      <c r="BS173" s="572">
        <v>0</v>
      </c>
      <c r="BT173" s="572">
        <v>0</v>
      </c>
      <c r="BU173" s="572">
        <v>0</v>
      </c>
      <c r="BV173" s="572">
        <v>3435</v>
      </c>
      <c r="BW173" s="572">
        <v>0</v>
      </c>
      <c r="BX173" s="572">
        <v>0</v>
      </c>
      <c r="BY173" s="572">
        <v>0</v>
      </c>
      <c r="BZ173" s="572">
        <v>0</v>
      </c>
      <c r="CA173" s="572">
        <v>144930</v>
      </c>
      <c r="CB173" s="572">
        <v>0</v>
      </c>
      <c r="CC173" s="572">
        <v>4616381</v>
      </c>
      <c r="CD173" s="572">
        <v>0</v>
      </c>
      <c r="CE173" s="572">
        <v>0</v>
      </c>
      <c r="CF173" s="572">
        <v>0</v>
      </c>
      <c r="CG173" s="572">
        <v>58245</v>
      </c>
      <c r="CH173" s="572">
        <v>105372775</v>
      </c>
      <c r="CI173" s="572">
        <v>0</v>
      </c>
      <c r="CJ173" s="572">
        <v>21286</v>
      </c>
      <c r="CK173" s="572">
        <v>0</v>
      </c>
      <c r="CL173" s="572">
        <v>0</v>
      </c>
      <c r="CM173" s="572">
        <v>0</v>
      </c>
      <c r="CN173" s="572">
        <v>0</v>
      </c>
      <c r="CO173" s="572">
        <v>243189</v>
      </c>
      <c r="CP173" s="572">
        <v>0</v>
      </c>
      <c r="CQ173" s="572">
        <v>0</v>
      </c>
    </row>
    <row r="174" spans="1:95" ht="30" x14ac:dyDescent="0.25">
      <c r="A174" s="668">
        <v>524</v>
      </c>
      <c r="B174" s="590">
        <v>524</v>
      </c>
      <c r="C174" s="570" t="s">
        <v>365</v>
      </c>
      <c r="D174" s="567" t="s">
        <v>873</v>
      </c>
      <c r="E174" s="573">
        <v>0</v>
      </c>
      <c r="F174" s="574">
        <v>0</v>
      </c>
      <c r="G174" s="574">
        <v>1981067</v>
      </c>
      <c r="H174" s="574">
        <v>6591181</v>
      </c>
      <c r="I174" s="574">
        <v>3871002</v>
      </c>
      <c r="J174" s="574">
        <v>3684614</v>
      </c>
      <c r="K174" s="575">
        <v>53567351</v>
      </c>
      <c r="L174" s="572">
        <v>3297619</v>
      </c>
      <c r="M174" s="572">
        <v>0</v>
      </c>
      <c r="N174" s="571">
        <v>1447462</v>
      </c>
      <c r="O174" s="571">
        <v>2754186</v>
      </c>
      <c r="P174" s="571">
        <v>0</v>
      </c>
      <c r="Q174" s="571">
        <v>1515476</v>
      </c>
      <c r="R174" s="571">
        <v>0</v>
      </c>
      <c r="S174" s="571">
        <v>0</v>
      </c>
      <c r="T174" s="571">
        <v>0</v>
      </c>
      <c r="U174" s="571">
        <v>0</v>
      </c>
      <c r="V174" s="571">
        <v>0</v>
      </c>
      <c r="W174" s="571">
        <v>1388394</v>
      </c>
      <c r="X174" s="571">
        <v>0</v>
      </c>
      <c r="Y174" s="571">
        <v>4812804</v>
      </c>
      <c r="Z174" s="571">
        <v>0</v>
      </c>
      <c r="AA174" s="571">
        <v>26214751</v>
      </c>
      <c r="AB174" s="572">
        <v>7101702</v>
      </c>
      <c r="AC174" s="572">
        <v>919066</v>
      </c>
      <c r="AD174" s="572">
        <v>1473988</v>
      </c>
      <c r="AE174" s="572">
        <v>17986671</v>
      </c>
      <c r="AF174" s="572">
        <v>0</v>
      </c>
      <c r="AG174" s="572">
        <v>1505694</v>
      </c>
      <c r="AH174" s="572">
        <v>0</v>
      </c>
      <c r="AI174" s="572">
        <v>1122062</v>
      </c>
      <c r="AJ174" s="572">
        <v>5194846</v>
      </c>
      <c r="AK174" s="572">
        <v>6366217</v>
      </c>
      <c r="AL174" s="572">
        <v>7601244</v>
      </c>
      <c r="AM174" s="572">
        <v>8025042</v>
      </c>
      <c r="AN174" s="572">
        <v>0</v>
      </c>
      <c r="AO174" s="572">
        <v>0</v>
      </c>
      <c r="AP174" s="572">
        <v>23074426</v>
      </c>
      <c r="AQ174" s="572">
        <v>0</v>
      </c>
      <c r="AR174" s="572">
        <v>0</v>
      </c>
      <c r="AS174" s="572">
        <v>0</v>
      </c>
      <c r="AT174" s="572">
        <v>0</v>
      </c>
      <c r="AU174" s="572">
        <v>0</v>
      </c>
      <c r="AV174" s="572">
        <v>659124</v>
      </c>
      <c r="AW174" s="572">
        <v>10091319</v>
      </c>
      <c r="AX174" s="572">
        <v>1511800</v>
      </c>
      <c r="AY174" s="572">
        <v>0</v>
      </c>
      <c r="AZ174" s="572">
        <v>0</v>
      </c>
      <c r="BA174" s="572">
        <v>13630458</v>
      </c>
      <c r="BB174" s="572">
        <v>0</v>
      </c>
      <c r="BC174" s="572">
        <v>3074712</v>
      </c>
      <c r="BD174" s="572">
        <v>1171265</v>
      </c>
      <c r="BE174" s="572">
        <v>946367</v>
      </c>
      <c r="BF174" s="572">
        <v>3227195</v>
      </c>
      <c r="BG174" s="572">
        <v>7545495</v>
      </c>
      <c r="BH174" s="572">
        <v>30170927</v>
      </c>
      <c r="BI174" s="572">
        <v>0</v>
      </c>
      <c r="BJ174" s="572">
        <v>0</v>
      </c>
      <c r="BK174" s="572">
        <v>0</v>
      </c>
      <c r="BL174" s="572">
        <v>18500745</v>
      </c>
      <c r="BM174" s="572">
        <v>6046001</v>
      </c>
      <c r="BN174" s="572">
        <v>0</v>
      </c>
      <c r="BO174" s="572">
        <v>0</v>
      </c>
      <c r="BP174" s="572">
        <v>0</v>
      </c>
      <c r="BQ174" s="572">
        <v>0</v>
      </c>
      <c r="BR174" s="572">
        <v>0</v>
      </c>
      <c r="BS174" s="572">
        <v>0</v>
      </c>
      <c r="BT174" s="572">
        <v>5671911</v>
      </c>
      <c r="BU174" s="572">
        <v>0</v>
      </c>
      <c r="BV174" s="572">
        <v>1090293</v>
      </c>
      <c r="BW174" s="572">
        <v>3018265</v>
      </c>
      <c r="BX174" s="572">
        <v>9547077</v>
      </c>
      <c r="BY174" s="572">
        <v>100433</v>
      </c>
      <c r="BZ174" s="572">
        <v>0</v>
      </c>
      <c r="CA174" s="572">
        <v>13549355</v>
      </c>
      <c r="CB174" s="572">
        <v>0</v>
      </c>
      <c r="CC174" s="572">
        <v>62043294</v>
      </c>
      <c r="CD174" s="572">
        <v>82577</v>
      </c>
      <c r="CE174" s="572">
        <v>5353894</v>
      </c>
      <c r="CF174" s="572">
        <v>0</v>
      </c>
      <c r="CG174" s="572">
        <v>2400332</v>
      </c>
      <c r="CH174" s="572">
        <v>358943589</v>
      </c>
      <c r="CI174" s="572">
        <v>4139366</v>
      </c>
      <c r="CJ174" s="572">
        <v>3894334</v>
      </c>
      <c r="CK174" s="572">
        <v>0</v>
      </c>
      <c r="CL174" s="572">
        <v>1656624</v>
      </c>
      <c r="CM174" s="572">
        <v>5919247</v>
      </c>
      <c r="CN174" s="572">
        <v>11840471</v>
      </c>
      <c r="CO174" s="572">
        <v>5377714</v>
      </c>
      <c r="CP174" s="572">
        <v>0</v>
      </c>
      <c r="CQ174" s="572">
        <v>0</v>
      </c>
    </row>
    <row r="175" spans="1:95" x14ac:dyDescent="0.25">
      <c r="A175" s="668">
        <v>525</v>
      </c>
      <c r="B175" s="590">
        <v>525</v>
      </c>
      <c r="C175" s="570" t="s">
        <v>366</v>
      </c>
      <c r="D175" s="567" t="s">
        <v>874</v>
      </c>
      <c r="E175" s="573">
        <v>0</v>
      </c>
      <c r="F175" s="574">
        <v>0</v>
      </c>
      <c r="G175" s="574">
        <v>0</v>
      </c>
      <c r="H175" s="574">
        <v>0</v>
      </c>
      <c r="I175" s="574">
        <v>0</v>
      </c>
      <c r="J175" s="574">
        <v>0</v>
      </c>
      <c r="K175" s="575">
        <v>0</v>
      </c>
      <c r="L175" s="572">
        <v>0</v>
      </c>
      <c r="M175" s="572">
        <v>0</v>
      </c>
      <c r="N175" s="571">
        <v>0</v>
      </c>
      <c r="O175" s="571">
        <v>0</v>
      </c>
      <c r="P175" s="571">
        <v>0</v>
      </c>
      <c r="Q175" s="571">
        <v>1937</v>
      </c>
      <c r="R175" s="571">
        <v>0</v>
      </c>
      <c r="S175" s="571">
        <v>0</v>
      </c>
      <c r="T175" s="571">
        <v>0</v>
      </c>
      <c r="U175" s="571">
        <v>0</v>
      </c>
      <c r="V175" s="571">
        <v>0</v>
      </c>
      <c r="W175" s="571">
        <v>0</v>
      </c>
      <c r="X175" s="571">
        <v>0</v>
      </c>
      <c r="Y175" s="571">
        <v>0</v>
      </c>
      <c r="Z175" s="571">
        <v>0</v>
      </c>
      <c r="AA175" s="571">
        <v>0</v>
      </c>
      <c r="AB175" s="572">
        <v>0</v>
      </c>
      <c r="AC175" s="572">
        <v>0</v>
      </c>
      <c r="AD175" s="572">
        <v>0</v>
      </c>
      <c r="AE175" s="572">
        <v>38145809</v>
      </c>
      <c r="AF175" s="572">
        <v>0</v>
      </c>
      <c r="AG175" s="572">
        <v>0</v>
      </c>
      <c r="AH175" s="572">
        <v>0</v>
      </c>
      <c r="AI175" s="572">
        <v>0</v>
      </c>
      <c r="AJ175" s="572">
        <v>0</v>
      </c>
      <c r="AK175" s="572">
        <v>0</v>
      </c>
      <c r="AL175" s="572">
        <v>0</v>
      </c>
      <c r="AM175" s="572">
        <v>0</v>
      </c>
      <c r="AN175" s="572">
        <v>0</v>
      </c>
      <c r="AO175" s="572">
        <v>0</v>
      </c>
      <c r="AP175" s="572">
        <v>0</v>
      </c>
      <c r="AQ175" s="572">
        <v>0</v>
      </c>
      <c r="AR175" s="572">
        <v>0</v>
      </c>
      <c r="AS175" s="572">
        <v>0</v>
      </c>
      <c r="AT175" s="572">
        <v>0</v>
      </c>
      <c r="AU175" s="572">
        <v>0</v>
      </c>
      <c r="AV175" s="572">
        <v>0</v>
      </c>
      <c r="AW175" s="572">
        <v>0</v>
      </c>
      <c r="AX175" s="572">
        <v>81903</v>
      </c>
      <c r="AY175" s="572">
        <v>0</v>
      </c>
      <c r="AZ175" s="572">
        <v>0</v>
      </c>
      <c r="BA175" s="572">
        <v>0</v>
      </c>
      <c r="BB175" s="572">
        <v>0</v>
      </c>
      <c r="BC175" s="572">
        <v>0</v>
      </c>
      <c r="BD175" s="572">
        <v>0</v>
      </c>
      <c r="BE175" s="572">
        <v>0</v>
      </c>
      <c r="BF175" s="572">
        <v>0</v>
      </c>
      <c r="BG175" s="572">
        <v>0</v>
      </c>
      <c r="BH175" s="572">
        <v>0</v>
      </c>
      <c r="BI175" s="572">
        <v>0</v>
      </c>
      <c r="BJ175" s="572">
        <v>0</v>
      </c>
      <c r="BK175" s="572">
        <v>0</v>
      </c>
      <c r="BL175" s="572">
        <v>0</v>
      </c>
      <c r="BM175" s="572">
        <v>0</v>
      </c>
      <c r="BN175" s="572">
        <v>0</v>
      </c>
      <c r="BO175" s="572">
        <v>0</v>
      </c>
      <c r="BP175" s="572">
        <v>0</v>
      </c>
      <c r="BQ175" s="572">
        <v>0</v>
      </c>
      <c r="BR175" s="572">
        <v>0</v>
      </c>
      <c r="BS175" s="572">
        <v>0</v>
      </c>
      <c r="BT175" s="572">
        <v>0</v>
      </c>
      <c r="BU175" s="572">
        <v>0</v>
      </c>
      <c r="BV175" s="572">
        <v>0</v>
      </c>
      <c r="BW175" s="572">
        <v>0</v>
      </c>
      <c r="BX175" s="572">
        <v>0</v>
      </c>
      <c r="BY175" s="572">
        <v>0</v>
      </c>
      <c r="BZ175" s="572">
        <v>0</v>
      </c>
      <c r="CA175" s="572">
        <v>0</v>
      </c>
      <c r="CB175" s="572">
        <v>0</v>
      </c>
      <c r="CC175" s="572">
        <v>16155967</v>
      </c>
      <c r="CD175" s="572">
        <v>0</v>
      </c>
      <c r="CE175" s="572">
        <v>0</v>
      </c>
      <c r="CF175" s="572">
        <v>0</v>
      </c>
      <c r="CG175" s="572">
        <v>535</v>
      </c>
      <c r="CH175" s="572">
        <v>0</v>
      </c>
      <c r="CI175" s="572">
        <v>0</v>
      </c>
      <c r="CJ175" s="572">
        <v>0</v>
      </c>
      <c r="CK175" s="572">
        <v>0</v>
      </c>
      <c r="CL175" s="572">
        <v>0</v>
      </c>
      <c r="CM175" s="572">
        <v>0</v>
      </c>
      <c r="CN175" s="572">
        <v>0</v>
      </c>
      <c r="CO175" s="572">
        <v>0</v>
      </c>
      <c r="CP175" s="572">
        <v>0</v>
      </c>
      <c r="CQ175" s="572">
        <v>0</v>
      </c>
    </row>
    <row r="176" spans="1:95" ht="30" x14ac:dyDescent="0.25">
      <c r="A176" s="668">
        <v>526</v>
      </c>
      <c r="B176" s="590">
        <v>526</v>
      </c>
      <c r="C176" s="570" t="s">
        <v>367</v>
      </c>
      <c r="D176" s="567" t="s">
        <v>875</v>
      </c>
      <c r="E176" s="573">
        <v>0</v>
      </c>
      <c r="F176" s="574">
        <v>0</v>
      </c>
      <c r="G176" s="574">
        <v>0</v>
      </c>
      <c r="H176" s="574">
        <v>286239</v>
      </c>
      <c r="I176" s="574">
        <v>235962</v>
      </c>
      <c r="J176" s="574">
        <v>181492</v>
      </c>
      <c r="K176" s="575">
        <v>3328452</v>
      </c>
      <c r="L176" s="572">
        <v>40565</v>
      </c>
      <c r="M176" s="572">
        <v>0</v>
      </c>
      <c r="N176" s="571">
        <v>2700</v>
      </c>
      <c r="O176" s="571">
        <v>181832</v>
      </c>
      <c r="P176" s="571">
        <v>0</v>
      </c>
      <c r="Q176" s="571">
        <v>141016</v>
      </c>
      <c r="R176" s="571">
        <v>0</v>
      </c>
      <c r="S176" s="571">
        <v>0</v>
      </c>
      <c r="T176" s="571">
        <v>0</v>
      </c>
      <c r="U176" s="571">
        <v>0</v>
      </c>
      <c r="V176" s="571">
        <v>0</v>
      </c>
      <c r="W176" s="571">
        <v>46506</v>
      </c>
      <c r="X176" s="571">
        <v>0</v>
      </c>
      <c r="Y176" s="571">
        <v>51616</v>
      </c>
      <c r="Z176" s="571">
        <v>0</v>
      </c>
      <c r="AA176" s="571">
        <v>1842753</v>
      </c>
      <c r="AB176" s="572">
        <v>723529</v>
      </c>
      <c r="AC176" s="572">
        <v>9619</v>
      </c>
      <c r="AD176" s="572">
        <v>30988</v>
      </c>
      <c r="AE176" s="572">
        <v>2699541</v>
      </c>
      <c r="AF176" s="572">
        <v>0</v>
      </c>
      <c r="AG176" s="572">
        <v>280284</v>
      </c>
      <c r="AH176" s="572">
        <v>0</v>
      </c>
      <c r="AI176" s="572">
        <v>65757</v>
      </c>
      <c r="AJ176" s="572">
        <v>58343</v>
      </c>
      <c r="AK176" s="572">
        <v>959364</v>
      </c>
      <c r="AL176" s="572">
        <v>1210323</v>
      </c>
      <c r="AM176" s="572">
        <v>1390542</v>
      </c>
      <c r="AN176" s="572">
        <v>424066</v>
      </c>
      <c r="AO176" s="572">
        <v>0</v>
      </c>
      <c r="AP176" s="572">
        <v>1988849</v>
      </c>
      <c r="AQ176" s="572">
        <v>0</v>
      </c>
      <c r="AR176" s="572">
        <v>0</v>
      </c>
      <c r="AS176" s="572">
        <v>0</v>
      </c>
      <c r="AT176" s="572">
        <v>0</v>
      </c>
      <c r="AU176" s="572">
        <v>0</v>
      </c>
      <c r="AV176" s="572">
        <v>3048</v>
      </c>
      <c r="AW176" s="572">
        <v>1021563</v>
      </c>
      <c r="AX176" s="572">
        <v>0</v>
      </c>
      <c r="AY176" s="572">
        <v>0</v>
      </c>
      <c r="AZ176" s="572">
        <v>0</v>
      </c>
      <c r="BA176" s="572">
        <v>1319483</v>
      </c>
      <c r="BB176" s="572">
        <v>0</v>
      </c>
      <c r="BC176" s="572">
        <v>525712</v>
      </c>
      <c r="BD176" s="572">
        <v>0</v>
      </c>
      <c r="BE176" s="572">
        <v>28602</v>
      </c>
      <c r="BF176" s="572">
        <v>546220</v>
      </c>
      <c r="BG176" s="572">
        <v>289099</v>
      </c>
      <c r="BH176" s="572">
        <v>5301305</v>
      </c>
      <c r="BI176" s="572">
        <v>0</v>
      </c>
      <c r="BJ176" s="572">
        <v>0</v>
      </c>
      <c r="BK176" s="572">
        <v>0</v>
      </c>
      <c r="BL176" s="572">
        <v>1583111</v>
      </c>
      <c r="BM176" s="572">
        <v>1059967</v>
      </c>
      <c r="BN176" s="572">
        <v>0</v>
      </c>
      <c r="BO176" s="572">
        <v>0</v>
      </c>
      <c r="BP176" s="572">
        <v>0</v>
      </c>
      <c r="BQ176" s="572">
        <v>0</v>
      </c>
      <c r="BR176" s="572">
        <v>0</v>
      </c>
      <c r="BS176" s="572">
        <v>0</v>
      </c>
      <c r="BT176" s="572">
        <v>652976</v>
      </c>
      <c r="BU176" s="572">
        <v>0</v>
      </c>
      <c r="BV176" s="572">
        <v>0</v>
      </c>
      <c r="BW176" s="572">
        <v>492185</v>
      </c>
      <c r="BX176" s="572">
        <v>1279414</v>
      </c>
      <c r="BY176" s="572">
        <v>0</v>
      </c>
      <c r="BZ176" s="572">
        <v>0</v>
      </c>
      <c r="CA176" s="572">
        <v>764980</v>
      </c>
      <c r="CB176" s="572">
        <v>0</v>
      </c>
      <c r="CC176" s="572">
        <v>9753081</v>
      </c>
      <c r="CD176" s="572">
        <v>0</v>
      </c>
      <c r="CE176" s="572">
        <v>99502</v>
      </c>
      <c r="CF176" s="572">
        <v>0</v>
      </c>
      <c r="CG176" s="572">
        <v>575578</v>
      </c>
      <c r="CH176" s="572">
        <v>15548927</v>
      </c>
      <c r="CI176" s="572">
        <v>655766</v>
      </c>
      <c r="CJ176" s="572">
        <v>253997</v>
      </c>
      <c r="CK176" s="572">
        <v>0</v>
      </c>
      <c r="CL176" s="572">
        <v>233865</v>
      </c>
      <c r="CM176" s="572">
        <v>917585</v>
      </c>
      <c r="CN176" s="572">
        <v>2334748</v>
      </c>
      <c r="CO176" s="572">
        <v>659590</v>
      </c>
      <c r="CP176" s="572">
        <v>0</v>
      </c>
      <c r="CQ176" s="572">
        <v>0</v>
      </c>
    </row>
    <row r="177" spans="1:95" ht="45" x14ac:dyDescent="0.25">
      <c r="A177" s="668">
        <v>527</v>
      </c>
      <c r="B177" s="590">
        <v>527</v>
      </c>
      <c r="C177" s="570" t="s">
        <v>368</v>
      </c>
      <c r="D177" s="567" t="s">
        <v>876</v>
      </c>
      <c r="E177" s="573">
        <v>0</v>
      </c>
      <c r="F177" s="574">
        <v>0</v>
      </c>
      <c r="G177" s="574">
        <v>0</v>
      </c>
      <c r="H177" s="574">
        <v>0</v>
      </c>
      <c r="I177" s="574">
        <v>20836</v>
      </c>
      <c r="J177" s="574">
        <v>0</v>
      </c>
      <c r="K177" s="575">
        <v>18100</v>
      </c>
      <c r="L177" s="572">
        <v>0</v>
      </c>
      <c r="M177" s="572">
        <v>0</v>
      </c>
      <c r="N177" s="571">
        <v>0</v>
      </c>
      <c r="O177" s="571">
        <v>0</v>
      </c>
      <c r="P177" s="571">
        <v>0</v>
      </c>
      <c r="Q177" s="571">
        <v>0</v>
      </c>
      <c r="R177" s="571">
        <v>0</v>
      </c>
      <c r="S177" s="571">
        <v>0</v>
      </c>
      <c r="T177" s="571">
        <v>0</v>
      </c>
      <c r="U177" s="571">
        <v>0</v>
      </c>
      <c r="V177" s="571">
        <v>0</v>
      </c>
      <c r="W177" s="571">
        <v>0</v>
      </c>
      <c r="X177" s="571">
        <v>0</v>
      </c>
      <c r="Y177" s="571">
        <v>0</v>
      </c>
      <c r="Z177" s="571">
        <v>0</v>
      </c>
      <c r="AA177" s="571">
        <v>2084894</v>
      </c>
      <c r="AB177" s="572">
        <v>0</v>
      </c>
      <c r="AC177" s="572">
        <v>0</v>
      </c>
      <c r="AD177" s="572">
        <v>0</v>
      </c>
      <c r="AE177" s="572">
        <v>0</v>
      </c>
      <c r="AF177" s="572">
        <v>0</v>
      </c>
      <c r="AG177" s="572">
        <v>0</v>
      </c>
      <c r="AH177" s="572">
        <v>0</v>
      </c>
      <c r="AI177" s="572">
        <v>0</v>
      </c>
      <c r="AJ177" s="572">
        <v>0</v>
      </c>
      <c r="AK177" s="572">
        <v>0</v>
      </c>
      <c r="AL177" s="572">
        <v>0</v>
      </c>
      <c r="AM177" s="572">
        <v>0</v>
      </c>
      <c r="AN177" s="572">
        <v>0</v>
      </c>
      <c r="AO177" s="572">
        <v>0</v>
      </c>
      <c r="AP177" s="572">
        <v>0</v>
      </c>
      <c r="AQ177" s="572">
        <v>0</v>
      </c>
      <c r="AR177" s="572">
        <v>0</v>
      </c>
      <c r="AS177" s="572">
        <v>0</v>
      </c>
      <c r="AT177" s="572">
        <v>0</v>
      </c>
      <c r="AU177" s="572">
        <v>0</v>
      </c>
      <c r="AV177" s="572">
        <v>0</v>
      </c>
      <c r="AW177" s="572">
        <v>0</v>
      </c>
      <c r="AX177" s="572">
        <v>0</v>
      </c>
      <c r="AY177" s="572">
        <v>510605</v>
      </c>
      <c r="AZ177" s="572">
        <v>0</v>
      </c>
      <c r="BA177" s="572">
        <v>0</v>
      </c>
      <c r="BB177" s="572">
        <v>0</v>
      </c>
      <c r="BC177" s="572">
        <v>0</v>
      </c>
      <c r="BD177" s="572">
        <v>0</v>
      </c>
      <c r="BE177" s="572">
        <v>0</v>
      </c>
      <c r="BF177" s="572">
        <v>0</v>
      </c>
      <c r="BG177" s="572">
        <v>0</v>
      </c>
      <c r="BH177" s="572">
        <v>452065</v>
      </c>
      <c r="BI177" s="572">
        <v>0</v>
      </c>
      <c r="BJ177" s="572">
        <v>0</v>
      </c>
      <c r="BK177" s="572">
        <v>0</v>
      </c>
      <c r="BL177" s="572">
        <v>230058</v>
      </c>
      <c r="BM177" s="572">
        <v>0</v>
      </c>
      <c r="BN177" s="572">
        <v>0</v>
      </c>
      <c r="BO177" s="572">
        <v>0</v>
      </c>
      <c r="BP177" s="572">
        <v>0</v>
      </c>
      <c r="BQ177" s="572">
        <v>0</v>
      </c>
      <c r="BR177" s="572">
        <v>0</v>
      </c>
      <c r="BS177" s="572">
        <v>0</v>
      </c>
      <c r="BT177" s="572">
        <v>0</v>
      </c>
      <c r="BU177" s="572">
        <v>0</v>
      </c>
      <c r="BV177" s="572">
        <v>0</v>
      </c>
      <c r="BW177" s="572">
        <v>0</v>
      </c>
      <c r="BX177" s="572">
        <v>0</v>
      </c>
      <c r="BY177" s="572">
        <v>0</v>
      </c>
      <c r="BZ177" s="572">
        <v>0</v>
      </c>
      <c r="CA177" s="572">
        <v>0</v>
      </c>
      <c r="CB177" s="572">
        <v>0</v>
      </c>
      <c r="CC177" s="572">
        <v>5712240</v>
      </c>
      <c r="CD177" s="572">
        <v>0</v>
      </c>
      <c r="CE177" s="572">
        <v>16525</v>
      </c>
      <c r="CF177" s="572">
        <v>0</v>
      </c>
      <c r="CG177" s="572">
        <v>0</v>
      </c>
      <c r="CH177" s="572">
        <v>0</v>
      </c>
      <c r="CI177" s="572">
        <v>146013</v>
      </c>
      <c r="CJ177" s="572">
        <v>0</v>
      </c>
      <c r="CK177" s="572">
        <v>0</v>
      </c>
      <c r="CL177" s="572">
        <v>0</v>
      </c>
      <c r="CM177" s="572">
        <v>0</v>
      </c>
      <c r="CN177" s="572">
        <v>0</v>
      </c>
      <c r="CO177" s="572">
        <v>0</v>
      </c>
      <c r="CP177" s="572">
        <v>0</v>
      </c>
      <c r="CQ177" s="572">
        <v>0</v>
      </c>
    </row>
    <row r="178" spans="1:95" ht="30" x14ac:dyDescent="0.25">
      <c r="A178" s="668">
        <v>528</v>
      </c>
      <c r="B178" s="590">
        <v>528</v>
      </c>
      <c r="C178" s="570" t="s">
        <v>351</v>
      </c>
      <c r="D178" s="567" t="s">
        <v>877</v>
      </c>
      <c r="E178" s="573">
        <v>20962</v>
      </c>
      <c r="F178" s="574">
        <v>3499353</v>
      </c>
      <c r="G178" s="574">
        <v>365600</v>
      </c>
      <c r="H178" s="574">
        <v>1331322</v>
      </c>
      <c r="I178" s="574">
        <v>157038</v>
      </c>
      <c r="J178" s="574">
        <v>258805</v>
      </c>
      <c r="K178" s="575">
        <v>12909305</v>
      </c>
      <c r="L178" s="572">
        <v>274265</v>
      </c>
      <c r="M178" s="572">
        <v>254012</v>
      </c>
      <c r="N178" s="571">
        <v>0</v>
      </c>
      <c r="O178" s="571">
        <v>476947</v>
      </c>
      <c r="P178" s="571">
        <v>27912</v>
      </c>
      <c r="Q178" s="571">
        <v>72259</v>
      </c>
      <c r="R178" s="571">
        <v>1235984</v>
      </c>
      <c r="S178" s="571">
        <v>380621</v>
      </c>
      <c r="T178" s="571">
        <v>2440496</v>
      </c>
      <c r="U178" s="571">
        <v>0</v>
      </c>
      <c r="V178" s="571">
        <v>1447505</v>
      </c>
      <c r="W178" s="571">
        <v>0</v>
      </c>
      <c r="X178" s="571">
        <v>1762268</v>
      </c>
      <c r="Y178" s="571">
        <v>885880</v>
      </c>
      <c r="Z178" s="571">
        <v>18601</v>
      </c>
      <c r="AA178" s="571">
        <v>3331400</v>
      </c>
      <c r="AB178" s="572">
        <v>693770</v>
      </c>
      <c r="AC178" s="572">
        <v>458737</v>
      </c>
      <c r="AD178" s="572">
        <v>96391</v>
      </c>
      <c r="AE178" s="572">
        <v>9955227</v>
      </c>
      <c r="AF178" s="572">
        <v>86208</v>
      </c>
      <c r="AG178" s="572">
        <v>1965763</v>
      </c>
      <c r="AH178" s="572">
        <v>904846</v>
      </c>
      <c r="AI178" s="572">
        <v>51874</v>
      </c>
      <c r="AJ178" s="572">
        <v>498521</v>
      </c>
      <c r="AK178" s="572">
        <v>2065703</v>
      </c>
      <c r="AL178" s="572">
        <v>969614</v>
      </c>
      <c r="AM178" s="572">
        <v>797149</v>
      </c>
      <c r="AN178" s="572">
        <v>26213</v>
      </c>
      <c r="AO178" s="572">
        <v>93283</v>
      </c>
      <c r="AP178" s="572">
        <v>1892634</v>
      </c>
      <c r="AQ178" s="572">
        <v>0</v>
      </c>
      <c r="AR178" s="572">
        <v>45587</v>
      </c>
      <c r="AS178" s="572">
        <v>19554</v>
      </c>
      <c r="AT178" s="572">
        <v>347659</v>
      </c>
      <c r="AU178" s="572">
        <v>24832</v>
      </c>
      <c r="AV178" s="572">
        <v>94633</v>
      </c>
      <c r="AW178" s="572">
        <v>1690866</v>
      </c>
      <c r="AX178" s="572">
        <v>166279</v>
      </c>
      <c r="AY178" s="572">
        <v>23744366</v>
      </c>
      <c r="AZ178" s="572">
        <v>808739</v>
      </c>
      <c r="BA178" s="572">
        <v>1389256</v>
      </c>
      <c r="BB178" s="572">
        <v>122193</v>
      </c>
      <c r="BC178" s="572">
        <v>441068</v>
      </c>
      <c r="BD178" s="572">
        <v>691861</v>
      </c>
      <c r="BE178" s="572">
        <v>47718</v>
      </c>
      <c r="BF178" s="572">
        <v>429700</v>
      </c>
      <c r="BG178" s="572">
        <v>1044208</v>
      </c>
      <c r="BH178" s="572">
        <v>4128979</v>
      </c>
      <c r="BI178" s="572">
        <v>143419</v>
      </c>
      <c r="BJ178" s="572">
        <v>3974</v>
      </c>
      <c r="BK178" s="572">
        <v>5976025</v>
      </c>
      <c r="BL178" s="572">
        <v>5462188</v>
      </c>
      <c r="BM178" s="572">
        <v>2979454</v>
      </c>
      <c r="BN178" s="572">
        <v>25684</v>
      </c>
      <c r="BO178" s="572">
        <v>1063582</v>
      </c>
      <c r="BP178" s="572">
        <v>0</v>
      </c>
      <c r="BQ178" s="572">
        <v>2582353</v>
      </c>
      <c r="BR178" s="572">
        <v>0</v>
      </c>
      <c r="BS178" s="572">
        <v>150480</v>
      </c>
      <c r="BT178" s="572">
        <v>1274480</v>
      </c>
      <c r="BU178" s="572">
        <v>1760197</v>
      </c>
      <c r="BV178" s="572">
        <v>189309</v>
      </c>
      <c r="BW178" s="572">
        <v>642656</v>
      </c>
      <c r="BX178" s="572">
        <v>2238318</v>
      </c>
      <c r="BY178" s="572">
        <v>75362</v>
      </c>
      <c r="BZ178" s="572">
        <v>0</v>
      </c>
      <c r="CA178" s="572">
        <v>2610000</v>
      </c>
      <c r="CB178" s="572">
        <v>67751846</v>
      </c>
      <c r="CC178" s="572">
        <v>20510559</v>
      </c>
      <c r="CD178" s="572">
        <v>599064</v>
      </c>
      <c r="CE178" s="572">
        <v>165671</v>
      </c>
      <c r="CF178" s="572">
        <v>0</v>
      </c>
      <c r="CG178" s="572">
        <v>499743</v>
      </c>
      <c r="CH178" s="572">
        <v>119974961</v>
      </c>
      <c r="CI178" s="572">
        <v>3269368</v>
      </c>
      <c r="CJ178" s="572">
        <v>214351</v>
      </c>
      <c r="CK178" s="572">
        <v>2082236</v>
      </c>
      <c r="CL178" s="572">
        <v>147077</v>
      </c>
      <c r="CM178" s="572">
        <v>3346794</v>
      </c>
      <c r="CN178" s="572">
        <v>1094999</v>
      </c>
      <c r="CO178" s="572">
        <v>311225</v>
      </c>
      <c r="CP178" s="572">
        <v>962737</v>
      </c>
      <c r="CQ178" s="572">
        <v>6062661</v>
      </c>
    </row>
    <row r="179" spans="1:95" ht="30" x14ac:dyDescent="0.25">
      <c r="A179" s="668">
        <v>529</v>
      </c>
      <c r="B179" s="590">
        <v>529</v>
      </c>
      <c r="C179" s="570" t="s">
        <v>352</v>
      </c>
      <c r="D179" s="567" t="s">
        <v>878</v>
      </c>
      <c r="E179" s="573">
        <v>3011</v>
      </c>
      <c r="F179" s="574">
        <v>402324</v>
      </c>
      <c r="G179" s="574">
        <v>54452</v>
      </c>
      <c r="H179" s="574">
        <v>174425</v>
      </c>
      <c r="I179" s="574">
        <v>25652</v>
      </c>
      <c r="J179" s="574">
        <v>31327</v>
      </c>
      <c r="K179" s="575">
        <v>914934</v>
      </c>
      <c r="L179" s="572">
        <v>37664</v>
      </c>
      <c r="M179" s="572">
        <v>35865</v>
      </c>
      <c r="N179" s="571">
        <v>0</v>
      </c>
      <c r="O179" s="571">
        <v>65239</v>
      </c>
      <c r="P179" s="571">
        <v>3110</v>
      </c>
      <c r="Q179" s="571">
        <v>11611</v>
      </c>
      <c r="R179" s="571">
        <v>30667</v>
      </c>
      <c r="S179" s="571">
        <v>38390</v>
      </c>
      <c r="T179" s="571">
        <v>69913</v>
      </c>
      <c r="U179" s="571">
        <v>0</v>
      </c>
      <c r="V179" s="571">
        <v>115451</v>
      </c>
      <c r="W179" s="571">
        <v>0</v>
      </c>
      <c r="X179" s="571">
        <v>78124</v>
      </c>
      <c r="Y179" s="571">
        <v>94125</v>
      </c>
      <c r="Z179" s="571">
        <v>3213</v>
      </c>
      <c r="AA179" s="571">
        <v>342148</v>
      </c>
      <c r="AB179" s="572">
        <v>44394</v>
      </c>
      <c r="AC179" s="572">
        <v>24300</v>
      </c>
      <c r="AD179" s="572">
        <v>12559</v>
      </c>
      <c r="AE179" s="572">
        <v>963457</v>
      </c>
      <c r="AF179" s="572">
        <v>13909</v>
      </c>
      <c r="AG179" s="572">
        <v>20814</v>
      </c>
      <c r="AH179" s="572">
        <v>88806</v>
      </c>
      <c r="AI179" s="572">
        <v>14132</v>
      </c>
      <c r="AJ179" s="572">
        <v>63289</v>
      </c>
      <c r="AK179" s="572">
        <v>155828</v>
      </c>
      <c r="AL179" s="572">
        <v>91944</v>
      </c>
      <c r="AM179" s="572">
        <v>85570</v>
      </c>
      <c r="AN179" s="572">
        <v>4019</v>
      </c>
      <c r="AO179" s="572">
        <v>14421</v>
      </c>
      <c r="AP179" s="572">
        <v>155889</v>
      </c>
      <c r="AQ179" s="572">
        <v>0</v>
      </c>
      <c r="AR179" s="572">
        <v>4726</v>
      </c>
      <c r="AS179" s="572">
        <v>2544</v>
      </c>
      <c r="AT179" s="572">
        <v>31731</v>
      </c>
      <c r="AU179" s="572">
        <v>2913</v>
      </c>
      <c r="AV179" s="572">
        <v>12105</v>
      </c>
      <c r="AW179" s="572">
        <v>171854</v>
      </c>
      <c r="AX179" s="572">
        <v>26583</v>
      </c>
      <c r="AY179" s="572">
        <v>2210180</v>
      </c>
      <c r="AZ179" s="572">
        <v>89388</v>
      </c>
      <c r="BA179" s="572">
        <v>101613</v>
      </c>
      <c r="BB179" s="572">
        <v>13937</v>
      </c>
      <c r="BC179" s="572">
        <v>37382</v>
      </c>
      <c r="BD179" s="572">
        <v>69821</v>
      </c>
      <c r="BE179" s="572">
        <v>8575</v>
      </c>
      <c r="BF179" s="572">
        <v>33502</v>
      </c>
      <c r="BG179" s="572">
        <v>76009</v>
      </c>
      <c r="BH179" s="572">
        <v>394247</v>
      </c>
      <c r="BI179" s="572">
        <v>11546</v>
      </c>
      <c r="BJ179" s="572">
        <v>585</v>
      </c>
      <c r="BK179" s="572">
        <v>687394</v>
      </c>
      <c r="BL179" s="572">
        <v>432144</v>
      </c>
      <c r="BM179" s="572">
        <v>158788</v>
      </c>
      <c r="BN179" s="572">
        <v>1932</v>
      </c>
      <c r="BO179" s="572">
        <v>98835</v>
      </c>
      <c r="BP179" s="572">
        <v>0</v>
      </c>
      <c r="BQ179" s="572">
        <v>288602</v>
      </c>
      <c r="BR179" s="572">
        <v>0</v>
      </c>
      <c r="BS179" s="572">
        <v>16100</v>
      </c>
      <c r="BT179" s="572">
        <v>44972</v>
      </c>
      <c r="BU179" s="572">
        <v>144565</v>
      </c>
      <c r="BV179" s="572">
        <v>28865</v>
      </c>
      <c r="BW179" s="572">
        <v>26207</v>
      </c>
      <c r="BX179" s="572">
        <v>211384</v>
      </c>
      <c r="BY179" s="572">
        <v>9041</v>
      </c>
      <c r="BZ179" s="572">
        <v>0</v>
      </c>
      <c r="CA179" s="572">
        <v>254148</v>
      </c>
      <c r="CB179" s="572">
        <v>4735508</v>
      </c>
      <c r="CC179" s="572">
        <v>2083195</v>
      </c>
      <c r="CD179" s="572">
        <v>85832</v>
      </c>
      <c r="CE179" s="572">
        <v>31739</v>
      </c>
      <c r="CF179" s="572">
        <v>0</v>
      </c>
      <c r="CG179" s="572">
        <v>69610</v>
      </c>
      <c r="CH179" s="572">
        <v>10832264</v>
      </c>
      <c r="CI179" s="572">
        <v>472451</v>
      </c>
      <c r="CJ179" s="572">
        <v>31118</v>
      </c>
      <c r="CK179" s="572">
        <v>156149</v>
      </c>
      <c r="CL179" s="572">
        <v>20315</v>
      </c>
      <c r="CM179" s="572">
        <v>51213</v>
      </c>
      <c r="CN179" s="572">
        <v>108132</v>
      </c>
      <c r="CO179" s="572">
        <v>13711</v>
      </c>
      <c r="CP179" s="572">
        <v>111010</v>
      </c>
      <c r="CQ179" s="572">
        <v>245362</v>
      </c>
    </row>
    <row r="180" spans="1:95" ht="45" x14ac:dyDescent="0.25">
      <c r="A180" s="668">
        <v>530</v>
      </c>
      <c r="B180" s="590">
        <v>530</v>
      </c>
      <c r="C180" s="570" t="s">
        <v>353</v>
      </c>
      <c r="D180" s="567" t="s">
        <v>879</v>
      </c>
      <c r="E180" s="573">
        <v>199</v>
      </c>
      <c r="F180" s="574">
        <v>5051</v>
      </c>
      <c r="G180" s="574">
        <v>12339</v>
      </c>
      <c r="H180" s="574">
        <v>10630</v>
      </c>
      <c r="I180" s="574">
        <v>5257</v>
      </c>
      <c r="J180" s="574">
        <v>9928</v>
      </c>
      <c r="K180" s="575">
        <v>179199</v>
      </c>
      <c r="L180" s="572">
        <v>3863</v>
      </c>
      <c r="M180" s="572">
        <v>47</v>
      </c>
      <c r="N180" s="571">
        <v>0</v>
      </c>
      <c r="O180" s="571">
        <v>9967</v>
      </c>
      <c r="P180" s="571">
        <v>1663</v>
      </c>
      <c r="Q180" s="571">
        <v>2117</v>
      </c>
      <c r="R180" s="571">
        <v>15891</v>
      </c>
      <c r="S180" s="571">
        <v>1752</v>
      </c>
      <c r="T180" s="571">
        <v>32021</v>
      </c>
      <c r="U180" s="571">
        <v>0</v>
      </c>
      <c r="V180" s="571">
        <v>18528</v>
      </c>
      <c r="W180" s="571">
        <v>0</v>
      </c>
      <c r="X180" s="571">
        <v>34028</v>
      </c>
      <c r="Y180" s="571">
        <v>24918</v>
      </c>
      <c r="Z180" s="571">
        <v>541</v>
      </c>
      <c r="AA180" s="571">
        <v>86030</v>
      </c>
      <c r="AB180" s="572">
        <v>21316</v>
      </c>
      <c r="AC180" s="572">
        <v>2514</v>
      </c>
      <c r="AD180" s="572">
        <v>6626</v>
      </c>
      <c r="AE180" s="572">
        <v>404266</v>
      </c>
      <c r="AF180" s="572">
        <v>1268</v>
      </c>
      <c r="AG180" s="572">
        <v>5353</v>
      </c>
      <c r="AH180" s="572">
        <v>1747</v>
      </c>
      <c r="AI180" s="572">
        <v>2058</v>
      </c>
      <c r="AJ180" s="572">
        <v>3482</v>
      </c>
      <c r="AK180" s="572">
        <v>11874</v>
      </c>
      <c r="AL180" s="572">
        <v>30023</v>
      </c>
      <c r="AM180" s="572">
        <v>9197</v>
      </c>
      <c r="AN180" s="572">
        <v>429</v>
      </c>
      <c r="AO180" s="572">
        <v>2369</v>
      </c>
      <c r="AP180" s="572">
        <v>73945</v>
      </c>
      <c r="AQ180" s="572">
        <v>0</v>
      </c>
      <c r="AR180" s="572">
        <v>2534</v>
      </c>
      <c r="AS180" s="572">
        <v>575</v>
      </c>
      <c r="AT180" s="572">
        <v>4114</v>
      </c>
      <c r="AU180" s="572">
        <v>312</v>
      </c>
      <c r="AV180" s="572">
        <v>1480</v>
      </c>
      <c r="AW180" s="572">
        <v>130543</v>
      </c>
      <c r="AX180" s="572">
        <v>17845</v>
      </c>
      <c r="AY180" s="572">
        <v>24246</v>
      </c>
      <c r="AZ180" s="572">
        <v>10808</v>
      </c>
      <c r="BA180" s="572">
        <v>106694</v>
      </c>
      <c r="BB180" s="572">
        <v>2493</v>
      </c>
      <c r="BC180" s="572">
        <v>10367</v>
      </c>
      <c r="BD180" s="572">
        <v>2459</v>
      </c>
      <c r="BE180" s="572">
        <v>1298</v>
      </c>
      <c r="BF180" s="572">
        <v>7100</v>
      </c>
      <c r="BG180" s="572">
        <v>32476</v>
      </c>
      <c r="BH180" s="572">
        <v>88505</v>
      </c>
      <c r="BI180" s="572">
        <v>664</v>
      </c>
      <c r="BJ180" s="572">
        <v>164</v>
      </c>
      <c r="BK180" s="572">
        <v>28266</v>
      </c>
      <c r="BL180" s="572">
        <v>224400</v>
      </c>
      <c r="BM180" s="572">
        <v>3135</v>
      </c>
      <c r="BN180" s="572">
        <v>522</v>
      </c>
      <c r="BO180" s="572">
        <v>9611</v>
      </c>
      <c r="BP180" s="572">
        <v>0</v>
      </c>
      <c r="BQ180" s="572">
        <v>5049</v>
      </c>
      <c r="BR180" s="572">
        <v>0</v>
      </c>
      <c r="BS180" s="572">
        <v>192</v>
      </c>
      <c r="BT180" s="572">
        <v>25117</v>
      </c>
      <c r="BU180" s="572">
        <v>1009</v>
      </c>
      <c r="BV180" s="572">
        <v>11463</v>
      </c>
      <c r="BW180" s="572">
        <v>17469</v>
      </c>
      <c r="BX180" s="572">
        <v>27766</v>
      </c>
      <c r="BY180" s="572">
        <v>1206</v>
      </c>
      <c r="BZ180" s="572">
        <v>0</v>
      </c>
      <c r="CA180" s="572">
        <v>191812</v>
      </c>
      <c r="CB180" s="572">
        <v>608345</v>
      </c>
      <c r="CC180" s="572">
        <v>368343</v>
      </c>
      <c r="CD180" s="572">
        <v>674</v>
      </c>
      <c r="CE180" s="572">
        <v>5433</v>
      </c>
      <c r="CF180" s="572">
        <v>0</v>
      </c>
      <c r="CG180" s="572">
        <v>5591</v>
      </c>
      <c r="CH180" s="572">
        <v>1017252</v>
      </c>
      <c r="CI180" s="572">
        <v>24787</v>
      </c>
      <c r="CJ180" s="572">
        <v>42783</v>
      </c>
      <c r="CK180" s="572">
        <v>7015</v>
      </c>
      <c r="CL180" s="572">
        <v>14793</v>
      </c>
      <c r="CM180" s="572">
        <v>10345</v>
      </c>
      <c r="CN180" s="572">
        <v>21125</v>
      </c>
      <c r="CO180" s="572">
        <v>4464</v>
      </c>
      <c r="CP180" s="572">
        <v>23240</v>
      </c>
      <c r="CQ180" s="572">
        <v>29589</v>
      </c>
    </row>
    <row r="181" spans="1:95" ht="30" x14ac:dyDescent="0.25">
      <c r="A181" s="668">
        <v>531</v>
      </c>
      <c r="B181" s="590">
        <v>531</v>
      </c>
      <c r="C181" s="570" t="s">
        <v>354</v>
      </c>
      <c r="D181" s="567" t="s">
        <v>880</v>
      </c>
      <c r="E181" s="573">
        <v>0</v>
      </c>
      <c r="F181" s="574">
        <v>1144</v>
      </c>
      <c r="G181" s="574">
        <v>0</v>
      </c>
      <c r="H181" s="574">
        <v>0</v>
      </c>
      <c r="I181" s="574">
        <v>0</v>
      </c>
      <c r="J181" s="574">
        <v>0</v>
      </c>
      <c r="K181" s="575">
        <v>0</v>
      </c>
      <c r="L181" s="572">
        <v>0</v>
      </c>
      <c r="M181" s="572">
        <v>0</v>
      </c>
      <c r="N181" s="571">
        <v>0</v>
      </c>
      <c r="O181" s="571">
        <v>0</v>
      </c>
      <c r="P181" s="571">
        <v>0</v>
      </c>
      <c r="Q181" s="571">
        <v>0</v>
      </c>
      <c r="R181" s="571">
        <v>0</v>
      </c>
      <c r="S181" s="571">
        <v>0</v>
      </c>
      <c r="T181" s="571">
        <v>0</v>
      </c>
      <c r="U181" s="571">
        <v>0</v>
      </c>
      <c r="V181" s="571">
        <v>2787</v>
      </c>
      <c r="W181" s="571">
        <v>0</v>
      </c>
      <c r="X181" s="571">
        <v>0</v>
      </c>
      <c r="Y181" s="571">
        <v>0</v>
      </c>
      <c r="Z181" s="571">
        <v>0</v>
      </c>
      <c r="AA181" s="571">
        <v>0</v>
      </c>
      <c r="AB181" s="572">
        <v>0</v>
      </c>
      <c r="AC181" s="572">
        <v>0</v>
      </c>
      <c r="AD181" s="572">
        <v>0</v>
      </c>
      <c r="AE181" s="572">
        <v>8135</v>
      </c>
      <c r="AF181" s="572">
        <v>0</v>
      </c>
      <c r="AG181" s="572">
        <v>0</v>
      </c>
      <c r="AH181" s="572">
        <v>0</v>
      </c>
      <c r="AI181" s="572">
        <v>0</v>
      </c>
      <c r="AJ181" s="572">
        <v>0</v>
      </c>
      <c r="AK181" s="572">
        <v>0</v>
      </c>
      <c r="AL181" s="572">
        <v>0</v>
      </c>
      <c r="AM181" s="572">
        <v>0</v>
      </c>
      <c r="AN181" s="572">
        <v>0</v>
      </c>
      <c r="AO181" s="572">
        <v>0</v>
      </c>
      <c r="AP181" s="572">
        <v>0</v>
      </c>
      <c r="AQ181" s="572">
        <v>0</v>
      </c>
      <c r="AR181" s="572">
        <v>0</v>
      </c>
      <c r="AS181" s="572">
        <v>0</v>
      </c>
      <c r="AT181" s="572">
        <v>0</v>
      </c>
      <c r="AU181" s="572">
        <v>0</v>
      </c>
      <c r="AV181" s="572">
        <v>19</v>
      </c>
      <c r="AW181" s="572">
        <v>0</v>
      </c>
      <c r="AX181" s="572">
        <v>0</v>
      </c>
      <c r="AY181" s="572">
        <v>7999</v>
      </c>
      <c r="AZ181" s="572">
        <v>0</v>
      </c>
      <c r="BA181" s="572">
        <v>0</v>
      </c>
      <c r="BB181" s="572">
        <v>0</v>
      </c>
      <c r="BC181" s="572">
        <v>0</v>
      </c>
      <c r="BD181" s="572">
        <v>0</v>
      </c>
      <c r="BE181" s="572">
        <v>0</v>
      </c>
      <c r="BF181" s="572">
        <v>0</v>
      </c>
      <c r="BG181" s="572">
        <v>0</v>
      </c>
      <c r="BH181" s="572">
        <v>0</v>
      </c>
      <c r="BI181" s="572">
        <v>0</v>
      </c>
      <c r="BJ181" s="572">
        <v>0</v>
      </c>
      <c r="BK181" s="572">
        <v>0</v>
      </c>
      <c r="BL181" s="572">
        <v>0</v>
      </c>
      <c r="BM181" s="572">
        <v>0</v>
      </c>
      <c r="BN181" s="572">
        <v>0</v>
      </c>
      <c r="BO181" s="572">
        <v>0</v>
      </c>
      <c r="BP181" s="572">
        <v>0</v>
      </c>
      <c r="BQ181" s="572">
        <v>0</v>
      </c>
      <c r="BR181" s="572">
        <v>0</v>
      </c>
      <c r="BS181" s="572">
        <v>0</v>
      </c>
      <c r="BT181" s="572">
        <v>0</v>
      </c>
      <c r="BU181" s="572">
        <v>0</v>
      </c>
      <c r="BV181" s="572">
        <v>0</v>
      </c>
      <c r="BW181" s="572">
        <v>0</v>
      </c>
      <c r="BX181" s="572">
        <v>78</v>
      </c>
      <c r="BY181" s="572">
        <v>0</v>
      </c>
      <c r="BZ181" s="572">
        <v>0</v>
      </c>
      <c r="CA181" s="572">
        <v>0</v>
      </c>
      <c r="CB181" s="572">
        <v>0</v>
      </c>
      <c r="CC181" s="572">
        <v>2962</v>
      </c>
      <c r="CD181" s="572">
        <v>0</v>
      </c>
      <c r="CE181" s="572">
        <v>17</v>
      </c>
      <c r="CF181" s="572">
        <v>0</v>
      </c>
      <c r="CG181" s="572">
        <v>0</v>
      </c>
      <c r="CH181" s="572">
        <v>0</v>
      </c>
      <c r="CI181" s="572">
        <v>0</v>
      </c>
      <c r="CJ181" s="572">
        <v>0</v>
      </c>
      <c r="CK181" s="572">
        <v>0</v>
      </c>
      <c r="CL181" s="572">
        <v>0</v>
      </c>
      <c r="CM181" s="572">
        <v>0</v>
      </c>
      <c r="CN181" s="572">
        <v>0</v>
      </c>
      <c r="CO181" s="572">
        <v>0</v>
      </c>
      <c r="CP181" s="572">
        <v>272</v>
      </c>
      <c r="CQ181" s="572">
        <v>2291</v>
      </c>
    </row>
    <row r="182" spans="1:95" ht="30" x14ac:dyDescent="0.25">
      <c r="A182" s="668">
        <v>532</v>
      </c>
      <c r="B182" s="590">
        <v>532</v>
      </c>
      <c r="C182" s="570" t="s">
        <v>881</v>
      </c>
      <c r="D182" s="567" t="s">
        <v>882</v>
      </c>
      <c r="E182" s="573">
        <v>124598</v>
      </c>
      <c r="F182" s="574">
        <v>6523308</v>
      </c>
      <c r="G182" s="574">
        <v>794146</v>
      </c>
      <c r="H182" s="574">
        <v>3294531</v>
      </c>
      <c r="I182" s="574">
        <v>713986</v>
      </c>
      <c r="J182" s="574">
        <v>601408</v>
      </c>
      <c r="K182" s="575">
        <v>29124552</v>
      </c>
      <c r="L182" s="572">
        <v>707945</v>
      </c>
      <c r="M182" s="572">
        <v>476751</v>
      </c>
      <c r="N182" s="571">
        <v>249501</v>
      </c>
      <c r="O182" s="571">
        <v>1323718</v>
      </c>
      <c r="P182" s="571">
        <v>47038</v>
      </c>
      <c r="Q182" s="571">
        <v>243612</v>
      </c>
      <c r="R182" s="571">
        <v>1772173</v>
      </c>
      <c r="S182" s="571">
        <v>1885614</v>
      </c>
      <c r="T182" s="571">
        <v>5752463</v>
      </c>
      <c r="U182" s="571">
        <v>0</v>
      </c>
      <c r="V182" s="571">
        <v>3609890</v>
      </c>
      <c r="W182" s="571">
        <v>147734</v>
      </c>
      <c r="X182" s="571">
        <v>3132911</v>
      </c>
      <c r="Y182" s="571">
        <v>3674569</v>
      </c>
      <c r="Z182" s="571">
        <v>58948</v>
      </c>
      <c r="AA182" s="571">
        <v>9922843</v>
      </c>
      <c r="AB182" s="572">
        <v>1755004</v>
      </c>
      <c r="AC182" s="572">
        <v>619918</v>
      </c>
      <c r="AD182" s="572">
        <v>285782</v>
      </c>
      <c r="AE182" s="572">
        <v>21139159</v>
      </c>
      <c r="AF182" s="572">
        <v>599950</v>
      </c>
      <c r="AG182" s="572">
        <v>2733229</v>
      </c>
      <c r="AH182" s="572">
        <v>2802356</v>
      </c>
      <c r="AI182" s="572">
        <v>161490</v>
      </c>
      <c r="AJ182" s="572">
        <v>1686372</v>
      </c>
      <c r="AK182" s="572">
        <v>3283907</v>
      </c>
      <c r="AL182" s="572">
        <v>3703176</v>
      </c>
      <c r="AM182" s="572">
        <v>1551872</v>
      </c>
      <c r="AN182" s="572">
        <v>155633</v>
      </c>
      <c r="AO182" s="572">
        <v>269311</v>
      </c>
      <c r="AP182" s="572">
        <v>6466899</v>
      </c>
      <c r="AQ182" s="572">
        <v>0</v>
      </c>
      <c r="AR182" s="572">
        <v>94307</v>
      </c>
      <c r="AS182" s="572">
        <v>125766</v>
      </c>
      <c r="AT182" s="572">
        <v>731006</v>
      </c>
      <c r="AU182" s="572">
        <v>68855</v>
      </c>
      <c r="AV182" s="572">
        <v>474882</v>
      </c>
      <c r="AW182" s="572">
        <v>3982126</v>
      </c>
      <c r="AX182" s="572">
        <v>323305</v>
      </c>
      <c r="AY182" s="572">
        <v>37313031</v>
      </c>
      <c r="AZ182" s="572">
        <v>1482302</v>
      </c>
      <c r="BA182" s="572">
        <v>4154033</v>
      </c>
      <c r="BB182" s="572">
        <v>546764</v>
      </c>
      <c r="BC182" s="572">
        <v>834177</v>
      </c>
      <c r="BD182" s="572">
        <v>1950651</v>
      </c>
      <c r="BE182" s="572">
        <v>124030</v>
      </c>
      <c r="BF182" s="572">
        <v>990136</v>
      </c>
      <c r="BG182" s="572">
        <v>2663345</v>
      </c>
      <c r="BH182" s="572">
        <v>11235395</v>
      </c>
      <c r="BI182" s="572">
        <v>265522</v>
      </c>
      <c r="BJ182" s="572">
        <v>58587</v>
      </c>
      <c r="BK182" s="572">
        <v>9625415</v>
      </c>
      <c r="BL182" s="572">
        <v>13741878</v>
      </c>
      <c r="BM182" s="572">
        <v>6477217</v>
      </c>
      <c r="BN182" s="572">
        <v>83344</v>
      </c>
      <c r="BO182" s="572">
        <v>1812903</v>
      </c>
      <c r="BP182" s="572">
        <v>0</v>
      </c>
      <c r="BQ182" s="572">
        <v>7198384</v>
      </c>
      <c r="BR182" s="572">
        <v>477819</v>
      </c>
      <c r="BS182" s="572">
        <v>775521</v>
      </c>
      <c r="BT182" s="572">
        <v>2365140</v>
      </c>
      <c r="BU182" s="572">
        <v>2987150</v>
      </c>
      <c r="BV182" s="572">
        <v>577219</v>
      </c>
      <c r="BW182" s="572">
        <v>2214761</v>
      </c>
      <c r="BX182" s="572">
        <v>5677263</v>
      </c>
      <c r="BY182" s="572">
        <v>153105</v>
      </c>
      <c r="BZ182" s="572">
        <v>0</v>
      </c>
      <c r="CA182" s="572">
        <v>5537087</v>
      </c>
      <c r="CB182" s="572">
        <v>86908071</v>
      </c>
      <c r="CC182" s="572">
        <v>50010288</v>
      </c>
      <c r="CD182" s="572">
        <v>1299895</v>
      </c>
      <c r="CE182" s="572">
        <v>2799606</v>
      </c>
      <c r="CF182" s="572">
        <v>0</v>
      </c>
      <c r="CG182" s="572">
        <v>1482400</v>
      </c>
      <c r="CH182" s="572">
        <v>196569635</v>
      </c>
      <c r="CI182" s="572">
        <v>7812619</v>
      </c>
      <c r="CJ182" s="572">
        <v>462972</v>
      </c>
      <c r="CK182" s="572">
        <v>4014045</v>
      </c>
      <c r="CL182" s="572">
        <v>383663</v>
      </c>
      <c r="CM182" s="572">
        <v>9182124</v>
      </c>
      <c r="CN182" s="572">
        <v>2441579</v>
      </c>
      <c r="CO182" s="572">
        <v>676819</v>
      </c>
      <c r="CP182" s="572">
        <v>1815738</v>
      </c>
      <c r="CQ182" s="572">
        <v>9433174</v>
      </c>
    </row>
    <row r="183" spans="1:95" ht="30" x14ac:dyDescent="0.25">
      <c r="A183" s="668">
        <v>533</v>
      </c>
      <c r="B183" s="590">
        <v>533</v>
      </c>
      <c r="C183" s="570" t="s">
        <v>883</v>
      </c>
      <c r="D183" s="567" t="s">
        <v>884</v>
      </c>
      <c r="E183" s="573">
        <v>0</v>
      </c>
      <c r="F183" s="574">
        <v>0</v>
      </c>
      <c r="G183" s="574">
        <v>0</v>
      </c>
      <c r="H183" s="574">
        <v>31737</v>
      </c>
      <c r="I183" s="574">
        <v>0</v>
      </c>
      <c r="J183" s="574">
        <v>0</v>
      </c>
      <c r="K183" s="575">
        <v>0</v>
      </c>
      <c r="L183" s="572">
        <v>0</v>
      </c>
      <c r="M183" s="572">
        <v>0</v>
      </c>
      <c r="N183" s="571">
        <v>0</v>
      </c>
      <c r="O183" s="571">
        <v>26300</v>
      </c>
      <c r="P183" s="571">
        <v>0</v>
      </c>
      <c r="Q183" s="571">
        <v>0</v>
      </c>
      <c r="R183" s="571">
        <v>0</v>
      </c>
      <c r="S183" s="571">
        <v>0</v>
      </c>
      <c r="T183" s="571">
        <v>0</v>
      </c>
      <c r="U183" s="571">
        <v>0</v>
      </c>
      <c r="V183" s="571">
        <v>0</v>
      </c>
      <c r="W183" s="571">
        <v>0</v>
      </c>
      <c r="X183" s="571">
        <v>0</v>
      </c>
      <c r="Y183" s="571">
        <v>150000</v>
      </c>
      <c r="Z183" s="571">
        <v>0</v>
      </c>
      <c r="AA183" s="571">
        <v>0</v>
      </c>
      <c r="AB183" s="572">
        <v>0</v>
      </c>
      <c r="AC183" s="572">
        <v>0</v>
      </c>
      <c r="AD183" s="572">
        <v>0</v>
      </c>
      <c r="AE183" s="572">
        <v>560025</v>
      </c>
      <c r="AF183" s="572">
        <v>0</v>
      </c>
      <c r="AG183" s="572">
        <v>0</v>
      </c>
      <c r="AH183" s="572">
        <v>0</v>
      </c>
      <c r="AI183" s="572">
        <v>0</v>
      </c>
      <c r="AJ183" s="572">
        <v>0</v>
      </c>
      <c r="AK183" s="572">
        <v>119777</v>
      </c>
      <c r="AL183" s="572">
        <v>60907</v>
      </c>
      <c r="AM183" s="572">
        <v>0</v>
      </c>
      <c r="AN183" s="572">
        <v>0</v>
      </c>
      <c r="AO183" s="572">
        <v>0</v>
      </c>
      <c r="AP183" s="572">
        <v>850000</v>
      </c>
      <c r="AQ183" s="572">
        <v>0</v>
      </c>
      <c r="AR183" s="572">
        <v>0</v>
      </c>
      <c r="AS183" s="572">
        <v>0</v>
      </c>
      <c r="AT183" s="572">
        <v>0</v>
      </c>
      <c r="AU183" s="572">
        <v>0</v>
      </c>
      <c r="AV183" s="572">
        <v>0</v>
      </c>
      <c r="AW183" s="572">
        <v>102466</v>
      </c>
      <c r="AX183" s="572">
        <v>0</v>
      </c>
      <c r="AY183" s="572">
        <v>2068550</v>
      </c>
      <c r="AZ183" s="572">
        <v>0</v>
      </c>
      <c r="BA183" s="572">
        <v>157639</v>
      </c>
      <c r="BB183" s="572">
        <v>0</v>
      </c>
      <c r="BC183" s="572">
        <v>0</v>
      </c>
      <c r="BD183" s="572">
        <v>0</v>
      </c>
      <c r="BE183" s="572">
        <v>0</v>
      </c>
      <c r="BF183" s="572">
        <v>0</v>
      </c>
      <c r="BG183" s="572">
        <v>40164</v>
      </c>
      <c r="BH183" s="572">
        <v>0</v>
      </c>
      <c r="BI183" s="572">
        <v>0</v>
      </c>
      <c r="BJ183" s="572">
        <v>0</v>
      </c>
      <c r="BK183" s="572">
        <v>0</v>
      </c>
      <c r="BL183" s="572">
        <v>0</v>
      </c>
      <c r="BM183" s="572">
        <v>0</v>
      </c>
      <c r="BN183" s="572">
        <v>0</v>
      </c>
      <c r="BO183" s="572">
        <v>0</v>
      </c>
      <c r="BP183" s="572">
        <v>0</v>
      </c>
      <c r="BQ183" s="572">
        <v>507000</v>
      </c>
      <c r="BR183" s="572">
        <v>0</v>
      </c>
      <c r="BS183" s="572">
        <v>0</v>
      </c>
      <c r="BT183" s="572">
        <v>219662</v>
      </c>
      <c r="BU183" s="572">
        <v>0</v>
      </c>
      <c r="BV183" s="572">
        <v>0</v>
      </c>
      <c r="BW183" s="572">
        <v>25549</v>
      </c>
      <c r="BX183" s="572">
        <v>190307</v>
      </c>
      <c r="BY183" s="572">
        <v>0</v>
      </c>
      <c r="BZ183" s="572">
        <v>0</v>
      </c>
      <c r="CA183" s="572">
        <v>0</v>
      </c>
      <c r="CB183" s="572">
        <v>0</v>
      </c>
      <c r="CC183" s="572">
        <v>740000</v>
      </c>
      <c r="CD183" s="572">
        <v>0</v>
      </c>
      <c r="CE183" s="572">
        <v>0</v>
      </c>
      <c r="CF183" s="572">
        <v>0</v>
      </c>
      <c r="CG183" s="572">
        <v>0</v>
      </c>
      <c r="CH183" s="572">
        <v>0</v>
      </c>
      <c r="CI183" s="572">
        <v>86500</v>
      </c>
      <c r="CJ183" s="572">
        <v>0</v>
      </c>
      <c r="CK183" s="572">
        <v>0</v>
      </c>
      <c r="CL183" s="572">
        <v>0</v>
      </c>
      <c r="CM183" s="572">
        <v>0</v>
      </c>
      <c r="CN183" s="572">
        <v>0</v>
      </c>
      <c r="CO183" s="572">
        <v>0</v>
      </c>
      <c r="CP183" s="572">
        <v>45765</v>
      </c>
      <c r="CQ183" s="572">
        <v>0</v>
      </c>
    </row>
    <row r="184" spans="1:95" ht="45" x14ac:dyDescent="0.25">
      <c r="A184" s="670">
        <v>535</v>
      </c>
      <c r="B184" s="590">
        <v>534</v>
      </c>
      <c r="C184" s="570" t="s">
        <v>885</v>
      </c>
      <c r="D184" s="567" t="s">
        <v>886</v>
      </c>
      <c r="E184" s="573"/>
      <c r="F184" s="574"/>
      <c r="G184" s="574"/>
      <c r="H184" s="574"/>
      <c r="I184" s="574"/>
      <c r="J184" s="574"/>
      <c r="K184" s="575"/>
      <c r="L184" s="572"/>
      <c r="M184" s="572"/>
      <c r="N184" s="571"/>
      <c r="O184" s="571"/>
      <c r="P184" s="571"/>
      <c r="Q184" s="571"/>
      <c r="R184" s="571"/>
      <c r="S184" s="571"/>
      <c r="T184" s="571"/>
      <c r="U184" s="571"/>
      <c r="V184" s="571"/>
      <c r="W184" s="571"/>
      <c r="X184" s="571"/>
      <c r="Y184" s="571"/>
      <c r="Z184" s="571"/>
      <c r="AA184" s="571"/>
      <c r="AB184" s="572"/>
      <c r="AC184" s="572"/>
      <c r="AD184" s="572"/>
      <c r="AE184" s="572"/>
      <c r="AF184" s="572"/>
      <c r="AG184" s="572"/>
      <c r="AH184" s="572"/>
      <c r="AI184" s="572"/>
      <c r="AJ184" s="572"/>
      <c r="AK184" s="572"/>
      <c r="AL184" s="572"/>
      <c r="AM184" s="572"/>
      <c r="AN184" s="572"/>
      <c r="AO184" s="572"/>
      <c r="AP184" s="572"/>
      <c r="AQ184" s="572"/>
      <c r="AR184" s="572"/>
      <c r="AS184" s="572"/>
      <c r="AT184" s="572"/>
      <c r="AU184" s="572"/>
      <c r="AV184" s="572"/>
      <c r="AW184" s="572"/>
      <c r="AX184" s="572"/>
      <c r="AY184" s="572"/>
      <c r="AZ184" s="572"/>
      <c r="BA184" s="572"/>
      <c r="BB184" s="572"/>
      <c r="BC184" s="572"/>
      <c r="BD184" s="572"/>
      <c r="BE184" s="572"/>
      <c r="BF184" s="572"/>
      <c r="BG184" s="572"/>
      <c r="BH184" s="572"/>
      <c r="BI184" s="572"/>
      <c r="BJ184" s="572"/>
      <c r="BK184" s="572"/>
      <c r="BL184" s="572"/>
      <c r="BM184" s="572"/>
      <c r="BN184" s="572"/>
      <c r="BO184" s="572"/>
      <c r="BP184" s="572"/>
      <c r="BQ184" s="572"/>
      <c r="BR184" s="572"/>
      <c r="BS184" s="572"/>
      <c r="BT184" s="572"/>
      <c r="BU184" s="572"/>
      <c r="BV184" s="572"/>
      <c r="BW184" s="572"/>
      <c r="BX184" s="572"/>
      <c r="BY184" s="572"/>
      <c r="BZ184" s="572"/>
      <c r="CA184" s="572"/>
      <c r="CB184" s="572"/>
      <c r="CC184" s="572"/>
      <c r="CD184" s="572"/>
      <c r="CE184" s="572"/>
      <c r="CF184" s="572"/>
      <c r="CG184" s="572"/>
      <c r="CH184" s="572"/>
      <c r="CI184" s="572"/>
      <c r="CJ184" s="572"/>
      <c r="CK184" s="572"/>
      <c r="CL184" s="572"/>
      <c r="CM184" s="572"/>
      <c r="CN184" s="572"/>
      <c r="CO184" s="572"/>
      <c r="CP184" s="572"/>
      <c r="CQ184" s="572"/>
    </row>
    <row r="185" spans="1:95" ht="30" x14ac:dyDescent="0.25">
      <c r="A185" s="670">
        <v>536</v>
      </c>
      <c r="B185" s="590">
        <v>535</v>
      </c>
      <c r="C185" s="570" t="s">
        <v>338</v>
      </c>
      <c r="D185" s="567" t="s">
        <v>887</v>
      </c>
      <c r="E185" s="573">
        <v>0</v>
      </c>
      <c r="F185" s="574">
        <v>0</v>
      </c>
      <c r="G185" s="574">
        <v>0</v>
      </c>
      <c r="H185" s="574">
        <v>0</v>
      </c>
      <c r="I185" s="574">
        <v>0</v>
      </c>
      <c r="J185" s="574">
        <v>0</v>
      </c>
      <c r="K185" s="575">
        <v>0</v>
      </c>
      <c r="L185" s="572">
        <v>0</v>
      </c>
      <c r="M185" s="572">
        <v>0</v>
      </c>
      <c r="N185" s="571">
        <v>0</v>
      </c>
      <c r="O185" s="571">
        <v>272102</v>
      </c>
      <c r="P185" s="571">
        <v>0</v>
      </c>
      <c r="Q185" s="571">
        <v>0</v>
      </c>
      <c r="R185" s="571">
        <v>0</v>
      </c>
      <c r="S185" s="571">
        <v>0</v>
      </c>
      <c r="T185" s="571">
        <v>0</v>
      </c>
      <c r="U185" s="571">
        <v>0</v>
      </c>
      <c r="V185" s="571">
        <v>0</v>
      </c>
      <c r="W185" s="571">
        <v>0</v>
      </c>
      <c r="X185" s="571">
        <v>0</v>
      </c>
      <c r="Y185" s="571">
        <v>0</v>
      </c>
      <c r="Z185" s="571">
        <v>0</v>
      </c>
      <c r="AA185" s="571">
        <v>0</v>
      </c>
      <c r="AB185" s="572">
        <v>0</v>
      </c>
      <c r="AC185" s="572">
        <v>0</v>
      </c>
      <c r="AD185" s="572">
        <v>0</v>
      </c>
      <c r="AE185" s="572">
        <v>244654</v>
      </c>
      <c r="AF185" s="572">
        <v>0</v>
      </c>
      <c r="AG185" s="572">
        <v>0</v>
      </c>
      <c r="AH185" s="572">
        <v>0</v>
      </c>
      <c r="AI185" s="572">
        <v>0</v>
      </c>
      <c r="AJ185" s="572">
        <v>0</v>
      </c>
      <c r="AK185" s="572">
        <v>0</v>
      </c>
      <c r="AL185" s="572">
        <v>0</v>
      </c>
      <c r="AM185" s="572">
        <v>0</v>
      </c>
      <c r="AN185" s="572">
        <v>0</v>
      </c>
      <c r="AO185" s="572">
        <v>0</v>
      </c>
      <c r="AP185" s="572">
        <v>0</v>
      </c>
      <c r="AQ185" s="572">
        <v>0</v>
      </c>
      <c r="AR185" s="572">
        <v>0</v>
      </c>
      <c r="AS185" s="572">
        <v>0</v>
      </c>
      <c r="AT185" s="572">
        <v>0</v>
      </c>
      <c r="AU185" s="572">
        <v>0</v>
      </c>
      <c r="AV185" s="572">
        <v>0</v>
      </c>
      <c r="AW185" s="572">
        <v>0</v>
      </c>
      <c r="AX185" s="572">
        <v>0</v>
      </c>
      <c r="AY185" s="572">
        <v>15840307</v>
      </c>
      <c r="AZ185" s="572">
        <v>0</v>
      </c>
      <c r="BA185" s="572">
        <v>0</v>
      </c>
      <c r="BB185" s="572">
        <v>0</v>
      </c>
      <c r="BC185" s="572">
        <v>0</v>
      </c>
      <c r="BD185" s="572">
        <v>0</v>
      </c>
      <c r="BE185" s="572">
        <v>0</v>
      </c>
      <c r="BF185" s="572">
        <v>2045220</v>
      </c>
      <c r="BG185" s="572">
        <v>0</v>
      </c>
      <c r="BH185" s="572">
        <v>0</v>
      </c>
      <c r="BI185" s="572">
        <v>0</v>
      </c>
      <c r="BJ185" s="572">
        <v>0</v>
      </c>
      <c r="BK185" s="572">
        <v>0</v>
      </c>
      <c r="BL185" s="572">
        <v>0</v>
      </c>
      <c r="BM185" s="572">
        <v>0</v>
      </c>
      <c r="BN185" s="572">
        <v>0</v>
      </c>
      <c r="BO185" s="572">
        <v>0</v>
      </c>
      <c r="BP185" s="572">
        <v>0</v>
      </c>
      <c r="BQ185" s="572">
        <v>0</v>
      </c>
      <c r="BR185" s="572">
        <v>0</v>
      </c>
      <c r="BS185" s="572">
        <v>0</v>
      </c>
      <c r="BT185" s="572">
        <v>0</v>
      </c>
      <c r="BU185" s="572">
        <v>0</v>
      </c>
      <c r="BV185" s="572">
        <v>0</v>
      </c>
      <c r="BW185" s="572">
        <v>0</v>
      </c>
      <c r="BX185" s="572">
        <v>944724</v>
      </c>
      <c r="BY185" s="572">
        <v>0</v>
      </c>
      <c r="BZ185" s="572">
        <v>0</v>
      </c>
      <c r="CA185" s="572">
        <v>58520</v>
      </c>
      <c r="CB185" s="572">
        <v>18270560</v>
      </c>
      <c r="CC185" s="572">
        <v>740005</v>
      </c>
      <c r="CD185" s="572">
        <v>0</v>
      </c>
      <c r="CE185" s="572">
        <v>0</v>
      </c>
      <c r="CF185" s="572">
        <v>0</v>
      </c>
      <c r="CG185" s="572">
        <v>0</v>
      </c>
      <c r="CH185" s="572">
        <v>89989747</v>
      </c>
      <c r="CI185" s="572">
        <v>0</v>
      </c>
      <c r="CJ185" s="572">
        <v>0</v>
      </c>
      <c r="CK185" s="572">
        <v>0</v>
      </c>
      <c r="CL185" s="572">
        <v>0</v>
      </c>
      <c r="CM185" s="572">
        <v>0</v>
      </c>
      <c r="CN185" s="572">
        <v>0</v>
      </c>
      <c r="CO185" s="572">
        <v>0</v>
      </c>
      <c r="CP185" s="572">
        <v>0</v>
      </c>
      <c r="CQ185" s="572">
        <v>0</v>
      </c>
    </row>
    <row r="186" spans="1:95" ht="30" x14ac:dyDescent="0.25">
      <c r="A186" s="670"/>
      <c r="B186" s="590">
        <v>536</v>
      </c>
      <c r="C186" s="570" t="s">
        <v>284</v>
      </c>
      <c r="D186" s="567" t="s">
        <v>888</v>
      </c>
      <c r="E186" s="573">
        <v>225381</v>
      </c>
      <c r="F186" s="574">
        <v>393104</v>
      </c>
      <c r="G186" s="574">
        <v>71241</v>
      </c>
      <c r="H186" s="574">
        <v>286141</v>
      </c>
      <c r="I186" s="574">
        <v>272215</v>
      </c>
      <c r="J186" s="574">
        <v>157559</v>
      </c>
      <c r="K186" s="575">
        <v>51239</v>
      </c>
      <c r="L186" s="572">
        <v>48709</v>
      </c>
      <c r="M186" s="572">
        <v>22657</v>
      </c>
      <c r="N186" s="571">
        <v>46886</v>
      </c>
      <c r="O186" s="571">
        <v>130956</v>
      </c>
      <c r="P186" s="571">
        <v>120280</v>
      </c>
      <c r="Q186" s="571">
        <v>35322</v>
      </c>
      <c r="R186" s="571">
        <v>0</v>
      </c>
      <c r="S186" s="571">
        <v>2355</v>
      </c>
      <c r="T186" s="571">
        <v>144776</v>
      </c>
      <c r="U186" s="571">
        <v>0</v>
      </c>
      <c r="V186" s="571">
        <v>54510</v>
      </c>
      <c r="W186" s="571">
        <v>0</v>
      </c>
      <c r="X186" s="571">
        <v>461654</v>
      </c>
      <c r="Y186" s="571">
        <v>0</v>
      </c>
      <c r="Z186" s="571">
        <v>9862</v>
      </c>
      <c r="AA186" s="571">
        <v>1660803</v>
      </c>
      <c r="AB186" s="572">
        <v>28980</v>
      </c>
      <c r="AC186" s="572">
        <v>238215</v>
      </c>
      <c r="AD186" s="572">
        <v>112057</v>
      </c>
      <c r="AE186" s="572">
        <v>363967</v>
      </c>
      <c r="AF186" s="572">
        <v>959224</v>
      </c>
      <c r="AG186" s="572">
        <v>35371</v>
      </c>
      <c r="AH186" s="572">
        <v>166687</v>
      </c>
      <c r="AI186" s="572">
        <v>47</v>
      </c>
      <c r="AJ186" s="572">
        <v>550374</v>
      </c>
      <c r="AK186" s="572">
        <v>3829</v>
      </c>
      <c r="AL186" s="572">
        <v>670197</v>
      </c>
      <c r="AM186" s="572">
        <v>13428</v>
      </c>
      <c r="AN186" s="572">
        <v>14075</v>
      </c>
      <c r="AO186" s="572">
        <v>0</v>
      </c>
      <c r="AP186" s="572">
        <v>151314</v>
      </c>
      <c r="AQ186" s="572">
        <v>0</v>
      </c>
      <c r="AR186" s="572">
        <v>100517</v>
      </c>
      <c r="AS186" s="572">
        <v>0</v>
      </c>
      <c r="AT186" s="572">
        <v>78853</v>
      </c>
      <c r="AU186" s="572">
        <v>141550</v>
      </c>
      <c r="AV186" s="572">
        <v>177637</v>
      </c>
      <c r="AW186" s="572">
        <v>352320</v>
      </c>
      <c r="AX186" s="572">
        <v>82075</v>
      </c>
      <c r="AY186" s="572">
        <v>1203097</v>
      </c>
      <c r="AZ186" s="572">
        <v>920860</v>
      </c>
      <c r="BA186" s="572">
        <v>163819</v>
      </c>
      <c r="BB186" s="572">
        <v>0</v>
      </c>
      <c r="BC186" s="572">
        <v>38880</v>
      </c>
      <c r="BD186" s="572">
        <v>101469</v>
      </c>
      <c r="BE186" s="572">
        <v>63839</v>
      </c>
      <c r="BF186" s="572">
        <v>17979</v>
      </c>
      <c r="BG186" s="572">
        <v>107872</v>
      </c>
      <c r="BH186" s="572">
        <v>7738</v>
      </c>
      <c r="BI186" s="572">
        <v>118561</v>
      </c>
      <c r="BJ186" s="572">
        <v>48462</v>
      </c>
      <c r="BK186" s="572">
        <v>0</v>
      </c>
      <c r="BL186" s="572">
        <v>193008</v>
      </c>
      <c r="BM186" s="572">
        <v>128203</v>
      </c>
      <c r="BN186" s="572">
        <v>0</v>
      </c>
      <c r="BO186" s="572">
        <v>75002</v>
      </c>
      <c r="BP186" s="572">
        <v>0</v>
      </c>
      <c r="BQ186" s="572">
        <v>1983517</v>
      </c>
      <c r="BR186" s="572">
        <v>0</v>
      </c>
      <c r="BS186" s="572">
        <v>369634</v>
      </c>
      <c r="BT186" s="572">
        <v>684616</v>
      </c>
      <c r="BU186" s="572">
        <v>964159</v>
      </c>
      <c r="BV186" s="572">
        <v>58080</v>
      </c>
      <c r="BW186" s="572">
        <v>49169</v>
      </c>
      <c r="BX186" s="572">
        <v>556772</v>
      </c>
      <c r="BY186" s="572">
        <v>0</v>
      </c>
      <c r="BZ186" s="572">
        <v>0</v>
      </c>
      <c r="CA186" s="572">
        <v>383136</v>
      </c>
      <c r="CB186" s="572">
        <v>0</v>
      </c>
      <c r="CC186" s="572">
        <v>1347627</v>
      </c>
      <c r="CD186" s="572">
        <v>350414</v>
      </c>
      <c r="CE186" s="572">
        <v>0</v>
      </c>
      <c r="CF186" s="572">
        <v>0</v>
      </c>
      <c r="CG186" s="572">
        <v>158226</v>
      </c>
      <c r="CH186" s="572">
        <v>0</v>
      </c>
      <c r="CI186" s="572">
        <v>1282671</v>
      </c>
      <c r="CJ186" s="572">
        <v>138063</v>
      </c>
      <c r="CK186" s="572">
        <v>117459</v>
      </c>
      <c r="CL186" s="572">
        <v>49108</v>
      </c>
      <c r="CM186" s="572">
        <v>121787</v>
      </c>
      <c r="CN186" s="572">
        <v>19960</v>
      </c>
      <c r="CO186" s="572">
        <v>252002</v>
      </c>
      <c r="CP186" s="572">
        <v>28484</v>
      </c>
      <c r="CQ186" s="572">
        <v>696768</v>
      </c>
    </row>
    <row r="187" spans="1:95" ht="45" x14ac:dyDescent="0.25">
      <c r="A187" s="668">
        <v>537</v>
      </c>
      <c r="B187" s="635">
        <v>537</v>
      </c>
      <c r="C187" s="622" t="s">
        <v>889</v>
      </c>
      <c r="D187" s="627" t="s">
        <v>890</v>
      </c>
      <c r="E187" s="640">
        <v>0</v>
      </c>
      <c r="F187" s="642">
        <v>2</v>
      </c>
      <c r="G187" s="642">
        <v>2</v>
      </c>
      <c r="H187" s="642">
        <v>2</v>
      </c>
      <c r="I187" s="642">
        <v>1</v>
      </c>
      <c r="J187" s="642">
        <v>2</v>
      </c>
      <c r="K187" s="637">
        <v>2</v>
      </c>
      <c r="L187" s="638">
        <v>2</v>
      </c>
      <c r="M187" s="638">
        <v>2</v>
      </c>
      <c r="N187" s="623">
        <v>1</v>
      </c>
      <c r="O187" s="623">
        <v>2</v>
      </c>
      <c r="P187" s="623">
        <v>2</v>
      </c>
      <c r="Q187" s="623">
        <v>2</v>
      </c>
      <c r="R187" s="623">
        <v>0</v>
      </c>
      <c r="S187" s="623">
        <v>0</v>
      </c>
      <c r="T187" s="623">
        <v>0</v>
      </c>
      <c r="U187" s="623">
        <v>0</v>
      </c>
      <c r="V187" s="623">
        <v>2</v>
      </c>
      <c r="W187" s="623">
        <v>2</v>
      </c>
      <c r="X187" s="623">
        <v>0</v>
      </c>
      <c r="Y187" s="623">
        <v>2</v>
      </c>
      <c r="Z187" s="623">
        <v>2</v>
      </c>
      <c r="AA187" s="623">
        <v>2</v>
      </c>
      <c r="AB187" s="638">
        <v>2</v>
      </c>
      <c r="AC187" s="638">
        <v>2</v>
      </c>
      <c r="AD187" s="638">
        <v>2</v>
      </c>
      <c r="AE187" s="638">
        <v>1</v>
      </c>
      <c r="AF187" s="638">
        <v>0</v>
      </c>
      <c r="AG187" s="638">
        <v>2</v>
      </c>
      <c r="AH187" s="638">
        <v>0</v>
      </c>
      <c r="AI187" s="638">
        <v>2</v>
      </c>
      <c r="AJ187" s="638">
        <v>2</v>
      </c>
      <c r="AK187" s="638">
        <v>2</v>
      </c>
      <c r="AL187" s="638">
        <v>2</v>
      </c>
      <c r="AM187" s="638">
        <v>2</v>
      </c>
      <c r="AN187" s="638">
        <v>1</v>
      </c>
      <c r="AO187" s="638">
        <v>0</v>
      </c>
      <c r="AP187" s="638">
        <v>1</v>
      </c>
      <c r="AQ187" s="638">
        <v>0</v>
      </c>
      <c r="AR187" s="638">
        <v>0</v>
      </c>
      <c r="AS187" s="638">
        <v>2</v>
      </c>
      <c r="AT187" s="638">
        <v>2</v>
      </c>
      <c r="AU187" s="638">
        <v>2</v>
      </c>
      <c r="AV187" s="638">
        <v>2</v>
      </c>
      <c r="AW187" s="638">
        <v>1</v>
      </c>
      <c r="AX187" s="638">
        <v>2</v>
      </c>
      <c r="AY187" s="638">
        <v>2</v>
      </c>
      <c r="AZ187" s="638">
        <v>2</v>
      </c>
      <c r="BA187" s="638">
        <v>2</v>
      </c>
      <c r="BB187" s="638">
        <v>0</v>
      </c>
      <c r="BC187" s="638">
        <v>1</v>
      </c>
      <c r="BD187" s="638">
        <v>1</v>
      </c>
      <c r="BE187" s="638">
        <v>1</v>
      </c>
      <c r="BF187" s="638">
        <v>2</v>
      </c>
      <c r="BG187" s="638">
        <v>2</v>
      </c>
      <c r="BH187" s="638">
        <v>2</v>
      </c>
      <c r="BI187" s="638">
        <v>0</v>
      </c>
      <c r="BJ187" s="638">
        <v>2</v>
      </c>
      <c r="BK187" s="638">
        <v>2</v>
      </c>
      <c r="BL187" s="638">
        <v>1</v>
      </c>
      <c r="BM187" s="638">
        <v>1</v>
      </c>
      <c r="BN187" s="638">
        <v>0</v>
      </c>
      <c r="BO187" s="638">
        <v>2</v>
      </c>
      <c r="BP187" s="638">
        <v>0</v>
      </c>
      <c r="BQ187" s="638">
        <v>2</v>
      </c>
      <c r="BR187" s="638">
        <v>0</v>
      </c>
      <c r="BS187" s="638">
        <v>0</v>
      </c>
      <c r="BT187" s="638">
        <v>2</v>
      </c>
      <c r="BU187" s="638">
        <v>2</v>
      </c>
      <c r="BV187" s="638">
        <v>2</v>
      </c>
      <c r="BW187" s="638">
        <v>2</v>
      </c>
      <c r="BX187" s="638">
        <v>2</v>
      </c>
      <c r="BY187" s="638">
        <v>2</v>
      </c>
      <c r="BZ187" s="638">
        <v>0</v>
      </c>
      <c r="CA187" s="638">
        <v>1</v>
      </c>
      <c r="CB187" s="638">
        <v>0</v>
      </c>
      <c r="CC187" s="638">
        <v>1</v>
      </c>
      <c r="CD187" s="638">
        <v>2</v>
      </c>
      <c r="CE187" s="638">
        <v>2</v>
      </c>
      <c r="CF187" s="638">
        <v>0</v>
      </c>
      <c r="CG187" s="638">
        <v>1</v>
      </c>
      <c r="CH187" s="638">
        <v>1</v>
      </c>
      <c r="CI187" s="638">
        <v>2</v>
      </c>
      <c r="CJ187" s="638">
        <v>2</v>
      </c>
      <c r="CK187" s="638">
        <v>2</v>
      </c>
      <c r="CL187" s="638">
        <v>2</v>
      </c>
      <c r="CM187" s="638">
        <v>2</v>
      </c>
      <c r="CN187" s="638">
        <v>2</v>
      </c>
      <c r="CO187" s="638">
        <v>2</v>
      </c>
      <c r="CP187" s="638">
        <v>2</v>
      </c>
      <c r="CQ187" s="638">
        <v>0</v>
      </c>
    </row>
    <row r="188" spans="1:95" ht="60" x14ac:dyDescent="0.25">
      <c r="A188" s="668">
        <v>538</v>
      </c>
      <c r="B188" s="635">
        <v>538</v>
      </c>
      <c r="C188" s="622" t="s">
        <v>891</v>
      </c>
      <c r="D188" s="627" t="s">
        <v>892</v>
      </c>
      <c r="E188" s="640">
        <v>0</v>
      </c>
      <c r="F188" s="642">
        <v>2</v>
      </c>
      <c r="G188" s="642">
        <v>2</v>
      </c>
      <c r="H188" s="642">
        <v>2</v>
      </c>
      <c r="I188" s="642">
        <v>1</v>
      </c>
      <c r="J188" s="642">
        <v>2</v>
      </c>
      <c r="K188" s="637">
        <v>1</v>
      </c>
      <c r="L188" s="638">
        <v>2</v>
      </c>
      <c r="M188" s="638">
        <v>2</v>
      </c>
      <c r="N188" s="623">
        <v>2</v>
      </c>
      <c r="O188" s="623">
        <v>2</v>
      </c>
      <c r="P188" s="623">
        <v>2</v>
      </c>
      <c r="Q188" s="623">
        <v>2</v>
      </c>
      <c r="R188" s="623">
        <v>0</v>
      </c>
      <c r="S188" s="623">
        <v>0</v>
      </c>
      <c r="T188" s="623">
        <v>0</v>
      </c>
      <c r="U188" s="623">
        <v>0</v>
      </c>
      <c r="V188" s="623">
        <v>2</v>
      </c>
      <c r="W188" s="623">
        <v>2</v>
      </c>
      <c r="X188" s="623">
        <v>0</v>
      </c>
      <c r="Y188" s="623">
        <v>2</v>
      </c>
      <c r="Z188" s="623">
        <v>2</v>
      </c>
      <c r="AA188" s="623">
        <v>2</v>
      </c>
      <c r="AB188" s="638">
        <v>1</v>
      </c>
      <c r="AC188" s="638">
        <v>2</v>
      </c>
      <c r="AD188" s="638">
        <v>2</v>
      </c>
      <c r="AE188" s="638">
        <v>1</v>
      </c>
      <c r="AF188" s="638">
        <v>0</v>
      </c>
      <c r="AG188" s="638">
        <v>2</v>
      </c>
      <c r="AH188" s="638">
        <v>0</v>
      </c>
      <c r="AI188" s="638">
        <v>2</v>
      </c>
      <c r="AJ188" s="638">
        <v>2</v>
      </c>
      <c r="AK188" s="638">
        <v>2</v>
      </c>
      <c r="AL188" s="638">
        <v>2</v>
      </c>
      <c r="AM188" s="638">
        <v>2</v>
      </c>
      <c r="AN188" s="638">
        <v>2</v>
      </c>
      <c r="AO188" s="638">
        <v>0</v>
      </c>
      <c r="AP188" s="638">
        <v>1</v>
      </c>
      <c r="AQ188" s="638">
        <v>0</v>
      </c>
      <c r="AR188" s="638">
        <v>0</v>
      </c>
      <c r="AS188" s="638">
        <v>2</v>
      </c>
      <c r="AT188" s="638">
        <v>2</v>
      </c>
      <c r="AU188" s="638">
        <v>2</v>
      </c>
      <c r="AV188" s="638">
        <v>1</v>
      </c>
      <c r="AW188" s="638">
        <v>2</v>
      </c>
      <c r="AX188" s="638">
        <v>2</v>
      </c>
      <c r="AY188" s="638">
        <v>2</v>
      </c>
      <c r="AZ188" s="638">
        <v>2</v>
      </c>
      <c r="BA188" s="638">
        <v>2</v>
      </c>
      <c r="BB188" s="638">
        <v>0</v>
      </c>
      <c r="BC188" s="638">
        <v>1</v>
      </c>
      <c r="BD188" s="638">
        <v>1</v>
      </c>
      <c r="BE188" s="638">
        <v>2</v>
      </c>
      <c r="BF188" s="638">
        <v>1</v>
      </c>
      <c r="BG188" s="638">
        <v>2</v>
      </c>
      <c r="BH188" s="638">
        <v>1</v>
      </c>
      <c r="BI188" s="638">
        <v>0</v>
      </c>
      <c r="BJ188" s="638">
        <v>0</v>
      </c>
      <c r="BK188" s="638">
        <v>2</v>
      </c>
      <c r="BL188" s="638">
        <v>1</v>
      </c>
      <c r="BM188" s="638">
        <v>1</v>
      </c>
      <c r="BN188" s="638">
        <v>0</v>
      </c>
      <c r="BO188" s="638">
        <v>2</v>
      </c>
      <c r="BP188" s="638">
        <v>0</v>
      </c>
      <c r="BQ188" s="638">
        <v>2</v>
      </c>
      <c r="BR188" s="638">
        <v>0</v>
      </c>
      <c r="BS188" s="638">
        <v>0</v>
      </c>
      <c r="BT188" s="638">
        <v>2</v>
      </c>
      <c r="BU188" s="638">
        <v>2</v>
      </c>
      <c r="BV188" s="638">
        <v>2</v>
      </c>
      <c r="BW188" s="638">
        <v>2</v>
      </c>
      <c r="BX188" s="638">
        <v>2</v>
      </c>
      <c r="BY188" s="638">
        <v>2</v>
      </c>
      <c r="BZ188" s="638">
        <v>0</v>
      </c>
      <c r="CA188" s="638">
        <v>2</v>
      </c>
      <c r="CB188" s="638">
        <v>0</v>
      </c>
      <c r="CC188" s="638">
        <v>1</v>
      </c>
      <c r="CD188" s="638">
        <v>2</v>
      </c>
      <c r="CE188" s="638">
        <v>2</v>
      </c>
      <c r="CF188" s="638">
        <v>0</v>
      </c>
      <c r="CG188" s="638">
        <v>1</v>
      </c>
      <c r="CH188" s="638">
        <v>1</v>
      </c>
      <c r="CI188" s="638">
        <v>1</v>
      </c>
      <c r="CJ188" s="638">
        <v>2</v>
      </c>
      <c r="CK188" s="638">
        <v>2</v>
      </c>
      <c r="CL188" s="638">
        <v>2</v>
      </c>
      <c r="CM188" s="638">
        <v>2</v>
      </c>
      <c r="CN188" s="638">
        <v>2</v>
      </c>
      <c r="CO188" s="638">
        <v>2</v>
      </c>
      <c r="CP188" s="638">
        <v>2</v>
      </c>
      <c r="CQ188" s="638">
        <v>0</v>
      </c>
    </row>
    <row r="189" spans="1:95" ht="60" x14ac:dyDescent="0.25">
      <c r="A189" s="668"/>
      <c r="B189" s="591">
        <v>539</v>
      </c>
      <c r="C189" s="583" t="s">
        <v>893</v>
      </c>
      <c r="D189" s="608" t="s">
        <v>894</v>
      </c>
      <c r="E189" s="573"/>
      <c r="F189" s="574"/>
      <c r="G189" s="574"/>
      <c r="H189" s="574"/>
      <c r="I189" s="574"/>
      <c r="J189" s="574"/>
      <c r="K189" s="575"/>
      <c r="L189" s="572"/>
      <c r="M189" s="572"/>
      <c r="N189" s="571"/>
      <c r="O189" s="571"/>
      <c r="P189" s="571"/>
      <c r="Q189" s="571"/>
      <c r="R189" s="571"/>
      <c r="S189" s="571"/>
      <c r="T189" s="571"/>
      <c r="U189" s="571"/>
      <c r="V189" s="571"/>
      <c r="W189" s="571"/>
      <c r="X189" s="571"/>
      <c r="Y189" s="571"/>
      <c r="Z189" s="571"/>
      <c r="AA189" s="571"/>
      <c r="AB189" s="572"/>
      <c r="AC189" s="572"/>
      <c r="AD189" s="572"/>
      <c r="AE189" s="572"/>
      <c r="AF189" s="572"/>
      <c r="AG189" s="572"/>
      <c r="AH189" s="572"/>
      <c r="AI189" s="572"/>
      <c r="AJ189" s="572"/>
      <c r="AK189" s="572"/>
      <c r="AL189" s="572"/>
      <c r="AM189" s="572"/>
      <c r="AN189" s="572"/>
      <c r="AO189" s="572"/>
      <c r="AP189" s="572"/>
      <c r="AQ189" s="572"/>
      <c r="AR189" s="572"/>
      <c r="AS189" s="572"/>
      <c r="AT189" s="572"/>
      <c r="AU189" s="572"/>
      <c r="AV189" s="572"/>
      <c r="AW189" s="572"/>
      <c r="AX189" s="572"/>
      <c r="AY189" s="572"/>
      <c r="AZ189" s="572"/>
      <c r="BA189" s="572"/>
      <c r="BB189" s="572"/>
      <c r="BC189" s="572"/>
      <c r="BD189" s="572"/>
      <c r="BE189" s="572"/>
      <c r="BF189" s="572"/>
      <c r="BG189" s="572"/>
      <c r="BH189" s="572"/>
      <c r="BI189" s="572"/>
      <c r="BJ189" s="572"/>
      <c r="BK189" s="572"/>
      <c r="BL189" s="572"/>
      <c r="BM189" s="572"/>
      <c r="BN189" s="572"/>
      <c r="BO189" s="572"/>
      <c r="BP189" s="572"/>
      <c r="BQ189" s="572"/>
      <c r="BR189" s="572"/>
      <c r="BS189" s="572"/>
      <c r="BT189" s="572"/>
      <c r="BU189" s="572"/>
      <c r="BV189" s="572"/>
      <c r="BW189" s="572"/>
      <c r="BX189" s="572"/>
      <c r="BY189" s="572"/>
      <c r="BZ189" s="572"/>
      <c r="CA189" s="572"/>
      <c r="CB189" s="572"/>
      <c r="CC189" s="572"/>
      <c r="CD189" s="572"/>
      <c r="CE189" s="572"/>
      <c r="CF189" s="572"/>
      <c r="CG189" s="572"/>
      <c r="CH189" s="572"/>
      <c r="CI189" s="572"/>
      <c r="CJ189" s="572"/>
      <c r="CK189" s="572"/>
      <c r="CL189" s="572"/>
      <c r="CM189" s="572"/>
      <c r="CN189" s="572"/>
      <c r="CO189" s="572"/>
      <c r="CP189" s="572"/>
      <c r="CQ189" s="572"/>
    </row>
    <row r="190" spans="1:95" ht="45" x14ac:dyDescent="0.25">
      <c r="A190" s="668">
        <v>540</v>
      </c>
      <c r="B190" s="591">
        <v>540</v>
      </c>
      <c r="C190" s="584" t="s">
        <v>895</v>
      </c>
      <c r="D190" s="608" t="s">
        <v>896</v>
      </c>
      <c r="E190" s="573">
        <v>129150</v>
      </c>
      <c r="F190" s="574">
        <v>1550000</v>
      </c>
      <c r="G190" s="574">
        <v>0</v>
      </c>
      <c r="H190" s="574">
        <v>0</v>
      </c>
      <c r="I190" s="574">
        <v>0</v>
      </c>
      <c r="J190" s="574">
        <v>149307</v>
      </c>
      <c r="K190" s="575">
        <v>3646984</v>
      </c>
      <c r="L190" s="572">
        <v>56164</v>
      </c>
      <c r="M190" s="572">
        <v>0</v>
      </c>
      <c r="N190" s="571">
        <v>0</v>
      </c>
      <c r="O190" s="571">
        <v>0</v>
      </c>
      <c r="P190" s="571">
        <v>0</v>
      </c>
      <c r="Q190" s="571">
        <v>0</v>
      </c>
      <c r="R190" s="571">
        <v>108633</v>
      </c>
      <c r="S190" s="571">
        <v>592425</v>
      </c>
      <c r="T190" s="571">
        <v>0</v>
      </c>
      <c r="U190" s="571">
        <v>0</v>
      </c>
      <c r="V190" s="571">
        <v>97730</v>
      </c>
      <c r="W190" s="571">
        <v>196500</v>
      </c>
      <c r="X190" s="571">
        <v>264100</v>
      </c>
      <c r="Y190" s="571">
        <v>0</v>
      </c>
      <c r="Z190" s="571">
        <v>0</v>
      </c>
      <c r="AA190" s="571">
        <v>132909</v>
      </c>
      <c r="AB190" s="572">
        <v>0</v>
      </c>
      <c r="AC190" s="572">
        <v>85070</v>
      </c>
      <c r="AD190" s="572">
        <v>0</v>
      </c>
      <c r="AE190" s="572">
        <v>211111</v>
      </c>
      <c r="AF190" s="572">
        <v>19187</v>
      </c>
      <c r="AG190" s="572">
        <v>0</v>
      </c>
      <c r="AH190" s="572">
        <v>482600</v>
      </c>
      <c r="AI190" s="572">
        <v>10872</v>
      </c>
      <c r="AJ190" s="572">
        <v>0</v>
      </c>
      <c r="AK190" s="572">
        <v>0</v>
      </c>
      <c r="AL190" s="572">
        <v>47196</v>
      </c>
      <c r="AM190" s="572">
        <v>15000</v>
      </c>
      <c r="AN190" s="572">
        <v>53502</v>
      </c>
      <c r="AO190" s="572">
        <v>0</v>
      </c>
      <c r="AP190" s="572">
        <v>0</v>
      </c>
      <c r="AQ190" s="572">
        <v>0</v>
      </c>
      <c r="AR190" s="572">
        <v>0</v>
      </c>
      <c r="AS190" s="572">
        <v>69023</v>
      </c>
      <c r="AT190" s="572">
        <v>99369</v>
      </c>
      <c r="AU190" s="572">
        <v>0</v>
      </c>
      <c r="AV190" s="572">
        <v>0</v>
      </c>
      <c r="AW190" s="572">
        <v>324176</v>
      </c>
      <c r="AX190" s="572">
        <v>40803</v>
      </c>
      <c r="AY190" s="572">
        <v>1597145</v>
      </c>
      <c r="AZ190" s="572">
        <v>0</v>
      </c>
      <c r="BA190" s="572">
        <v>0</v>
      </c>
      <c r="BB190" s="572">
        <v>0</v>
      </c>
      <c r="BC190" s="572">
        <v>0</v>
      </c>
      <c r="BD190" s="572">
        <v>0</v>
      </c>
      <c r="BE190" s="572">
        <v>0</v>
      </c>
      <c r="BF190" s="572">
        <v>0</v>
      </c>
      <c r="BG190" s="572">
        <v>0</v>
      </c>
      <c r="BH190" s="572">
        <v>168704</v>
      </c>
      <c r="BI190" s="572">
        <v>0</v>
      </c>
      <c r="BJ190" s="572">
        <v>0</v>
      </c>
      <c r="BK190" s="572">
        <v>0</v>
      </c>
      <c r="BL190" s="572">
        <v>603180</v>
      </c>
      <c r="BM190" s="572">
        <v>777504</v>
      </c>
      <c r="BN190" s="572">
        <v>27100</v>
      </c>
      <c r="BO190" s="572">
        <v>0</v>
      </c>
      <c r="BP190" s="572">
        <v>0</v>
      </c>
      <c r="BQ190" s="572">
        <v>245800</v>
      </c>
      <c r="BR190" s="572">
        <v>0</v>
      </c>
      <c r="BS190" s="572">
        <v>200762</v>
      </c>
      <c r="BT190" s="572">
        <v>16000</v>
      </c>
      <c r="BU190" s="572">
        <v>0</v>
      </c>
      <c r="BV190" s="572">
        <v>57735</v>
      </c>
      <c r="BW190" s="572">
        <v>0</v>
      </c>
      <c r="BX190" s="572">
        <v>609900</v>
      </c>
      <c r="BY190" s="572">
        <v>0</v>
      </c>
      <c r="BZ190" s="572">
        <v>0</v>
      </c>
      <c r="CA190" s="572">
        <v>0</v>
      </c>
      <c r="CB190" s="572">
        <v>2215840</v>
      </c>
      <c r="CC190" s="572">
        <v>5857910</v>
      </c>
      <c r="CD190" s="572">
        <v>0</v>
      </c>
      <c r="CE190" s="572">
        <v>0</v>
      </c>
      <c r="CF190" s="572">
        <v>0</v>
      </c>
      <c r="CG190" s="572">
        <v>20000</v>
      </c>
      <c r="CH190" s="572">
        <v>2000000</v>
      </c>
      <c r="CI190" s="572">
        <v>1296299</v>
      </c>
      <c r="CJ190" s="572">
        <v>0</v>
      </c>
      <c r="CK190" s="572">
        <v>0</v>
      </c>
      <c r="CL190" s="572">
        <v>0</v>
      </c>
      <c r="CM190" s="572">
        <v>0</v>
      </c>
      <c r="CN190" s="572">
        <v>0</v>
      </c>
      <c r="CO190" s="572">
        <v>0</v>
      </c>
      <c r="CP190" s="572">
        <v>0</v>
      </c>
      <c r="CQ190" s="572">
        <v>1568182</v>
      </c>
    </row>
    <row r="191" spans="1:95" ht="60" x14ac:dyDescent="0.25">
      <c r="A191" s="668">
        <v>541</v>
      </c>
      <c r="B191" s="591">
        <v>541</v>
      </c>
      <c r="C191" s="584" t="s">
        <v>897</v>
      </c>
      <c r="D191" s="608" t="s">
        <v>898</v>
      </c>
      <c r="E191" s="573">
        <v>0</v>
      </c>
      <c r="F191" s="574">
        <v>0</v>
      </c>
      <c r="G191" s="574">
        <v>109716</v>
      </c>
      <c r="H191" s="574">
        <v>232260</v>
      </c>
      <c r="I191" s="574">
        <v>161106</v>
      </c>
      <c r="J191" s="574">
        <v>5863</v>
      </c>
      <c r="K191" s="575">
        <v>950587</v>
      </c>
      <c r="L191" s="572">
        <v>4426</v>
      </c>
      <c r="M191" s="572">
        <v>0</v>
      </c>
      <c r="N191" s="571">
        <v>26383</v>
      </c>
      <c r="O191" s="571">
        <v>2462</v>
      </c>
      <c r="P191" s="571">
        <v>0</v>
      </c>
      <c r="Q191" s="571">
        <v>-40368</v>
      </c>
      <c r="R191" s="571">
        <v>0</v>
      </c>
      <c r="S191" s="571">
        <v>0</v>
      </c>
      <c r="T191" s="571">
        <v>0</v>
      </c>
      <c r="U191" s="571">
        <v>0</v>
      </c>
      <c r="V191" s="571">
        <v>0</v>
      </c>
      <c r="W191" s="571">
        <v>401203</v>
      </c>
      <c r="X191" s="571">
        <v>0</v>
      </c>
      <c r="Y191" s="571">
        <v>132547</v>
      </c>
      <c r="Z191" s="571">
        <v>0</v>
      </c>
      <c r="AA191" s="571">
        <v>381433</v>
      </c>
      <c r="AB191" s="572">
        <v>292883</v>
      </c>
      <c r="AC191" s="572">
        <v>-54773</v>
      </c>
      <c r="AD191" s="572">
        <v>25715</v>
      </c>
      <c r="AE191" s="572">
        <v>1089339</v>
      </c>
      <c r="AF191" s="572">
        <v>0</v>
      </c>
      <c r="AG191" s="572">
        <v>125695</v>
      </c>
      <c r="AH191" s="572">
        <v>0</v>
      </c>
      <c r="AI191" s="572">
        <v>-86693</v>
      </c>
      <c r="AJ191" s="572">
        <v>-1069670</v>
      </c>
      <c r="AK191" s="572">
        <v>718849</v>
      </c>
      <c r="AL191" s="572">
        <v>189471</v>
      </c>
      <c r="AM191" s="572">
        <v>143560</v>
      </c>
      <c r="AN191" s="572">
        <v>19975</v>
      </c>
      <c r="AO191" s="572">
        <v>0</v>
      </c>
      <c r="AP191" s="572">
        <v>-1081839</v>
      </c>
      <c r="AQ191" s="572">
        <v>0</v>
      </c>
      <c r="AR191" s="572">
        <v>0</v>
      </c>
      <c r="AS191" s="572">
        <v>0</v>
      </c>
      <c r="AT191" s="572">
        <v>0</v>
      </c>
      <c r="AU191" s="572">
        <v>0</v>
      </c>
      <c r="AV191" s="572">
        <v>-42641</v>
      </c>
      <c r="AW191" s="572">
        <v>441900</v>
      </c>
      <c r="AX191" s="572">
        <v>30927</v>
      </c>
      <c r="AY191" s="572">
        <v>0</v>
      </c>
      <c r="AZ191" s="572">
        <v>0</v>
      </c>
      <c r="BA191" s="572">
        <v>122211</v>
      </c>
      <c r="BB191" s="572">
        <v>0</v>
      </c>
      <c r="BC191" s="572">
        <v>176877</v>
      </c>
      <c r="BD191" s="572">
        <v>30959</v>
      </c>
      <c r="BE191" s="572">
        <v>12747</v>
      </c>
      <c r="BF191" s="572">
        <v>-603</v>
      </c>
      <c r="BG191" s="572">
        <v>212047</v>
      </c>
      <c r="BH191" s="572">
        <v>665670</v>
      </c>
      <c r="BI191" s="572">
        <v>0</v>
      </c>
      <c r="BJ191" s="572">
        <v>0</v>
      </c>
      <c r="BK191" s="572">
        <v>0</v>
      </c>
      <c r="BL191" s="572">
        <v>1164864</v>
      </c>
      <c r="BM191" s="572">
        <v>168481</v>
      </c>
      <c r="BN191" s="572">
        <v>0</v>
      </c>
      <c r="BO191" s="572">
        <v>0</v>
      </c>
      <c r="BP191" s="572">
        <v>0</v>
      </c>
      <c r="BQ191" s="572">
        <v>0</v>
      </c>
      <c r="BR191" s="572">
        <v>0</v>
      </c>
      <c r="BS191" s="572">
        <v>0</v>
      </c>
      <c r="BT191" s="572">
        <v>125950</v>
      </c>
      <c r="BU191" s="572">
        <v>0</v>
      </c>
      <c r="BV191" s="572">
        <v>98202</v>
      </c>
      <c r="BW191" s="572">
        <v>-234578</v>
      </c>
      <c r="BX191" s="572">
        <v>265742</v>
      </c>
      <c r="BY191" s="572">
        <v>7945</v>
      </c>
      <c r="BZ191" s="572">
        <v>0</v>
      </c>
      <c r="CA191" s="572">
        <v>6725</v>
      </c>
      <c r="CB191" s="572">
        <v>0</v>
      </c>
      <c r="CC191" s="572">
        <v>2877050</v>
      </c>
      <c r="CD191" s="572">
        <v>90375</v>
      </c>
      <c r="CE191" s="572">
        <v>65046</v>
      </c>
      <c r="CF191" s="572">
        <v>0</v>
      </c>
      <c r="CG191" s="572">
        <v>222998</v>
      </c>
      <c r="CH191" s="572">
        <v>25036564</v>
      </c>
      <c r="CI191" s="572">
        <v>23405</v>
      </c>
      <c r="CJ191" s="572">
        <v>158032</v>
      </c>
      <c r="CK191" s="572">
        <v>0</v>
      </c>
      <c r="CL191" s="572">
        <v>-170063</v>
      </c>
      <c r="CM191" s="572">
        <v>643202</v>
      </c>
      <c r="CN191" s="572">
        <v>414121</v>
      </c>
      <c r="CO191" s="572">
        <v>157259</v>
      </c>
      <c r="CP191" s="572">
        <v>0</v>
      </c>
      <c r="CQ191" s="572">
        <v>0</v>
      </c>
    </row>
    <row r="192" spans="1:95" ht="45" x14ac:dyDescent="0.25">
      <c r="A192" s="668">
        <v>542</v>
      </c>
      <c r="B192" s="591">
        <v>542</v>
      </c>
      <c r="C192" s="584" t="s">
        <v>899</v>
      </c>
      <c r="D192" s="608" t="s">
        <v>900</v>
      </c>
      <c r="E192" s="573">
        <v>0</v>
      </c>
      <c r="F192" s="574">
        <v>0</v>
      </c>
      <c r="G192" s="574">
        <v>0</v>
      </c>
      <c r="H192" s="574">
        <v>0</v>
      </c>
      <c r="I192" s="574">
        <v>0</v>
      </c>
      <c r="J192" s="574">
        <v>17746</v>
      </c>
      <c r="K192" s="575">
        <v>0</v>
      </c>
      <c r="L192" s="572">
        <v>60080</v>
      </c>
      <c r="M192" s="572">
        <v>0</v>
      </c>
      <c r="N192" s="571">
        <v>0</v>
      </c>
      <c r="O192" s="571">
        <v>0</v>
      </c>
      <c r="P192" s="571">
        <v>0</v>
      </c>
      <c r="Q192" s="571">
        <v>30390</v>
      </c>
      <c r="R192" s="571">
        <v>0</v>
      </c>
      <c r="S192" s="571">
        <v>0</v>
      </c>
      <c r="T192" s="571">
        <v>0</v>
      </c>
      <c r="U192" s="571">
        <v>0</v>
      </c>
      <c r="V192" s="571">
        <v>0</v>
      </c>
      <c r="W192" s="571">
        <v>0</v>
      </c>
      <c r="X192" s="571">
        <v>0</v>
      </c>
      <c r="Y192" s="571">
        <v>0</v>
      </c>
      <c r="Z192" s="571">
        <v>0</v>
      </c>
      <c r="AA192" s="571">
        <v>0</v>
      </c>
      <c r="AB192" s="572">
        <v>0</v>
      </c>
      <c r="AC192" s="572">
        <v>0</v>
      </c>
      <c r="AD192" s="572">
        <v>0</v>
      </c>
      <c r="AE192" s="572">
        <v>1397000</v>
      </c>
      <c r="AF192" s="572">
        <v>0</v>
      </c>
      <c r="AG192" s="572">
        <v>0</v>
      </c>
      <c r="AH192" s="572">
        <v>0</v>
      </c>
      <c r="AI192" s="572">
        <v>0</v>
      </c>
      <c r="AJ192" s="572">
        <v>0</v>
      </c>
      <c r="AK192" s="572">
        <v>0</v>
      </c>
      <c r="AL192" s="572">
        <v>0</v>
      </c>
      <c r="AM192" s="572">
        <v>0</v>
      </c>
      <c r="AN192" s="572">
        <v>14094</v>
      </c>
      <c r="AO192" s="572">
        <v>0</v>
      </c>
      <c r="AP192" s="572">
        <v>0</v>
      </c>
      <c r="AQ192" s="572">
        <v>0</v>
      </c>
      <c r="AR192" s="572">
        <v>0</v>
      </c>
      <c r="AS192" s="572">
        <v>0</v>
      </c>
      <c r="AT192" s="572">
        <v>0</v>
      </c>
      <c r="AU192" s="572">
        <v>0</v>
      </c>
      <c r="AV192" s="572">
        <v>0</v>
      </c>
      <c r="AW192" s="572">
        <v>202956</v>
      </c>
      <c r="AX192" s="572">
        <v>23235</v>
      </c>
      <c r="AY192" s="572">
        <v>0</v>
      </c>
      <c r="AZ192" s="572">
        <v>0</v>
      </c>
      <c r="BA192" s="572">
        <v>0</v>
      </c>
      <c r="BB192" s="572">
        <v>0</v>
      </c>
      <c r="BC192" s="572">
        <v>0</v>
      </c>
      <c r="BD192" s="572">
        <v>0</v>
      </c>
      <c r="BE192" s="572">
        <v>0</v>
      </c>
      <c r="BF192" s="572">
        <v>0</v>
      </c>
      <c r="BG192" s="572">
        <v>0</v>
      </c>
      <c r="BH192" s="572">
        <v>192339</v>
      </c>
      <c r="BI192" s="572">
        <v>0</v>
      </c>
      <c r="BJ192" s="572">
        <v>0</v>
      </c>
      <c r="BK192" s="572">
        <v>0</v>
      </c>
      <c r="BL192" s="572">
        <v>0</v>
      </c>
      <c r="BM192" s="572">
        <v>186417</v>
      </c>
      <c r="BN192" s="572">
        <v>0</v>
      </c>
      <c r="BO192" s="572">
        <v>0</v>
      </c>
      <c r="BP192" s="572">
        <v>0</v>
      </c>
      <c r="BQ192" s="572">
        <v>0</v>
      </c>
      <c r="BR192" s="572">
        <v>0</v>
      </c>
      <c r="BS192" s="572">
        <v>0</v>
      </c>
      <c r="BT192" s="572">
        <v>0</v>
      </c>
      <c r="BU192" s="572">
        <v>0</v>
      </c>
      <c r="BV192" s="572">
        <v>0</v>
      </c>
      <c r="BW192" s="572">
        <v>0</v>
      </c>
      <c r="BX192" s="572">
        <v>0</v>
      </c>
      <c r="BY192" s="572">
        <v>0</v>
      </c>
      <c r="BZ192" s="572">
        <v>0</v>
      </c>
      <c r="CA192" s="572">
        <v>0</v>
      </c>
      <c r="CB192" s="572">
        <v>0</v>
      </c>
      <c r="CC192" s="572">
        <v>3421650</v>
      </c>
      <c r="CD192" s="572">
        <v>0</v>
      </c>
      <c r="CE192" s="572">
        <v>40800</v>
      </c>
      <c r="CF192" s="572">
        <v>0</v>
      </c>
      <c r="CG192" s="572">
        <v>0</v>
      </c>
      <c r="CH192" s="572">
        <v>0</v>
      </c>
      <c r="CI192" s="572">
        <v>75000</v>
      </c>
      <c r="CJ192" s="572">
        <v>0</v>
      </c>
      <c r="CK192" s="572">
        <v>0</v>
      </c>
      <c r="CL192" s="572">
        <v>0</v>
      </c>
      <c r="CM192" s="572">
        <v>0</v>
      </c>
      <c r="CN192" s="572">
        <v>0</v>
      </c>
      <c r="CO192" s="572">
        <v>0</v>
      </c>
      <c r="CP192" s="572">
        <v>0</v>
      </c>
      <c r="CQ192" s="572">
        <v>0</v>
      </c>
    </row>
    <row r="193" spans="1:95" ht="90" x14ac:dyDescent="0.25">
      <c r="A193" s="668"/>
      <c r="B193" s="591">
        <v>543</v>
      </c>
      <c r="C193" s="583" t="s">
        <v>901</v>
      </c>
      <c r="D193" s="608" t="s">
        <v>902</v>
      </c>
      <c r="E193" s="573">
        <v>0</v>
      </c>
      <c r="F193" s="574">
        <v>0</v>
      </c>
      <c r="G193" s="574">
        <v>0</v>
      </c>
      <c r="H193" s="574">
        <v>0</v>
      </c>
      <c r="I193" s="574">
        <v>0</v>
      </c>
      <c r="J193" s="574">
        <v>0</v>
      </c>
      <c r="K193" s="575">
        <v>0</v>
      </c>
      <c r="L193" s="572">
        <v>0</v>
      </c>
      <c r="M193" s="572">
        <v>0</v>
      </c>
      <c r="N193" s="571">
        <v>0</v>
      </c>
      <c r="O193" s="571">
        <v>0</v>
      </c>
      <c r="P193" s="571">
        <v>0</v>
      </c>
      <c r="Q193" s="571">
        <v>0</v>
      </c>
      <c r="R193" s="571">
        <v>0</v>
      </c>
      <c r="S193" s="571">
        <v>0</v>
      </c>
      <c r="T193" s="571">
        <v>0</v>
      </c>
      <c r="U193" s="571">
        <v>0</v>
      </c>
      <c r="V193" s="571">
        <v>0</v>
      </c>
      <c r="W193" s="571">
        <v>0</v>
      </c>
      <c r="X193" s="571">
        <v>0</v>
      </c>
      <c r="Y193" s="571">
        <v>0</v>
      </c>
      <c r="Z193" s="571">
        <v>0</v>
      </c>
      <c r="AA193" s="571">
        <v>0</v>
      </c>
      <c r="AB193" s="572">
        <v>0</v>
      </c>
      <c r="AC193" s="572">
        <v>0</v>
      </c>
      <c r="AD193" s="572">
        <v>0</v>
      </c>
      <c r="AE193" s="572">
        <v>0</v>
      </c>
      <c r="AF193" s="572">
        <v>0</v>
      </c>
      <c r="AG193" s="572">
        <v>0</v>
      </c>
      <c r="AH193" s="572">
        <v>0</v>
      </c>
      <c r="AI193" s="572">
        <v>0</v>
      </c>
      <c r="AJ193" s="572">
        <v>0</v>
      </c>
      <c r="AK193" s="572">
        <v>0</v>
      </c>
      <c r="AL193" s="572">
        <v>0</v>
      </c>
      <c r="AM193" s="572">
        <v>0</v>
      </c>
      <c r="AN193" s="572">
        <v>0</v>
      </c>
      <c r="AO193" s="572">
        <v>0</v>
      </c>
      <c r="AP193" s="572">
        <v>0</v>
      </c>
      <c r="AQ193" s="572">
        <v>0</v>
      </c>
      <c r="AR193" s="572">
        <v>0</v>
      </c>
      <c r="AS193" s="572">
        <v>0</v>
      </c>
      <c r="AT193" s="572">
        <v>0</v>
      </c>
      <c r="AU193" s="572">
        <v>0</v>
      </c>
      <c r="AV193" s="572">
        <v>0</v>
      </c>
      <c r="AW193" s="572">
        <v>0</v>
      </c>
      <c r="AX193" s="572">
        <v>0</v>
      </c>
      <c r="AY193" s="572">
        <v>0</v>
      </c>
      <c r="AZ193" s="572">
        <v>0</v>
      </c>
      <c r="BA193" s="572">
        <v>0</v>
      </c>
      <c r="BB193" s="572">
        <v>0</v>
      </c>
      <c r="BC193" s="572">
        <v>0</v>
      </c>
      <c r="BD193" s="572">
        <v>0</v>
      </c>
      <c r="BE193" s="572">
        <v>0</v>
      </c>
      <c r="BF193" s="572">
        <v>0</v>
      </c>
      <c r="BG193" s="572">
        <v>0</v>
      </c>
      <c r="BH193" s="572">
        <v>0</v>
      </c>
      <c r="BI193" s="572">
        <v>0</v>
      </c>
      <c r="BJ193" s="572">
        <v>0</v>
      </c>
      <c r="BK193" s="572">
        <v>0</v>
      </c>
      <c r="BL193" s="572">
        <v>0</v>
      </c>
      <c r="BM193" s="572">
        <v>0</v>
      </c>
      <c r="BN193" s="572">
        <v>0</v>
      </c>
      <c r="BO193" s="572">
        <v>0</v>
      </c>
      <c r="BP193" s="572">
        <v>0</v>
      </c>
      <c r="BQ193" s="572">
        <v>0</v>
      </c>
      <c r="BR193" s="572">
        <v>0</v>
      </c>
      <c r="BS193" s="572">
        <v>0</v>
      </c>
      <c r="BT193" s="572">
        <v>0</v>
      </c>
      <c r="BU193" s="572">
        <v>0</v>
      </c>
      <c r="BV193" s="572">
        <v>0</v>
      </c>
      <c r="BW193" s="572">
        <v>0</v>
      </c>
      <c r="BX193" s="572">
        <v>0</v>
      </c>
      <c r="BY193" s="572">
        <v>0</v>
      </c>
      <c r="BZ193" s="572">
        <v>0</v>
      </c>
      <c r="CA193" s="572">
        <v>0</v>
      </c>
      <c r="CB193" s="572">
        <v>0</v>
      </c>
      <c r="CC193" s="572">
        <v>0</v>
      </c>
      <c r="CD193" s="572">
        <v>0</v>
      </c>
      <c r="CE193" s="572">
        <v>0</v>
      </c>
      <c r="CF193" s="572">
        <v>0</v>
      </c>
      <c r="CG193" s="572">
        <v>0</v>
      </c>
      <c r="CH193" s="572">
        <v>0</v>
      </c>
      <c r="CI193" s="572">
        <v>0</v>
      </c>
      <c r="CJ193" s="572">
        <v>0</v>
      </c>
      <c r="CK193" s="572">
        <v>0</v>
      </c>
      <c r="CL193" s="572">
        <v>0</v>
      </c>
      <c r="CM193" s="572">
        <v>0</v>
      </c>
      <c r="CN193" s="572">
        <v>0</v>
      </c>
      <c r="CO193" s="572">
        <v>0</v>
      </c>
      <c r="CP193" s="572">
        <v>0</v>
      </c>
      <c r="CQ193" s="572">
        <v>0</v>
      </c>
    </row>
    <row r="194" spans="1:95" ht="30" x14ac:dyDescent="0.25">
      <c r="A194" s="668">
        <v>544</v>
      </c>
      <c r="B194" s="591">
        <v>544</v>
      </c>
      <c r="C194" s="583" t="s">
        <v>72</v>
      </c>
      <c r="D194" s="608" t="s">
        <v>903</v>
      </c>
      <c r="E194" s="578">
        <v>0</v>
      </c>
      <c r="F194" s="579">
        <v>0</v>
      </c>
      <c r="G194" s="579">
        <v>0</v>
      </c>
      <c r="H194" s="579">
        <v>0</v>
      </c>
      <c r="I194" s="579">
        <v>0</v>
      </c>
      <c r="J194" s="579">
        <v>0</v>
      </c>
      <c r="K194" s="580">
        <v>0</v>
      </c>
      <c r="L194" s="581">
        <v>0</v>
      </c>
      <c r="M194" s="581">
        <v>0</v>
      </c>
      <c r="N194" s="582">
        <v>0</v>
      </c>
      <c r="O194" s="582">
        <v>0</v>
      </c>
      <c r="P194" s="582">
        <v>0</v>
      </c>
      <c r="Q194" s="582">
        <v>0</v>
      </c>
      <c r="R194" s="582">
        <v>-0.01</v>
      </c>
      <c r="S194" s="582">
        <v>0</v>
      </c>
      <c r="T194" s="582">
        <v>0</v>
      </c>
      <c r="U194" s="582">
        <v>0</v>
      </c>
      <c r="V194" s="582">
        <v>0</v>
      </c>
      <c r="W194" s="582">
        <v>0</v>
      </c>
      <c r="X194" s="582">
        <v>0</v>
      </c>
      <c r="Y194" s="582">
        <v>0</v>
      </c>
      <c r="Z194" s="582">
        <v>0</v>
      </c>
      <c r="AA194" s="582">
        <v>0</v>
      </c>
      <c r="AB194" s="581">
        <v>0.05</v>
      </c>
      <c r="AC194" s="581">
        <v>0</v>
      </c>
      <c r="AD194" s="581">
        <v>0</v>
      </c>
      <c r="AE194" s="581">
        <v>0.04</v>
      </c>
      <c r="AF194" s="581">
        <v>0</v>
      </c>
      <c r="AG194" s="581">
        <v>0</v>
      </c>
      <c r="AH194" s="581">
        <v>0</v>
      </c>
      <c r="AI194" s="581">
        <v>0</v>
      </c>
      <c r="AJ194" s="581">
        <v>0</v>
      </c>
      <c r="AK194" s="581">
        <v>0</v>
      </c>
      <c r="AL194" s="581">
        <v>0</v>
      </c>
      <c r="AM194" s="581">
        <v>0</v>
      </c>
      <c r="AN194" s="581">
        <v>0</v>
      </c>
      <c r="AO194" s="581">
        <v>0</v>
      </c>
      <c r="AP194" s="581">
        <v>0</v>
      </c>
      <c r="AQ194" s="581">
        <v>0</v>
      </c>
      <c r="AR194" s="581">
        <v>0</v>
      </c>
      <c r="AS194" s="581">
        <v>0</v>
      </c>
      <c r="AT194" s="581">
        <v>0</v>
      </c>
      <c r="AU194" s="581">
        <v>0</v>
      </c>
      <c r="AV194" s="581">
        <v>0</v>
      </c>
      <c r="AW194" s="581">
        <v>0</v>
      </c>
      <c r="AX194" s="581">
        <v>0</v>
      </c>
      <c r="AY194" s="581">
        <v>0</v>
      </c>
      <c r="AZ194" s="581">
        <v>0</v>
      </c>
      <c r="BA194" s="581">
        <v>0</v>
      </c>
      <c r="BB194" s="581">
        <v>0</v>
      </c>
      <c r="BC194" s="581">
        <v>0</v>
      </c>
      <c r="BD194" s="581">
        <v>4.25</v>
      </c>
      <c r="BE194" s="581">
        <v>0</v>
      </c>
      <c r="BF194" s="581">
        <v>0</v>
      </c>
      <c r="BG194" s="581">
        <v>0</v>
      </c>
      <c r="BH194" s="581">
        <v>0</v>
      </c>
      <c r="BI194" s="581">
        <v>0</v>
      </c>
      <c r="BJ194" s="581">
        <v>0</v>
      </c>
      <c r="BK194" s="581">
        <v>0</v>
      </c>
      <c r="BL194" s="581">
        <v>0</v>
      </c>
      <c r="BM194" s="581">
        <v>-0.01</v>
      </c>
      <c r="BN194" s="581">
        <v>0</v>
      </c>
      <c r="BO194" s="581">
        <v>0</v>
      </c>
      <c r="BP194" s="581">
        <v>0</v>
      </c>
      <c r="BQ194" s="581">
        <v>0</v>
      </c>
      <c r="BR194" s="581">
        <v>0</v>
      </c>
      <c r="BS194" s="581">
        <v>0</v>
      </c>
      <c r="BT194" s="581">
        <v>0</v>
      </c>
      <c r="BU194" s="581">
        <v>0</v>
      </c>
      <c r="BV194" s="581">
        <v>0</v>
      </c>
      <c r="BW194" s="581">
        <v>0</v>
      </c>
      <c r="BX194" s="581">
        <v>0.02</v>
      </c>
      <c r="BY194" s="581">
        <v>0</v>
      </c>
      <c r="BZ194" s="581">
        <v>0</v>
      </c>
      <c r="CA194" s="581">
        <v>0.05</v>
      </c>
      <c r="CB194" s="581">
        <v>0</v>
      </c>
      <c r="CC194" s="581">
        <v>0</v>
      </c>
      <c r="CD194" s="581">
        <v>0</v>
      </c>
      <c r="CE194" s="581">
        <v>0</v>
      </c>
      <c r="CF194" s="581">
        <v>0</v>
      </c>
      <c r="CG194" s="581">
        <v>0.01</v>
      </c>
      <c r="CH194" s="581">
        <v>1.24</v>
      </c>
      <c r="CI194" s="581">
        <v>0</v>
      </c>
      <c r="CJ194" s="581">
        <v>0</v>
      </c>
      <c r="CK194" s="581">
        <v>0</v>
      </c>
      <c r="CL194" s="581">
        <v>0</v>
      </c>
      <c r="CM194" s="581">
        <v>0</v>
      </c>
      <c r="CN194" s="581">
        <v>0</v>
      </c>
      <c r="CO194" s="581">
        <v>0</v>
      </c>
      <c r="CP194" s="581">
        <v>0</v>
      </c>
      <c r="CQ194" s="581">
        <v>0</v>
      </c>
    </row>
    <row r="195" spans="1:95" ht="45" x14ac:dyDescent="0.25">
      <c r="A195" s="672">
        <v>545</v>
      </c>
      <c r="B195" s="591">
        <v>545</v>
      </c>
      <c r="C195" s="583" t="s">
        <v>73</v>
      </c>
      <c r="D195" s="608" t="s">
        <v>904</v>
      </c>
      <c r="E195" s="578">
        <v>0</v>
      </c>
      <c r="F195" s="579">
        <v>0</v>
      </c>
      <c r="G195" s="579">
        <v>0</v>
      </c>
      <c r="H195" s="579">
        <v>0</v>
      </c>
      <c r="I195" s="579">
        <v>0</v>
      </c>
      <c r="J195" s="579">
        <v>0</v>
      </c>
      <c r="K195" s="580">
        <v>0</v>
      </c>
      <c r="L195" s="581">
        <v>0</v>
      </c>
      <c r="M195" s="581">
        <v>0</v>
      </c>
      <c r="N195" s="582">
        <v>0</v>
      </c>
      <c r="O195" s="582">
        <v>0</v>
      </c>
      <c r="P195" s="582">
        <v>0</v>
      </c>
      <c r="Q195" s="582">
        <v>0</v>
      </c>
      <c r="R195" s="582">
        <v>-0.03</v>
      </c>
      <c r="S195" s="582">
        <v>0</v>
      </c>
      <c r="T195" s="582">
        <v>0</v>
      </c>
      <c r="U195" s="582">
        <v>0</v>
      </c>
      <c r="V195" s="582">
        <v>0</v>
      </c>
      <c r="W195" s="582">
        <v>0</v>
      </c>
      <c r="X195" s="582">
        <v>0</v>
      </c>
      <c r="Y195" s="582">
        <v>0</v>
      </c>
      <c r="Z195" s="582">
        <v>0</v>
      </c>
      <c r="AA195" s="582">
        <v>0</v>
      </c>
      <c r="AB195" s="581">
        <v>0</v>
      </c>
      <c r="AC195" s="581">
        <v>0</v>
      </c>
      <c r="AD195" s="581">
        <v>0</v>
      </c>
      <c r="AE195" s="581">
        <v>0.02</v>
      </c>
      <c r="AF195" s="581">
        <v>0</v>
      </c>
      <c r="AG195" s="581">
        <v>0</v>
      </c>
      <c r="AH195" s="581">
        <v>0</v>
      </c>
      <c r="AI195" s="581">
        <v>0</v>
      </c>
      <c r="AJ195" s="581">
        <v>0</v>
      </c>
      <c r="AK195" s="581">
        <v>0</v>
      </c>
      <c r="AL195" s="581">
        <v>0</v>
      </c>
      <c r="AM195" s="581">
        <v>0</v>
      </c>
      <c r="AN195" s="581">
        <v>0</v>
      </c>
      <c r="AO195" s="581">
        <v>0</v>
      </c>
      <c r="AP195" s="581">
        <v>0</v>
      </c>
      <c r="AQ195" s="581">
        <v>0</v>
      </c>
      <c r="AR195" s="581">
        <v>0</v>
      </c>
      <c r="AS195" s="581">
        <v>0</v>
      </c>
      <c r="AT195" s="581">
        <v>1.5</v>
      </c>
      <c r="AU195" s="581">
        <v>0</v>
      </c>
      <c r="AV195" s="581">
        <v>0</v>
      </c>
      <c r="AW195" s="581">
        <v>0</v>
      </c>
      <c r="AX195" s="581">
        <v>0</v>
      </c>
      <c r="AY195" s="581">
        <v>0</v>
      </c>
      <c r="AZ195" s="581">
        <v>0</v>
      </c>
      <c r="BA195" s="581">
        <v>0</v>
      </c>
      <c r="BB195" s="581">
        <v>0</v>
      </c>
      <c r="BC195" s="581">
        <v>0</v>
      </c>
      <c r="BD195" s="581">
        <v>0</v>
      </c>
      <c r="BE195" s="581">
        <v>0</v>
      </c>
      <c r="BF195" s="581">
        <v>0</v>
      </c>
      <c r="BG195" s="581">
        <v>0</v>
      </c>
      <c r="BH195" s="581">
        <v>0.01</v>
      </c>
      <c r="BI195" s="581">
        <v>0</v>
      </c>
      <c r="BJ195" s="581">
        <v>0</v>
      </c>
      <c r="BK195" s="581">
        <v>0.03</v>
      </c>
      <c r="BL195" s="581">
        <v>0</v>
      </c>
      <c r="BM195" s="581">
        <v>0</v>
      </c>
      <c r="BN195" s="581">
        <v>0</v>
      </c>
      <c r="BO195" s="581">
        <v>0</v>
      </c>
      <c r="BP195" s="581">
        <v>0</v>
      </c>
      <c r="BQ195" s="581">
        <v>0</v>
      </c>
      <c r="BR195" s="581">
        <v>0</v>
      </c>
      <c r="BS195" s="581">
        <v>0</v>
      </c>
      <c r="BT195" s="581">
        <v>0</v>
      </c>
      <c r="BU195" s="581">
        <v>0</v>
      </c>
      <c r="BV195" s="581">
        <v>0</v>
      </c>
      <c r="BW195" s="581">
        <v>0.04</v>
      </c>
      <c r="BX195" s="581">
        <v>0</v>
      </c>
      <c r="BY195" s="581">
        <v>0</v>
      </c>
      <c r="BZ195" s="581">
        <v>0</v>
      </c>
      <c r="CA195" s="581">
        <v>0</v>
      </c>
      <c r="CB195" s="581">
        <v>0.02</v>
      </c>
      <c r="CC195" s="581">
        <v>0.02</v>
      </c>
      <c r="CD195" s="581">
        <v>0</v>
      </c>
      <c r="CE195" s="581">
        <v>0</v>
      </c>
      <c r="CF195" s="581">
        <v>0</v>
      </c>
      <c r="CG195" s="581">
        <v>0</v>
      </c>
      <c r="CH195" s="581">
        <v>0</v>
      </c>
      <c r="CI195" s="581">
        <v>0</v>
      </c>
      <c r="CJ195" s="581">
        <v>0</v>
      </c>
      <c r="CK195" s="581">
        <v>0</v>
      </c>
      <c r="CL195" s="581">
        <v>0</v>
      </c>
      <c r="CM195" s="581">
        <v>0</v>
      </c>
      <c r="CN195" s="581">
        <v>0</v>
      </c>
      <c r="CO195" s="581">
        <v>0</v>
      </c>
      <c r="CP195" s="581">
        <v>0</v>
      </c>
      <c r="CQ195" s="581">
        <v>0.02</v>
      </c>
    </row>
    <row r="196" spans="1:95" x14ac:dyDescent="0.25">
      <c r="A196" s="672"/>
      <c r="B196" s="591">
        <v>546</v>
      </c>
      <c r="C196" s="583" t="s">
        <v>905</v>
      </c>
      <c r="D196" s="608" t="s">
        <v>906</v>
      </c>
      <c r="E196" s="573"/>
      <c r="F196" s="574"/>
      <c r="G196" s="574"/>
      <c r="H196" s="574"/>
      <c r="I196" s="574"/>
      <c r="J196" s="574"/>
      <c r="K196" s="575"/>
      <c r="L196" s="572"/>
      <c r="M196" s="572"/>
      <c r="N196" s="571"/>
      <c r="O196" s="571"/>
      <c r="P196" s="571"/>
      <c r="Q196" s="571"/>
      <c r="R196" s="571"/>
      <c r="S196" s="571"/>
      <c r="T196" s="571"/>
      <c r="U196" s="571"/>
      <c r="V196" s="571"/>
      <c r="W196" s="571"/>
      <c r="X196" s="571"/>
      <c r="Y196" s="571"/>
      <c r="Z196" s="571"/>
      <c r="AA196" s="571"/>
      <c r="AB196" s="572"/>
      <c r="AC196" s="572"/>
      <c r="AD196" s="572"/>
      <c r="AE196" s="572"/>
      <c r="AF196" s="572"/>
      <c r="AG196" s="572"/>
      <c r="AH196" s="572"/>
      <c r="AI196" s="572"/>
      <c r="AJ196" s="572"/>
      <c r="AK196" s="572"/>
      <c r="AL196" s="572"/>
      <c r="AM196" s="572"/>
      <c r="AN196" s="572"/>
      <c r="AO196" s="572"/>
      <c r="AP196" s="572"/>
      <c r="AQ196" s="572"/>
      <c r="AR196" s="572"/>
      <c r="AS196" s="572"/>
      <c r="AT196" s="572"/>
      <c r="AU196" s="572"/>
      <c r="AV196" s="572"/>
      <c r="AW196" s="572"/>
      <c r="AX196" s="572"/>
      <c r="AY196" s="572"/>
      <c r="AZ196" s="572"/>
      <c r="BA196" s="572"/>
      <c r="BB196" s="572"/>
      <c r="BC196" s="572"/>
      <c r="BD196" s="572"/>
      <c r="BE196" s="572"/>
      <c r="BF196" s="572"/>
      <c r="BG196" s="572"/>
      <c r="BH196" s="572"/>
      <c r="BI196" s="572"/>
      <c r="BJ196" s="572"/>
      <c r="BK196" s="572"/>
      <c r="BL196" s="572"/>
      <c r="BM196" s="572"/>
      <c r="BN196" s="572"/>
      <c r="BO196" s="572"/>
      <c r="BP196" s="572"/>
      <c r="BQ196" s="572"/>
      <c r="BR196" s="572"/>
      <c r="BS196" s="572"/>
      <c r="BT196" s="572"/>
      <c r="BU196" s="572"/>
      <c r="BV196" s="572"/>
      <c r="BW196" s="572"/>
      <c r="BX196" s="572"/>
      <c r="BY196" s="572"/>
      <c r="BZ196" s="572"/>
      <c r="CA196" s="572"/>
      <c r="CB196" s="572"/>
      <c r="CC196" s="572"/>
      <c r="CD196" s="572"/>
      <c r="CE196" s="572"/>
      <c r="CF196" s="572"/>
      <c r="CG196" s="572"/>
      <c r="CH196" s="572"/>
      <c r="CI196" s="572"/>
      <c r="CJ196" s="572"/>
      <c r="CK196" s="572"/>
      <c r="CL196" s="572"/>
      <c r="CM196" s="572"/>
      <c r="CN196" s="572"/>
      <c r="CO196" s="572"/>
      <c r="CP196" s="572"/>
      <c r="CQ196" s="572"/>
    </row>
    <row r="197" spans="1:95" ht="150" x14ac:dyDescent="0.25">
      <c r="A197" s="668">
        <v>547</v>
      </c>
      <c r="B197" s="591">
        <v>547</v>
      </c>
      <c r="C197" s="609" t="s">
        <v>907</v>
      </c>
      <c r="D197" s="608" t="s">
        <v>908</v>
      </c>
      <c r="E197" s="573">
        <v>2</v>
      </c>
      <c r="F197" s="574">
        <v>2</v>
      </c>
      <c r="G197" s="574">
        <v>2</v>
      </c>
      <c r="H197" s="574">
        <v>3</v>
      </c>
      <c r="I197" s="574">
        <v>2</v>
      </c>
      <c r="J197" s="574">
        <v>2</v>
      </c>
      <c r="K197" s="575">
        <v>1</v>
      </c>
      <c r="L197" s="572">
        <v>3</v>
      </c>
      <c r="M197" s="572">
        <v>2</v>
      </c>
      <c r="N197" s="571">
        <v>2</v>
      </c>
      <c r="O197" s="571">
        <v>2</v>
      </c>
      <c r="P197" s="571">
        <v>2</v>
      </c>
      <c r="Q197" s="571">
        <v>2</v>
      </c>
      <c r="R197" s="571">
        <v>2</v>
      </c>
      <c r="S197" s="571">
        <v>2</v>
      </c>
      <c r="T197" s="571">
        <v>4</v>
      </c>
      <c r="U197" s="571">
        <v>0</v>
      </c>
      <c r="V197" s="571">
        <v>3</v>
      </c>
      <c r="W197" s="571">
        <v>2</v>
      </c>
      <c r="X197" s="571">
        <v>3</v>
      </c>
      <c r="Y197" s="571">
        <v>2</v>
      </c>
      <c r="Z197" s="571">
        <v>2</v>
      </c>
      <c r="AA197" s="571">
        <v>3</v>
      </c>
      <c r="AB197" s="572">
        <v>2</v>
      </c>
      <c r="AC197" s="572">
        <v>2</v>
      </c>
      <c r="AD197" s="572">
        <v>2</v>
      </c>
      <c r="AE197" s="572">
        <v>3</v>
      </c>
      <c r="AF197" s="572">
        <v>2</v>
      </c>
      <c r="AG197" s="572">
        <v>3</v>
      </c>
      <c r="AH197" s="572">
        <v>2</v>
      </c>
      <c r="AI197" s="572">
        <v>2</v>
      </c>
      <c r="AJ197" s="572">
        <v>2</v>
      </c>
      <c r="AK197" s="572">
        <v>3</v>
      </c>
      <c r="AL197" s="572">
        <v>2</v>
      </c>
      <c r="AM197" s="572">
        <v>2</v>
      </c>
      <c r="AN197" s="572">
        <v>2</v>
      </c>
      <c r="AO197" s="572">
        <v>2</v>
      </c>
      <c r="AP197" s="572">
        <v>3</v>
      </c>
      <c r="AQ197" s="572">
        <v>0</v>
      </c>
      <c r="AR197" s="572">
        <v>2</v>
      </c>
      <c r="AS197" s="572">
        <v>2</v>
      </c>
      <c r="AT197" s="572">
        <v>2</v>
      </c>
      <c r="AU197" s="572">
        <v>2</v>
      </c>
      <c r="AV197" s="572">
        <v>3</v>
      </c>
      <c r="AW197" s="572">
        <v>3</v>
      </c>
      <c r="AX197" s="572">
        <v>2</v>
      </c>
      <c r="AY197" s="572">
        <v>3</v>
      </c>
      <c r="AZ197" s="572">
        <v>2</v>
      </c>
      <c r="BA197" s="572">
        <v>2</v>
      </c>
      <c r="BB197" s="572">
        <v>2</v>
      </c>
      <c r="BC197" s="572">
        <v>2</v>
      </c>
      <c r="BD197" s="572">
        <v>2</v>
      </c>
      <c r="BE197" s="572">
        <v>2</v>
      </c>
      <c r="BF197" s="572">
        <v>2</v>
      </c>
      <c r="BG197" s="572">
        <v>2</v>
      </c>
      <c r="BH197" s="572">
        <v>3</v>
      </c>
      <c r="BI197" s="572">
        <v>2</v>
      </c>
      <c r="BJ197" s="572">
        <v>2</v>
      </c>
      <c r="BK197" s="572">
        <v>2</v>
      </c>
      <c r="BL197" s="572">
        <v>3</v>
      </c>
      <c r="BM197" s="572">
        <v>3</v>
      </c>
      <c r="BN197" s="572">
        <v>2</v>
      </c>
      <c r="BO197" s="572">
        <v>2</v>
      </c>
      <c r="BP197" s="572">
        <v>0</v>
      </c>
      <c r="BQ197" s="572">
        <v>1</v>
      </c>
      <c r="BR197" s="572">
        <v>2</v>
      </c>
      <c r="BS197" s="572">
        <v>2</v>
      </c>
      <c r="BT197" s="572">
        <v>2</v>
      </c>
      <c r="BU197" s="572">
        <v>2</v>
      </c>
      <c r="BV197" s="572">
        <v>2</v>
      </c>
      <c r="BW197" s="572">
        <v>2</v>
      </c>
      <c r="BX197" s="572">
        <v>3</v>
      </c>
      <c r="BY197" s="572">
        <v>2</v>
      </c>
      <c r="BZ197" s="572">
        <v>0</v>
      </c>
      <c r="CA197" s="572">
        <v>3</v>
      </c>
      <c r="CB197" s="572">
        <v>3</v>
      </c>
      <c r="CC197" s="572">
        <v>3</v>
      </c>
      <c r="CD197" s="572">
        <v>2</v>
      </c>
      <c r="CE197" s="572">
        <v>3</v>
      </c>
      <c r="CF197" s="572">
        <v>0</v>
      </c>
      <c r="CG197" s="572">
        <v>2</v>
      </c>
      <c r="CH197" s="572">
        <v>3</v>
      </c>
      <c r="CI197" s="572">
        <v>3</v>
      </c>
      <c r="CJ197" s="572">
        <v>2</v>
      </c>
      <c r="CK197" s="572">
        <v>1</v>
      </c>
      <c r="CL197" s="572">
        <v>2</v>
      </c>
      <c r="CM197" s="572">
        <v>3</v>
      </c>
      <c r="CN197" s="572">
        <v>2</v>
      </c>
      <c r="CO197" s="572">
        <v>2</v>
      </c>
      <c r="CP197" s="572">
        <v>2</v>
      </c>
      <c r="CQ197" s="572">
        <v>3</v>
      </c>
    </row>
    <row r="198" spans="1:95" ht="28.5" x14ac:dyDescent="0.25">
      <c r="A198" s="668"/>
      <c r="B198" s="591">
        <v>548</v>
      </c>
      <c r="C198" s="610" t="s">
        <v>909</v>
      </c>
      <c r="D198" s="611" t="s">
        <v>910</v>
      </c>
      <c r="E198" s="573">
        <v>0</v>
      </c>
      <c r="F198" s="574">
        <v>0</v>
      </c>
      <c r="G198" s="574">
        <v>0</v>
      </c>
      <c r="H198" s="574">
        <v>0</v>
      </c>
      <c r="I198" s="574">
        <v>0</v>
      </c>
      <c r="J198" s="574">
        <v>0</v>
      </c>
      <c r="K198" s="575">
        <v>0</v>
      </c>
      <c r="L198" s="572">
        <v>0</v>
      </c>
      <c r="M198" s="572">
        <v>0</v>
      </c>
      <c r="N198" s="571">
        <v>0</v>
      </c>
      <c r="O198" s="571">
        <v>0</v>
      </c>
      <c r="P198" s="571">
        <v>0</v>
      </c>
      <c r="Q198" s="571">
        <v>0</v>
      </c>
      <c r="R198" s="571">
        <v>0</v>
      </c>
      <c r="S198" s="571">
        <v>0</v>
      </c>
      <c r="T198" s="571">
        <v>0</v>
      </c>
      <c r="U198" s="571">
        <v>0</v>
      </c>
      <c r="V198" s="571">
        <v>0</v>
      </c>
      <c r="W198" s="571">
        <v>0</v>
      </c>
      <c r="X198" s="571">
        <v>0</v>
      </c>
      <c r="Y198" s="571">
        <v>0</v>
      </c>
      <c r="Z198" s="571">
        <v>0</v>
      </c>
      <c r="AA198" s="571">
        <v>0</v>
      </c>
      <c r="AB198" s="572">
        <v>0</v>
      </c>
      <c r="AC198" s="572">
        <v>0</v>
      </c>
      <c r="AD198" s="572">
        <v>0</v>
      </c>
      <c r="AE198" s="572">
        <v>0</v>
      </c>
      <c r="AF198" s="572">
        <v>0</v>
      </c>
      <c r="AG198" s="572">
        <v>0</v>
      </c>
      <c r="AH198" s="572">
        <v>0</v>
      </c>
      <c r="AI198" s="572">
        <v>0</v>
      </c>
      <c r="AJ198" s="572">
        <v>0</v>
      </c>
      <c r="AK198" s="572">
        <v>0</v>
      </c>
      <c r="AL198" s="572">
        <v>0</v>
      </c>
      <c r="AM198" s="572">
        <v>0</v>
      </c>
      <c r="AN198" s="572">
        <v>0</v>
      </c>
      <c r="AO198" s="572">
        <v>0</v>
      </c>
      <c r="AP198" s="572">
        <v>0</v>
      </c>
      <c r="AQ198" s="572">
        <v>0</v>
      </c>
      <c r="AR198" s="572">
        <v>0</v>
      </c>
      <c r="AS198" s="572">
        <v>0</v>
      </c>
      <c r="AT198" s="572">
        <v>0</v>
      </c>
      <c r="AU198" s="572">
        <v>0</v>
      </c>
      <c r="AV198" s="572">
        <v>0</v>
      </c>
      <c r="AW198" s="572">
        <v>0</v>
      </c>
      <c r="AX198" s="572">
        <v>0</v>
      </c>
      <c r="AY198" s="572">
        <v>0</v>
      </c>
      <c r="AZ198" s="572">
        <v>0</v>
      </c>
      <c r="BA198" s="572">
        <v>0</v>
      </c>
      <c r="BB198" s="572">
        <v>0</v>
      </c>
      <c r="BC198" s="572">
        <v>0</v>
      </c>
      <c r="BD198" s="572">
        <v>0</v>
      </c>
      <c r="BE198" s="572">
        <v>0</v>
      </c>
      <c r="BF198" s="572">
        <v>0</v>
      </c>
      <c r="BG198" s="572">
        <v>0</v>
      </c>
      <c r="BH198" s="572">
        <v>0</v>
      </c>
      <c r="BI198" s="572">
        <v>0</v>
      </c>
      <c r="BJ198" s="572">
        <v>0</v>
      </c>
      <c r="BK198" s="572">
        <v>0</v>
      </c>
      <c r="BL198" s="572">
        <v>0</v>
      </c>
      <c r="BM198" s="572">
        <v>0</v>
      </c>
      <c r="BN198" s="572">
        <v>0</v>
      </c>
      <c r="BO198" s="572">
        <v>0</v>
      </c>
      <c r="BP198" s="572">
        <v>0</v>
      </c>
      <c r="BQ198" s="572">
        <v>0</v>
      </c>
      <c r="BR198" s="572">
        <v>0</v>
      </c>
      <c r="BS198" s="572">
        <v>0</v>
      </c>
      <c r="BT198" s="572">
        <v>0</v>
      </c>
      <c r="BU198" s="572">
        <v>0</v>
      </c>
      <c r="BV198" s="572">
        <v>0</v>
      </c>
      <c r="BW198" s="572">
        <v>0</v>
      </c>
      <c r="BX198" s="572">
        <v>0</v>
      </c>
      <c r="BY198" s="572">
        <v>0</v>
      </c>
      <c r="BZ198" s="572">
        <v>0</v>
      </c>
      <c r="CA198" s="572">
        <v>0</v>
      </c>
      <c r="CB198" s="572">
        <v>0</v>
      </c>
      <c r="CC198" s="572">
        <v>0</v>
      </c>
      <c r="CD198" s="572">
        <v>0</v>
      </c>
      <c r="CE198" s="572">
        <v>0</v>
      </c>
      <c r="CF198" s="572">
        <v>0</v>
      </c>
      <c r="CG198" s="572">
        <v>0</v>
      </c>
      <c r="CH198" s="572">
        <v>0</v>
      </c>
      <c r="CI198" s="572">
        <v>0</v>
      </c>
      <c r="CJ198" s="572">
        <v>0</v>
      </c>
      <c r="CK198" s="572">
        <v>0</v>
      </c>
      <c r="CL198" s="572">
        <v>0</v>
      </c>
      <c r="CM198" s="572">
        <v>0</v>
      </c>
      <c r="CN198" s="572">
        <v>0</v>
      </c>
      <c r="CO198" s="572">
        <v>0</v>
      </c>
      <c r="CP198" s="572">
        <v>0</v>
      </c>
      <c r="CQ198" s="572">
        <v>0</v>
      </c>
    </row>
    <row r="199" spans="1:95" ht="42.75" x14ac:dyDescent="0.25">
      <c r="A199" s="668"/>
      <c r="B199" s="591">
        <v>549</v>
      </c>
      <c r="C199" s="612" t="s">
        <v>911</v>
      </c>
      <c r="D199" s="611" t="s">
        <v>912</v>
      </c>
      <c r="E199" s="573">
        <v>0</v>
      </c>
      <c r="F199" s="574">
        <v>0</v>
      </c>
      <c r="G199" s="574">
        <v>0</v>
      </c>
      <c r="H199" s="574">
        <v>0</v>
      </c>
      <c r="I199" s="574">
        <v>0</v>
      </c>
      <c r="J199" s="574">
        <v>0</v>
      </c>
      <c r="K199" s="575">
        <v>0</v>
      </c>
      <c r="L199" s="572">
        <v>0</v>
      </c>
      <c r="M199" s="572">
        <v>0</v>
      </c>
      <c r="N199" s="571">
        <v>0</v>
      </c>
      <c r="O199" s="571">
        <v>0</v>
      </c>
      <c r="P199" s="571">
        <v>0</v>
      </c>
      <c r="Q199" s="571">
        <v>0</v>
      </c>
      <c r="R199" s="571">
        <v>0</v>
      </c>
      <c r="S199" s="571">
        <v>0</v>
      </c>
      <c r="T199" s="571">
        <v>0</v>
      </c>
      <c r="U199" s="571">
        <v>0</v>
      </c>
      <c r="V199" s="571">
        <v>0</v>
      </c>
      <c r="W199" s="571">
        <v>0</v>
      </c>
      <c r="X199" s="571">
        <v>0</v>
      </c>
      <c r="Y199" s="571">
        <v>0</v>
      </c>
      <c r="Z199" s="571">
        <v>0</v>
      </c>
      <c r="AA199" s="571">
        <v>0</v>
      </c>
      <c r="AB199" s="572">
        <v>0</v>
      </c>
      <c r="AC199" s="572">
        <v>0</v>
      </c>
      <c r="AD199" s="572">
        <v>0</v>
      </c>
      <c r="AE199" s="572">
        <v>0</v>
      </c>
      <c r="AF199" s="572">
        <v>0</v>
      </c>
      <c r="AG199" s="572">
        <v>0</v>
      </c>
      <c r="AH199" s="572">
        <v>0</v>
      </c>
      <c r="AI199" s="572">
        <v>0</v>
      </c>
      <c r="AJ199" s="572">
        <v>0</v>
      </c>
      <c r="AK199" s="572">
        <v>0</v>
      </c>
      <c r="AL199" s="572">
        <v>0</v>
      </c>
      <c r="AM199" s="572">
        <v>0</v>
      </c>
      <c r="AN199" s="572">
        <v>0</v>
      </c>
      <c r="AO199" s="572">
        <v>0</v>
      </c>
      <c r="AP199" s="572">
        <v>0</v>
      </c>
      <c r="AQ199" s="572">
        <v>0</v>
      </c>
      <c r="AR199" s="572">
        <v>0</v>
      </c>
      <c r="AS199" s="572">
        <v>0</v>
      </c>
      <c r="AT199" s="572">
        <v>0</v>
      </c>
      <c r="AU199" s="572">
        <v>0</v>
      </c>
      <c r="AV199" s="572">
        <v>0</v>
      </c>
      <c r="AW199" s="572">
        <v>0</v>
      </c>
      <c r="AX199" s="572">
        <v>0</v>
      </c>
      <c r="AY199" s="572">
        <v>0</v>
      </c>
      <c r="AZ199" s="572">
        <v>0</v>
      </c>
      <c r="BA199" s="572">
        <v>0</v>
      </c>
      <c r="BB199" s="572">
        <v>0</v>
      </c>
      <c r="BC199" s="572">
        <v>0</v>
      </c>
      <c r="BD199" s="572">
        <v>0</v>
      </c>
      <c r="BE199" s="572">
        <v>0</v>
      </c>
      <c r="BF199" s="572">
        <v>0</v>
      </c>
      <c r="BG199" s="572">
        <v>0</v>
      </c>
      <c r="BH199" s="572">
        <v>0</v>
      </c>
      <c r="BI199" s="572">
        <v>0</v>
      </c>
      <c r="BJ199" s="572">
        <v>0</v>
      </c>
      <c r="BK199" s="572">
        <v>0</v>
      </c>
      <c r="BL199" s="572">
        <v>0</v>
      </c>
      <c r="BM199" s="572">
        <v>0</v>
      </c>
      <c r="BN199" s="572">
        <v>0</v>
      </c>
      <c r="BO199" s="572">
        <v>0</v>
      </c>
      <c r="BP199" s="572">
        <v>0</v>
      </c>
      <c r="BQ199" s="572">
        <v>0</v>
      </c>
      <c r="BR199" s="572">
        <v>0</v>
      </c>
      <c r="BS199" s="572">
        <v>0</v>
      </c>
      <c r="BT199" s="572">
        <v>0</v>
      </c>
      <c r="BU199" s="572">
        <v>0</v>
      </c>
      <c r="BV199" s="572">
        <v>0</v>
      </c>
      <c r="BW199" s="572">
        <v>0</v>
      </c>
      <c r="BX199" s="572">
        <v>0</v>
      </c>
      <c r="BY199" s="572">
        <v>0</v>
      </c>
      <c r="BZ199" s="572">
        <v>0</v>
      </c>
      <c r="CA199" s="572">
        <v>0</v>
      </c>
      <c r="CB199" s="572">
        <v>0</v>
      </c>
      <c r="CC199" s="572">
        <v>0</v>
      </c>
      <c r="CD199" s="572">
        <v>0</v>
      </c>
      <c r="CE199" s="572">
        <v>0</v>
      </c>
      <c r="CF199" s="572">
        <v>0</v>
      </c>
      <c r="CG199" s="572">
        <v>0</v>
      </c>
      <c r="CH199" s="572">
        <v>0</v>
      </c>
      <c r="CI199" s="572">
        <v>0</v>
      </c>
      <c r="CJ199" s="572">
        <v>0</v>
      </c>
      <c r="CK199" s="572">
        <v>0</v>
      </c>
      <c r="CL199" s="572">
        <v>0</v>
      </c>
      <c r="CM199" s="572">
        <v>0</v>
      </c>
      <c r="CN199" s="572">
        <v>0</v>
      </c>
      <c r="CO199" s="572">
        <v>0</v>
      </c>
      <c r="CP199" s="572">
        <v>0</v>
      </c>
      <c r="CQ199" s="572">
        <v>0</v>
      </c>
    </row>
    <row r="200" spans="1:95" ht="42.75" x14ac:dyDescent="0.25">
      <c r="A200" s="668"/>
      <c r="B200" s="591">
        <v>550</v>
      </c>
      <c r="C200" s="613" t="s">
        <v>913</v>
      </c>
      <c r="D200" s="611" t="s">
        <v>914</v>
      </c>
      <c r="E200" s="573">
        <v>0</v>
      </c>
      <c r="F200" s="574">
        <v>0</v>
      </c>
      <c r="G200" s="574">
        <v>0</v>
      </c>
      <c r="H200" s="574">
        <v>0</v>
      </c>
      <c r="I200" s="574">
        <v>0</v>
      </c>
      <c r="J200" s="574">
        <v>0</v>
      </c>
      <c r="K200" s="575">
        <v>0</v>
      </c>
      <c r="L200" s="572">
        <v>0</v>
      </c>
      <c r="M200" s="572">
        <v>0</v>
      </c>
      <c r="N200" s="571">
        <v>0</v>
      </c>
      <c r="O200" s="571">
        <v>0</v>
      </c>
      <c r="P200" s="571">
        <v>0</v>
      </c>
      <c r="Q200" s="571">
        <v>0</v>
      </c>
      <c r="R200" s="571">
        <v>0</v>
      </c>
      <c r="S200" s="571">
        <v>0</v>
      </c>
      <c r="T200" s="571">
        <v>0</v>
      </c>
      <c r="U200" s="571">
        <v>0</v>
      </c>
      <c r="V200" s="571">
        <v>0</v>
      </c>
      <c r="W200" s="571">
        <v>0</v>
      </c>
      <c r="X200" s="571">
        <v>0</v>
      </c>
      <c r="Y200" s="571">
        <v>0</v>
      </c>
      <c r="Z200" s="571">
        <v>0</v>
      </c>
      <c r="AA200" s="571">
        <v>0</v>
      </c>
      <c r="AB200" s="572">
        <v>0</v>
      </c>
      <c r="AC200" s="572">
        <v>0</v>
      </c>
      <c r="AD200" s="572">
        <v>0</v>
      </c>
      <c r="AE200" s="572">
        <v>0</v>
      </c>
      <c r="AF200" s="572">
        <v>0</v>
      </c>
      <c r="AG200" s="572">
        <v>0</v>
      </c>
      <c r="AH200" s="572">
        <v>0</v>
      </c>
      <c r="AI200" s="572">
        <v>0</v>
      </c>
      <c r="AJ200" s="572">
        <v>0</v>
      </c>
      <c r="AK200" s="572">
        <v>0</v>
      </c>
      <c r="AL200" s="572">
        <v>0</v>
      </c>
      <c r="AM200" s="572">
        <v>0</v>
      </c>
      <c r="AN200" s="572">
        <v>0</v>
      </c>
      <c r="AO200" s="572">
        <v>0</v>
      </c>
      <c r="AP200" s="572">
        <v>0</v>
      </c>
      <c r="AQ200" s="572">
        <v>0</v>
      </c>
      <c r="AR200" s="572">
        <v>0</v>
      </c>
      <c r="AS200" s="572">
        <v>0</v>
      </c>
      <c r="AT200" s="572">
        <v>0</v>
      </c>
      <c r="AU200" s="572">
        <v>0</v>
      </c>
      <c r="AV200" s="572">
        <v>0</v>
      </c>
      <c r="AW200" s="572">
        <v>0</v>
      </c>
      <c r="AX200" s="572">
        <v>0</v>
      </c>
      <c r="AY200" s="572">
        <v>0</v>
      </c>
      <c r="AZ200" s="572">
        <v>0</v>
      </c>
      <c r="BA200" s="572">
        <v>0</v>
      </c>
      <c r="BB200" s="572">
        <v>0</v>
      </c>
      <c r="BC200" s="572">
        <v>0</v>
      </c>
      <c r="BD200" s="572">
        <v>0</v>
      </c>
      <c r="BE200" s="572">
        <v>0</v>
      </c>
      <c r="BF200" s="572">
        <v>0</v>
      </c>
      <c r="BG200" s="572">
        <v>0</v>
      </c>
      <c r="BH200" s="572">
        <v>0</v>
      </c>
      <c r="BI200" s="572">
        <v>0</v>
      </c>
      <c r="BJ200" s="572">
        <v>0</v>
      </c>
      <c r="BK200" s="572">
        <v>0</v>
      </c>
      <c r="BL200" s="572">
        <v>0</v>
      </c>
      <c r="BM200" s="572">
        <v>0</v>
      </c>
      <c r="BN200" s="572">
        <v>0</v>
      </c>
      <c r="BO200" s="572">
        <v>0</v>
      </c>
      <c r="BP200" s="572">
        <v>0</v>
      </c>
      <c r="BQ200" s="572">
        <v>0</v>
      </c>
      <c r="BR200" s="572">
        <v>0</v>
      </c>
      <c r="BS200" s="572">
        <v>0</v>
      </c>
      <c r="BT200" s="572">
        <v>0</v>
      </c>
      <c r="BU200" s="572">
        <v>0</v>
      </c>
      <c r="BV200" s="572">
        <v>0</v>
      </c>
      <c r="BW200" s="572">
        <v>0</v>
      </c>
      <c r="BX200" s="572">
        <v>0</v>
      </c>
      <c r="BY200" s="572">
        <v>0</v>
      </c>
      <c r="BZ200" s="572">
        <v>0</v>
      </c>
      <c r="CA200" s="572">
        <v>0</v>
      </c>
      <c r="CB200" s="572">
        <v>0</v>
      </c>
      <c r="CC200" s="572">
        <v>0</v>
      </c>
      <c r="CD200" s="572">
        <v>0</v>
      </c>
      <c r="CE200" s="572">
        <v>0</v>
      </c>
      <c r="CF200" s="572">
        <v>0</v>
      </c>
      <c r="CG200" s="572">
        <v>0</v>
      </c>
      <c r="CH200" s="572">
        <v>0</v>
      </c>
      <c r="CI200" s="572">
        <v>0</v>
      </c>
      <c r="CJ200" s="572">
        <v>0</v>
      </c>
      <c r="CK200" s="572">
        <v>0</v>
      </c>
      <c r="CL200" s="572">
        <v>0</v>
      </c>
      <c r="CM200" s="572">
        <v>0</v>
      </c>
      <c r="CN200" s="572">
        <v>0</v>
      </c>
      <c r="CO200" s="572">
        <v>0</v>
      </c>
      <c r="CP200" s="572">
        <v>0</v>
      </c>
      <c r="CQ200" s="572">
        <v>0</v>
      </c>
    </row>
    <row r="201" spans="1:95" ht="71.25" x14ac:dyDescent="0.25">
      <c r="A201" s="668"/>
      <c r="B201" s="635">
        <v>551</v>
      </c>
      <c r="C201" s="641" t="s">
        <v>915</v>
      </c>
      <c r="D201" s="636" t="s">
        <v>916</v>
      </c>
      <c r="E201" s="640">
        <v>0</v>
      </c>
      <c r="F201" s="642">
        <v>0</v>
      </c>
      <c r="G201" s="642">
        <v>0</v>
      </c>
      <c r="H201" s="642">
        <v>0</v>
      </c>
      <c r="I201" s="642">
        <v>0</v>
      </c>
      <c r="J201" s="642">
        <v>0</v>
      </c>
      <c r="K201" s="637">
        <v>0</v>
      </c>
      <c r="L201" s="638">
        <v>0</v>
      </c>
      <c r="M201" s="638">
        <v>0</v>
      </c>
      <c r="N201" s="623">
        <v>0</v>
      </c>
      <c r="O201" s="623">
        <v>0</v>
      </c>
      <c r="P201" s="623">
        <v>0</v>
      </c>
      <c r="Q201" s="623">
        <v>0</v>
      </c>
      <c r="R201" s="623">
        <v>0</v>
      </c>
      <c r="S201" s="623">
        <v>0</v>
      </c>
      <c r="T201" s="623">
        <v>0</v>
      </c>
      <c r="U201" s="623">
        <v>0</v>
      </c>
      <c r="V201" s="623">
        <v>0</v>
      </c>
      <c r="W201" s="623">
        <v>0</v>
      </c>
      <c r="X201" s="623">
        <v>0</v>
      </c>
      <c r="Y201" s="623">
        <v>0</v>
      </c>
      <c r="Z201" s="623">
        <v>0</v>
      </c>
      <c r="AA201" s="623">
        <v>0</v>
      </c>
      <c r="AB201" s="638">
        <v>0</v>
      </c>
      <c r="AC201" s="638">
        <v>0</v>
      </c>
      <c r="AD201" s="638">
        <v>0</v>
      </c>
      <c r="AE201" s="638">
        <v>0</v>
      </c>
      <c r="AF201" s="638">
        <v>0</v>
      </c>
      <c r="AG201" s="638">
        <v>0</v>
      </c>
      <c r="AH201" s="638">
        <v>0</v>
      </c>
      <c r="AI201" s="638">
        <v>0</v>
      </c>
      <c r="AJ201" s="638">
        <v>0</v>
      </c>
      <c r="AK201" s="638">
        <v>0</v>
      </c>
      <c r="AL201" s="638">
        <v>0</v>
      </c>
      <c r="AM201" s="638">
        <v>0</v>
      </c>
      <c r="AN201" s="638">
        <v>0</v>
      </c>
      <c r="AO201" s="638">
        <v>0</v>
      </c>
      <c r="AP201" s="638">
        <v>0</v>
      </c>
      <c r="AQ201" s="638">
        <v>0</v>
      </c>
      <c r="AR201" s="638">
        <v>0</v>
      </c>
      <c r="AS201" s="638">
        <v>0</v>
      </c>
      <c r="AT201" s="638">
        <v>0</v>
      </c>
      <c r="AU201" s="638">
        <v>0</v>
      </c>
      <c r="AV201" s="638">
        <v>0</v>
      </c>
      <c r="AW201" s="638">
        <v>0</v>
      </c>
      <c r="AX201" s="638">
        <v>0</v>
      </c>
      <c r="AY201" s="638">
        <v>0</v>
      </c>
      <c r="AZ201" s="638">
        <v>0</v>
      </c>
      <c r="BA201" s="638">
        <v>0</v>
      </c>
      <c r="BB201" s="638">
        <v>0</v>
      </c>
      <c r="BC201" s="638">
        <v>0</v>
      </c>
      <c r="BD201" s="638">
        <v>0</v>
      </c>
      <c r="BE201" s="638">
        <v>0</v>
      </c>
      <c r="BF201" s="638">
        <v>0</v>
      </c>
      <c r="BG201" s="638">
        <v>0</v>
      </c>
      <c r="BH201" s="638">
        <v>0</v>
      </c>
      <c r="BI201" s="638">
        <v>0</v>
      </c>
      <c r="BJ201" s="638">
        <v>0</v>
      </c>
      <c r="BK201" s="638">
        <v>0</v>
      </c>
      <c r="BL201" s="638">
        <v>0</v>
      </c>
      <c r="BM201" s="638">
        <v>0</v>
      </c>
      <c r="BN201" s="638">
        <v>0</v>
      </c>
      <c r="BO201" s="638">
        <v>0</v>
      </c>
      <c r="BP201" s="638">
        <v>0</v>
      </c>
      <c r="BQ201" s="638">
        <v>0</v>
      </c>
      <c r="BR201" s="638">
        <v>0</v>
      </c>
      <c r="BS201" s="638">
        <v>0</v>
      </c>
      <c r="BT201" s="638">
        <v>0</v>
      </c>
      <c r="BU201" s="638">
        <v>0</v>
      </c>
      <c r="BV201" s="638">
        <v>0</v>
      </c>
      <c r="BW201" s="638">
        <v>0</v>
      </c>
      <c r="BX201" s="638">
        <v>0</v>
      </c>
      <c r="BY201" s="638">
        <v>0</v>
      </c>
      <c r="BZ201" s="638">
        <v>0</v>
      </c>
      <c r="CA201" s="638">
        <v>0</v>
      </c>
      <c r="CB201" s="638">
        <v>0</v>
      </c>
      <c r="CC201" s="638">
        <v>0</v>
      </c>
      <c r="CD201" s="638">
        <v>0</v>
      </c>
      <c r="CE201" s="638">
        <v>0</v>
      </c>
      <c r="CF201" s="638">
        <v>0</v>
      </c>
      <c r="CG201" s="638">
        <v>0</v>
      </c>
      <c r="CH201" s="638">
        <v>0</v>
      </c>
      <c r="CI201" s="638">
        <v>0</v>
      </c>
      <c r="CJ201" s="638">
        <v>0</v>
      </c>
      <c r="CK201" s="638">
        <v>0</v>
      </c>
      <c r="CL201" s="638">
        <v>0</v>
      </c>
      <c r="CM201" s="638">
        <v>0</v>
      </c>
      <c r="CN201" s="638">
        <v>0</v>
      </c>
      <c r="CO201" s="638">
        <v>0</v>
      </c>
      <c r="CP201" s="638">
        <v>0</v>
      </c>
      <c r="CQ201" s="638">
        <v>0</v>
      </c>
    </row>
    <row r="202" spans="1:95" ht="28.5" x14ac:dyDescent="0.25">
      <c r="A202" s="668"/>
      <c r="B202" s="591">
        <v>552</v>
      </c>
      <c r="C202" s="614" t="s">
        <v>917</v>
      </c>
      <c r="D202" s="611" t="s">
        <v>918</v>
      </c>
      <c r="E202" s="573">
        <v>0</v>
      </c>
      <c r="F202" s="574">
        <v>0</v>
      </c>
      <c r="G202" s="574">
        <v>0</v>
      </c>
      <c r="H202" s="574">
        <v>0</v>
      </c>
      <c r="I202" s="574">
        <v>0</v>
      </c>
      <c r="J202" s="574">
        <v>0</v>
      </c>
      <c r="K202" s="575">
        <v>0</v>
      </c>
      <c r="L202" s="572">
        <v>0</v>
      </c>
      <c r="M202" s="572">
        <v>0</v>
      </c>
      <c r="N202" s="571">
        <v>0</v>
      </c>
      <c r="O202" s="571">
        <v>0</v>
      </c>
      <c r="P202" s="571">
        <v>0</v>
      </c>
      <c r="Q202" s="571">
        <v>0</v>
      </c>
      <c r="R202" s="571">
        <v>0</v>
      </c>
      <c r="S202" s="571">
        <v>0</v>
      </c>
      <c r="T202" s="571">
        <v>0</v>
      </c>
      <c r="U202" s="571">
        <v>0</v>
      </c>
      <c r="V202" s="571">
        <v>0</v>
      </c>
      <c r="W202" s="571">
        <v>0</v>
      </c>
      <c r="X202" s="571">
        <v>0</v>
      </c>
      <c r="Y202" s="571">
        <v>0</v>
      </c>
      <c r="Z202" s="571">
        <v>0</v>
      </c>
      <c r="AA202" s="571">
        <v>0</v>
      </c>
      <c r="AB202" s="572">
        <v>0</v>
      </c>
      <c r="AC202" s="572">
        <v>0</v>
      </c>
      <c r="AD202" s="572">
        <v>0</v>
      </c>
      <c r="AE202" s="572">
        <v>0</v>
      </c>
      <c r="AF202" s="572">
        <v>0</v>
      </c>
      <c r="AG202" s="572">
        <v>0</v>
      </c>
      <c r="AH202" s="572">
        <v>0</v>
      </c>
      <c r="AI202" s="572">
        <v>0</v>
      </c>
      <c r="AJ202" s="572">
        <v>0</v>
      </c>
      <c r="AK202" s="572">
        <v>0</v>
      </c>
      <c r="AL202" s="572">
        <v>0</v>
      </c>
      <c r="AM202" s="572">
        <v>0</v>
      </c>
      <c r="AN202" s="572">
        <v>0</v>
      </c>
      <c r="AO202" s="572">
        <v>0</v>
      </c>
      <c r="AP202" s="572">
        <v>0</v>
      </c>
      <c r="AQ202" s="572">
        <v>0</v>
      </c>
      <c r="AR202" s="572">
        <v>0</v>
      </c>
      <c r="AS202" s="572">
        <v>0</v>
      </c>
      <c r="AT202" s="572">
        <v>0</v>
      </c>
      <c r="AU202" s="572">
        <v>0</v>
      </c>
      <c r="AV202" s="572">
        <v>0</v>
      </c>
      <c r="AW202" s="572">
        <v>0</v>
      </c>
      <c r="AX202" s="572">
        <v>0</v>
      </c>
      <c r="AY202" s="572">
        <v>0</v>
      </c>
      <c r="AZ202" s="572">
        <v>0</v>
      </c>
      <c r="BA202" s="572">
        <v>0</v>
      </c>
      <c r="BB202" s="572">
        <v>0</v>
      </c>
      <c r="BC202" s="572">
        <v>0</v>
      </c>
      <c r="BD202" s="572">
        <v>0</v>
      </c>
      <c r="BE202" s="572">
        <v>0</v>
      </c>
      <c r="BF202" s="572">
        <v>0</v>
      </c>
      <c r="BG202" s="572">
        <v>0</v>
      </c>
      <c r="BH202" s="572">
        <v>0</v>
      </c>
      <c r="BI202" s="572">
        <v>0</v>
      </c>
      <c r="BJ202" s="572">
        <v>0</v>
      </c>
      <c r="BK202" s="572">
        <v>0</v>
      </c>
      <c r="BL202" s="572">
        <v>0</v>
      </c>
      <c r="BM202" s="572">
        <v>0</v>
      </c>
      <c r="BN202" s="572">
        <v>0</v>
      </c>
      <c r="BO202" s="572">
        <v>0</v>
      </c>
      <c r="BP202" s="572">
        <v>0</v>
      </c>
      <c r="BQ202" s="572">
        <v>0</v>
      </c>
      <c r="BR202" s="572">
        <v>0</v>
      </c>
      <c r="BS202" s="572">
        <v>0</v>
      </c>
      <c r="BT202" s="572">
        <v>0</v>
      </c>
      <c r="BU202" s="572">
        <v>0</v>
      </c>
      <c r="BV202" s="572">
        <v>0</v>
      </c>
      <c r="BW202" s="572">
        <v>0</v>
      </c>
      <c r="BX202" s="572">
        <v>0</v>
      </c>
      <c r="BY202" s="572">
        <v>0</v>
      </c>
      <c r="BZ202" s="572">
        <v>0</v>
      </c>
      <c r="CA202" s="572">
        <v>0</v>
      </c>
      <c r="CB202" s="572">
        <v>0</v>
      </c>
      <c r="CC202" s="572">
        <v>0</v>
      </c>
      <c r="CD202" s="572">
        <v>0</v>
      </c>
      <c r="CE202" s="572">
        <v>0</v>
      </c>
      <c r="CF202" s="572">
        <v>0</v>
      </c>
      <c r="CG202" s="572">
        <v>0</v>
      </c>
      <c r="CH202" s="572">
        <v>0</v>
      </c>
      <c r="CI202" s="572">
        <v>0</v>
      </c>
      <c r="CJ202" s="572">
        <v>0</v>
      </c>
      <c r="CK202" s="572">
        <v>0</v>
      </c>
      <c r="CL202" s="572">
        <v>0</v>
      </c>
      <c r="CM202" s="572">
        <v>0</v>
      </c>
      <c r="CN202" s="572">
        <v>0</v>
      </c>
      <c r="CO202" s="572">
        <v>0</v>
      </c>
      <c r="CP202" s="572">
        <v>0</v>
      </c>
      <c r="CQ202" s="572">
        <v>0</v>
      </c>
    </row>
    <row r="203" spans="1:95" x14ac:dyDescent="0.25">
      <c r="A203" s="668"/>
      <c r="B203" s="591">
        <v>553</v>
      </c>
      <c r="C203" s="585" t="s">
        <v>919</v>
      </c>
      <c r="D203" s="611" t="s">
        <v>920</v>
      </c>
      <c r="E203" s="573"/>
      <c r="F203" s="574"/>
      <c r="G203" s="574"/>
      <c r="H203" s="574"/>
      <c r="I203" s="574"/>
      <c r="J203" s="574"/>
      <c r="K203" s="575"/>
      <c r="L203" s="572"/>
      <c r="M203" s="572"/>
      <c r="N203" s="571"/>
      <c r="O203" s="571"/>
      <c r="P203" s="571"/>
      <c r="Q203" s="571"/>
      <c r="R203" s="571"/>
      <c r="S203" s="571"/>
      <c r="T203" s="571"/>
      <c r="U203" s="571"/>
      <c r="V203" s="571"/>
      <c r="W203" s="571"/>
      <c r="X203" s="571"/>
      <c r="Y203" s="571"/>
      <c r="Z203" s="571"/>
      <c r="AA203" s="571"/>
      <c r="AB203" s="572"/>
      <c r="AC203" s="572"/>
      <c r="AD203" s="572"/>
      <c r="AE203" s="572"/>
      <c r="AF203" s="572"/>
      <c r="AG203" s="572"/>
      <c r="AH203" s="572"/>
      <c r="AI203" s="572"/>
      <c r="AJ203" s="572"/>
      <c r="AK203" s="572"/>
      <c r="AL203" s="572"/>
      <c r="AM203" s="572"/>
      <c r="AN203" s="572"/>
      <c r="AO203" s="572"/>
      <c r="AP203" s="572"/>
      <c r="AQ203" s="572"/>
      <c r="AR203" s="572"/>
      <c r="AS203" s="572"/>
      <c r="AT203" s="572"/>
      <c r="AU203" s="572"/>
      <c r="AV203" s="572"/>
      <c r="AW203" s="572"/>
      <c r="AX203" s="572"/>
      <c r="AY203" s="572"/>
      <c r="AZ203" s="572"/>
      <c r="BA203" s="572"/>
      <c r="BB203" s="572"/>
      <c r="BC203" s="572"/>
      <c r="BD203" s="572"/>
      <c r="BE203" s="572"/>
      <c r="BF203" s="572"/>
      <c r="BG203" s="572"/>
      <c r="BH203" s="572"/>
      <c r="BI203" s="572"/>
      <c r="BJ203" s="572"/>
      <c r="BK203" s="572"/>
      <c r="BL203" s="572"/>
      <c r="BM203" s="572"/>
      <c r="BN203" s="572"/>
      <c r="BO203" s="572"/>
      <c r="BP203" s="572"/>
      <c r="BQ203" s="572"/>
      <c r="BR203" s="572"/>
      <c r="BS203" s="572"/>
      <c r="BT203" s="572"/>
      <c r="BU203" s="572"/>
      <c r="BV203" s="572"/>
      <c r="BW203" s="572"/>
      <c r="BX203" s="572"/>
      <c r="BY203" s="572"/>
      <c r="BZ203" s="572"/>
      <c r="CA203" s="572"/>
      <c r="CB203" s="572"/>
      <c r="CC203" s="572"/>
      <c r="CD203" s="572"/>
      <c r="CE203" s="572"/>
      <c r="CF203" s="572"/>
      <c r="CG203" s="572"/>
      <c r="CH203" s="572"/>
      <c r="CI203" s="572"/>
      <c r="CJ203" s="572"/>
      <c r="CK203" s="572"/>
      <c r="CL203" s="572"/>
      <c r="CM203" s="572"/>
      <c r="CN203" s="572"/>
      <c r="CO203" s="572"/>
      <c r="CP203" s="572"/>
      <c r="CQ203" s="572"/>
    </row>
    <row r="204" spans="1:95" ht="57.75" x14ac:dyDescent="0.25">
      <c r="A204" s="668">
        <v>554</v>
      </c>
      <c r="B204" s="635">
        <v>554</v>
      </c>
      <c r="C204" s="641" t="s">
        <v>921</v>
      </c>
      <c r="D204" s="636" t="s">
        <v>922</v>
      </c>
      <c r="E204" s="640">
        <v>0</v>
      </c>
      <c r="F204" s="642">
        <v>2764</v>
      </c>
      <c r="G204" s="642">
        <v>0</v>
      </c>
      <c r="H204" s="642">
        <v>1355517</v>
      </c>
      <c r="I204" s="642">
        <v>0</v>
      </c>
      <c r="J204" s="642">
        <v>0</v>
      </c>
      <c r="K204" s="637">
        <v>681411</v>
      </c>
      <c r="L204" s="638">
        <v>0</v>
      </c>
      <c r="M204" s="638">
        <v>0</v>
      </c>
      <c r="N204" s="623">
        <v>0</v>
      </c>
      <c r="O204" s="623">
        <v>0</v>
      </c>
      <c r="P204" s="623">
        <v>0</v>
      </c>
      <c r="Q204" s="623">
        <v>0</v>
      </c>
      <c r="R204" s="623">
        <v>0</v>
      </c>
      <c r="S204" s="623">
        <v>0</v>
      </c>
      <c r="T204" s="623">
        <v>0</v>
      </c>
      <c r="U204" s="623">
        <v>0</v>
      </c>
      <c r="V204" s="623">
        <v>0</v>
      </c>
      <c r="W204" s="623">
        <v>0</v>
      </c>
      <c r="X204" s="623">
        <v>0</v>
      </c>
      <c r="Y204" s="623">
        <v>1008525</v>
      </c>
      <c r="Z204" s="623">
        <v>0</v>
      </c>
      <c r="AA204" s="623">
        <v>970555</v>
      </c>
      <c r="AB204" s="638">
        <v>1581355</v>
      </c>
      <c r="AC204" s="638">
        <v>0</v>
      </c>
      <c r="AD204" s="638">
        <v>0</v>
      </c>
      <c r="AE204" s="638">
        <v>5893947</v>
      </c>
      <c r="AF204" s="638">
        <v>0</v>
      </c>
      <c r="AG204" s="638">
        <v>0</v>
      </c>
      <c r="AH204" s="638">
        <v>0</v>
      </c>
      <c r="AI204" s="638">
        <v>0</v>
      </c>
      <c r="AJ204" s="638">
        <v>0</v>
      </c>
      <c r="AK204" s="638">
        <v>0</v>
      </c>
      <c r="AL204" s="638">
        <v>0</v>
      </c>
      <c r="AM204" s="638">
        <v>0</v>
      </c>
      <c r="AN204" s="638">
        <v>0</v>
      </c>
      <c r="AO204" s="638">
        <v>0</v>
      </c>
      <c r="AP204" s="638">
        <v>2109424</v>
      </c>
      <c r="AQ204" s="638">
        <v>0</v>
      </c>
      <c r="AR204" s="638">
        <v>0</v>
      </c>
      <c r="AS204" s="638">
        <v>0</v>
      </c>
      <c r="AT204" s="638">
        <v>0</v>
      </c>
      <c r="AU204" s="638">
        <v>0</v>
      </c>
      <c r="AV204" s="638">
        <v>0</v>
      </c>
      <c r="AW204" s="638">
        <v>0</v>
      </c>
      <c r="AX204" s="638">
        <v>0</v>
      </c>
      <c r="AY204" s="638">
        <v>1352199</v>
      </c>
      <c r="AZ204" s="638">
        <v>0</v>
      </c>
      <c r="BA204" s="638">
        <v>0</v>
      </c>
      <c r="BB204" s="638">
        <v>0</v>
      </c>
      <c r="BC204" s="638">
        <v>0</v>
      </c>
      <c r="BD204" s="638">
        <v>0</v>
      </c>
      <c r="BE204" s="638">
        <v>0</v>
      </c>
      <c r="BF204" s="638">
        <v>0</v>
      </c>
      <c r="BG204" s="638">
        <v>1236102</v>
      </c>
      <c r="BH204" s="638">
        <v>988378</v>
      </c>
      <c r="BI204" s="638">
        <v>0</v>
      </c>
      <c r="BJ204" s="638">
        <v>0</v>
      </c>
      <c r="BK204" s="638">
        <v>0</v>
      </c>
      <c r="BL204" s="638">
        <v>0</v>
      </c>
      <c r="BM204" s="638">
        <v>0</v>
      </c>
      <c r="BN204" s="638">
        <v>0</v>
      </c>
      <c r="BO204" s="638">
        <v>0</v>
      </c>
      <c r="BP204" s="638">
        <v>0</v>
      </c>
      <c r="BQ204" s="638">
        <v>0</v>
      </c>
      <c r="BR204" s="638">
        <v>0</v>
      </c>
      <c r="BS204" s="638">
        <v>0</v>
      </c>
      <c r="BT204" s="638">
        <v>0</v>
      </c>
      <c r="BU204" s="638">
        <v>0</v>
      </c>
      <c r="BV204" s="638">
        <v>0</v>
      </c>
      <c r="BW204" s="638">
        <v>0</v>
      </c>
      <c r="BX204" s="638">
        <v>345287</v>
      </c>
      <c r="BY204" s="638">
        <v>0</v>
      </c>
      <c r="BZ204" s="638">
        <v>0</v>
      </c>
      <c r="CA204" s="638">
        <v>1512653</v>
      </c>
      <c r="CB204" s="638">
        <v>2337316</v>
      </c>
      <c r="CC204" s="638">
        <v>2095224</v>
      </c>
      <c r="CD204" s="638">
        <v>0</v>
      </c>
      <c r="CE204" s="638">
        <v>0</v>
      </c>
      <c r="CF204" s="638">
        <v>0</v>
      </c>
      <c r="CG204" s="638">
        <v>0</v>
      </c>
      <c r="CH204" s="638">
        <v>25351311</v>
      </c>
      <c r="CI204" s="638">
        <v>631949</v>
      </c>
      <c r="CJ204" s="638">
        <v>0</v>
      </c>
      <c r="CK204" s="638">
        <v>0</v>
      </c>
      <c r="CL204" s="638">
        <v>0</v>
      </c>
      <c r="CM204" s="638">
        <v>0</v>
      </c>
      <c r="CN204" s="638">
        <v>0</v>
      </c>
      <c r="CO204" s="638">
        <v>0</v>
      </c>
      <c r="CP204" s="638">
        <v>0</v>
      </c>
      <c r="CQ204" s="638">
        <v>0</v>
      </c>
    </row>
    <row r="205" spans="1:95" ht="72" x14ac:dyDescent="0.25">
      <c r="A205" s="668">
        <v>555</v>
      </c>
      <c r="B205" s="635">
        <v>555</v>
      </c>
      <c r="C205" s="641" t="s">
        <v>923</v>
      </c>
      <c r="D205" s="636" t="s">
        <v>924</v>
      </c>
      <c r="E205" s="640">
        <v>0</v>
      </c>
      <c r="F205" s="642">
        <v>0</v>
      </c>
      <c r="G205" s="642">
        <v>0</v>
      </c>
      <c r="H205" s="642">
        <v>1355517</v>
      </c>
      <c r="I205" s="642">
        <v>0</v>
      </c>
      <c r="J205" s="642">
        <v>0</v>
      </c>
      <c r="K205" s="637">
        <v>0</v>
      </c>
      <c r="L205" s="638">
        <v>0</v>
      </c>
      <c r="M205" s="638">
        <v>0</v>
      </c>
      <c r="N205" s="623">
        <v>0</v>
      </c>
      <c r="O205" s="623">
        <v>0</v>
      </c>
      <c r="P205" s="623">
        <v>0</v>
      </c>
      <c r="Q205" s="623">
        <v>0</v>
      </c>
      <c r="R205" s="623">
        <v>0</v>
      </c>
      <c r="S205" s="623">
        <v>0</v>
      </c>
      <c r="T205" s="623">
        <v>0</v>
      </c>
      <c r="U205" s="623">
        <v>0</v>
      </c>
      <c r="V205" s="623">
        <v>0</v>
      </c>
      <c r="W205" s="623">
        <v>0</v>
      </c>
      <c r="X205" s="623">
        <v>0</v>
      </c>
      <c r="Y205" s="623">
        <v>663074</v>
      </c>
      <c r="Z205" s="623">
        <v>0</v>
      </c>
      <c r="AA205" s="623">
        <v>857884</v>
      </c>
      <c r="AB205" s="638">
        <v>1581355</v>
      </c>
      <c r="AC205" s="638">
        <v>0</v>
      </c>
      <c r="AD205" s="638">
        <v>0</v>
      </c>
      <c r="AE205" s="638">
        <v>5784585</v>
      </c>
      <c r="AF205" s="638">
        <v>0</v>
      </c>
      <c r="AG205" s="638">
        <v>0</v>
      </c>
      <c r="AH205" s="638">
        <v>0</v>
      </c>
      <c r="AI205" s="638">
        <v>0</v>
      </c>
      <c r="AJ205" s="638">
        <v>0</v>
      </c>
      <c r="AK205" s="638">
        <v>0</v>
      </c>
      <c r="AL205" s="638">
        <v>0</v>
      </c>
      <c r="AM205" s="638">
        <v>0</v>
      </c>
      <c r="AN205" s="638">
        <v>0</v>
      </c>
      <c r="AO205" s="638">
        <v>0</v>
      </c>
      <c r="AP205" s="638">
        <v>1181378</v>
      </c>
      <c r="AQ205" s="638">
        <v>0</v>
      </c>
      <c r="AR205" s="638">
        <v>0</v>
      </c>
      <c r="AS205" s="638">
        <v>0</v>
      </c>
      <c r="AT205" s="638">
        <v>0</v>
      </c>
      <c r="AU205" s="638">
        <v>0</v>
      </c>
      <c r="AV205" s="638">
        <v>0</v>
      </c>
      <c r="AW205" s="638">
        <v>0</v>
      </c>
      <c r="AX205" s="638">
        <v>0</v>
      </c>
      <c r="AY205" s="638">
        <v>1220179</v>
      </c>
      <c r="AZ205" s="638">
        <v>0</v>
      </c>
      <c r="BA205" s="638">
        <v>0</v>
      </c>
      <c r="BB205" s="638">
        <v>0</v>
      </c>
      <c r="BC205" s="638">
        <v>0</v>
      </c>
      <c r="BD205" s="638">
        <v>0</v>
      </c>
      <c r="BE205" s="638">
        <v>0</v>
      </c>
      <c r="BF205" s="638">
        <v>0</v>
      </c>
      <c r="BG205" s="638">
        <v>1236102</v>
      </c>
      <c r="BH205" s="638">
        <v>785437</v>
      </c>
      <c r="BI205" s="638">
        <v>0</v>
      </c>
      <c r="BJ205" s="638">
        <v>0</v>
      </c>
      <c r="BK205" s="638">
        <v>0</v>
      </c>
      <c r="BL205" s="638">
        <v>0</v>
      </c>
      <c r="BM205" s="638">
        <v>0</v>
      </c>
      <c r="BN205" s="638">
        <v>0</v>
      </c>
      <c r="BO205" s="638">
        <v>0</v>
      </c>
      <c r="BP205" s="638">
        <v>0</v>
      </c>
      <c r="BQ205" s="638">
        <v>0</v>
      </c>
      <c r="BR205" s="638">
        <v>0</v>
      </c>
      <c r="BS205" s="638">
        <v>0</v>
      </c>
      <c r="BT205" s="638">
        <v>0</v>
      </c>
      <c r="BU205" s="638">
        <v>0</v>
      </c>
      <c r="BV205" s="638">
        <v>0</v>
      </c>
      <c r="BW205" s="638">
        <v>0</v>
      </c>
      <c r="BX205" s="638">
        <v>0</v>
      </c>
      <c r="BY205" s="638">
        <v>0</v>
      </c>
      <c r="BZ205" s="638">
        <v>0</v>
      </c>
      <c r="CA205" s="638">
        <v>898954</v>
      </c>
      <c r="CB205" s="638">
        <v>857010</v>
      </c>
      <c r="CC205" s="638">
        <v>500000</v>
      </c>
      <c r="CD205" s="638">
        <v>0</v>
      </c>
      <c r="CE205" s="638">
        <v>0</v>
      </c>
      <c r="CF205" s="638">
        <v>0</v>
      </c>
      <c r="CG205" s="638">
        <v>0</v>
      </c>
      <c r="CH205" s="638">
        <v>13815237</v>
      </c>
      <c r="CI205" s="638">
        <v>0</v>
      </c>
      <c r="CJ205" s="638">
        <v>0</v>
      </c>
      <c r="CK205" s="638">
        <v>0</v>
      </c>
      <c r="CL205" s="638">
        <v>0</v>
      </c>
      <c r="CM205" s="638">
        <v>0</v>
      </c>
      <c r="CN205" s="638">
        <v>0</v>
      </c>
      <c r="CO205" s="638">
        <v>0</v>
      </c>
      <c r="CP205" s="638">
        <v>0</v>
      </c>
      <c r="CQ205" s="638">
        <v>0</v>
      </c>
    </row>
    <row r="206" spans="1:95" ht="57.75" x14ac:dyDescent="0.25">
      <c r="A206" s="668">
        <v>556</v>
      </c>
      <c r="B206" s="635">
        <v>556</v>
      </c>
      <c r="C206" s="641" t="s">
        <v>925</v>
      </c>
      <c r="D206" s="636" t="s">
        <v>926</v>
      </c>
      <c r="E206" s="640">
        <v>0</v>
      </c>
      <c r="F206" s="642">
        <v>511004</v>
      </c>
      <c r="G206" s="642">
        <v>0</v>
      </c>
      <c r="H206" s="642">
        <v>0</v>
      </c>
      <c r="I206" s="642">
        <v>0</v>
      </c>
      <c r="J206" s="642">
        <v>0</v>
      </c>
      <c r="K206" s="637">
        <v>4831247</v>
      </c>
      <c r="L206" s="638">
        <v>0</v>
      </c>
      <c r="M206" s="638">
        <v>0</v>
      </c>
      <c r="N206" s="623">
        <v>0</v>
      </c>
      <c r="O206" s="623">
        <v>0</v>
      </c>
      <c r="P206" s="623">
        <v>0</v>
      </c>
      <c r="Q206" s="623">
        <v>0</v>
      </c>
      <c r="R206" s="623">
        <v>0</v>
      </c>
      <c r="S206" s="623">
        <v>0</v>
      </c>
      <c r="T206" s="623">
        <v>0</v>
      </c>
      <c r="U206" s="623">
        <v>0</v>
      </c>
      <c r="V206" s="623">
        <v>0</v>
      </c>
      <c r="W206" s="623">
        <v>0</v>
      </c>
      <c r="X206" s="623">
        <v>0</v>
      </c>
      <c r="Y206" s="623">
        <v>209937</v>
      </c>
      <c r="Z206" s="623">
        <v>0</v>
      </c>
      <c r="AA206" s="623">
        <v>1052651</v>
      </c>
      <c r="AB206" s="638">
        <v>351675</v>
      </c>
      <c r="AC206" s="638">
        <v>0</v>
      </c>
      <c r="AD206" s="638">
        <v>0</v>
      </c>
      <c r="AE206" s="638">
        <v>1137216</v>
      </c>
      <c r="AF206" s="638">
        <v>0</v>
      </c>
      <c r="AG206" s="638">
        <v>0</v>
      </c>
      <c r="AH206" s="638">
        <v>0</v>
      </c>
      <c r="AI206" s="638">
        <v>0</v>
      </c>
      <c r="AJ206" s="638">
        <v>0</v>
      </c>
      <c r="AK206" s="638">
        <v>0</v>
      </c>
      <c r="AL206" s="638">
        <v>0</v>
      </c>
      <c r="AM206" s="638">
        <v>0</v>
      </c>
      <c r="AN206" s="638">
        <v>0</v>
      </c>
      <c r="AO206" s="638">
        <v>0</v>
      </c>
      <c r="AP206" s="638">
        <v>1089832</v>
      </c>
      <c r="AQ206" s="638">
        <v>0</v>
      </c>
      <c r="AR206" s="638">
        <v>0</v>
      </c>
      <c r="AS206" s="638">
        <v>0</v>
      </c>
      <c r="AT206" s="638">
        <v>0</v>
      </c>
      <c r="AU206" s="638">
        <v>0</v>
      </c>
      <c r="AV206" s="638">
        <v>0</v>
      </c>
      <c r="AW206" s="638">
        <v>0</v>
      </c>
      <c r="AX206" s="638">
        <v>0</v>
      </c>
      <c r="AY206" s="638">
        <v>1302078</v>
      </c>
      <c r="AZ206" s="638">
        <v>0</v>
      </c>
      <c r="BA206" s="638">
        <v>0</v>
      </c>
      <c r="BB206" s="638">
        <v>0</v>
      </c>
      <c r="BC206" s="638">
        <v>0</v>
      </c>
      <c r="BD206" s="638">
        <v>0</v>
      </c>
      <c r="BE206" s="638">
        <v>0</v>
      </c>
      <c r="BF206" s="638">
        <v>0</v>
      </c>
      <c r="BG206" s="638">
        <v>99747</v>
      </c>
      <c r="BH206" s="638">
        <v>461649</v>
      </c>
      <c r="BI206" s="638">
        <v>0</v>
      </c>
      <c r="BJ206" s="638">
        <v>0</v>
      </c>
      <c r="BK206" s="638">
        <v>0</v>
      </c>
      <c r="BL206" s="638">
        <v>653022</v>
      </c>
      <c r="BM206" s="638">
        <v>0</v>
      </c>
      <c r="BN206" s="638">
        <v>0</v>
      </c>
      <c r="BO206" s="638">
        <v>0</v>
      </c>
      <c r="BP206" s="638">
        <v>0</v>
      </c>
      <c r="BQ206" s="638">
        <v>0</v>
      </c>
      <c r="BR206" s="638">
        <v>0</v>
      </c>
      <c r="BS206" s="638">
        <v>0</v>
      </c>
      <c r="BT206" s="638">
        <v>0</v>
      </c>
      <c r="BU206" s="638">
        <v>0</v>
      </c>
      <c r="BV206" s="638">
        <v>0</v>
      </c>
      <c r="BW206" s="638">
        <v>0</v>
      </c>
      <c r="BX206" s="638">
        <v>584225</v>
      </c>
      <c r="BY206" s="638">
        <v>0</v>
      </c>
      <c r="BZ206" s="638">
        <v>0</v>
      </c>
      <c r="CA206" s="638">
        <v>317766</v>
      </c>
      <c r="CB206" s="638">
        <v>3893321</v>
      </c>
      <c r="CC206" s="638">
        <v>3978614</v>
      </c>
      <c r="CD206" s="638">
        <v>0</v>
      </c>
      <c r="CE206" s="638">
        <v>0</v>
      </c>
      <c r="CF206" s="638">
        <v>0</v>
      </c>
      <c r="CG206" s="638">
        <v>0</v>
      </c>
      <c r="CH206" s="638">
        <v>7501043</v>
      </c>
      <c r="CI206" s="638">
        <v>601066</v>
      </c>
      <c r="CJ206" s="638">
        <v>0</v>
      </c>
      <c r="CK206" s="638">
        <v>0</v>
      </c>
      <c r="CL206" s="638">
        <v>0</v>
      </c>
      <c r="CM206" s="638">
        <v>0</v>
      </c>
      <c r="CN206" s="638">
        <v>0</v>
      </c>
      <c r="CO206" s="638">
        <v>0</v>
      </c>
      <c r="CP206" s="638">
        <v>0</v>
      </c>
      <c r="CQ206" s="638">
        <v>0</v>
      </c>
    </row>
    <row r="207" spans="1:95" ht="72" x14ac:dyDescent="0.25">
      <c r="A207" s="668">
        <v>557</v>
      </c>
      <c r="B207" s="635">
        <v>557</v>
      </c>
      <c r="C207" s="641" t="s">
        <v>927</v>
      </c>
      <c r="D207" s="636" t="s">
        <v>928</v>
      </c>
      <c r="E207" s="640">
        <v>0</v>
      </c>
      <c r="F207" s="642">
        <v>511004</v>
      </c>
      <c r="G207" s="642">
        <v>0</v>
      </c>
      <c r="H207" s="642">
        <v>0</v>
      </c>
      <c r="I207" s="642">
        <v>0</v>
      </c>
      <c r="J207" s="642">
        <v>0</v>
      </c>
      <c r="K207" s="637">
        <v>3522401</v>
      </c>
      <c r="L207" s="638">
        <v>0</v>
      </c>
      <c r="M207" s="638">
        <v>0</v>
      </c>
      <c r="N207" s="623">
        <v>0</v>
      </c>
      <c r="O207" s="623">
        <v>0</v>
      </c>
      <c r="P207" s="623">
        <v>0</v>
      </c>
      <c r="Q207" s="623">
        <v>0</v>
      </c>
      <c r="R207" s="623">
        <v>0</v>
      </c>
      <c r="S207" s="623">
        <v>0</v>
      </c>
      <c r="T207" s="623">
        <v>0</v>
      </c>
      <c r="U207" s="623">
        <v>0</v>
      </c>
      <c r="V207" s="623">
        <v>0</v>
      </c>
      <c r="W207" s="623">
        <v>0</v>
      </c>
      <c r="X207" s="623">
        <v>0</v>
      </c>
      <c r="Y207" s="623">
        <v>0</v>
      </c>
      <c r="Z207" s="623">
        <v>0</v>
      </c>
      <c r="AA207" s="623">
        <v>546349</v>
      </c>
      <c r="AB207" s="638">
        <v>0</v>
      </c>
      <c r="AC207" s="638">
        <v>0</v>
      </c>
      <c r="AD207" s="638">
        <v>0</v>
      </c>
      <c r="AE207" s="638">
        <v>906825</v>
      </c>
      <c r="AF207" s="638">
        <v>0</v>
      </c>
      <c r="AG207" s="638">
        <v>0</v>
      </c>
      <c r="AH207" s="638">
        <v>0</v>
      </c>
      <c r="AI207" s="638">
        <v>0</v>
      </c>
      <c r="AJ207" s="638">
        <v>0</v>
      </c>
      <c r="AK207" s="638">
        <v>0</v>
      </c>
      <c r="AL207" s="638">
        <v>0</v>
      </c>
      <c r="AM207" s="638">
        <v>0</v>
      </c>
      <c r="AN207" s="638">
        <v>0</v>
      </c>
      <c r="AO207" s="638">
        <v>0</v>
      </c>
      <c r="AP207" s="638">
        <v>661659</v>
      </c>
      <c r="AQ207" s="638">
        <v>0</v>
      </c>
      <c r="AR207" s="638">
        <v>0</v>
      </c>
      <c r="AS207" s="638">
        <v>0</v>
      </c>
      <c r="AT207" s="638">
        <v>0</v>
      </c>
      <c r="AU207" s="638">
        <v>0</v>
      </c>
      <c r="AV207" s="638">
        <v>0</v>
      </c>
      <c r="AW207" s="638">
        <v>0</v>
      </c>
      <c r="AX207" s="638">
        <v>0</v>
      </c>
      <c r="AY207" s="638">
        <v>868086</v>
      </c>
      <c r="AZ207" s="638">
        <v>0</v>
      </c>
      <c r="BA207" s="638">
        <v>0</v>
      </c>
      <c r="BB207" s="638">
        <v>0</v>
      </c>
      <c r="BC207" s="638">
        <v>0</v>
      </c>
      <c r="BD207" s="638">
        <v>0</v>
      </c>
      <c r="BE207" s="638">
        <v>0</v>
      </c>
      <c r="BF207" s="638">
        <v>0</v>
      </c>
      <c r="BG207" s="638">
        <v>0</v>
      </c>
      <c r="BH207" s="638">
        <v>0</v>
      </c>
      <c r="BI207" s="638">
        <v>0</v>
      </c>
      <c r="BJ207" s="638">
        <v>0</v>
      </c>
      <c r="BK207" s="638">
        <v>0</v>
      </c>
      <c r="BL207" s="638">
        <v>562722</v>
      </c>
      <c r="BM207" s="638">
        <v>0</v>
      </c>
      <c r="BN207" s="638">
        <v>0</v>
      </c>
      <c r="BO207" s="638">
        <v>0</v>
      </c>
      <c r="BP207" s="638">
        <v>0</v>
      </c>
      <c r="BQ207" s="638">
        <v>0</v>
      </c>
      <c r="BR207" s="638">
        <v>0</v>
      </c>
      <c r="BS207" s="638">
        <v>0</v>
      </c>
      <c r="BT207" s="638">
        <v>0</v>
      </c>
      <c r="BU207" s="638">
        <v>0</v>
      </c>
      <c r="BV207" s="638">
        <v>0</v>
      </c>
      <c r="BW207" s="638">
        <v>0</v>
      </c>
      <c r="BX207" s="638">
        <v>386475</v>
      </c>
      <c r="BY207" s="638">
        <v>0</v>
      </c>
      <c r="BZ207" s="638">
        <v>0</v>
      </c>
      <c r="CA207" s="638">
        <v>0</v>
      </c>
      <c r="CB207" s="638">
        <v>2958808</v>
      </c>
      <c r="CC207" s="638">
        <v>2734066</v>
      </c>
      <c r="CD207" s="638">
        <v>0</v>
      </c>
      <c r="CE207" s="638">
        <v>0</v>
      </c>
      <c r="CF207" s="638">
        <v>0</v>
      </c>
      <c r="CG207" s="638">
        <v>0</v>
      </c>
      <c r="CH207" s="638">
        <v>6786566</v>
      </c>
      <c r="CI207" s="638">
        <v>561032</v>
      </c>
      <c r="CJ207" s="638">
        <v>0</v>
      </c>
      <c r="CK207" s="638">
        <v>0</v>
      </c>
      <c r="CL207" s="638">
        <v>0</v>
      </c>
      <c r="CM207" s="638">
        <v>0</v>
      </c>
      <c r="CN207" s="638">
        <v>0</v>
      </c>
      <c r="CO207" s="638">
        <v>0</v>
      </c>
      <c r="CP207" s="638">
        <v>0</v>
      </c>
      <c r="CQ207" s="638">
        <v>0</v>
      </c>
    </row>
    <row r="208" spans="1:95" x14ac:dyDescent="0.25">
      <c r="A208" s="668"/>
      <c r="B208" s="615">
        <v>558</v>
      </c>
      <c r="C208" s="616"/>
      <c r="D208" s="611" t="s">
        <v>929</v>
      </c>
      <c r="E208" s="573"/>
      <c r="F208" s="574"/>
      <c r="G208" s="574"/>
      <c r="H208" s="574"/>
      <c r="I208" s="574"/>
      <c r="J208" s="574"/>
      <c r="K208" s="575"/>
      <c r="L208" s="572"/>
      <c r="M208" s="572"/>
      <c r="N208" s="571"/>
      <c r="O208" s="571"/>
      <c r="P208" s="571"/>
      <c r="Q208" s="571"/>
      <c r="R208" s="571"/>
      <c r="S208" s="571"/>
      <c r="T208" s="571"/>
      <c r="U208" s="571"/>
      <c r="V208" s="571"/>
      <c r="W208" s="571"/>
      <c r="X208" s="571"/>
      <c r="Y208" s="571"/>
      <c r="Z208" s="571"/>
      <c r="AA208" s="571"/>
      <c r="AB208" s="572"/>
      <c r="AC208" s="572"/>
      <c r="AD208" s="572"/>
      <c r="AE208" s="572"/>
      <c r="AF208" s="572"/>
      <c r="AG208" s="572"/>
      <c r="AH208" s="572"/>
      <c r="AI208" s="572"/>
      <c r="AJ208" s="572"/>
      <c r="AK208" s="572"/>
      <c r="AL208" s="572"/>
      <c r="AM208" s="572"/>
      <c r="AN208" s="572"/>
      <c r="AO208" s="572"/>
      <c r="AP208" s="572"/>
      <c r="AQ208" s="572"/>
      <c r="AR208" s="572"/>
      <c r="AS208" s="572"/>
      <c r="AT208" s="572"/>
      <c r="AU208" s="572"/>
      <c r="AV208" s="572"/>
      <c r="AW208" s="572"/>
      <c r="AX208" s="572"/>
      <c r="AY208" s="572"/>
      <c r="AZ208" s="572"/>
      <c r="BA208" s="572"/>
      <c r="BB208" s="572"/>
      <c r="BC208" s="572"/>
      <c r="BD208" s="572"/>
      <c r="BE208" s="572"/>
      <c r="BF208" s="572"/>
      <c r="BG208" s="572"/>
      <c r="BH208" s="572"/>
      <c r="BI208" s="572"/>
      <c r="BJ208" s="572"/>
      <c r="BK208" s="572"/>
      <c r="BL208" s="572"/>
      <c r="BM208" s="572"/>
      <c r="BN208" s="572"/>
      <c r="BO208" s="572"/>
      <c r="BP208" s="572"/>
      <c r="BQ208" s="572"/>
      <c r="BR208" s="572"/>
      <c r="BS208" s="572"/>
      <c r="BT208" s="572"/>
      <c r="BU208" s="572"/>
      <c r="BV208" s="572"/>
      <c r="BW208" s="572"/>
      <c r="BX208" s="572"/>
      <c r="BY208" s="572"/>
      <c r="BZ208" s="572"/>
      <c r="CA208" s="572"/>
      <c r="CB208" s="572"/>
      <c r="CC208" s="572"/>
      <c r="CD208" s="572"/>
      <c r="CE208" s="572"/>
      <c r="CF208" s="572"/>
      <c r="CG208" s="572"/>
      <c r="CH208" s="572"/>
      <c r="CI208" s="572"/>
      <c r="CJ208" s="572"/>
      <c r="CK208" s="572"/>
      <c r="CL208" s="572"/>
      <c r="CM208" s="572"/>
      <c r="CN208" s="572"/>
      <c r="CO208" s="572"/>
      <c r="CP208" s="572"/>
      <c r="CQ208" s="572"/>
    </row>
    <row r="209" spans="1:95" x14ac:dyDescent="0.25">
      <c r="A209" s="668"/>
      <c r="B209" s="615">
        <v>559</v>
      </c>
      <c r="C209" s="616"/>
      <c r="D209" s="611" t="s">
        <v>930</v>
      </c>
      <c r="E209" s="573"/>
      <c r="F209" s="574"/>
      <c r="G209" s="574"/>
      <c r="H209" s="574"/>
      <c r="I209" s="574"/>
      <c r="J209" s="574"/>
      <c r="K209" s="575"/>
      <c r="L209" s="572"/>
      <c r="M209" s="572"/>
      <c r="N209" s="571"/>
      <c r="O209" s="571"/>
      <c r="P209" s="571"/>
      <c r="Q209" s="571"/>
      <c r="R209" s="571"/>
      <c r="S209" s="571"/>
      <c r="T209" s="571"/>
      <c r="U209" s="571"/>
      <c r="V209" s="571"/>
      <c r="W209" s="571"/>
      <c r="X209" s="571"/>
      <c r="Y209" s="571"/>
      <c r="Z209" s="571"/>
      <c r="AA209" s="571"/>
      <c r="AB209" s="572"/>
      <c r="AC209" s="572"/>
      <c r="AD209" s="572"/>
      <c r="AE209" s="572"/>
      <c r="AF209" s="572"/>
      <c r="AG209" s="572"/>
      <c r="AH209" s="572"/>
      <c r="AI209" s="572"/>
      <c r="AJ209" s="572"/>
      <c r="AK209" s="572"/>
      <c r="AL209" s="572"/>
      <c r="AM209" s="572"/>
      <c r="AN209" s="572"/>
      <c r="AO209" s="572"/>
      <c r="AP209" s="572"/>
      <c r="AQ209" s="572"/>
      <c r="AR209" s="572"/>
      <c r="AS209" s="572"/>
      <c r="AT209" s="572"/>
      <c r="AU209" s="572"/>
      <c r="AV209" s="572"/>
      <c r="AW209" s="572"/>
      <c r="AX209" s="572"/>
      <c r="AY209" s="572"/>
      <c r="AZ209" s="572"/>
      <c r="BA209" s="572"/>
      <c r="BB209" s="572"/>
      <c r="BC209" s="572"/>
      <c r="BD209" s="572"/>
      <c r="BE209" s="572"/>
      <c r="BF209" s="572"/>
      <c r="BG209" s="572"/>
      <c r="BH209" s="572"/>
      <c r="BI209" s="572"/>
      <c r="BJ209" s="572"/>
      <c r="BK209" s="572"/>
      <c r="BL209" s="572"/>
      <c r="BM209" s="572"/>
      <c r="BN209" s="572"/>
      <c r="BO209" s="572"/>
      <c r="BP209" s="572"/>
      <c r="BQ209" s="572"/>
      <c r="BR209" s="572"/>
      <c r="BS209" s="572"/>
      <c r="BT209" s="572"/>
      <c r="BU209" s="572"/>
      <c r="BV209" s="572"/>
      <c r="BW209" s="572"/>
      <c r="BX209" s="572"/>
      <c r="BY209" s="572"/>
      <c r="BZ209" s="572"/>
      <c r="CA209" s="572"/>
      <c r="CB209" s="572"/>
      <c r="CC209" s="572"/>
      <c r="CD209" s="572"/>
      <c r="CE209" s="572"/>
      <c r="CF209" s="572"/>
      <c r="CG209" s="572"/>
      <c r="CH209" s="572"/>
      <c r="CI209" s="572"/>
      <c r="CJ209" s="572"/>
      <c r="CK209" s="572"/>
      <c r="CL209" s="572"/>
      <c r="CM209" s="572"/>
      <c r="CN209" s="572"/>
      <c r="CO209" s="572"/>
      <c r="CP209" s="572"/>
      <c r="CQ209" s="572"/>
    </row>
    <row r="210" spans="1:95" x14ac:dyDescent="0.25">
      <c r="A210" s="668"/>
      <c r="B210" s="615">
        <v>560</v>
      </c>
      <c r="C210" s="616"/>
      <c r="D210" s="611" t="s">
        <v>931</v>
      </c>
      <c r="E210" s="573"/>
      <c r="F210" s="574"/>
      <c r="G210" s="574"/>
      <c r="H210" s="574"/>
      <c r="I210" s="574"/>
      <c r="J210" s="574"/>
      <c r="K210" s="575"/>
      <c r="L210" s="572"/>
      <c r="M210" s="572"/>
      <c r="N210" s="571"/>
      <c r="O210" s="571"/>
      <c r="P210" s="571"/>
      <c r="Q210" s="571"/>
      <c r="R210" s="571"/>
      <c r="S210" s="571"/>
      <c r="T210" s="571"/>
      <c r="U210" s="571"/>
      <c r="V210" s="571"/>
      <c r="W210" s="571"/>
      <c r="X210" s="571"/>
      <c r="Y210" s="571"/>
      <c r="Z210" s="571"/>
      <c r="AA210" s="571"/>
      <c r="AB210" s="572"/>
      <c r="AC210" s="572"/>
      <c r="AD210" s="572"/>
      <c r="AE210" s="572"/>
      <c r="AF210" s="572"/>
      <c r="AG210" s="572"/>
      <c r="AH210" s="572"/>
      <c r="AI210" s="572"/>
      <c r="AJ210" s="572"/>
      <c r="AK210" s="572"/>
      <c r="AL210" s="572"/>
      <c r="AM210" s="572"/>
      <c r="AN210" s="572"/>
      <c r="AO210" s="572"/>
      <c r="AP210" s="572"/>
      <c r="AQ210" s="572"/>
      <c r="AR210" s="572"/>
      <c r="AS210" s="572"/>
      <c r="AT210" s="572"/>
      <c r="AU210" s="572"/>
      <c r="AV210" s="572"/>
      <c r="AW210" s="572"/>
      <c r="AX210" s="572"/>
      <c r="AY210" s="572"/>
      <c r="AZ210" s="572"/>
      <c r="BA210" s="572"/>
      <c r="BB210" s="572"/>
      <c r="BC210" s="572"/>
      <c r="BD210" s="572"/>
      <c r="BE210" s="572"/>
      <c r="BF210" s="572"/>
      <c r="BG210" s="572"/>
      <c r="BH210" s="572"/>
      <c r="BI210" s="572"/>
      <c r="BJ210" s="572"/>
      <c r="BK210" s="572"/>
      <c r="BL210" s="572"/>
      <c r="BM210" s="572"/>
      <c r="BN210" s="572"/>
      <c r="BO210" s="572"/>
      <c r="BP210" s="572"/>
      <c r="BQ210" s="572"/>
      <c r="BR210" s="572"/>
      <c r="BS210" s="572"/>
      <c r="BT210" s="572"/>
      <c r="BU210" s="572"/>
      <c r="BV210" s="572"/>
      <c r="BW210" s="572"/>
      <c r="BX210" s="572"/>
      <c r="BY210" s="572"/>
      <c r="BZ210" s="572"/>
      <c r="CA210" s="572"/>
      <c r="CB210" s="572"/>
      <c r="CC210" s="572"/>
      <c r="CD210" s="572"/>
      <c r="CE210" s="572"/>
      <c r="CF210" s="572"/>
      <c r="CG210" s="572"/>
      <c r="CH210" s="572"/>
      <c r="CI210" s="572"/>
      <c r="CJ210" s="572"/>
      <c r="CK210" s="572"/>
      <c r="CL210" s="572"/>
      <c r="CM210" s="572"/>
      <c r="CN210" s="572"/>
      <c r="CO210" s="572"/>
      <c r="CP210" s="572"/>
      <c r="CQ210" s="572"/>
    </row>
    <row r="211" spans="1:95" x14ac:dyDescent="0.25">
      <c r="A211" s="668"/>
      <c r="B211" s="615">
        <v>561</v>
      </c>
      <c r="C211" s="616"/>
      <c r="D211" s="611" t="s">
        <v>932</v>
      </c>
      <c r="E211" s="573"/>
      <c r="F211" s="574"/>
      <c r="G211" s="574"/>
      <c r="H211" s="574"/>
      <c r="I211" s="574"/>
      <c r="J211" s="574"/>
      <c r="K211" s="575"/>
      <c r="L211" s="572"/>
      <c r="M211" s="572"/>
      <c r="N211" s="571"/>
      <c r="O211" s="571"/>
      <c r="P211" s="571"/>
      <c r="Q211" s="571"/>
      <c r="R211" s="571"/>
      <c r="S211" s="571"/>
      <c r="T211" s="571"/>
      <c r="U211" s="571"/>
      <c r="V211" s="571"/>
      <c r="W211" s="571"/>
      <c r="X211" s="571"/>
      <c r="Y211" s="571"/>
      <c r="Z211" s="571"/>
      <c r="AA211" s="571"/>
      <c r="AB211" s="572"/>
      <c r="AC211" s="572"/>
      <c r="AD211" s="572"/>
      <c r="AE211" s="572"/>
      <c r="AF211" s="572"/>
      <c r="AG211" s="572"/>
      <c r="AH211" s="572"/>
      <c r="AI211" s="572"/>
      <c r="AJ211" s="572"/>
      <c r="AK211" s="572"/>
      <c r="AL211" s="572"/>
      <c r="AM211" s="572"/>
      <c r="AN211" s="572"/>
      <c r="AO211" s="572"/>
      <c r="AP211" s="572"/>
      <c r="AQ211" s="572"/>
      <c r="AR211" s="572"/>
      <c r="AS211" s="572"/>
      <c r="AT211" s="572"/>
      <c r="AU211" s="572"/>
      <c r="AV211" s="572"/>
      <c r="AW211" s="572"/>
      <c r="AX211" s="572"/>
      <c r="AY211" s="572"/>
      <c r="AZ211" s="572"/>
      <c r="BA211" s="572"/>
      <c r="BB211" s="572"/>
      <c r="BC211" s="572"/>
      <c r="BD211" s="572"/>
      <c r="BE211" s="572"/>
      <c r="BF211" s="572"/>
      <c r="BG211" s="572"/>
      <c r="BH211" s="572"/>
      <c r="BI211" s="572"/>
      <c r="BJ211" s="572"/>
      <c r="BK211" s="572"/>
      <c r="BL211" s="572"/>
      <c r="BM211" s="572"/>
      <c r="BN211" s="572"/>
      <c r="BO211" s="572"/>
      <c r="BP211" s="572"/>
      <c r="BQ211" s="572"/>
      <c r="BR211" s="572"/>
      <c r="BS211" s="572"/>
      <c r="BT211" s="572"/>
      <c r="BU211" s="572"/>
      <c r="BV211" s="572"/>
      <c r="BW211" s="572"/>
      <c r="BX211" s="572"/>
      <c r="BY211" s="572"/>
      <c r="BZ211" s="572"/>
      <c r="CA211" s="572"/>
      <c r="CB211" s="572"/>
      <c r="CC211" s="572"/>
      <c r="CD211" s="572"/>
      <c r="CE211" s="572"/>
      <c r="CF211" s="572"/>
      <c r="CG211" s="572"/>
      <c r="CH211" s="572"/>
      <c r="CI211" s="572"/>
      <c r="CJ211" s="572"/>
      <c r="CK211" s="572"/>
      <c r="CL211" s="572"/>
      <c r="CM211" s="572"/>
      <c r="CN211" s="572"/>
      <c r="CO211" s="572"/>
      <c r="CP211" s="572"/>
      <c r="CQ211" s="572"/>
    </row>
    <row r="212" spans="1:95" x14ac:dyDescent="0.25">
      <c r="A212" s="668"/>
      <c r="B212" s="615">
        <v>562</v>
      </c>
      <c r="C212" s="616"/>
      <c r="D212" s="611" t="s">
        <v>933</v>
      </c>
      <c r="E212" s="573"/>
      <c r="F212" s="574"/>
      <c r="G212" s="574"/>
      <c r="H212" s="574"/>
      <c r="I212" s="574"/>
      <c r="J212" s="574"/>
      <c r="K212" s="575"/>
      <c r="L212" s="572"/>
      <c r="M212" s="572"/>
      <c r="N212" s="571"/>
      <c r="O212" s="571"/>
      <c r="P212" s="571"/>
      <c r="Q212" s="571"/>
      <c r="R212" s="571"/>
      <c r="S212" s="571"/>
      <c r="T212" s="571"/>
      <c r="U212" s="571"/>
      <c r="V212" s="571"/>
      <c r="W212" s="571"/>
      <c r="X212" s="571"/>
      <c r="Y212" s="571"/>
      <c r="Z212" s="571"/>
      <c r="AA212" s="571"/>
      <c r="AB212" s="572"/>
      <c r="AC212" s="572"/>
      <c r="AD212" s="572"/>
      <c r="AE212" s="572"/>
      <c r="AF212" s="572"/>
      <c r="AG212" s="572"/>
      <c r="AH212" s="572"/>
      <c r="AI212" s="572"/>
      <c r="AJ212" s="572"/>
      <c r="AK212" s="572"/>
      <c r="AL212" s="572"/>
      <c r="AM212" s="572"/>
      <c r="AN212" s="572"/>
      <c r="AO212" s="572"/>
      <c r="AP212" s="572"/>
      <c r="AQ212" s="572"/>
      <c r="AR212" s="572"/>
      <c r="AS212" s="572"/>
      <c r="AT212" s="572"/>
      <c r="AU212" s="572"/>
      <c r="AV212" s="572"/>
      <c r="AW212" s="572"/>
      <c r="AX212" s="572"/>
      <c r="AY212" s="572"/>
      <c r="AZ212" s="572"/>
      <c r="BA212" s="572"/>
      <c r="BB212" s="572"/>
      <c r="BC212" s="572"/>
      <c r="BD212" s="572"/>
      <c r="BE212" s="572"/>
      <c r="BF212" s="572"/>
      <c r="BG212" s="572"/>
      <c r="BH212" s="572"/>
      <c r="BI212" s="572"/>
      <c r="BJ212" s="572"/>
      <c r="BK212" s="572"/>
      <c r="BL212" s="572"/>
      <c r="BM212" s="572"/>
      <c r="BN212" s="572"/>
      <c r="BO212" s="572"/>
      <c r="BP212" s="572"/>
      <c r="BQ212" s="572"/>
      <c r="BR212" s="572"/>
      <c r="BS212" s="572"/>
      <c r="BT212" s="572"/>
      <c r="BU212" s="572"/>
      <c r="BV212" s="572"/>
      <c r="BW212" s="572"/>
      <c r="BX212" s="572"/>
      <c r="BY212" s="572"/>
      <c r="BZ212" s="572"/>
      <c r="CA212" s="572"/>
      <c r="CB212" s="572"/>
      <c r="CC212" s="572"/>
      <c r="CD212" s="572"/>
      <c r="CE212" s="572"/>
      <c r="CF212" s="572"/>
      <c r="CG212" s="572"/>
      <c r="CH212" s="572"/>
      <c r="CI212" s="572"/>
      <c r="CJ212" s="572"/>
      <c r="CK212" s="572"/>
      <c r="CL212" s="572"/>
      <c r="CM212" s="572"/>
      <c r="CN212" s="572"/>
      <c r="CO212" s="572"/>
      <c r="CP212" s="572"/>
      <c r="CQ212" s="572"/>
    </row>
    <row r="213" spans="1:95" x14ac:dyDescent="0.25">
      <c r="A213" s="668"/>
      <c r="B213" s="615">
        <v>563</v>
      </c>
      <c r="C213" s="616"/>
      <c r="D213" s="611" t="s">
        <v>934</v>
      </c>
      <c r="E213" s="573"/>
      <c r="F213" s="574"/>
      <c r="G213" s="574"/>
      <c r="H213" s="574"/>
      <c r="I213" s="574"/>
      <c r="J213" s="574"/>
      <c r="K213" s="575"/>
      <c r="L213" s="572"/>
      <c r="M213" s="572"/>
      <c r="N213" s="571"/>
      <c r="O213" s="571"/>
      <c r="P213" s="571"/>
      <c r="Q213" s="571"/>
      <c r="R213" s="571"/>
      <c r="S213" s="571"/>
      <c r="T213" s="571"/>
      <c r="U213" s="571"/>
      <c r="V213" s="571"/>
      <c r="W213" s="571"/>
      <c r="X213" s="571"/>
      <c r="Y213" s="571"/>
      <c r="Z213" s="571"/>
      <c r="AA213" s="571"/>
      <c r="AB213" s="572"/>
      <c r="AC213" s="572"/>
      <c r="AD213" s="572"/>
      <c r="AE213" s="572"/>
      <c r="AF213" s="572"/>
      <c r="AG213" s="572"/>
      <c r="AH213" s="572"/>
      <c r="AI213" s="572"/>
      <c r="AJ213" s="572"/>
      <c r="AK213" s="572"/>
      <c r="AL213" s="572"/>
      <c r="AM213" s="572"/>
      <c r="AN213" s="572"/>
      <c r="AO213" s="572"/>
      <c r="AP213" s="572"/>
      <c r="AQ213" s="572"/>
      <c r="AR213" s="572"/>
      <c r="AS213" s="572"/>
      <c r="AT213" s="572"/>
      <c r="AU213" s="572"/>
      <c r="AV213" s="572"/>
      <c r="AW213" s="572"/>
      <c r="AX213" s="572"/>
      <c r="AY213" s="572"/>
      <c r="AZ213" s="572"/>
      <c r="BA213" s="572"/>
      <c r="BB213" s="572"/>
      <c r="BC213" s="572"/>
      <c r="BD213" s="572"/>
      <c r="BE213" s="572"/>
      <c r="BF213" s="572"/>
      <c r="BG213" s="572"/>
      <c r="BH213" s="572"/>
      <c r="BI213" s="572"/>
      <c r="BJ213" s="572"/>
      <c r="BK213" s="572"/>
      <c r="BL213" s="572"/>
      <c r="BM213" s="572"/>
      <c r="BN213" s="572"/>
      <c r="BO213" s="572"/>
      <c r="BP213" s="572"/>
      <c r="BQ213" s="572"/>
      <c r="BR213" s="572"/>
      <c r="BS213" s="572"/>
      <c r="BT213" s="572"/>
      <c r="BU213" s="572"/>
      <c r="BV213" s="572"/>
      <c r="BW213" s="572"/>
      <c r="BX213" s="572"/>
      <c r="BY213" s="572"/>
      <c r="BZ213" s="572"/>
      <c r="CA213" s="572"/>
      <c r="CB213" s="572"/>
      <c r="CC213" s="572"/>
      <c r="CD213" s="572"/>
      <c r="CE213" s="572"/>
      <c r="CF213" s="572"/>
      <c r="CG213" s="572"/>
      <c r="CH213" s="572"/>
      <c r="CI213" s="572"/>
      <c r="CJ213" s="572"/>
      <c r="CK213" s="572"/>
      <c r="CL213" s="572"/>
      <c r="CM213" s="572"/>
      <c r="CN213" s="572"/>
      <c r="CO213" s="572"/>
      <c r="CP213" s="572"/>
      <c r="CQ213" s="572"/>
    </row>
    <row r="214" spans="1:95" x14ac:dyDescent="0.25">
      <c r="A214" s="668"/>
      <c r="B214" s="615">
        <v>564</v>
      </c>
      <c r="C214" s="616"/>
      <c r="D214" s="611" t="s">
        <v>935</v>
      </c>
      <c r="E214" s="573"/>
      <c r="F214" s="574"/>
      <c r="G214" s="574"/>
      <c r="H214" s="574"/>
      <c r="I214" s="574"/>
      <c r="J214" s="574"/>
      <c r="K214" s="575"/>
      <c r="L214" s="572"/>
      <c r="M214" s="572"/>
      <c r="N214" s="571"/>
      <c r="O214" s="571"/>
      <c r="P214" s="571"/>
      <c r="Q214" s="571"/>
      <c r="R214" s="571"/>
      <c r="S214" s="571"/>
      <c r="T214" s="571"/>
      <c r="U214" s="571"/>
      <c r="V214" s="571"/>
      <c r="W214" s="571"/>
      <c r="X214" s="571"/>
      <c r="Y214" s="571"/>
      <c r="Z214" s="571"/>
      <c r="AA214" s="571"/>
      <c r="AB214" s="572"/>
      <c r="AC214" s="572"/>
      <c r="AD214" s="572"/>
      <c r="AE214" s="572"/>
      <c r="AF214" s="572"/>
      <c r="AG214" s="572"/>
      <c r="AH214" s="572"/>
      <c r="AI214" s="572"/>
      <c r="AJ214" s="572"/>
      <c r="AK214" s="572"/>
      <c r="AL214" s="572"/>
      <c r="AM214" s="572"/>
      <c r="AN214" s="572"/>
      <c r="AO214" s="572"/>
      <c r="AP214" s="572"/>
      <c r="AQ214" s="572"/>
      <c r="AR214" s="572"/>
      <c r="AS214" s="572"/>
      <c r="AT214" s="572"/>
      <c r="AU214" s="572"/>
      <c r="AV214" s="572"/>
      <c r="AW214" s="572"/>
      <c r="AX214" s="572"/>
      <c r="AY214" s="572"/>
      <c r="AZ214" s="572"/>
      <c r="BA214" s="572"/>
      <c r="BB214" s="572"/>
      <c r="BC214" s="572"/>
      <c r="BD214" s="572"/>
      <c r="BE214" s="572"/>
      <c r="BF214" s="572"/>
      <c r="BG214" s="572"/>
      <c r="BH214" s="572"/>
      <c r="BI214" s="572"/>
      <c r="BJ214" s="572"/>
      <c r="BK214" s="572"/>
      <c r="BL214" s="572"/>
      <c r="BM214" s="572"/>
      <c r="BN214" s="572"/>
      <c r="BO214" s="572"/>
      <c r="BP214" s="572"/>
      <c r="BQ214" s="572"/>
      <c r="BR214" s="572"/>
      <c r="BS214" s="572"/>
      <c r="BT214" s="572"/>
      <c r="BU214" s="572"/>
      <c r="BV214" s="572"/>
      <c r="BW214" s="572"/>
      <c r="BX214" s="572"/>
      <c r="BY214" s="572"/>
      <c r="BZ214" s="572"/>
      <c r="CA214" s="572"/>
      <c r="CB214" s="572"/>
      <c r="CC214" s="572"/>
      <c r="CD214" s="572"/>
      <c r="CE214" s="572"/>
      <c r="CF214" s="572"/>
      <c r="CG214" s="572"/>
      <c r="CH214" s="572"/>
      <c r="CI214" s="572"/>
      <c r="CJ214" s="572"/>
      <c r="CK214" s="572"/>
      <c r="CL214" s="572"/>
      <c r="CM214" s="572"/>
      <c r="CN214" s="572"/>
      <c r="CO214" s="572"/>
      <c r="CP214" s="572"/>
      <c r="CQ214" s="572"/>
    </row>
    <row r="215" spans="1:95" x14ac:dyDescent="0.25">
      <c r="A215" s="668"/>
      <c r="B215" s="615">
        <v>565</v>
      </c>
      <c r="C215" s="616"/>
      <c r="D215" s="611" t="s">
        <v>936</v>
      </c>
      <c r="E215" s="573"/>
      <c r="F215" s="574"/>
      <c r="G215" s="574"/>
      <c r="H215" s="574"/>
      <c r="I215" s="574"/>
      <c r="J215" s="574"/>
      <c r="K215" s="575"/>
      <c r="L215" s="572"/>
      <c r="M215" s="572"/>
      <c r="N215" s="571"/>
      <c r="O215" s="571"/>
      <c r="P215" s="571"/>
      <c r="Q215" s="571"/>
      <c r="R215" s="571"/>
      <c r="S215" s="571"/>
      <c r="T215" s="571"/>
      <c r="U215" s="571"/>
      <c r="V215" s="571"/>
      <c r="W215" s="571"/>
      <c r="X215" s="571"/>
      <c r="Y215" s="571"/>
      <c r="Z215" s="571"/>
      <c r="AA215" s="571"/>
      <c r="AB215" s="572"/>
      <c r="AC215" s="572"/>
      <c r="AD215" s="572"/>
      <c r="AE215" s="572"/>
      <c r="AF215" s="572"/>
      <c r="AG215" s="572"/>
      <c r="AH215" s="572"/>
      <c r="AI215" s="572"/>
      <c r="AJ215" s="572"/>
      <c r="AK215" s="572"/>
      <c r="AL215" s="572"/>
      <c r="AM215" s="572"/>
      <c r="AN215" s="572"/>
      <c r="AO215" s="572"/>
      <c r="AP215" s="572"/>
      <c r="AQ215" s="572"/>
      <c r="AR215" s="572"/>
      <c r="AS215" s="572"/>
      <c r="AT215" s="572"/>
      <c r="AU215" s="572"/>
      <c r="AV215" s="572"/>
      <c r="AW215" s="572"/>
      <c r="AX215" s="572"/>
      <c r="AY215" s="572"/>
      <c r="AZ215" s="572"/>
      <c r="BA215" s="572"/>
      <c r="BB215" s="572"/>
      <c r="BC215" s="572"/>
      <c r="BD215" s="572"/>
      <c r="BE215" s="572"/>
      <c r="BF215" s="572"/>
      <c r="BG215" s="572"/>
      <c r="BH215" s="572"/>
      <c r="BI215" s="572"/>
      <c r="BJ215" s="572"/>
      <c r="BK215" s="572"/>
      <c r="BL215" s="572"/>
      <c r="BM215" s="572"/>
      <c r="BN215" s="572"/>
      <c r="BO215" s="572"/>
      <c r="BP215" s="572"/>
      <c r="BQ215" s="572"/>
      <c r="BR215" s="572"/>
      <c r="BS215" s="572"/>
      <c r="BT215" s="572"/>
      <c r="BU215" s="572"/>
      <c r="BV215" s="572"/>
      <c r="BW215" s="572"/>
      <c r="BX215" s="572"/>
      <c r="BY215" s="572"/>
      <c r="BZ215" s="572"/>
      <c r="CA215" s="572"/>
      <c r="CB215" s="572"/>
      <c r="CC215" s="572"/>
      <c r="CD215" s="572"/>
      <c r="CE215" s="572"/>
      <c r="CF215" s="572"/>
      <c r="CG215" s="572"/>
      <c r="CH215" s="572"/>
      <c r="CI215" s="572"/>
      <c r="CJ215" s="572"/>
      <c r="CK215" s="572"/>
      <c r="CL215" s="572"/>
      <c r="CM215" s="572"/>
      <c r="CN215" s="572"/>
      <c r="CO215" s="572"/>
      <c r="CP215" s="572"/>
      <c r="CQ215" s="572"/>
    </row>
    <row r="216" spans="1:95" x14ac:dyDescent="0.25">
      <c r="A216" s="668"/>
      <c r="B216" s="615">
        <v>566</v>
      </c>
      <c r="C216" s="616"/>
      <c r="D216" s="611" t="s">
        <v>937</v>
      </c>
      <c r="E216" s="573"/>
      <c r="F216" s="574"/>
      <c r="G216" s="574"/>
      <c r="H216" s="574"/>
      <c r="I216" s="574"/>
      <c r="J216" s="574"/>
      <c r="K216" s="575"/>
      <c r="L216" s="572"/>
      <c r="M216" s="572"/>
      <c r="N216" s="571"/>
      <c r="O216" s="571"/>
      <c r="P216" s="571"/>
      <c r="Q216" s="571"/>
      <c r="R216" s="571"/>
      <c r="S216" s="571"/>
      <c r="T216" s="571"/>
      <c r="U216" s="571"/>
      <c r="V216" s="571"/>
      <c r="W216" s="571"/>
      <c r="X216" s="571"/>
      <c r="Y216" s="571"/>
      <c r="Z216" s="571"/>
      <c r="AA216" s="571"/>
      <c r="AB216" s="572"/>
      <c r="AC216" s="572"/>
      <c r="AD216" s="572"/>
      <c r="AE216" s="572"/>
      <c r="AF216" s="572"/>
      <c r="AG216" s="572"/>
      <c r="AH216" s="572"/>
      <c r="AI216" s="572"/>
      <c r="AJ216" s="572"/>
      <c r="AK216" s="572"/>
      <c r="AL216" s="572"/>
      <c r="AM216" s="572"/>
      <c r="AN216" s="572"/>
      <c r="AO216" s="572"/>
      <c r="AP216" s="572"/>
      <c r="AQ216" s="572"/>
      <c r="AR216" s="572"/>
      <c r="AS216" s="572"/>
      <c r="AT216" s="572"/>
      <c r="AU216" s="572"/>
      <c r="AV216" s="572"/>
      <c r="AW216" s="572"/>
      <c r="AX216" s="572"/>
      <c r="AY216" s="572"/>
      <c r="AZ216" s="572"/>
      <c r="BA216" s="572"/>
      <c r="BB216" s="572"/>
      <c r="BC216" s="572"/>
      <c r="BD216" s="572"/>
      <c r="BE216" s="572"/>
      <c r="BF216" s="572"/>
      <c r="BG216" s="572"/>
      <c r="BH216" s="572"/>
      <c r="BI216" s="572"/>
      <c r="BJ216" s="572"/>
      <c r="BK216" s="572"/>
      <c r="BL216" s="572"/>
      <c r="BM216" s="572"/>
      <c r="BN216" s="572"/>
      <c r="BO216" s="572"/>
      <c r="BP216" s="572"/>
      <c r="BQ216" s="572"/>
      <c r="BR216" s="572"/>
      <c r="BS216" s="572"/>
      <c r="BT216" s="572"/>
      <c r="BU216" s="572"/>
      <c r="BV216" s="572"/>
      <c r="BW216" s="572"/>
      <c r="BX216" s="572"/>
      <c r="BY216" s="572"/>
      <c r="BZ216" s="572"/>
      <c r="CA216" s="572"/>
      <c r="CB216" s="572"/>
      <c r="CC216" s="572"/>
      <c r="CD216" s="572"/>
      <c r="CE216" s="572"/>
      <c r="CF216" s="572"/>
      <c r="CG216" s="572"/>
      <c r="CH216" s="572"/>
      <c r="CI216" s="572"/>
      <c r="CJ216" s="572"/>
      <c r="CK216" s="572"/>
      <c r="CL216" s="572"/>
      <c r="CM216" s="572"/>
      <c r="CN216" s="572"/>
      <c r="CO216" s="572"/>
      <c r="CP216" s="572"/>
      <c r="CQ216" s="572"/>
    </row>
    <row r="217" spans="1:95" x14ac:dyDescent="0.25">
      <c r="A217" s="668"/>
      <c r="B217" s="615">
        <v>567</v>
      </c>
      <c r="C217" s="616"/>
      <c r="D217" s="611" t="s">
        <v>938</v>
      </c>
      <c r="E217" s="573"/>
      <c r="F217" s="574"/>
      <c r="G217" s="574"/>
      <c r="H217" s="574"/>
      <c r="I217" s="574"/>
      <c r="J217" s="574"/>
      <c r="K217" s="575"/>
      <c r="L217" s="572"/>
      <c r="M217" s="572"/>
      <c r="N217" s="571"/>
      <c r="O217" s="571"/>
      <c r="P217" s="571"/>
      <c r="Q217" s="571"/>
      <c r="R217" s="571"/>
      <c r="S217" s="571"/>
      <c r="T217" s="571"/>
      <c r="U217" s="571"/>
      <c r="V217" s="571"/>
      <c r="W217" s="571"/>
      <c r="X217" s="571"/>
      <c r="Y217" s="571"/>
      <c r="Z217" s="571"/>
      <c r="AA217" s="571"/>
      <c r="AB217" s="572"/>
      <c r="AC217" s="572"/>
      <c r="AD217" s="572"/>
      <c r="AE217" s="572"/>
      <c r="AF217" s="572"/>
      <c r="AG217" s="572"/>
      <c r="AH217" s="572"/>
      <c r="AI217" s="572"/>
      <c r="AJ217" s="572"/>
      <c r="AK217" s="572"/>
      <c r="AL217" s="572"/>
      <c r="AM217" s="572"/>
      <c r="AN217" s="572"/>
      <c r="AO217" s="572"/>
      <c r="AP217" s="572"/>
      <c r="AQ217" s="572"/>
      <c r="AR217" s="572"/>
      <c r="AS217" s="572"/>
      <c r="AT217" s="572"/>
      <c r="AU217" s="572"/>
      <c r="AV217" s="572"/>
      <c r="AW217" s="572"/>
      <c r="AX217" s="572"/>
      <c r="AY217" s="572"/>
      <c r="AZ217" s="572"/>
      <c r="BA217" s="572"/>
      <c r="BB217" s="572"/>
      <c r="BC217" s="572"/>
      <c r="BD217" s="572"/>
      <c r="BE217" s="572"/>
      <c r="BF217" s="572"/>
      <c r="BG217" s="572"/>
      <c r="BH217" s="572"/>
      <c r="BI217" s="572"/>
      <c r="BJ217" s="572"/>
      <c r="BK217" s="572"/>
      <c r="BL217" s="572"/>
      <c r="BM217" s="572"/>
      <c r="BN217" s="572"/>
      <c r="BO217" s="572"/>
      <c r="BP217" s="572"/>
      <c r="BQ217" s="572"/>
      <c r="BR217" s="572"/>
      <c r="BS217" s="572"/>
      <c r="BT217" s="572"/>
      <c r="BU217" s="572"/>
      <c r="BV217" s="572"/>
      <c r="BW217" s="572"/>
      <c r="BX217" s="572"/>
      <c r="BY217" s="572"/>
      <c r="BZ217" s="572"/>
      <c r="CA217" s="572"/>
      <c r="CB217" s="572"/>
      <c r="CC217" s="572"/>
      <c r="CD217" s="572"/>
      <c r="CE217" s="572"/>
      <c r="CF217" s="572"/>
      <c r="CG217" s="572"/>
      <c r="CH217" s="572"/>
      <c r="CI217" s="572"/>
      <c r="CJ217" s="572"/>
      <c r="CK217" s="572"/>
      <c r="CL217" s="572"/>
      <c r="CM217" s="572"/>
      <c r="CN217" s="572"/>
      <c r="CO217" s="572"/>
      <c r="CP217" s="572"/>
      <c r="CQ217" s="572"/>
    </row>
    <row r="218" spans="1:95" x14ac:dyDescent="0.25">
      <c r="A218" s="668"/>
      <c r="B218" s="615">
        <v>568</v>
      </c>
      <c r="C218" s="616"/>
      <c r="D218" s="611" t="s">
        <v>939</v>
      </c>
      <c r="E218" s="573"/>
      <c r="F218" s="574"/>
      <c r="G218" s="574"/>
      <c r="H218" s="574"/>
      <c r="I218" s="574"/>
      <c r="J218" s="574"/>
      <c r="K218" s="575"/>
      <c r="L218" s="572"/>
      <c r="M218" s="572"/>
      <c r="N218" s="571"/>
      <c r="O218" s="571"/>
      <c r="P218" s="571"/>
      <c r="Q218" s="571"/>
      <c r="R218" s="571"/>
      <c r="S218" s="571"/>
      <c r="T218" s="571"/>
      <c r="U218" s="571"/>
      <c r="V218" s="571"/>
      <c r="W218" s="571"/>
      <c r="X218" s="571"/>
      <c r="Y218" s="571"/>
      <c r="Z218" s="571"/>
      <c r="AA218" s="571"/>
      <c r="AB218" s="572"/>
      <c r="AC218" s="572"/>
      <c r="AD218" s="572"/>
      <c r="AE218" s="572"/>
      <c r="AF218" s="572"/>
      <c r="AG218" s="572"/>
      <c r="AH218" s="572"/>
      <c r="AI218" s="572"/>
      <c r="AJ218" s="572"/>
      <c r="AK218" s="572"/>
      <c r="AL218" s="572"/>
      <c r="AM218" s="572"/>
      <c r="AN218" s="572"/>
      <c r="AO218" s="572"/>
      <c r="AP218" s="572"/>
      <c r="AQ218" s="572"/>
      <c r="AR218" s="572"/>
      <c r="AS218" s="572"/>
      <c r="AT218" s="572"/>
      <c r="AU218" s="572"/>
      <c r="AV218" s="572"/>
      <c r="AW218" s="572"/>
      <c r="AX218" s="572"/>
      <c r="AY218" s="572"/>
      <c r="AZ218" s="572"/>
      <c r="BA218" s="572"/>
      <c r="BB218" s="572"/>
      <c r="BC218" s="572"/>
      <c r="BD218" s="572"/>
      <c r="BE218" s="572"/>
      <c r="BF218" s="572"/>
      <c r="BG218" s="572"/>
      <c r="BH218" s="572"/>
      <c r="BI218" s="572"/>
      <c r="BJ218" s="572"/>
      <c r="BK218" s="572"/>
      <c r="BL218" s="572"/>
      <c r="BM218" s="572"/>
      <c r="BN218" s="572"/>
      <c r="BO218" s="572"/>
      <c r="BP218" s="572"/>
      <c r="BQ218" s="572"/>
      <c r="BR218" s="572"/>
      <c r="BS218" s="572"/>
      <c r="BT218" s="572"/>
      <c r="BU218" s="572"/>
      <c r="BV218" s="572"/>
      <c r="BW218" s="572"/>
      <c r="BX218" s="572"/>
      <c r="BY218" s="572"/>
      <c r="BZ218" s="572"/>
      <c r="CA218" s="572"/>
      <c r="CB218" s="572"/>
      <c r="CC218" s="572"/>
      <c r="CD218" s="572"/>
      <c r="CE218" s="572"/>
      <c r="CF218" s="572"/>
      <c r="CG218" s="572"/>
      <c r="CH218" s="572"/>
      <c r="CI218" s="572"/>
      <c r="CJ218" s="572"/>
      <c r="CK218" s="572"/>
      <c r="CL218" s="572"/>
      <c r="CM218" s="572"/>
      <c r="CN218" s="572"/>
      <c r="CO218" s="572"/>
      <c r="CP218" s="572"/>
      <c r="CQ218" s="572"/>
    </row>
    <row r="219" spans="1:95" x14ac:dyDescent="0.25">
      <c r="A219" s="668"/>
      <c r="B219" s="615">
        <v>569</v>
      </c>
      <c r="C219" s="616"/>
      <c r="D219" s="611" t="s">
        <v>940</v>
      </c>
      <c r="E219" s="573"/>
      <c r="F219" s="574"/>
      <c r="G219" s="574"/>
      <c r="H219" s="574"/>
      <c r="I219" s="574"/>
      <c r="J219" s="574"/>
      <c r="K219" s="575"/>
      <c r="L219" s="572"/>
      <c r="M219" s="572"/>
      <c r="N219" s="571"/>
      <c r="O219" s="571"/>
      <c r="P219" s="571"/>
      <c r="Q219" s="571"/>
      <c r="R219" s="571"/>
      <c r="S219" s="571"/>
      <c r="T219" s="571"/>
      <c r="U219" s="571"/>
      <c r="V219" s="571"/>
      <c r="W219" s="571"/>
      <c r="X219" s="571"/>
      <c r="Y219" s="571"/>
      <c r="Z219" s="571"/>
      <c r="AA219" s="571"/>
      <c r="AB219" s="572"/>
      <c r="AC219" s="572"/>
      <c r="AD219" s="572"/>
      <c r="AE219" s="572"/>
      <c r="AF219" s="572"/>
      <c r="AG219" s="572"/>
      <c r="AH219" s="572"/>
      <c r="AI219" s="572"/>
      <c r="AJ219" s="572"/>
      <c r="AK219" s="572"/>
      <c r="AL219" s="572"/>
      <c r="AM219" s="572"/>
      <c r="AN219" s="572"/>
      <c r="AO219" s="572"/>
      <c r="AP219" s="572"/>
      <c r="AQ219" s="572"/>
      <c r="AR219" s="572"/>
      <c r="AS219" s="572"/>
      <c r="AT219" s="572"/>
      <c r="AU219" s="572"/>
      <c r="AV219" s="572"/>
      <c r="AW219" s="572"/>
      <c r="AX219" s="572"/>
      <c r="AY219" s="572"/>
      <c r="AZ219" s="572"/>
      <c r="BA219" s="572"/>
      <c r="BB219" s="572"/>
      <c r="BC219" s="572"/>
      <c r="BD219" s="572"/>
      <c r="BE219" s="572"/>
      <c r="BF219" s="572"/>
      <c r="BG219" s="572"/>
      <c r="BH219" s="572"/>
      <c r="BI219" s="572"/>
      <c r="BJ219" s="572"/>
      <c r="BK219" s="572"/>
      <c r="BL219" s="572"/>
      <c r="BM219" s="572"/>
      <c r="BN219" s="572"/>
      <c r="BO219" s="572"/>
      <c r="BP219" s="572"/>
      <c r="BQ219" s="572"/>
      <c r="BR219" s="572"/>
      <c r="BS219" s="572"/>
      <c r="BT219" s="572"/>
      <c r="BU219" s="572"/>
      <c r="BV219" s="572"/>
      <c r="BW219" s="572"/>
      <c r="BX219" s="572"/>
      <c r="BY219" s="572"/>
      <c r="BZ219" s="572"/>
      <c r="CA219" s="572"/>
      <c r="CB219" s="572"/>
      <c r="CC219" s="572"/>
      <c r="CD219" s="572"/>
      <c r="CE219" s="572"/>
      <c r="CF219" s="572"/>
      <c r="CG219" s="572"/>
      <c r="CH219" s="572"/>
      <c r="CI219" s="572"/>
      <c r="CJ219" s="572"/>
      <c r="CK219" s="572"/>
      <c r="CL219" s="572"/>
      <c r="CM219" s="572"/>
      <c r="CN219" s="572"/>
      <c r="CO219" s="572"/>
      <c r="CP219" s="572"/>
      <c r="CQ219" s="572"/>
    </row>
    <row r="220" spans="1:95" x14ac:dyDescent="0.25">
      <c r="A220" s="668"/>
      <c r="B220" s="615">
        <v>570</v>
      </c>
      <c r="C220" s="616"/>
      <c r="D220" s="611" t="s">
        <v>941</v>
      </c>
      <c r="E220" s="573"/>
      <c r="F220" s="574"/>
      <c r="G220" s="574"/>
      <c r="H220" s="574"/>
      <c r="I220" s="574"/>
      <c r="J220" s="574"/>
      <c r="K220" s="575"/>
      <c r="L220" s="572"/>
      <c r="M220" s="572"/>
      <c r="N220" s="571"/>
      <c r="O220" s="571"/>
      <c r="P220" s="571"/>
      <c r="Q220" s="571"/>
      <c r="R220" s="571"/>
      <c r="S220" s="571"/>
      <c r="T220" s="571"/>
      <c r="U220" s="571"/>
      <c r="V220" s="571"/>
      <c r="W220" s="571"/>
      <c r="X220" s="571"/>
      <c r="Y220" s="571"/>
      <c r="Z220" s="571"/>
      <c r="AA220" s="571"/>
      <c r="AB220" s="572"/>
      <c r="AC220" s="572"/>
      <c r="AD220" s="572"/>
      <c r="AE220" s="572"/>
      <c r="AF220" s="572"/>
      <c r="AG220" s="572"/>
      <c r="AH220" s="572"/>
      <c r="AI220" s="572"/>
      <c r="AJ220" s="572"/>
      <c r="AK220" s="572"/>
      <c r="AL220" s="572"/>
      <c r="AM220" s="572"/>
      <c r="AN220" s="572"/>
      <c r="AO220" s="572"/>
      <c r="AP220" s="572"/>
      <c r="AQ220" s="572"/>
      <c r="AR220" s="572"/>
      <c r="AS220" s="572"/>
      <c r="AT220" s="572"/>
      <c r="AU220" s="572"/>
      <c r="AV220" s="572"/>
      <c r="AW220" s="572"/>
      <c r="AX220" s="572"/>
      <c r="AY220" s="572"/>
      <c r="AZ220" s="572"/>
      <c r="BA220" s="572"/>
      <c r="BB220" s="572"/>
      <c r="BC220" s="572"/>
      <c r="BD220" s="572"/>
      <c r="BE220" s="572"/>
      <c r="BF220" s="572"/>
      <c r="BG220" s="572"/>
      <c r="BH220" s="572"/>
      <c r="BI220" s="572"/>
      <c r="BJ220" s="572"/>
      <c r="BK220" s="572"/>
      <c r="BL220" s="572"/>
      <c r="BM220" s="572"/>
      <c r="BN220" s="572"/>
      <c r="BO220" s="572"/>
      <c r="BP220" s="572"/>
      <c r="BQ220" s="572"/>
      <c r="BR220" s="572"/>
      <c r="BS220" s="572"/>
      <c r="BT220" s="572"/>
      <c r="BU220" s="572"/>
      <c r="BV220" s="572"/>
      <c r="BW220" s="572"/>
      <c r="BX220" s="572"/>
      <c r="BY220" s="572"/>
      <c r="BZ220" s="572"/>
      <c r="CA220" s="572"/>
      <c r="CB220" s="572"/>
      <c r="CC220" s="572"/>
      <c r="CD220" s="572"/>
      <c r="CE220" s="572"/>
      <c r="CF220" s="572"/>
      <c r="CG220" s="572"/>
      <c r="CH220" s="572"/>
      <c r="CI220" s="572"/>
      <c r="CJ220" s="572"/>
      <c r="CK220" s="572"/>
      <c r="CL220" s="572"/>
      <c r="CM220" s="572"/>
      <c r="CN220" s="572"/>
      <c r="CO220" s="572"/>
      <c r="CP220" s="572"/>
      <c r="CQ220" s="572"/>
    </row>
    <row r="221" spans="1:95" x14ac:dyDescent="0.25">
      <c r="A221" s="668"/>
      <c r="B221" s="615">
        <v>571</v>
      </c>
      <c r="C221" s="616"/>
      <c r="D221" s="611" t="s">
        <v>942</v>
      </c>
      <c r="E221" s="573"/>
      <c r="F221" s="574"/>
      <c r="G221" s="574"/>
      <c r="H221" s="574"/>
      <c r="I221" s="574"/>
      <c r="J221" s="574"/>
      <c r="K221" s="575"/>
      <c r="L221" s="572"/>
      <c r="M221" s="572"/>
      <c r="N221" s="571"/>
      <c r="O221" s="571"/>
      <c r="P221" s="571"/>
      <c r="Q221" s="571"/>
      <c r="R221" s="571"/>
      <c r="S221" s="571"/>
      <c r="T221" s="571"/>
      <c r="U221" s="571"/>
      <c r="V221" s="571"/>
      <c r="W221" s="571"/>
      <c r="X221" s="571"/>
      <c r="Y221" s="571"/>
      <c r="Z221" s="571"/>
      <c r="AA221" s="571"/>
      <c r="AB221" s="572"/>
      <c r="AC221" s="572"/>
      <c r="AD221" s="572"/>
      <c r="AE221" s="572"/>
      <c r="AF221" s="572"/>
      <c r="AG221" s="572"/>
      <c r="AH221" s="572"/>
      <c r="AI221" s="572"/>
      <c r="AJ221" s="572"/>
      <c r="AK221" s="572"/>
      <c r="AL221" s="572"/>
      <c r="AM221" s="572"/>
      <c r="AN221" s="572"/>
      <c r="AO221" s="572"/>
      <c r="AP221" s="572"/>
      <c r="AQ221" s="572"/>
      <c r="AR221" s="572"/>
      <c r="AS221" s="572"/>
      <c r="AT221" s="572"/>
      <c r="AU221" s="572"/>
      <c r="AV221" s="572"/>
      <c r="AW221" s="572"/>
      <c r="AX221" s="572"/>
      <c r="AY221" s="572"/>
      <c r="AZ221" s="572"/>
      <c r="BA221" s="572"/>
      <c r="BB221" s="572"/>
      <c r="BC221" s="572"/>
      <c r="BD221" s="572"/>
      <c r="BE221" s="572"/>
      <c r="BF221" s="572"/>
      <c r="BG221" s="572"/>
      <c r="BH221" s="572"/>
      <c r="BI221" s="572"/>
      <c r="BJ221" s="572"/>
      <c r="BK221" s="572"/>
      <c r="BL221" s="572"/>
      <c r="BM221" s="572"/>
      <c r="BN221" s="572"/>
      <c r="BO221" s="572"/>
      <c r="BP221" s="572"/>
      <c r="BQ221" s="572"/>
      <c r="BR221" s="572"/>
      <c r="BS221" s="572"/>
      <c r="BT221" s="572"/>
      <c r="BU221" s="572"/>
      <c r="BV221" s="572"/>
      <c r="BW221" s="572"/>
      <c r="BX221" s="572"/>
      <c r="BY221" s="572"/>
      <c r="BZ221" s="572"/>
      <c r="CA221" s="572"/>
      <c r="CB221" s="572"/>
      <c r="CC221" s="572"/>
      <c r="CD221" s="572"/>
      <c r="CE221" s="572"/>
      <c r="CF221" s="572"/>
      <c r="CG221" s="572"/>
      <c r="CH221" s="572"/>
      <c r="CI221" s="572"/>
      <c r="CJ221" s="572"/>
      <c r="CK221" s="572"/>
      <c r="CL221" s="572"/>
      <c r="CM221" s="572"/>
      <c r="CN221" s="572"/>
      <c r="CO221" s="572"/>
      <c r="CP221" s="572"/>
      <c r="CQ221" s="572"/>
    </row>
    <row r="222" spans="1:95" x14ac:dyDescent="0.25">
      <c r="A222" s="668"/>
      <c r="B222" s="615">
        <v>572</v>
      </c>
      <c r="C222" s="616"/>
      <c r="D222" s="611" t="s">
        <v>943</v>
      </c>
      <c r="E222" s="573"/>
      <c r="F222" s="574"/>
      <c r="G222" s="574"/>
      <c r="H222" s="574"/>
      <c r="I222" s="574"/>
      <c r="J222" s="574"/>
      <c r="K222" s="575"/>
      <c r="L222" s="572"/>
      <c r="M222" s="572"/>
      <c r="N222" s="571"/>
      <c r="O222" s="571"/>
      <c r="P222" s="571"/>
      <c r="Q222" s="571"/>
      <c r="R222" s="571"/>
      <c r="S222" s="571"/>
      <c r="T222" s="571"/>
      <c r="U222" s="571"/>
      <c r="V222" s="571"/>
      <c r="W222" s="571"/>
      <c r="X222" s="571"/>
      <c r="Y222" s="571"/>
      <c r="Z222" s="571"/>
      <c r="AA222" s="571"/>
      <c r="AB222" s="572"/>
      <c r="AC222" s="572"/>
      <c r="AD222" s="572"/>
      <c r="AE222" s="572"/>
      <c r="AF222" s="572"/>
      <c r="AG222" s="572"/>
      <c r="AH222" s="572"/>
      <c r="AI222" s="572"/>
      <c r="AJ222" s="572"/>
      <c r="AK222" s="572"/>
      <c r="AL222" s="572"/>
      <c r="AM222" s="572"/>
      <c r="AN222" s="572"/>
      <c r="AO222" s="572"/>
      <c r="AP222" s="572"/>
      <c r="AQ222" s="572"/>
      <c r="AR222" s="572"/>
      <c r="AS222" s="572"/>
      <c r="AT222" s="572"/>
      <c r="AU222" s="572"/>
      <c r="AV222" s="572"/>
      <c r="AW222" s="572"/>
      <c r="AX222" s="572"/>
      <c r="AY222" s="572"/>
      <c r="AZ222" s="572"/>
      <c r="BA222" s="572"/>
      <c r="BB222" s="572"/>
      <c r="BC222" s="572"/>
      <c r="BD222" s="572"/>
      <c r="BE222" s="572"/>
      <c r="BF222" s="572"/>
      <c r="BG222" s="572"/>
      <c r="BH222" s="572"/>
      <c r="BI222" s="572"/>
      <c r="BJ222" s="572"/>
      <c r="BK222" s="572"/>
      <c r="BL222" s="572"/>
      <c r="BM222" s="572"/>
      <c r="BN222" s="572"/>
      <c r="BO222" s="572"/>
      <c r="BP222" s="572"/>
      <c r="BQ222" s="572"/>
      <c r="BR222" s="572"/>
      <c r="BS222" s="572"/>
      <c r="BT222" s="572"/>
      <c r="BU222" s="572"/>
      <c r="BV222" s="572"/>
      <c r="BW222" s="572"/>
      <c r="BX222" s="572"/>
      <c r="BY222" s="572"/>
      <c r="BZ222" s="572"/>
      <c r="CA222" s="572"/>
      <c r="CB222" s="572"/>
      <c r="CC222" s="572"/>
      <c r="CD222" s="572"/>
      <c r="CE222" s="572"/>
      <c r="CF222" s="572"/>
      <c r="CG222" s="572"/>
      <c r="CH222" s="572"/>
      <c r="CI222" s="572"/>
      <c r="CJ222" s="572"/>
      <c r="CK222" s="572"/>
      <c r="CL222" s="572"/>
      <c r="CM222" s="572"/>
      <c r="CN222" s="572"/>
      <c r="CO222" s="572"/>
      <c r="CP222" s="572"/>
      <c r="CQ222" s="572"/>
    </row>
    <row r="223" spans="1:95" x14ac:dyDescent="0.25">
      <c r="A223" s="668"/>
      <c r="B223" s="615">
        <v>573</v>
      </c>
      <c r="C223" s="616"/>
      <c r="D223" s="611" t="s">
        <v>944</v>
      </c>
      <c r="E223" s="573"/>
      <c r="F223" s="574"/>
      <c r="G223" s="574"/>
      <c r="H223" s="574"/>
      <c r="I223" s="574"/>
      <c r="J223" s="574"/>
      <c r="K223" s="575"/>
      <c r="L223" s="572"/>
      <c r="M223" s="572"/>
      <c r="N223" s="571"/>
      <c r="O223" s="571"/>
      <c r="P223" s="571"/>
      <c r="Q223" s="571"/>
      <c r="R223" s="571"/>
      <c r="S223" s="571"/>
      <c r="T223" s="571"/>
      <c r="U223" s="571"/>
      <c r="V223" s="571"/>
      <c r="W223" s="571"/>
      <c r="X223" s="571"/>
      <c r="Y223" s="571"/>
      <c r="Z223" s="571"/>
      <c r="AA223" s="571"/>
      <c r="AB223" s="572"/>
      <c r="AC223" s="572"/>
      <c r="AD223" s="572"/>
      <c r="AE223" s="572"/>
      <c r="AF223" s="572"/>
      <c r="AG223" s="572"/>
      <c r="AH223" s="572"/>
      <c r="AI223" s="572"/>
      <c r="AJ223" s="572"/>
      <c r="AK223" s="572"/>
      <c r="AL223" s="572"/>
      <c r="AM223" s="572"/>
      <c r="AN223" s="572"/>
      <c r="AO223" s="572"/>
      <c r="AP223" s="572"/>
      <c r="AQ223" s="572"/>
      <c r="AR223" s="572"/>
      <c r="AS223" s="572"/>
      <c r="AT223" s="572"/>
      <c r="AU223" s="572"/>
      <c r="AV223" s="572"/>
      <c r="AW223" s="572"/>
      <c r="AX223" s="572"/>
      <c r="AY223" s="572"/>
      <c r="AZ223" s="572"/>
      <c r="BA223" s="572"/>
      <c r="BB223" s="572"/>
      <c r="BC223" s="572"/>
      <c r="BD223" s="572"/>
      <c r="BE223" s="572"/>
      <c r="BF223" s="572"/>
      <c r="BG223" s="572"/>
      <c r="BH223" s="572"/>
      <c r="BI223" s="572"/>
      <c r="BJ223" s="572"/>
      <c r="BK223" s="572"/>
      <c r="BL223" s="572"/>
      <c r="BM223" s="572"/>
      <c r="BN223" s="572"/>
      <c r="BO223" s="572"/>
      <c r="BP223" s="572"/>
      <c r="BQ223" s="572"/>
      <c r="BR223" s="572"/>
      <c r="BS223" s="572"/>
      <c r="BT223" s="572"/>
      <c r="BU223" s="572"/>
      <c r="BV223" s="572"/>
      <c r="BW223" s="572"/>
      <c r="BX223" s="572"/>
      <c r="BY223" s="572"/>
      <c r="BZ223" s="572"/>
      <c r="CA223" s="572"/>
      <c r="CB223" s="572"/>
      <c r="CC223" s="572"/>
      <c r="CD223" s="572"/>
      <c r="CE223" s="572"/>
      <c r="CF223" s="572"/>
      <c r="CG223" s="572"/>
      <c r="CH223" s="572"/>
      <c r="CI223" s="572"/>
      <c r="CJ223" s="572"/>
      <c r="CK223" s="572"/>
      <c r="CL223" s="572"/>
      <c r="CM223" s="572"/>
      <c r="CN223" s="572"/>
      <c r="CO223" s="572"/>
      <c r="CP223" s="572"/>
      <c r="CQ223" s="572"/>
    </row>
    <row r="224" spans="1:95" x14ac:dyDescent="0.25">
      <c r="A224" s="668"/>
      <c r="B224" s="615">
        <v>574</v>
      </c>
      <c r="C224" s="616"/>
      <c r="D224" s="611" t="s">
        <v>945</v>
      </c>
      <c r="E224" s="573"/>
      <c r="F224" s="574"/>
      <c r="G224" s="574"/>
      <c r="H224" s="574"/>
      <c r="I224" s="574"/>
      <c r="J224" s="574"/>
      <c r="K224" s="575"/>
      <c r="L224" s="572"/>
      <c r="M224" s="572"/>
      <c r="N224" s="571"/>
      <c r="O224" s="571"/>
      <c r="P224" s="571"/>
      <c r="Q224" s="571"/>
      <c r="R224" s="571"/>
      <c r="S224" s="571"/>
      <c r="T224" s="571"/>
      <c r="U224" s="571"/>
      <c r="V224" s="571"/>
      <c r="W224" s="571"/>
      <c r="X224" s="571"/>
      <c r="Y224" s="571"/>
      <c r="Z224" s="571"/>
      <c r="AA224" s="571"/>
      <c r="AB224" s="572"/>
      <c r="AC224" s="572"/>
      <c r="AD224" s="572"/>
      <c r="AE224" s="572"/>
      <c r="AF224" s="572"/>
      <c r="AG224" s="572"/>
      <c r="AH224" s="572"/>
      <c r="AI224" s="572"/>
      <c r="AJ224" s="572"/>
      <c r="AK224" s="572"/>
      <c r="AL224" s="572"/>
      <c r="AM224" s="572"/>
      <c r="AN224" s="572"/>
      <c r="AO224" s="572"/>
      <c r="AP224" s="572"/>
      <c r="AQ224" s="572"/>
      <c r="AR224" s="572"/>
      <c r="AS224" s="572"/>
      <c r="AT224" s="572"/>
      <c r="AU224" s="572"/>
      <c r="AV224" s="572"/>
      <c r="AW224" s="572"/>
      <c r="AX224" s="572"/>
      <c r="AY224" s="572"/>
      <c r="AZ224" s="572"/>
      <c r="BA224" s="572"/>
      <c r="BB224" s="572"/>
      <c r="BC224" s="572"/>
      <c r="BD224" s="572"/>
      <c r="BE224" s="572"/>
      <c r="BF224" s="572"/>
      <c r="BG224" s="572"/>
      <c r="BH224" s="572"/>
      <c r="BI224" s="572"/>
      <c r="BJ224" s="572"/>
      <c r="BK224" s="572"/>
      <c r="BL224" s="572"/>
      <c r="BM224" s="572"/>
      <c r="BN224" s="572"/>
      <c r="BO224" s="572"/>
      <c r="BP224" s="572"/>
      <c r="BQ224" s="572"/>
      <c r="BR224" s="572"/>
      <c r="BS224" s="572"/>
      <c r="BT224" s="572"/>
      <c r="BU224" s="572"/>
      <c r="BV224" s="572"/>
      <c r="BW224" s="572"/>
      <c r="BX224" s="572"/>
      <c r="BY224" s="572"/>
      <c r="BZ224" s="572"/>
      <c r="CA224" s="572"/>
      <c r="CB224" s="572"/>
      <c r="CC224" s="572"/>
      <c r="CD224" s="572"/>
      <c r="CE224" s="572"/>
      <c r="CF224" s="572"/>
      <c r="CG224" s="572"/>
      <c r="CH224" s="572"/>
      <c r="CI224" s="572"/>
      <c r="CJ224" s="572"/>
      <c r="CK224" s="572"/>
      <c r="CL224" s="572"/>
      <c r="CM224" s="572"/>
      <c r="CN224" s="572"/>
      <c r="CO224" s="572"/>
      <c r="CP224" s="572"/>
      <c r="CQ224" s="572"/>
    </row>
    <row r="225" spans="1:95" x14ac:dyDescent="0.25">
      <c r="A225" s="668">
        <v>575</v>
      </c>
      <c r="B225" s="617">
        <v>575</v>
      </c>
      <c r="C225" s="617" t="s">
        <v>428</v>
      </c>
      <c r="D225" s="617" t="s">
        <v>946</v>
      </c>
      <c r="E225" s="573">
        <v>0</v>
      </c>
      <c r="F225" s="574">
        <v>0</v>
      </c>
      <c r="G225" s="574">
        <v>0</v>
      </c>
      <c r="H225" s="574">
        <v>0</v>
      </c>
      <c r="I225" s="574">
        <v>0</v>
      </c>
      <c r="J225" s="574">
        <v>126488</v>
      </c>
      <c r="K225" s="575">
        <v>1369224</v>
      </c>
      <c r="L225" s="572">
        <v>0</v>
      </c>
      <c r="M225" s="572">
        <v>0</v>
      </c>
      <c r="N225" s="571">
        <v>8074</v>
      </c>
      <c r="O225" s="571">
        <v>0</v>
      </c>
      <c r="P225" s="571">
        <v>0</v>
      </c>
      <c r="Q225" s="571">
        <v>56430</v>
      </c>
      <c r="R225" s="571">
        <v>0</v>
      </c>
      <c r="S225" s="571">
        <v>0</v>
      </c>
      <c r="T225" s="571">
        <v>0</v>
      </c>
      <c r="U225" s="571">
        <v>0</v>
      </c>
      <c r="V225" s="571">
        <v>62965</v>
      </c>
      <c r="W225" s="571">
        <v>0</v>
      </c>
      <c r="X225" s="571">
        <v>0</v>
      </c>
      <c r="Y225" s="571">
        <v>0</v>
      </c>
      <c r="Z225" s="571">
        <v>0</v>
      </c>
      <c r="AA225" s="571">
        <v>0</v>
      </c>
      <c r="AB225" s="572">
        <v>0</v>
      </c>
      <c r="AC225" s="572">
        <v>240409</v>
      </c>
      <c r="AD225" s="572">
        <v>31190</v>
      </c>
      <c r="AE225" s="572">
        <v>260437</v>
      </c>
      <c r="AF225" s="572">
        <v>0</v>
      </c>
      <c r="AG225" s="572">
        <v>0</v>
      </c>
      <c r="AH225" s="572">
        <v>0</v>
      </c>
      <c r="AI225" s="572">
        <v>0</v>
      </c>
      <c r="AJ225" s="572">
        <v>933435</v>
      </c>
      <c r="AK225" s="572">
        <v>0</v>
      </c>
      <c r="AL225" s="572">
        <v>0</v>
      </c>
      <c r="AM225" s="572">
        <v>141350</v>
      </c>
      <c r="AN225" s="572">
        <v>2397</v>
      </c>
      <c r="AO225" s="572">
        <v>0</v>
      </c>
      <c r="AP225" s="572">
        <v>0</v>
      </c>
      <c r="AQ225" s="572">
        <v>0</v>
      </c>
      <c r="AR225" s="572">
        <v>0</v>
      </c>
      <c r="AS225" s="572">
        <v>0</v>
      </c>
      <c r="AT225" s="572">
        <v>0</v>
      </c>
      <c r="AU225" s="572">
        <v>0</v>
      </c>
      <c r="AV225" s="572">
        <v>661</v>
      </c>
      <c r="AW225" s="572">
        <v>0</v>
      </c>
      <c r="AX225" s="572">
        <v>0</v>
      </c>
      <c r="AY225" s="572">
        <v>0</v>
      </c>
      <c r="AZ225" s="572">
        <v>0</v>
      </c>
      <c r="BA225" s="572">
        <v>0</v>
      </c>
      <c r="BB225" s="572">
        <v>0</v>
      </c>
      <c r="BC225" s="572">
        <v>0</v>
      </c>
      <c r="BD225" s="572">
        <v>0</v>
      </c>
      <c r="BE225" s="572">
        <v>0</v>
      </c>
      <c r="BF225" s="572">
        <v>64496</v>
      </c>
      <c r="BG225" s="572">
        <v>63235</v>
      </c>
      <c r="BH225" s="572">
        <v>0</v>
      </c>
      <c r="BI225" s="572">
        <v>0</v>
      </c>
      <c r="BJ225" s="572">
        <v>0</v>
      </c>
      <c r="BK225" s="572">
        <v>0</v>
      </c>
      <c r="BL225" s="572">
        <v>0</v>
      </c>
      <c r="BM225" s="572">
        <v>0</v>
      </c>
      <c r="BN225" s="572">
        <v>0</v>
      </c>
      <c r="BO225" s="572">
        <v>0</v>
      </c>
      <c r="BP225" s="572">
        <v>0</v>
      </c>
      <c r="BQ225" s="572">
        <v>0</v>
      </c>
      <c r="BR225" s="572">
        <v>0</v>
      </c>
      <c r="BS225" s="572">
        <v>0</v>
      </c>
      <c r="BT225" s="572">
        <v>0</v>
      </c>
      <c r="BU225" s="572">
        <v>0</v>
      </c>
      <c r="BV225" s="572">
        <v>0</v>
      </c>
      <c r="BW225" s="572">
        <v>0</v>
      </c>
      <c r="BX225" s="572">
        <v>0</v>
      </c>
      <c r="BY225" s="572">
        <v>11239</v>
      </c>
      <c r="BZ225" s="572">
        <v>0</v>
      </c>
      <c r="CA225" s="572">
        <v>0</v>
      </c>
      <c r="CB225" s="572">
        <v>120525</v>
      </c>
      <c r="CC225" s="572">
        <v>1314305</v>
      </c>
      <c r="CD225" s="572">
        <v>0</v>
      </c>
      <c r="CE225" s="572">
        <v>639766</v>
      </c>
      <c r="CF225" s="572">
        <v>0</v>
      </c>
      <c r="CG225" s="572">
        <v>0</v>
      </c>
      <c r="CH225" s="572">
        <v>0</v>
      </c>
      <c r="CI225" s="572">
        <v>0</v>
      </c>
      <c r="CJ225" s="572">
        <v>133753</v>
      </c>
      <c r="CK225" s="572">
        <v>0</v>
      </c>
      <c r="CL225" s="572">
        <v>0</v>
      </c>
      <c r="CM225" s="572">
        <v>0</v>
      </c>
      <c r="CN225" s="572">
        <v>0</v>
      </c>
      <c r="CO225" s="572">
        <v>0</v>
      </c>
      <c r="CP225" s="572">
        <v>0</v>
      </c>
      <c r="CQ225" s="572">
        <v>28620</v>
      </c>
    </row>
    <row r="226" spans="1:95" s="678" customFormat="1" x14ac:dyDescent="0.25">
      <c r="A226" s="680">
        <v>576</v>
      </c>
      <c r="B226" s="681">
        <v>576</v>
      </c>
      <c r="C226" s="681" t="s">
        <v>429</v>
      </c>
      <c r="D226" s="681" t="s">
        <v>947</v>
      </c>
      <c r="E226" s="682">
        <v>0</v>
      </c>
      <c r="F226" s="683">
        <v>0</v>
      </c>
      <c r="G226" s="683">
        <v>0</v>
      </c>
      <c r="H226" s="683">
        <v>90542</v>
      </c>
      <c r="I226" s="683">
        <v>0</v>
      </c>
      <c r="J226" s="683">
        <v>0</v>
      </c>
      <c r="K226" s="684">
        <v>0</v>
      </c>
      <c r="L226" s="685">
        <v>0</v>
      </c>
      <c r="M226" s="685">
        <v>0</v>
      </c>
      <c r="N226" s="686">
        <v>0</v>
      </c>
      <c r="O226" s="686">
        <v>0</v>
      </c>
      <c r="P226" s="686">
        <v>0</v>
      </c>
      <c r="Q226" s="686">
        <v>0</v>
      </c>
      <c r="R226" s="686">
        <v>0</v>
      </c>
      <c r="S226" s="686">
        <v>0</v>
      </c>
      <c r="T226" s="686">
        <v>0</v>
      </c>
      <c r="U226" s="686">
        <v>0</v>
      </c>
      <c r="V226" s="686">
        <v>0</v>
      </c>
      <c r="W226" s="686">
        <v>0</v>
      </c>
      <c r="X226" s="686">
        <v>0</v>
      </c>
      <c r="Y226" s="686">
        <v>0</v>
      </c>
      <c r="Z226" s="686">
        <v>0</v>
      </c>
      <c r="AA226" s="686">
        <v>0</v>
      </c>
      <c r="AB226" s="685">
        <v>0</v>
      </c>
      <c r="AC226" s="685">
        <v>0</v>
      </c>
      <c r="AD226" s="685">
        <v>0</v>
      </c>
      <c r="AE226" s="685">
        <v>0</v>
      </c>
      <c r="AF226" s="685">
        <v>0</v>
      </c>
      <c r="AG226" s="685">
        <v>0</v>
      </c>
      <c r="AH226" s="685">
        <v>0</v>
      </c>
      <c r="AI226" s="685">
        <v>0</v>
      </c>
      <c r="AJ226" s="685">
        <v>0</v>
      </c>
      <c r="AK226" s="685">
        <v>0</v>
      </c>
      <c r="AL226" s="685">
        <v>0</v>
      </c>
      <c r="AM226" s="685">
        <v>0</v>
      </c>
      <c r="AN226" s="685">
        <v>0</v>
      </c>
      <c r="AO226" s="685">
        <v>0</v>
      </c>
      <c r="AP226" s="685">
        <v>0</v>
      </c>
      <c r="AQ226" s="685">
        <v>0</v>
      </c>
      <c r="AR226" s="685">
        <v>0</v>
      </c>
      <c r="AS226" s="685">
        <v>0</v>
      </c>
      <c r="AT226" s="685">
        <v>0</v>
      </c>
      <c r="AU226" s="685">
        <v>0</v>
      </c>
      <c r="AV226" s="685">
        <v>0</v>
      </c>
      <c r="AW226" s="685">
        <v>0</v>
      </c>
      <c r="AX226" s="685">
        <v>0</v>
      </c>
      <c r="AY226" s="685">
        <v>0</v>
      </c>
      <c r="AZ226" s="685">
        <v>5000</v>
      </c>
      <c r="BA226" s="685">
        <v>0</v>
      </c>
      <c r="BB226" s="685">
        <v>0</v>
      </c>
      <c r="BC226" s="685">
        <v>0</v>
      </c>
      <c r="BD226" s="685">
        <v>0</v>
      </c>
      <c r="BE226" s="685">
        <v>3245</v>
      </c>
      <c r="BF226" s="685">
        <v>0</v>
      </c>
      <c r="BG226" s="685">
        <v>0</v>
      </c>
      <c r="BH226" s="685">
        <v>0</v>
      </c>
      <c r="BI226" s="685">
        <v>0</v>
      </c>
      <c r="BJ226" s="685">
        <v>0</v>
      </c>
      <c r="BK226" s="685">
        <v>0</v>
      </c>
      <c r="BL226" s="685">
        <v>228577</v>
      </c>
      <c r="BM226" s="685">
        <v>0</v>
      </c>
      <c r="BN226" s="685">
        <v>0</v>
      </c>
      <c r="BO226" s="685">
        <v>0</v>
      </c>
      <c r="BP226" s="685">
        <v>0</v>
      </c>
      <c r="BQ226" s="685">
        <v>0</v>
      </c>
      <c r="BR226" s="685">
        <v>0</v>
      </c>
      <c r="BS226" s="685">
        <v>0</v>
      </c>
      <c r="BT226" s="685">
        <v>0</v>
      </c>
      <c r="BU226" s="685">
        <v>0</v>
      </c>
      <c r="BV226" s="685">
        <v>0</v>
      </c>
      <c r="BW226" s="685">
        <v>0</v>
      </c>
      <c r="BX226" s="685">
        <v>1007</v>
      </c>
      <c r="BY226" s="685">
        <v>0</v>
      </c>
      <c r="BZ226" s="685">
        <v>0</v>
      </c>
      <c r="CA226" s="685">
        <v>22614</v>
      </c>
      <c r="CB226" s="685">
        <v>0</v>
      </c>
      <c r="CC226" s="685">
        <v>0</v>
      </c>
      <c r="CD226" s="685">
        <v>0</v>
      </c>
      <c r="CE226" s="685">
        <v>0</v>
      </c>
      <c r="CF226" s="685">
        <v>0</v>
      </c>
      <c r="CG226" s="685">
        <v>0</v>
      </c>
      <c r="CH226" s="685">
        <v>0</v>
      </c>
      <c r="CI226" s="685">
        <v>3985406</v>
      </c>
      <c r="CJ226" s="685">
        <v>0</v>
      </c>
      <c r="CK226" s="685">
        <v>0</v>
      </c>
      <c r="CL226" s="685">
        <v>0</v>
      </c>
      <c r="CM226" s="685">
        <v>0</v>
      </c>
      <c r="CN226" s="685">
        <v>0</v>
      </c>
      <c r="CO226" s="685">
        <v>0</v>
      </c>
      <c r="CP226" s="685">
        <v>0</v>
      </c>
      <c r="CQ226" s="685">
        <v>0</v>
      </c>
    </row>
    <row r="227" spans="1:95" x14ac:dyDescent="0.25">
      <c r="A227" s="665">
        <v>577</v>
      </c>
      <c r="B227" s="626">
        <v>577</v>
      </c>
      <c r="C227" s="626" t="s">
        <v>948</v>
      </c>
      <c r="D227" s="626" t="s">
        <v>949</v>
      </c>
      <c r="E227" s="640">
        <v>2</v>
      </c>
      <c r="F227" s="642">
        <v>2</v>
      </c>
      <c r="G227" s="642">
        <v>0</v>
      </c>
      <c r="H227" s="642">
        <v>0</v>
      </c>
      <c r="I227" s="642">
        <v>2</v>
      </c>
      <c r="J227" s="642">
        <v>2</v>
      </c>
      <c r="K227" s="637">
        <v>2</v>
      </c>
      <c r="L227" s="638">
        <v>2</v>
      </c>
      <c r="M227" s="638">
        <v>2</v>
      </c>
      <c r="N227" s="623">
        <v>0</v>
      </c>
      <c r="O227" s="623">
        <v>2</v>
      </c>
      <c r="P227" s="623">
        <v>2</v>
      </c>
      <c r="Q227" s="623">
        <v>2</v>
      </c>
      <c r="R227" s="623">
        <v>2</v>
      </c>
      <c r="S227" s="623">
        <v>2</v>
      </c>
      <c r="T227" s="623">
        <v>2</v>
      </c>
      <c r="U227" s="623">
        <v>0</v>
      </c>
      <c r="V227" s="623">
        <v>2</v>
      </c>
      <c r="W227" s="623">
        <v>0</v>
      </c>
      <c r="X227" s="623">
        <v>2</v>
      </c>
      <c r="Y227" s="623">
        <v>2</v>
      </c>
      <c r="Z227" s="623">
        <v>2</v>
      </c>
      <c r="AA227" s="623">
        <v>2</v>
      </c>
      <c r="AB227" s="638">
        <v>2</v>
      </c>
      <c r="AC227" s="638">
        <v>1</v>
      </c>
      <c r="AD227" s="638">
        <v>2</v>
      </c>
      <c r="AE227" s="638">
        <v>2</v>
      </c>
      <c r="AF227" s="638">
        <v>2</v>
      </c>
      <c r="AG227" s="638">
        <v>2</v>
      </c>
      <c r="AH227" s="638">
        <v>2</v>
      </c>
      <c r="AI227" s="638">
        <v>2</v>
      </c>
      <c r="AJ227" s="638">
        <v>2</v>
      </c>
      <c r="AK227" s="638">
        <v>2</v>
      </c>
      <c r="AL227" s="638">
        <v>0</v>
      </c>
      <c r="AM227" s="638">
        <v>2</v>
      </c>
      <c r="AN227" s="638">
        <v>2</v>
      </c>
      <c r="AO227" s="638">
        <v>2</v>
      </c>
      <c r="AP227" s="638">
        <v>2</v>
      </c>
      <c r="AQ227" s="638">
        <v>0</v>
      </c>
      <c r="AR227" s="638">
        <v>2</v>
      </c>
      <c r="AS227" s="638">
        <v>2</v>
      </c>
      <c r="AT227" s="638">
        <v>2</v>
      </c>
      <c r="AU227" s="638">
        <v>2</v>
      </c>
      <c r="AV227" s="638">
        <v>2</v>
      </c>
      <c r="AW227" s="638">
        <v>2</v>
      </c>
      <c r="AX227" s="638">
        <v>2</v>
      </c>
      <c r="AY227" s="638">
        <v>2</v>
      </c>
      <c r="AZ227" s="638">
        <v>2</v>
      </c>
      <c r="BA227" s="638">
        <v>2</v>
      </c>
      <c r="BB227" s="638">
        <v>2</v>
      </c>
      <c r="BC227" s="638">
        <v>2</v>
      </c>
      <c r="BD227" s="638">
        <v>1</v>
      </c>
      <c r="BE227" s="638">
        <v>0</v>
      </c>
      <c r="BF227" s="638">
        <v>2</v>
      </c>
      <c r="BG227" s="638">
        <v>2</v>
      </c>
      <c r="BH227" s="638">
        <v>2</v>
      </c>
      <c r="BI227" s="638">
        <v>2</v>
      </c>
      <c r="BJ227" s="638">
        <v>2</v>
      </c>
      <c r="BK227" s="638">
        <v>2</v>
      </c>
      <c r="BL227" s="638">
        <v>2</v>
      </c>
      <c r="BM227" s="638">
        <v>0</v>
      </c>
      <c r="BN227" s="638">
        <v>2</v>
      </c>
      <c r="BO227" s="638">
        <v>2</v>
      </c>
      <c r="BP227" s="638">
        <v>0</v>
      </c>
      <c r="BQ227" s="638">
        <v>2</v>
      </c>
      <c r="BR227" s="638">
        <v>2</v>
      </c>
      <c r="BS227" s="638">
        <v>0</v>
      </c>
      <c r="BT227" s="638">
        <v>2</v>
      </c>
      <c r="BU227" s="638">
        <v>2</v>
      </c>
      <c r="BV227" s="638">
        <v>2</v>
      </c>
      <c r="BW227" s="638">
        <v>2</v>
      </c>
      <c r="BX227" s="638">
        <v>2</v>
      </c>
      <c r="BY227" s="638">
        <v>0</v>
      </c>
      <c r="BZ227" s="638">
        <v>0</v>
      </c>
      <c r="CA227" s="638">
        <v>2</v>
      </c>
      <c r="CB227" s="638">
        <v>2</v>
      </c>
      <c r="CC227" s="638">
        <v>2</v>
      </c>
      <c r="CD227" s="638">
        <v>2</v>
      </c>
      <c r="CE227" s="638">
        <v>2</v>
      </c>
      <c r="CF227" s="638">
        <v>0</v>
      </c>
      <c r="CG227" s="638">
        <v>1</v>
      </c>
      <c r="CH227" s="638">
        <v>1</v>
      </c>
      <c r="CI227" s="638">
        <v>2</v>
      </c>
      <c r="CJ227" s="638">
        <v>2</v>
      </c>
      <c r="CK227" s="638">
        <v>2</v>
      </c>
      <c r="CL227" s="638">
        <v>2</v>
      </c>
      <c r="CM227" s="638">
        <v>2</v>
      </c>
      <c r="CN227" s="638">
        <v>2</v>
      </c>
      <c r="CO227" s="638">
        <v>2</v>
      </c>
      <c r="CP227" s="638">
        <v>0</v>
      </c>
      <c r="CQ227" s="638">
        <v>2</v>
      </c>
    </row>
    <row r="228" spans="1:95" x14ac:dyDescent="0.25">
      <c r="A228" s="668">
        <v>578</v>
      </c>
      <c r="B228" s="617">
        <v>578</v>
      </c>
      <c r="C228" s="617" t="s">
        <v>950</v>
      </c>
      <c r="D228" s="617" t="s">
        <v>951</v>
      </c>
      <c r="E228" s="573">
        <v>0</v>
      </c>
      <c r="F228" s="574">
        <v>0</v>
      </c>
      <c r="G228" s="574">
        <v>0</v>
      </c>
      <c r="H228" s="574">
        <v>0</v>
      </c>
      <c r="I228" s="574">
        <v>0</v>
      </c>
      <c r="J228" s="574">
        <v>0</v>
      </c>
      <c r="K228" s="575">
        <v>0</v>
      </c>
      <c r="L228" s="572">
        <v>0</v>
      </c>
      <c r="M228" s="572">
        <v>0</v>
      </c>
      <c r="N228" s="571">
        <v>0</v>
      </c>
      <c r="O228" s="571">
        <v>0</v>
      </c>
      <c r="P228" s="571">
        <v>0</v>
      </c>
      <c r="Q228" s="571">
        <v>56430</v>
      </c>
      <c r="R228" s="571">
        <v>0</v>
      </c>
      <c r="S228" s="571">
        <v>0</v>
      </c>
      <c r="T228" s="571">
        <v>0</v>
      </c>
      <c r="U228" s="571">
        <v>0</v>
      </c>
      <c r="V228" s="571">
        <v>0</v>
      </c>
      <c r="W228" s="571">
        <v>0</v>
      </c>
      <c r="X228" s="571">
        <v>0</v>
      </c>
      <c r="Y228" s="571">
        <v>0</v>
      </c>
      <c r="Z228" s="571">
        <v>0</v>
      </c>
      <c r="AA228" s="571">
        <v>0</v>
      </c>
      <c r="AB228" s="572">
        <v>0</v>
      </c>
      <c r="AC228" s="572">
        <v>0</v>
      </c>
      <c r="AD228" s="572">
        <v>0</v>
      </c>
      <c r="AE228" s="572">
        <v>0</v>
      </c>
      <c r="AF228" s="572">
        <v>0</v>
      </c>
      <c r="AG228" s="572">
        <v>0</v>
      </c>
      <c r="AH228" s="572">
        <v>0</v>
      </c>
      <c r="AI228" s="572">
        <v>0</v>
      </c>
      <c r="AJ228" s="572">
        <v>0</v>
      </c>
      <c r="AK228" s="572">
        <v>0</v>
      </c>
      <c r="AL228" s="572">
        <v>0</v>
      </c>
      <c r="AM228" s="572">
        <v>0</v>
      </c>
      <c r="AN228" s="572">
        <v>0</v>
      </c>
      <c r="AO228" s="572">
        <v>0</v>
      </c>
      <c r="AP228" s="572">
        <v>0</v>
      </c>
      <c r="AQ228" s="572">
        <v>0</v>
      </c>
      <c r="AR228" s="572">
        <v>0</v>
      </c>
      <c r="AS228" s="572">
        <v>0</v>
      </c>
      <c r="AT228" s="572">
        <v>0</v>
      </c>
      <c r="AU228" s="572">
        <v>0</v>
      </c>
      <c r="AV228" s="572">
        <v>0</v>
      </c>
      <c r="AW228" s="572">
        <v>0</v>
      </c>
      <c r="AX228" s="572">
        <v>0</v>
      </c>
      <c r="AY228" s="572">
        <v>0</v>
      </c>
      <c r="AZ228" s="572">
        <v>0</v>
      </c>
      <c r="BA228" s="572">
        <v>0</v>
      </c>
      <c r="BB228" s="572">
        <v>0</v>
      </c>
      <c r="BC228" s="572">
        <v>0</v>
      </c>
      <c r="BD228" s="572">
        <v>0</v>
      </c>
      <c r="BE228" s="572">
        <v>93290</v>
      </c>
      <c r="BF228" s="572">
        <v>0</v>
      </c>
      <c r="BG228" s="572">
        <v>0</v>
      </c>
      <c r="BH228" s="572">
        <v>0</v>
      </c>
      <c r="BI228" s="572">
        <v>0</v>
      </c>
      <c r="BJ228" s="572">
        <v>0</v>
      </c>
      <c r="BK228" s="572">
        <v>0</v>
      </c>
      <c r="BL228" s="572">
        <v>0</v>
      </c>
      <c r="BM228" s="572">
        <v>0</v>
      </c>
      <c r="BN228" s="572">
        <v>0</v>
      </c>
      <c r="BO228" s="572">
        <v>0</v>
      </c>
      <c r="BP228" s="572">
        <v>0</v>
      </c>
      <c r="BQ228" s="572">
        <v>0</v>
      </c>
      <c r="BR228" s="572">
        <v>0</v>
      </c>
      <c r="BS228" s="572">
        <v>0</v>
      </c>
      <c r="BT228" s="572">
        <v>0</v>
      </c>
      <c r="BU228" s="572">
        <v>0</v>
      </c>
      <c r="BV228" s="572">
        <v>0</v>
      </c>
      <c r="BW228" s="572">
        <v>0</v>
      </c>
      <c r="BX228" s="572">
        <v>0</v>
      </c>
      <c r="BY228" s="572">
        <v>0</v>
      </c>
      <c r="BZ228" s="572">
        <v>0</v>
      </c>
      <c r="CA228" s="572">
        <v>0</v>
      </c>
      <c r="CB228" s="572">
        <v>0</v>
      </c>
      <c r="CC228" s="572">
        <v>0</v>
      </c>
      <c r="CD228" s="572">
        <v>0</v>
      </c>
      <c r="CE228" s="572">
        <v>0</v>
      </c>
      <c r="CF228" s="572">
        <v>0</v>
      </c>
      <c r="CG228" s="572">
        <v>0</v>
      </c>
      <c r="CH228" s="572">
        <v>0</v>
      </c>
      <c r="CI228" s="572">
        <v>0</v>
      </c>
      <c r="CJ228" s="572">
        <v>0</v>
      </c>
      <c r="CK228" s="572">
        <v>0</v>
      </c>
      <c r="CL228" s="572">
        <v>0</v>
      </c>
      <c r="CM228" s="572">
        <v>0</v>
      </c>
      <c r="CN228" s="572">
        <v>0</v>
      </c>
      <c r="CO228" s="572">
        <v>0</v>
      </c>
      <c r="CP228" s="572">
        <v>0</v>
      </c>
      <c r="CQ228" s="572">
        <v>0</v>
      </c>
    </row>
    <row r="229" spans="1:95" x14ac:dyDescent="0.25">
      <c r="A229" s="668">
        <v>579</v>
      </c>
      <c r="B229" s="617">
        <v>579</v>
      </c>
      <c r="C229" s="617" t="s">
        <v>952</v>
      </c>
      <c r="D229" s="617" t="s">
        <v>953</v>
      </c>
      <c r="E229" s="573">
        <v>0</v>
      </c>
      <c r="F229" s="574">
        <v>0</v>
      </c>
      <c r="G229" s="574">
        <v>0</v>
      </c>
      <c r="H229" s="574">
        <v>0</v>
      </c>
      <c r="I229" s="574">
        <v>0</v>
      </c>
      <c r="J229" s="574">
        <v>0</v>
      </c>
      <c r="K229" s="575">
        <v>0</v>
      </c>
      <c r="L229" s="572">
        <v>0</v>
      </c>
      <c r="M229" s="572">
        <v>0</v>
      </c>
      <c r="N229" s="571">
        <v>0</v>
      </c>
      <c r="O229" s="571">
        <v>0</v>
      </c>
      <c r="P229" s="571">
        <v>0</v>
      </c>
      <c r="Q229" s="571">
        <v>0</v>
      </c>
      <c r="R229" s="571">
        <v>0</v>
      </c>
      <c r="S229" s="571">
        <v>0</v>
      </c>
      <c r="T229" s="571">
        <v>0</v>
      </c>
      <c r="U229" s="571">
        <v>0</v>
      </c>
      <c r="V229" s="571">
        <v>0</v>
      </c>
      <c r="W229" s="571">
        <v>0</v>
      </c>
      <c r="X229" s="571">
        <v>0</v>
      </c>
      <c r="Y229" s="571">
        <v>0</v>
      </c>
      <c r="Z229" s="571">
        <v>0</v>
      </c>
      <c r="AA229" s="571">
        <v>0</v>
      </c>
      <c r="AB229" s="572">
        <v>0</v>
      </c>
      <c r="AC229" s="572">
        <v>0</v>
      </c>
      <c r="AD229" s="572">
        <v>0</v>
      </c>
      <c r="AE229" s="572">
        <v>0</v>
      </c>
      <c r="AF229" s="572">
        <v>0</v>
      </c>
      <c r="AG229" s="572">
        <v>0</v>
      </c>
      <c r="AH229" s="572">
        <v>0</v>
      </c>
      <c r="AI229" s="572">
        <v>0</v>
      </c>
      <c r="AJ229" s="572">
        <v>0</v>
      </c>
      <c r="AK229" s="572">
        <v>0</v>
      </c>
      <c r="AL229" s="572">
        <v>0</v>
      </c>
      <c r="AM229" s="572">
        <v>0</v>
      </c>
      <c r="AN229" s="572">
        <v>0</v>
      </c>
      <c r="AO229" s="572">
        <v>0</v>
      </c>
      <c r="AP229" s="572">
        <v>0</v>
      </c>
      <c r="AQ229" s="572">
        <v>0</v>
      </c>
      <c r="AR229" s="572">
        <v>0</v>
      </c>
      <c r="AS229" s="572">
        <v>0</v>
      </c>
      <c r="AT229" s="572">
        <v>0</v>
      </c>
      <c r="AU229" s="572">
        <v>0</v>
      </c>
      <c r="AV229" s="572">
        <v>0</v>
      </c>
      <c r="AW229" s="572">
        <v>0</v>
      </c>
      <c r="AX229" s="572">
        <v>0</v>
      </c>
      <c r="AY229" s="572">
        <v>0</v>
      </c>
      <c r="AZ229" s="572">
        <v>0</v>
      </c>
      <c r="BA229" s="572">
        <v>0</v>
      </c>
      <c r="BB229" s="572">
        <v>0</v>
      </c>
      <c r="BC229" s="572">
        <v>0</v>
      </c>
      <c r="BD229" s="572">
        <v>0</v>
      </c>
      <c r="BE229" s="572">
        <v>0</v>
      </c>
      <c r="BF229" s="572">
        <v>0</v>
      </c>
      <c r="BG229" s="572">
        <v>0</v>
      </c>
      <c r="BH229" s="572">
        <v>0</v>
      </c>
      <c r="BI229" s="572">
        <v>0</v>
      </c>
      <c r="BJ229" s="572">
        <v>0</v>
      </c>
      <c r="BK229" s="572">
        <v>0</v>
      </c>
      <c r="BL229" s="572">
        <v>0</v>
      </c>
      <c r="BM229" s="572">
        <v>0</v>
      </c>
      <c r="BN229" s="572">
        <v>0</v>
      </c>
      <c r="BO229" s="572">
        <v>0</v>
      </c>
      <c r="BP229" s="572">
        <v>0</v>
      </c>
      <c r="BQ229" s="572">
        <v>0</v>
      </c>
      <c r="BR229" s="572">
        <v>0</v>
      </c>
      <c r="BS229" s="572">
        <v>0</v>
      </c>
      <c r="BT229" s="572">
        <v>0</v>
      </c>
      <c r="BU229" s="572">
        <v>0</v>
      </c>
      <c r="BV229" s="572">
        <v>0</v>
      </c>
      <c r="BW229" s="572">
        <v>0</v>
      </c>
      <c r="BX229" s="572">
        <v>0</v>
      </c>
      <c r="BY229" s="572">
        <v>0</v>
      </c>
      <c r="BZ229" s="572">
        <v>0</v>
      </c>
      <c r="CA229" s="572">
        <v>158288</v>
      </c>
      <c r="CB229" s="572">
        <v>0</v>
      </c>
      <c r="CC229" s="572">
        <v>0</v>
      </c>
      <c r="CD229" s="572">
        <v>0</v>
      </c>
      <c r="CE229" s="572">
        <v>0</v>
      </c>
      <c r="CF229" s="572">
        <v>0</v>
      </c>
      <c r="CG229" s="572">
        <v>0</v>
      </c>
      <c r="CH229" s="572">
        <v>0</v>
      </c>
      <c r="CI229" s="572">
        <v>0</v>
      </c>
      <c r="CJ229" s="572">
        <v>0</v>
      </c>
      <c r="CK229" s="572">
        <v>0</v>
      </c>
      <c r="CL229" s="572">
        <v>0</v>
      </c>
      <c r="CM229" s="572">
        <v>0</v>
      </c>
      <c r="CN229" s="572">
        <v>0</v>
      </c>
      <c r="CO229" s="572">
        <v>0</v>
      </c>
      <c r="CP229" s="572">
        <v>0</v>
      </c>
      <c r="CQ229" s="572">
        <v>0</v>
      </c>
    </row>
    <row r="230" spans="1:95" x14ac:dyDescent="0.25">
      <c r="A230" s="671">
        <v>580</v>
      </c>
      <c r="B230" s="617">
        <v>580</v>
      </c>
      <c r="C230" s="617" t="s">
        <v>954</v>
      </c>
      <c r="D230" s="617" t="s">
        <v>955</v>
      </c>
      <c r="E230" s="573">
        <v>0</v>
      </c>
      <c r="F230" s="574">
        <v>0</v>
      </c>
      <c r="G230" s="574">
        <v>0</v>
      </c>
      <c r="H230" s="574">
        <v>0</v>
      </c>
      <c r="I230" s="574">
        <v>0</v>
      </c>
      <c r="J230" s="574">
        <v>0</v>
      </c>
      <c r="K230" s="575">
        <v>0</v>
      </c>
      <c r="L230" s="572">
        <v>0</v>
      </c>
      <c r="M230" s="572">
        <v>0</v>
      </c>
      <c r="N230" s="571">
        <v>0</v>
      </c>
      <c r="O230" s="571">
        <v>0</v>
      </c>
      <c r="P230" s="571">
        <v>0</v>
      </c>
      <c r="Q230" s="571">
        <v>0</v>
      </c>
      <c r="R230" s="571">
        <v>0</v>
      </c>
      <c r="S230" s="571">
        <v>0</v>
      </c>
      <c r="T230" s="571">
        <v>0</v>
      </c>
      <c r="U230" s="571">
        <v>0</v>
      </c>
      <c r="V230" s="571">
        <v>0</v>
      </c>
      <c r="W230" s="571">
        <v>0</v>
      </c>
      <c r="X230" s="571">
        <v>0</v>
      </c>
      <c r="Y230" s="571">
        <v>0</v>
      </c>
      <c r="Z230" s="571">
        <v>0</v>
      </c>
      <c r="AA230" s="571">
        <v>0</v>
      </c>
      <c r="AB230" s="572">
        <v>0</v>
      </c>
      <c r="AC230" s="572">
        <v>0</v>
      </c>
      <c r="AD230" s="572">
        <v>0</v>
      </c>
      <c r="AE230" s="572">
        <v>0</v>
      </c>
      <c r="AF230" s="572">
        <v>0</v>
      </c>
      <c r="AG230" s="572">
        <v>0</v>
      </c>
      <c r="AH230" s="572">
        <v>0</v>
      </c>
      <c r="AI230" s="572">
        <v>0</v>
      </c>
      <c r="AJ230" s="572">
        <v>0</v>
      </c>
      <c r="AK230" s="572">
        <v>0</v>
      </c>
      <c r="AL230" s="572">
        <v>0</v>
      </c>
      <c r="AM230" s="572">
        <v>0</v>
      </c>
      <c r="AN230" s="572">
        <v>0</v>
      </c>
      <c r="AO230" s="572">
        <v>0</v>
      </c>
      <c r="AP230" s="572">
        <v>0</v>
      </c>
      <c r="AQ230" s="572">
        <v>0</v>
      </c>
      <c r="AR230" s="572">
        <v>0</v>
      </c>
      <c r="AS230" s="572">
        <v>0</v>
      </c>
      <c r="AT230" s="572">
        <v>0</v>
      </c>
      <c r="AU230" s="572">
        <v>0</v>
      </c>
      <c r="AV230" s="572">
        <v>0</v>
      </c>
      <c r="AW230" s="572">
        <v>0</v>
      </c>
      <c r="AX230" s="572">
        <v>0</v>
      </c>
      <c r="AY230" s="572">
        <v>0</v>
      </c>
      <c r="AZ230" s="572">
        <v>0</v>
      </c>
      <c r="BA230" s="572">
        <v>0</v>
      </c>
      <c r="BB230" s="572">
        <v>0</v>
      </c>
      <c r="BC230" s="572">
        <v>0</v>
      </c>
      <c r="BD230" s="572">
        <v>0</v>
      </c>
      <c r="BE230" s="572">
        <v>0</v>
      </c>
      <c r="BF230" s="572">
        <v>0</v>
      </c>
      <c r="BG230" s="572">
        <v>0</v>
      </c>
      <c r="BH230" s="572">
        <v>0</v>
      </c>
      <c r="BI230" s="572">
        <v>0</v>
      </c>
      <c r="BJ230" s="572">
        <v>0</v>
      </c>
      <c r="BK230" s="572">
        <v>0</v>
      </c>
      <c r="BL230" s="572">
        <v>0</v>
      </c>
      <c r="BM230" s="572">
        <v>0</v>
      </c>
      <c r="BN230" s="572">
        <v>0</v>
      </c>
      <c r="BO230" s="572">
        <v>0</v>
      </c>
      <c r="BP230" s="572">
        <v>0</v>
      </c>
      <c r="BQ230" s="572">
        <v>0</v>
      </c>
      <c r="BR230" s="572">
        <v>0</v>
      </c>
      <c r="BS230" s="572">
        <v>0</v>
      </c>
      <c r="BT230" s="572">
        <v>0</v>
      </c>
      <c r="BU230" s="572">
        <v>0</v>
      </c>
      <c r="BV230" s="572">
        <v>0</v>
      </c>
      <c r="BW230" s="572">
        <v>0</v>
      </c>
      <c r="BX230" s="572">
        <v>0</v>
      </c>
      <c r="BY230" s="572">
        <v>0</v>
      </c>
      <c r="BZ230" s="572">
        <v>0</v>
      </c>
      <c r="CA230" s="572">
        <v>0</v>
      </c>
      <c r="CB230" s="572">
        <v>0</v>
      </c>
      <c r="CC230" s="572">
        <v>0</v>
      </c>
      <c r="CD230" s="572">
        <v>0</v>
      </c>
      <c r="CE230" s="572">
        <v>0</v>
      </c>
      <c r="CF230" s="572">
        <v>0</v>
      </c>
      <c r="CG230" s="572">
        <v>0</v>
      </c>
      <c r="CH230" s="572">
        <v>0</v>
      </c>
      <c r="CI230" s="572">
        <v>0</v>
      </c>
      <c r="CJ230" s="572">
        <v>0</v>
      </c>
      <c r="CK230" s="572">
        <v>0</v>
      </c>
      <c r="CL230" s="572">
        <v>0</v>
      </c>
      <c r="CM230" s="572">
        <v>0</v>
      </c>
      <c r="CN230" s="572">
        <v>0</v>
      </c>
      <c r="CO230" s="572">
        <v>0</v>
      </c>
      <c r="CP230" s="572">
        <v>0</v>
      </c>
      <c r="CQ230" s="572">
        <v>0</v>
      </c>
    </row>
    <row r="231" spans="1:95" x14ac:dyDescent="0.25">
      <c r="A231" s="567">
        <v>581</v>
      </c>
      <c r="B231" s="617">
        <v>581</v>
      </c>
      <c r="C231" s="617" t="s">
        <v>956</v>
      </c>
      <c r="D231" s="617" t="s">
        <v>957</v>
      </c>
      <c r="E231" s="573">
        <v>0</v>
      </c>
      <c r="F231" s="574">
        <v>0</v>
      </c>
      <c r="G231" s="574">
        <v>0</v>
      </c>
      <c r="H231" s="574">
        <v>0</v>
      </c>
      <c r="I231" s="574">
        <v>0</v>
      </c>
      <c r="J231" s="574">
        <v>0</v>
      </c>
      <c r="K231" s="575">
        <v>0</v>
      </c>
      <c r="L231" s="572">
        <v>0</v>
      </c>
      <c r="M231" s="572">
        <v>0</v>
      </c>
      <c r="N231" s="571">
        <v>0</v>
      </c>
      <c r="O231" s="571">
        <v>0</v>
      </c>
      <c r="P231" s="571">
        <v>0</v>
      </c>
      <c r="Q231" s="571">
        <v>0</v>
      </c>
      <c r="R231" s="571">
        <v>0</v>
      </c>
      <c r="S231" s="571">
        <v>0</v>
      </c>
      <c r="T231" s="571">
        <v>0</v>
      </c>
      <c r="U231" s="571">
        <v>0</v>
      </c>
      <c r="V231" s="571">
        <v>0</v>
      </c>
      <c r="W231" s="571">
        <v>0</v>
      </c>
      <c r="X231" s="571">
        <v>0</v>
      </c>
      <c r="Y231" s="571">
        <v>0</v>
      </c>
      <c r="Z231" s="571">
        <v>0</v>
      </c>
      <c r="AA231" s="571">
        <v>0</v>
      </c>
      <c r="AB231" s="572">
        <v>0</v>
      </c>
      <c r="AC231" s="572">
        <v>0</v>
      </c>
      <c r="AD231" s="572">
        <v>0</v>
      </c>
      <c r="AE231" s="572">
        <v>0</v>
      </c>
      <c r="AF231" s="572">
        <v>0</v>
      </c>
      <c r="AG231" s="572">
        <v>0</v>
      </c>
      <c r="AH231" s="572">
        <v>0</v>
      </c>
      <c r="AI231" s="572">
        <v>0</v>
      </c>
      <c r="AJ231" s="572">
        <v>0</v>
      </c>
      <c r="AK231" s="572">
        <v>0</v>
      </c>
      <c r="AL231" s="572">
        <v>0</v>
      </c>
      <c r="AM231" s="572">
        <v>0</v>
      </c>
      <c r="AN231" s="572">
        <v>0</v>
      </c>
      <c r="AO231" s="572">
        <v>0</v>
      </c>
      <c r="AP231" s="572">
        <v>0</v>
      </c>
      <c r="AQ231" s="572">
        <v>0</v>
      </c>
      <c r="AR231" s="572">
        <v>0</v>
      </c>
      <c r="AS231" s="572">
        <v>0</v>
      </c>
      <c r="AT231" s="572">
        <v>0</v>
      </c>
      <c r="AU231" s="572">
        <v>0</v>
      </c>
      <c r="AV231" s="572">
        <v>0</v>
      </c>
      <c r="AW231" s="572">
        <v>0</v>
      </c>
      <c r="AX231" s="572">
        <v>0</v>
      </c>
      <c r="AY231" s="572">
        <v>0</v>
      </c>
      <c r="AZ231" s="572">
        <v>0</v>
      </c>
      <c r="BA231" s="572">
        <v>0</v>
      </c>
      <c r="BB231" s="572">
        <v>0</v>
      </c>
      <c r="BC231" s="572">
        <v>0</v>
      </c>
      <c r="BD231" s="572">
        <v>0</v>
      </c>
      <c r="BE231" s="572">
        <v>96535</v>
      </c>
      <c r="BF231" s="572">
        <v>0</v>
      </c>
      <c r="BG231" s="572">
        <v>0</v>
      </c>
      <c r="BH231" s="572">
        <v>0</v>
      </c>
      <c r="BI231" s="572">
        <v>0</v>
      </c>
      <c r="BJ231" s="572">
        <v>0</v>
      </c>
      <c r="BK231" s="572">
        <v>0</v>
      </c>
      <c r="BL231" s="572">
        <v>0</v>
      </c>
      <c r="BM231" s="572">
        <v>0</v>
      </c>
      <c r="BN231" s="572">
        <v>0</v>
      </c>
      <c r="BO231" s="572">
        <v>0</v>
      </c>
      <c r="BP231" s="572">
        <v>0</v>
      </c>
      <c r="BQ231" s="572">
        <v>0</v>
      </c>
      <c r="BR231" s="572">
        <v>0</v>
      </c>
      <c r="BS231" s="572">
        <v>0</v>
      </c>
      <c r="BT231" s="572">
        <v>0</v>
      </c>
      <c r="BU231" s="572">
        <v>0</v>
      </c>
      <c r="BV231" s="572">
        <v>0</v>
      </c>
      <c r="BW231" s="572">
        <v>0</v>
      </c>
      <c r="BX231" s="572">
        <v>0</v>
      </c>
      <c r="BY231" s="572">
        <v>0</v>
      </c>
      <c r="BZ231" s="572">
        <v>0</v>
      </c>
      <c r="CA231" s="572">
        <v>0</v>
      </c>
      <c r="CB231" s="572">
        <v>0</v>
      </c>
      <c r="CC231" s="572">
        <v>0</v>
      </c>
      <c r="CD231" s="572">
        <v>0</v>
      </c>
      <c r="CE231" s="572">
        <v>0</v>
      </c>
      <c r="CF231" s="572">
        <v>0</v>
      </c>
      <c r="CG231" s="572">
        <v>0</v>
      </c>
      <c r="CH231" s="572">
        <v>0</v>
      </c>
      <c r="CI231" s="572">
        <v>0</v>
      </c>
      <c r="CJ231" s="572">
        <v>0</v>
      </c>
      <c r="CK231" s="572">
        <v>0</v>
      </c>
      <c r="CL231" s="572">
        <v>0</v>
      </c>
      <c r="CM231" s="572">
        <v>0</v>
      </c>
      <c r="CN231" s="572">
        <v>0</v>
      </c>
      <c r="CO231" s="572">
        <v>0</v>
      </c>
      <c r="CP231" s="572">
        <v>0</v>
      </c>
      <c r="CQ231" s="572">
        <v>0</v>
      </c>
    </row>
    <row r="232" spans="1:95" x14ac:dyDescent="0.25">
      <c r="A232" s="567"/>
      <c r="B232" s="617">
        <v>582</v>
      </c>
      <c r="C232" s="617" t="s">
        <v>958</v>
      </c>
      <c r="D232" s="617" t="s">
        <v>959</v>
      </c>
      <c r="E232" s="573"/>
      <c r="F232" s="574"/>
      <c r="G232" s="574"/>
      <c r="H232" s="574"/>
      <c r="I232" s="574"/>
      <c r="J232" s="574"/>
      <c r="K232" s="575"/>
      <c r="L232" s="572"/>
      <c r="M232" s="572"/>
      <c r="N232" s="571"/>
      <c r="O232" s="571"/>
      <c r="P232" s="571"/>
      <c r="Q232" s="571"/>
      <c r="R232" s="571"/>
      <c r="S232" s="571"/>
      <c r="T232" s="571"/>
      <c r="U232" s="571"/>
      <c r="V232" s="571"/>
      <c r="W232" s="571"/>
      <c r="X232" s="571"/>
      <c r="Y232" s="571"/>
      <c r="Z232" s="571"/>
      <c r="AA232" s="571"/>
      <c r="AB232" s="572"/>
      <c r="AC232" s="572"/>
      <c r="AD232" s="572"/>
      <c r="AE232" s="572"/>
      <c r="AF232" s="572"/>
      <c r="AG232" s="572"/>
      <c r="AH232" s="572"/>
      <c r="AI232" s="572"/>
      <c r="AJ232" s="572"/>
      <c r="AK232" s="572"/>
      <c r="AL232" s="572"/>
      <c r="AM232" s="572"/>
      <c r="AN232" s="572"/>
      <c r="AO232" s="572"/>
      <c r="AP232" s="572"/>
      <c r="AQ232" s="572"/>
      <c r="AR232" s="572"/>
      <c r="AS232" s="572"/>
      <c r="AT232" s="572"/>
      <c r="AU232" s="572"/>
      <c r="AV232" s="572"/>
      <c r="AW232" s="572"/>
      <c r="AX232" s="572"/>
      <c r="AY232" s="572"/>
      <c r="AZ232" s="572"/>
      <c r="BA232" s="572"/>
      <c r="BB232" s="572"/>
      <c r="BC232" s="572"/>
      <c r="BD232" s="572"/>
      <c r="BE232" s="572"/>
      <c r="BF232" s="572"/>
      <c r="BG232" s="572"/>
      <c r="BH232" s="572"/>
      <c r="BI232" s="572"/>
      <c r="BJ232" s="572"/>
      <c r="BK232" s="572"/>
      <c r="BL232" s="572"/>
      <c r="BM232" s="572"/>
      <c r="BN232" s="572"/>
      <c r="BO232" s="572"/>
      <c r="BP232" s="572"/>
      <c r="BQ232" s="572"/>
      <c r="BR232" s="572"/>
      <c r="BS232" s="572"/>
      <c r="BT232" s="572"/>
      <c r="BU232" s="572"/>
      <c r="BV232" s="572"/>
      <c r="BW232" s="572"/>
      <c r="BX232" s="572"/>
      <c r="BY232" s="572"/>
      <c r="BZ232" s="572"/>
      <c r="CA232" s="572"/>
      <c r="CB232" s="572"/>
      <c r="CC232" s="572"/>
      <c r="CD232" s="572"/>
      <c r="CE232" s="572"/>
      <c r="CF232" s="572"/>
      <c r="CG232" s="572"/>
      <c r="CH232" s="572"/>
      <c r="CI232" s="572"/>
      <c r="CJ232" s="572"/>
      <c r="CK232" s="572"/>
      <c r="CL232" s="572"/>
      <c r="CM232" s="572"/>
      <c r="CN232" s="572"/>
      <c r="CO232" s="572"/>
      <c r="CP232" s="572"/>
      <c r="CQ232" s="572"/>
    </row>
    <row r="233" spans="1:95" x14ac:dyDescent="0.25">
      <c r="A233" s="567"/>
      <c r="B233" s="617">
        <v>583</v>
      </c>
      <c r="C233" s="617" t="s">
        <v>960</v>
      </c>
      <c r="D233" s="617" t="s">
        <v>961</v>
      </c>
      <c r="E233" s="573"/>
      <c r="F233" s="574"/>
      <c r="G233" s="574"/>
      <c r="H233" s="574"/>
      <c r="I233" s="574"/>
      <c r="J233" s="574"/>
      <c r="K233" s="575"/>
      <c r="L233" s="572"/>
      <c r="M233" s="572"/>
      <c r="N233" s="571"/>
      <c r="O233" s="571"/>
      <c r="P233" s="571"/>
      <c r="Q233" s="571"/>
      <c r="R233" s="571"/>
      <c r="S233" s="571"/>
      <c r="T233" s="571"/>
      <c r="U233" s="571"/>
      <c r="V233" s="571"/>
      <c r="W233" s="571"/>
      <c r="X233" s="571"/>
      <c r="Y233" s="571"/>
      <c r="Z233" s="571"/>
      <c r="AA233" s="571"/>
      <c r="AB233" s="572"/>
      <c r="AC233" s="572"/>
      <c r="AD233" s="572"/>
      <c r="AE233" s="572"/>
      <c r="AF233" s="572"/>
      <c r="AG233" s="572"/>
      <c r="AH233" s="572"/>
      <c r="AI233" s="572"/>
      <c r="AJ233" s="572"/>
      <c r="AK233" s="572"/>
      <c r="AL233" s="572"/>
      <c r="AM233" s="572"/>
      <c r="AN233" s="572"/>
      <c r="AO233" s="572"/>
      <c r="AP233" s="572"/>
      <c r="AQ233" s="572"/>
      <c r="AR233" s="572"/>
      <c r="AS233" s="572"/>
      <c r="AT233" s="572"/>
      <c r="AU233" s="572"/>
      <c r="AV233" s="572"/>
      <c r="AW233" s="572"/>
      <c r="AX233" s="572"/>
      <c r="AY233" s="572"/>
      <c r="AZ233" s="572"/>
      <c r="BA233" s="572"/>
      <c r="BB233" s="572"/>
      <c r="BC233" s="572"/>
      <c r="BD233" s="572"/>
      <c r="BE233" s="572"/>
      <c r="BF233" s="572"/>
      <c r="BG233" s="572"/>
      <c r="BH233" s="572"/>
      <c r="BI233" s="572"/>
      <c r="BJ233" s="572"/>
      <c r="BK233" s="572"/>
      <c r="BL233" s="572"/>
      <c r="BM233" s="572"/>
      <c r="BN233" s="572"/>
      <c r="BO233" s="572"/>
      <c r="BP233" s="572"/>
      <c r="BQ233" s="572"/>
      <c r="BR233" s="572"/>
      <c r="BS233" s="572"/>
      <c r="BT233" s="572"/>
      <c r="BU233" s="572"/>
      <c r="BV233" s="572"/>
      <c r="BW233" s="572"/>
      <c r="BX233" s="572"/>
      <c r="BY233" s="572"/>
      <c r="BZ233" s="572"/>
      <c r="CA233" s="572"/>
      <c r="CB233" s="572"/>
      <c r="CC233" s="572"/>
      <c r="CD233" s="572"/>
      <c r="CE233" s="572"/>
      <c r="CF233" s="572"/>
      <c r="CG233" s="572"/>
      <c r="CH233" s="572"/>
      <c r="CI233" s="572"/>
      <c r="CJ233" s="572"/>
      <c r="CK233" s="572"/>
      <c r="CL233" s="572"/>
      <c r="CM233" s="572"/>
      <c r="CN233" s="572"/>
      <c r="CO233" s="572"/>
      <c r="CP233" s="572"/>
      <c r="CQ233" s="572"/>
    </row>
    <row r="234" spans="1:95" x14ac:dyDescent="0.25">
      <c r="A234" s="567"/>
      <c r="B234" s="617">
        <v>584</v>
      </c>
      <c r="C234" s="617" t="s">
        <v>962</v>
      </c>
      <c r="D234" s="617" t="s">
        <v>963</v>
      </c>
      <c r="E234" s="573"/>
      <c r="F234" s="574"/>
      <c r="G234" s="574"/>
      <c r="H234" s="574"/>
      <c r="I234" s="574"/>
      <c r="J234" s="574"/>
      <c r="K234" s="575"/>
      <c r="L234" s="572"/>
      <c r="M234" s="572"/>
      <c r="N234" s="571"/>
      <c r="O234" s="571"/>
      <c r="P234" s="571"/>
      <c r="Q234" s="571"/>
      <c r="R234" s="571"/>
      <c r="S234" s="571"/>
      <c r="T234" s="571"/>
      <c r="U234" s="571"/>
      <c r="V234" s="571"/>
      <c r="W234" s="571"/>
      <c r="X234" s="571"/>
      <c r="Y234" s="571"/>
      <c r="Z234" s="571"/>
      <c r="AA234" s="571"/>
      <c r="AB234" s="572"/>
      <c r="AC234" s="572"/>
      <c r="AD234" s="572"/>
      <c r="AE234" s="572"/>
      <c r="AF234" s="572"/>
      <c r="AG234" s="572"/>
      <c r="AH234" s="572"/>
      <c r="AI234" s="572"/>
      <c r="AJ234" s="572"/>
      <c r="AK234" s="572"/>
      <c r="AL234" s="572"/>
      <c r="AM234" s="572"/>
      <c r="AN234" s="572"/>
      <c r="AO234" s="572"/>
      <c r="AP234" s="572"/>
      <c r="AQ234" s="572"/>
      <c r="AR234" s="572"/>
      <c r="AS234" s="572"/>
      <c r="AT234" s="572"/>
      <c r="AU234" s="572"/>
      <c r="AV234" s="572"/>
      <c r="AW234" s="572"/>
      <c r="AX234" s="572"/>
      <c r="AY234" s="572"/>
      <c r="AZ234" s="572"/>
      <c r="BA234" s="572"/>
      <c r="BB234" s="572"/>
      <c r="BC234" s="572"/>
      <c r="BD234" s="572"/>
      <c r="BE234" s="572"/>
      <c r="BF234" s="572"/>
      <c r="BG234" s="572"/>
      <c r="BH234" s="572"/>
      <c r="BI234" s="572"/>
      <c r="BJ234" s="572"/>
      <c r="BK234" s="572"/>
      <c r="BL234" s="572"/>
      <c r="BM234" s="572"/>
      <c r="BN234" s="572"/>
      <c r="BO234" s="572"/>
      <c r="BP234" s="572"/>
      <c r="BQ234" s="572"/>
      <c r="BR234" s="572"/>
      <c r="BS234" s="572"/>
      <c r="BT234" s="572"/>
      <c r="BU234" s="572"/>
      <c r="BV234" s="572"/>
      <c r="BW234" s="572"/>
      <c r="BX234" s="572"/>
      <c r="BY234" s="572"/>
      <c r="BZ234" s="572"/>
      <c r="CA234" s="572"/>
      <c r="CB234" s="572"/>
      <c r="CC234" s="572"/>
      <c r="CD234" s="572"/>
      <c r="CE234" s="572"/>
      <c r="CF234" s="572"/>
      <c r="CG234" s="572"/>
      <c r="CH234" s="572"/>
      <c r="CI234" s="572"/>
      <c r="CJ234" s="572"/>
      <c r="CK234" s="572"/>
      <c r="CL234" s="572"/>
      <c r="CM234" s="572"/>
      <c r="CN234" s="572"/>
      <c r="CO234" s="572"/>
      <c r="CP234" s="572"/>
      <c r="CQ234" s="572"/>
    </row>
    <row r="235" spans="1:95" x14ac:dyDescent="0.25">
      <c r="A235" s="567"/>
      <c r="B235" s="617">
        <v>585</v>
      </c>
      <c r="C235" s="617" t="s">
        <v>964</v>
      </c>
      <c r="D235" s="617" t="s">
        <v>965</v>
      </c>
      <c r="E235" s="573"/>
      <c r="F235" s="574"/>
      <c r="G235" s="574"/>
      <c r="H235" s="574"/>
      <c r="I235" s="574"/>
      <c r="J235" s="574"/>
      <c r="K235" s="575"/>
      <c r="L235" s="572"/>
      <c r="M235" s="572"/>
      <c r="N235" s="571"/>
      <c r="O235" s="571"/>
      <c r="P235" s="571"/>
      <c r="Q235" s="571"/>
      <c r="R235" s="571"/>
      <c r="S235" s="571"/>
      <c r="T235" s="571"/>
      <c r="U235" s="571"/>
      <c r="V235" s="571"/>
      <c r="W235" s="571"/>
      <c r="X235" s="571"/>
      <c r="Y235" s="571"/>
      <c r="Z235" s="571"/>
      <c r="AA235" s="571"/>
      <c r="AB235" s="572"/>
      <c r="AC235" s="572"/>
      <c r="AD235" s="572"/>
      <c r="AE235" s="572"/>
      <c r="AF235" s="572"/>
      <c r="AG235" s="572"/>
      <c r="AH235" s="572"/>
      <c r="AI235" s="572"/>
      <c r="AJ235" s="572"/>
      <c r="AK235" s="572"/>
      <c r="AL235" s="572"/>
      <c r="AM235" s="572"/>
      <c r="AN235" s="572"/>
      <c r="AO235" s="572"/>
      <c r="AP235" s="572"/>
      <c r="AQ235" s="572"/>
      <c r="AR235" s="572"/>
      <c r="AS235" s="572"/>
      <c r="AT235" s="572"/>
      <c r="AU235" s="572"/>
      <c r="AV235" s="572"/>
      <c r="AW235" s="572"/>
      <c r="AX235" s="572"/>
      <c r="AY235" s="572"/>
      <c r="AZ235" s="572"/>
      <c r="BA235" s="572"/>
      <c r="BB235" s="572"/>
      <c r="BC235" s="572"/>
      <c r="BD235" s="572"/>
      <c r="BE235" s="572"/>
      <c r="BF235" s="572"/>
      <c r="BG235" s="572"/>
      <c r="BH235" s="572"/>
      <c r="BI235" s="572"/>
      <c r="BJ235" s="572"/>
      <c r="BK235" s="572"/>
      <c r="BL235" s="572"/>
      <c r="BM235" s="572"/>
      <c r="BN235" s="572"/>
      <c r="BO235" s="572"/>
      <c r="BP235" s="572"/>
      <c r="BQ235" s="572"/>
      <c r="BR235" s="572"/>
      <c r="BS235" s="572"/>
      <c r="BT235" s="572"/>
      <c r="BU235" s="572"/>
      <c r="BV235" s="572"/>
      <c r="BW235" s="572"/>
      <c r="BX235" s="572"/>
      <c r="BY235" s="572"/>
      <c r="BZ235" s="572"/>
      <c r="CA235" s="572"/>
      <c r="CB235" s="572"/>
      <c r="CC235" s="572"/>
      <c r="CD235" s="572"/>
      <c r="CE235" s="572"/>
      <c r="CF235" s="572"/>
      <c r="CG235" s="572"/>
      <c r="CH235" s="572"/>
      <c r="CI235" s="572"/>
      <c r="CJ235" s="572"/>
      <c r="CK235" s="572"/>
      <c r="CL235" s="572"/>
      <c r="CM235" s="572"/>
      <c r="CN235" s="572"/>
      <c r="CO235" s="572"/>
      <c r="CP235" s="572"/>
      <c r="CQ235" s="572"/>
    </row>
    <row r="236" spans="1:95" x14ac:dyDescent="0.25">
      <c r="A236" s="567">
        <v>586</v>
      </c>
      <c r="B236" s="617">
        <v>586</v>
      </c>
      <c r="C236" s="617" t="s">
        <v>966</v>
      </c>
      <c r="D236" s="617" t="s">
        <v>967</v>
      </c>
      <c r="E236" s="573">
        <v>0</v>
      </c>
      <c r="F236" s="574">
        <v>0</v>
      </c>
      <c r="G236" s="574">
        <v>0</v>
      </c>
      <c r="H236" s="574">
        <v>0</v>
      </c>
      <c r="I236" s="574">
        <v>0</v>
      </c>
      <c r="J236" s="574">
        <v>0</v>
      </c>
      <c r="K236" s="575">
        <v>0</v>
      </c>
      <c r="L236" s="572">
        <v>0</v>
      </c>
      <c r="M236" s="572">
        <v>0</v>
      </c>
      <c r="N236" s="571">
        <v>0</v>
      </c>
      <c r="O236" s="571">
        <v>0</v>
      </c>
      <c r="P236" s="571">
        <v>0</v>
      </c>
      <c r="Q236" s="571">
        <v>56430</v>
      </c>
      <c r="R236" s="571">
        <v>0</v>
      </c>
      <c r="S236" s="571">
        <v>0</v>
      </c>
      <c r="T236" s="571">
        <v>0</v>
      </c>
      <c r="U236" s="571">
        <v>0</v>
      </c>
      <c r="V236" s="571">
        <v>0</v>
      </c>
      <c r="W236" s="571">
        <v>0</v>
      </c>
      <c r="X236" s="571">
        <v>0</v>
      </c>
      <c r="Y236" s="571">
        <v>0</v>
      </c>
      <c r="Z236" s="571">
        <v>0</v>
      </c>
      <c r="AA236" s="571">
        <v>0</v>
      </c>
      <c r="AB236" s="572">
        <v>0</v>
      </c>
      <c r="AC236" s="572">
        <v>0</v>
      </c>
      <c r="AD236" s="572">
        <v>0</v>
      </c>
      <c r="AE236" s="572">
        <v>0</v>
      </c>
      <c r="AF236" s="572">
        <v>0</v>
      </c>
      <c r="AG236" s="572">
        <v>0</v>
      </c>
      <c r="AH236" s="572">
        <v>0</v>
      </c>
      <c r="AI236" s="572">
        <v>0</v>
      </c>
      <c r="AJ236" s="572">
        <v>0</v>
      </c>
      <c r="AK236" s="572">
        <v>0</v>
      </c>
      <c r="AL236" s="572">
        <v>0</v>
      </c>
      <c r="AM236" s="572">
        <v>0</v>
      </c>
      <c r="AN236" s="572">
        <v>0</v>
      </c>
      <c r="AO236" s="572">
        <v>0</v>
      </c>
      <c r="AP236" s="572">
        <v>0</v>
      </c>
      <c r="AQ236" s="572">
        <v>0</v>
      </c>
      <c r="AR236" s="572">
        <v>0</v>
      </c>
      <c r="AS236" s="572">
        <v>0</v>
      </c>
      <c r="AT236" s="572">
        <v>0</v>
      </c>
      <c r="AU236" s="572">
        <v>0</v>
      </c>
      <c r="AV236" s="572">
        <v>0</v>
      </c>
      <c r="AW236" s="572">
        <v>0</v>
      </c>
      <c r="AX236" s="572">
        <v>0</v>
      </c>
      <c r="AY236" s="572">
        <v>500000</v>
      </c>
      <c r="AZ236" s="572">
        <v>0</v>
      </c>
      <c r="BA236" s="572">
        <v>0</v>
      </c>
      <c r="BB236" s="572">
        <v>0</v>
      </c>
      <c r="BC236" s="572">
        <v>0</v>
      </c>
      <c r="BD236" s="572">
        <v>0</v>
      </c>
      <c r="BE236" s="572">
        <v>0</v>
      </c>
      <c r="BF236" s="572">
        <v>0</v>
      </c>
      <c r="BG236" s="572">
        <v>0</v>
      </c>
      <c r="BH236" s="572">
        <v>0</v>
      </c>
      <c r="BI236" s="572">
        <v>0</v>
      </c>
      <c r="BJ236" s="572">
        <v>0</v>
      </c>
      <c r="BK236" s="572">
        <v>0</v>
      </c>
      <c r="BL236" s="572">
        <v>0</v>
      </c>
      <c r="BM236" s="572">
        <v>0</v>
      </c>
      <c r="BN236" s="572">
        <v>0</v>
      </c>
      <c r="BO236" s="572">
        <v>0</v>
      </c>
      <c r="BP236" s="572">
        <v>0</v>
      </c>
      <c r="BQ236" s="572">
        <v>0</v>
      </c>
      <c r="BR236" s="572">
        <v>0</v>
      </c>
      <c r="BS236" s="572">
        <v>0</v>
      </c>
      <c r="BT236" s="572">
        <v>0</v>
      </c>
      <c r="BU236" s="572">
        <v>0</v>
      </c>
      <c r="BV236" s="572">
        <v>0</v>
      </c>
      <c r="BW236" s="572">
        <v>0</v>
      </c>
      <c r="BX236" s="572">
        <v>0</v>
      </c>
      <c r="BY236" s="572">
        <v>0</v>
      </c>
      <c r="BZ236" s="572">
        <v>0</v>
      </c>
      <c r="CA236" s="572">
        <v>0</v>
      </c>
      <c r="CB236" s="572">
        <v>0</v>
      </c>
      <c r="CC236" s="572">
        <v>0</v>
      </c>
      <c r="CD236" s="572">
        <v>0</v>
      </c>
      <c r="CE236" s="572">
        <v>0</v>
      </c>
      <c r="CF236" s="572">
        <v>0</v>
      </c>
      <c r="CG236" s="572">
        <v>0</v>
      </c>
      <c r="CH236" s="572">
        <v>0</v>
      </c>
      <c r="CI236" s="572">
        <v>0</v>
      </c>
      <c r="CJ236" s="572">
        <v>0</v>
      </c>
      <c r="CK236" s="572">
        <v>0</v>
      </c>
      <c r="CL236" s="572">
        <v>0</v>
      </c>
      <c r="CM236" s="572">
        <v>0</v>
      </c>
      <c r="CN236" s="572">
        <v>0</v>
      </c>
      <c r="CO236" s="572">
        <v>0</v>
      </c>
      <c r="CP236" s="572">
        <v>0</v>
      </c>
      <c r="CQ236" s="572">
        <v>0</v>
      </c>
    </row>
    <row r="237" spans="1:95" x14ac:dyDescent="0.25">
      <c r="B237" s="617">
        <v>587</v>
      </c>
      <c r="C237" s="617" t="s">
        <v>968</v>
      </c>
      <c r="D237" s="617" t="s">
        <v>969</v>
      </c>
      <c r="E237" s="573"/>
      <c r="F237" s="574"/>
      <c r="G237" s="574"/>
      <c r="H237" s="574"/>
      <c r="I237" s="574"/>
      <c r="J237" s="574"/>
      <c r="K237" s="575"/>
      <c r="L237" s="572"/>
      <c r="M237" s="572"/>
      <c r="N237" s="571"/>
      <c r="O237" s="571"/>
      <c r="P237" s="571"/>
      <c r="Q237" s="571"/>
      <c r="R237" s="571"/>
      <c r="S237" s="571"/>
      <c r="T237" s="571"/>
      <c r="U237" s="571"/>
      <c r="V237" s="571"/>
      <c r="W237" s="571"/>
      <c r="X237" s="571"/>
      <c r="Y237" s="571"/>
      <c r="Z237" s="571"/>
      <c r="AA237" s="571"/>
      <c r="AB237" s="572"/>
      <c r="AC237" s="572"/>
      <c r="AD237" s="572"/>
      <c r="AE237" s="572"/>
      <c r="AF237" s="572"/>
      <c r="AG237" s="572"/>
      <c r="AH237" s="572"/>
      <c r="AI237" s="572"/>
      <c r="AJ237" s="572"/>
      <c r="AK237" s="572"/>
      <c r="AL237" s="572"/>
      <c r="AM237" s="572"/>
      <c r="AN237" s="572"/>
      <c r="AO237" s="572"/>
      <c r="AP237" s="572"/>
      <c r="AQ237" s="572"/>
      <c r="AR237" s="572"/>
      <c r="AS237" s="572"/>
      <c r="AT237" s="572"/>
      <c r="AU237" s="572"/>
      <c r="AV237" s="572"/>
      <c r="AW237" s="572"/>
      <c r="AX237" s="572"/>
      <c r="AY237" s="572"/>
      <c r="AZ237" s="572"/>
      <c r="BA237" s="572"/>
      <c r="BB237" s="572"/>
      <c r="BC237" s="572"/>
      <c r="BD237" s="572"/>
      <c r="BE237" s="572"/>
      <c r="BF237" s="572"/>
      <c r="BG237" s="572"/>
      <c r="BH237" s="572"/>
      <c r="BI237" s="572"/>
      <c r="BJ237" s="572"/>
      <c r="BK237" s="572"/>
      <c r="BL237" s="572"/>
      <c r="BM237" s="572"/>
      <c r="BN237" s="572"/>
      <c r="BO237" s="572"/>
      <c r="BP237" s="572"/>
      <c r="BQ237" s="572"/>
      <c r="BR237" s="572"/>
      <c r="BS237" s="572"/>
      <c r="BT237" s="572"/>
      <c r="BU237" s="572"/>
      <c r="BV237" s="572"/>
      <c r="BW237" s="572"/>
      <c r="BX237" s="572"/>
      <c r="BY237" s="572"/>
      <c r="BZ237" s="572"/>
      <c r="CA237" s="572"/>
      <c r="CB237" s="572"/>
      <c r="CC237" s="572"/>
      <c r="CD237" s="572"/>
      <c r="CE237" s="572"/>
      <c r="CF237" s="572"/>
      <c r="CG237" s="572"/>
      <c r="CH237" s="572"/>
      <c r="CI237" s="572"/>
      <c r="CJ237" s="572"/>
      <c r="CK237" s="572"/>
      <c r="CL237" s="572"/>
      <c r="CM237" s="572"/>
      <c r="CN237" s="572"/>
      <c r="CO237" s="572"/>
      <c r="CP237" s="572"/>
      <c r="CQ237" s="572"/>
    </row>
    <row r="238" spans="1:95" x14ac:dyDescent="0.25">
      <c r="B238" s="617">
        <v>588</v>
      </c>
      <c r="C238" s="617" t="s">
        <v>970</v>
      </c>
      <c r="D238" s="617" t="s">
        <v>971</v>
      </c>
      <c r="E238" s="573"/>
      <c r="F238" s="574"/>
      <c r="G238" s="574"/>
      <c r="H238" s="574"/>
      <c r="I238" s="574"/>
      <c r="J238" s="574"/>
      <c r="K238" s="575"/>
      <c r="L238" s="572"/>
      <c r="M238" s="572"/>
      <c r="N238" s="571"/>
      <c r="O238" s="571"/>
      <c r="P238" s="571"/>
      <c r="Q238" s="571"/>
      <c r="R238" s="571"/>
      <c r="S238" s="571"/>
      <c r="T238" s="571"/>
      <c r="U238" s="571"/>
      <c r="V238" s="571"/>
      <c r="W238" s="571"/>
      <c r="X238" s="571"/>
      <c r="Y238" s="571"/>
      <c r="Z238" s="571"/>
      <c r="AA238" s="571"/>
      <c r="AB238" s="572"/>
      <c r="AC238" s="572"/>
      <c r="AD238" s="572"/>
      <c r="AE238" s="572"/>
      <c r="AF238" s="572"/>
      <c r="AG238" s="572"/>
      <c r="AH238" s="572"/>
      <c r="AI238" s="572"/>
      <c r="AJ238" s="572"/>
      <c r="AK238" s="572"/>
      <c r="AL238" s="572"/>
      <c r="AM238" s="572"/>
      <c r="AN238" s="572"/>
      <c r="AO238" s="572"/>
      <c r="AP238" s="572"/>
      <c r="AQ238" s="572"/>
      <c r="AR238" s="572"/>
      <c r="AS238" s="572"/>
      <c r="AT238" s="572"/>
      <c r="AU238" s="572"/>
      <c r="AV238" s="572"/>
      <c r="AW238" s="572"/>
      <c r="AX238" s="572"/>
      <c r="AY238" s="572"/>
      <c r="AZ238" s="572"/>
      <c r="BA238" s="572"/>
      <c r="BB238" s="572"/>
      <c r="BC238" s="572"/>
      <c r="BD238" s="572"/>
      <c r="BE238" s="572"/>
      <c r="BF238" s="572"/>
      <c r="BG238" s="572"/>
      <c r="BH238" s="572"/>
      <c r="BI238" s="572"/>
      <c r="BJ238" s="572"/>
      <c r="BK238" s="572"/>
      <c r="BL238" s="572"/>
      <c r="BM238" s="572"/>
      <c r="BN238" s="572"/>
      <c r="BO238" s="572"/>
      <c r="BP238" s="572"/>
      <c r="BQ238" s="572"/>
      <c r="BR238" s="572"/>
      <c r="BS238" s="572"/>
      <c r="BT238" s="572"/>
      <c r="BU238" s="572"/>
      <c r="BV238" s="572"/>
      <c r="BW238" s="572"/>
      <c r="BX238" s="572"/>
      <c r="BY238" s="572"/>
      <c r="BZ238" s="572"/>
      <c r="CA238" s="572"/>
      <c r="CB238" s="572"/>
      <c r="CC238" s="572"/>
      <c r="CD238" s="572"/>
      <c r="CE238" s="572"/>
      <c r="CF238" s="572"/>
      <c r="CG238" s="572"/>
      <c r="CH238" s="572"/>
      <c r="CI238" s="572"/>
      <c r="CJ238" s="572"/>
      <c r="CK238" s="572"/>
      <c r="CL238" s="572"/>
      <c r="CM238" s="572"/>
      <c r="CN238" s="572"/>
      <c r="CO238" s="572"/>
      <c r="CP238" s="572"/>
      <c r="CQ238" s="572"/>
    </row>
    <row r="239" spans="1:95" x14ac:dyDescent="0.25">
      <c r="B239" s="617">
        <v>589</v>
      </c>
      <c r="C239" s="617" t="s">
        <v>972</v>
      </c>
      <c r="D239" s="617" t="s">
        <v>973</v>
      </c>
      <c r="E239" s="573"/>
      <c r="F239" s="574"/>
      <c r="G239" s="574"/>
      <c r="H239" s="574"/>
      <c r="I239" s="574"/>
      <c r="J239" s="574"/>
      <c r="K239" s="575"/>
      <c r="L239" s="572"/>
      <c r="M239" s="572"/>
      <c r="N239" s="571"/>
      <c r="O239" s="571"/>
      <c r="P239" s="571"/>
      <c r="Q239" s="571"/>
      <c r="R239" s="571"/>
      <c r="S239" s="571"/>
      <c r="T239" s="571"/>
      <c r="U239" s="571"/>
      <c r="V239" s="571"/>
      <c r="W239" s="571"/>
      <c r="X239" s="571"/>
      <c r="Y239" s="571"/>
      <c r="Z239" s="571"/>
      <c r="AA239" s="571"/>
      <c r="AB239" s="572"/>
      <c r="AC239" s="572"/>
      <c r="AD239" s="572"/>
      <c r="AE239" s="572"/>
      <c r="AF239" s="572"/>
      <c r="AG239" s="572"/>
      <c r="AH239" s="572"/>
      <c r="AI239" s="572"/>
      <c r="AJ239" s="572"/>
      <c r="AK239" s="572"/>
      <c r="AL239" s="572"/>
      <c r="AM239" s="572"/>
      <c r="AN239" s="572"/>
      <c r="AO239" s="572"/>
      <c r="AP239" s="572"/>
      <c r="AQ239" s="572"/>
      <c r="AR239" s="572"/>
      <c r="AS239" s="572"/>
      <c r="AT239" s="572"/>
      <c r="AU239" s="572"/>
      <c r="AV239" s="572"/>
      <c r="AW239" s="572"/>
      <c r="AX239" s="572"/>
      <c r="AY239" s="572"/>
      <c r="AZ239" s="572"/>
      <c r="BA239" s="572"/>
      <c r="BB239" s="572"/>
      <c r="BC239" s="572"/>
      <c r="BD239" s="572"/>
      <c r="BE239" s="572"/>
      <c r="BF239" s="572"/>
      <c r="BG239" s="572"/>
      <c r="BH239" s="572"/>
      <c r="BI239" s="572"/>
      <c r="BJ239" s="572"/>
      <c r="BK239" s="572"/>
      <c r="BL239" s="572"/>
      <c r="BM239" s="572"/>
      <c r="BN239" s="572"/>
      <c r="BO239" s="572"/>
      <c r="BP239" s="572"/>
      <c r="BQ239" s="572"/>
      <c r="BR239" s="572"/>
      <c r="BS239" s="572"/>
      <c r="BT239" s="572"/>
      <c r="BU239" s="572"/>
      <c r="BV239" s="572"/>
      <c r="BW239" s="572"/>
      <c r="BX239" s="572"/>
      <c r="BY239" s="572"/>
      <c r="BZ239" s="572"/>
      <c r="CA239" s="572"/>
      <c r="CB239" s="572"/>
      <c r="CC239" s="572"/>
      <c r="CD239" s="572"/>
      <c r="CE239" s="572"/>
      <c r="CF239" s="572"/>
      <c r="CG239" s="572"/>
      <c r="CH239" s="572"/>
      <c r="CI239" s="572"/>
      <c r="CJ239" s="572"/>
      <c r="CK239" s="572"/>
      <c r="CL239" s="572"/>
      <c r="CM239" s="572"/>
      <c r="CN239" s="572"/>
      <c r="CO239" s="572"/>
      <c r="CP239" s="572"/>
      <c r="CQ239" s="572"/>
    </row>
    <row r="240" spans="1:95" x14ac:dyDescent="0.25">
      <c r="B240" s="617">
        <v>590</v>
      </c>
      <c r="C240" s="618" t="s">
        <v>974</v>
      </c>
      <c r="D240" s="617" t="s">
        <v>975</v>
      </c>
      <c r="E240" s="573"/>
      <c r="F240" s="574"/>
      <c r="G240" s="574"/>
      <c r="H240" s="574"/>
      <c r="I240" s="574"/>
      <c r="J240" s="574"/>
      <c r="K240" s="575"/>
      <c r="L240" s="572"/>
      <c r="M240" s="572"/>
      <c r="N240" s="571"/>
      <c r="O240" s="571"/>
      <c r="P240" s="571"/>
      <c r="Q240" s="571"/>
      <c r="R240" s="571"/>
      <c r="S240" s="571"/>
      <c r="T240" s="571"/>
      <c r="U240" s="571"/>
      <c r="V240" s="571"/>
      <c r="W240" s="571"/>
      <c r="X240" s="571"/>
      <c r="Y240" s="571"/>
      <c r="Z240" s="571"/>
      <c r="AA240" s="571"/>
      <c r="AB240" s="572"/>
      <c r="AC240" s="572"/>
      <c r="AD240" s="572"/>
      <c r="AE240" s="572"/>
      <c r="AF240" s="572"/>
      <c r="AG240" s="572"/>
      <c r="AH240" s="572"/>
      <c r="AI240" s="572"/>
      <c r="AJ240" s="572"/>
      <c r="AK240" s="572"/>
      <c r="AL240" s="572"/>
      <c r="AM240" s="572"/>
      <c r="AN240" s="572"/>
      <c r="AO240" s="572"/>
      <c r="AP240" s="572"/>
      <c r="AQ240" s="572"/>
      <c r="AR240" s="572"/>
      <c r="AS240" s="572"/>
      <c r="AT240" s="572"/>
      <c r="AU240" s="572"/>
      <c r="AV240" s="572"/>
      <c r="AW240" s="572"/>
      <c r="AX240" s="572"/>
      <c r="AY240" s="572"/>
      <c r="AZ240" s="572"/>
      <c r="BA240" s="572"/>
      <c r="BB240" s="572"/>
      <c r="BC240" s="572"/>
      <c r="BD240" s="572"/>
      <c r="BE240" s="572"/>
      <c r="BF240" s="572"/>
      <c r="BG240" s="572"/>
      <c r="BH240" s="572"/>
      <c r="BI240" s="572"/>
      <c r="BJ240" s="572"/>
      <c r="BK240" s="572"/>
      <c r="BL240" s="572"/>
      <c r="BM240" s="572"/>
      <c r="BN240" s="572"/>
      <c r="BO240" s="572"/>
      <c r="BP240" s="572"/>
      <c r="BQ240" s="572"/>
      <c r="BR240" s="572"/>
      <c r="BS240" s="572"/>
      <c r="BT240" s="572"/>
      <c r="BU240" s="572"/>
      <c r="BV240" s="572"/>
      <c r="BW240" s="572"/>
      <c r="BX240" s="572"/>
      <c r="BY240" s="572"/>
      <c r="BZ240" s="572"/>
      <c r="CA240" s="572"/>
      <c r="CB240" s="572"/>
      <c r="CC240" s="572"/>
      <c r="CD240" s="572"/>
      <c r="CE240" s="572"/>
      <c r="CF240" s="572"/>
      <c r="CG240" s="572"/>
      <c r="CH240" s="572"/>
      <c r="CI240" s="572"/>
      <c r="CJ240" s="572"/>
      <c r="CK240" s="572"/>
      <c r="CL240" s="572"/>
      <c r="CM240" s="572"/>
      <c r="CN240" s="572"/>
      <c r="CO240" s="572"/>
      <c r="CP240" s="572"/>
      <c r="CQ240" s="572"/>
    </row>
    <row r="241" spans="1:95" x14ac:dyDescent="0.25">
      <c r="A241" s="567"/>
      <c r="B241" s="615">
        <v>992</v>
      </c>
      <c r="C241" s="616"/>
      <c r="D241" s="567" t="s">
        <v>976</v>
      </c>
      <c r="E241" s="573"/>
      <c r="F241" s="574"/>
      <c r="G241" s="574"/>
      <c r="H241" s="574"/>
      <c r="I241" s="574"/>
      <c r="J241" s="574"/>
      <c r="K241" s="575"/>
      <c r="L241" s="572"/>
      <c r="M241" s="572"/>
      <c r="N241" s="571"/>
      <c r="O241" s="571"/>
      <c r="P241" s="571"/>
      <c r="Q241" s="571"/>
      <c r="R241" s="571"/>
      <c r="S241" s="571"/>
      <c r="T241" s="571"/>
      <c r="U241" s="571"/>
      <c r="V241" s="571"/>
      <c r="W241" s="571"/>
      <c r="X241" s="571"/>
      <c r="Y241" s="571"/>
      <c r="Z241" s="571"/>
      <c r="AA241" s="571"/>
      <c r="AB241" s="572"/>
      <c r="AC241" s="572"/>
      <c r="AD241" s="572"/>
      <c r="AE241" s="572"/>
      <c r="AF241" s="572"/>
      <c r="AG241" s="572"/>
      <c r="AH241" s="572"/>
      <c r="AI241" s="572"/>
      <c r="AJ241" s="572"/>
      <c r="AK241" s="572"/>
      <c r="AL241" s="572"/>
      <c r="AM241" s="572"/>
      <c r="AN241" s="572"/>
      <c r="AO241" s="572"/>
      <c r="AP241" s="572"/>
      <c r="AQ241" s="572"/>
      <c r="AR241" s="572"/>
      <c r="AS241" s="572"/>
      <c r="AT241" s="572"/>
      <c r="AU241" s="572"/>
      <c r="AV241" s="572"/>
      <c r="AW241" s="572"/>
      <c r="AX241" s="572"/>
      <c r="AY241" s="572"/>
      <c r="AZ241" s="572"/>
      <c r="BA241" s="572"/>
      <c r="BB241" s="572"/>
      <c r="BC241" s="572"/>
      <c r="BD241" s="572"/>
      <c r="BE241" s="572"/>
      <c r="BF241" s="572"/>
      <c r="BG241" s="572"/>
      <c r="BH241" s="572"/>
      <c r="BI241" s="572"/>
      <c r="BJ241" s="572"/>
      <c r="BK241" s="572"/>
      <c r="BL241" s="572"/>
      <c r="BM241" s="572"/>
      <c r="BN241" s="572"/>
      <c r="BO241" s="572"/>
      <c r="BP241" s="572"/>
      <c r="BQ241" s="572"/>
      <c r="BR241" s="572"/>
      <c r="BS241" s="572"/>
      <c r="BT241" s="572"/>
      <c r="BU241" s="572"/>
      <c r="BV241" s="572"/>
      <c r="BW241" s="572"/>
      <c r="BX241" s="572"/>
      <c r="BY241" s="572"/>
      <c r="BZ241" s="572"/>
      <c r="CA241" s="572"/>
      <c r="CB241" s="572"/>
      <c r="CC241" s="572"/>
      <c r="CD241" s="572"/>
      <c r="CE241" s="572"/>
      <c r="CF241" s="572"/>
      <c r="CG241" s="572"/>
      <c r="CH241" s="572"/>
      <c r="CI241" s="572"/>
      <c r="CJ241" s="572"/>
      <c r="CK241" s="572"/>
      <c r="CL241" s="572"/>
      <c r="CM241" s="572"/>
      <c r="CN241" s="572"/>
      <c r="CO241" s="572"/>
      <c r="CP241" s="572"/>
      <c r="CQ241" s="572"/>
    </row>
    <row r="242" spans="1:95" x14ac:dyDescent="0.25">
      <c r="A242" s="567"/>
      <c r="B242" s="590">
        <v>993</v>
      </c>
      <c r="C242" s="570" t="s">
        <v>977</v>
      </c>
      <c r="D242" s="567" t="s">
        <v>978</v>
      </c>
      <c r="E242" s="573"/>
      <c r="F242" s="574"/>
      <c r="G242" s="574"/>
      <c r="H242" s="574"/>
      <c r="I242" s="574"/>
      <c r="J242" s="574"/>
      <c r="K242" s="575"/>
      <c r="L242" s="572"/>
      <c r="M242" s="572"/>
      <c r="N242" s="571"/>
      <c r="O242" s="571"/>
      <c r="P242" s="571"/>
      <c r="Q242" s="571"/>
      <c r="R242" s="571"/>
      <c r="S242" s="571"/>
      <c r="T242" s="571"/>
      <c r="U242" s="571"/>
      <c r="V242" s="571"/>
      <c r="W242" s="571"/>
      <c r="X242" s="571"/>
      <c r="Y242" s="571"/>
      <c r="Z242" s="571"/>
      <c r="AA242" s="571"/>
      <c r="AB242" s="572"/>
      <c r="AC242" s="572"/>
      <c r="AD242" s="572"/>
      <c r="AE242" s="572"/>
      <c r="AF242" s="572"/>
      <c r="AG242" s="572"/>
      <c r="AH242" s="572"/>
      <c r="AI242" s="572"/>
      <c r="AJ242" s="572"/>
      <c r="AK242" s="572"/>
      <c r="AL242" s="572"/>
      <c r="AM242" s="572"/>
      <c r="AN242" s="572"/>
      <c r="AO242" s="572"/>
      <c r="AP242" s="572"/>
      <c r="AQ242" s="572"/>
      <c r="AR242" s="572"/>
      <c r="AS242" s="572"/>
      <c r="AT242" s="572"/>
      <c r="AU242" s="572"/>
      <c r="AV242" s="572"/>
      <c r="AW242" s="572"/>
      <c r="AX242" s="572"/>
      <c r="AY242" s="572"/>
      <c r="AZ242" s="572"/>
      <c r="BA242" s="572"/>
      <c r="BB242" s="572"/>
      <c r="BC242" s="572"/>
      <c r="BD242" s="572"/>
      <c r="BE242" s="572"/>
      <c r="BF242" s="572"/>
      <c r="BG242" s="572"/>
      <c r="BH242" s="572"/>
      <c r="BI242" s="572"/>
      <c r="BJ242" s="572"/>
      <c r="BK242" s="572"/>
      <c r="BL242" s="572"/>
      <c r="BM242" s="572"/>
      <c r="BN242" s="572"/>
      <c r="BO242" s="572"/>
      <c r="BP242" s="572"/>
      <c r="BQ242" s="572"/>
      <c r="BR242" s="572"/>
      <c r="BS242" s="572"/>
      <c r="BT242" s="572"/>
      <c r="BU242" s="572"/>
      <c r="BV242" s="572"/>
      <c r="BW242" s="572"/>
      <c r="BX242" s="572"/>
      <c r="BY242" s="572"/>
      <c r="BZ242" s="572"/>
      <c r="CA242" s="572"/>
      <c r="CB242" s="572"/>
      <c r="CC242" s="572"/>
      <c r="CD242" s="572"/>
      <c r="CE242" s="572"/>
      <c r="CF242" s="572"/>
      <c r="CG242" s="572"/>
      <c r="CH242" s="572"/>
      <c r="CI242" s="572"/>
      <c r="CJ242" s="572"/>
      <c r="CK242" s="572"/>
      <c r="CL242" s="572"/>
      <c r="CM242" s="572"/>
      <c r="CN242" s="572"/>
      <c r="CO242" s="572"/>
      <c r="CP242" s="572"/>
      <c r="CQ242" s="572"/>
    </row>
    <row r="243" spans="1:95" ht="30" x14ac:dyDescent="0.25">
      <c r="A243" s="567"/>
      <c r="B243" s="590">
        <v>994</v>
      </c>
      <c r="C243" s="570" t="s">
        <v>979</v>
      </c>
      <c r="D243" s="567" t="s">
        <v>980</v>
      </c>
      <c r="E243" s="573"/>
      <c r="F243" s="574"/>
      <c r="G243" s="574"/>
      <c r="H243" s="574"/>
      <c r="I243" s="574"/>
      <c r="J243" s="574"/>
      <c r="K243" s="575"/>
      <c r="L243" s="572"/>
      <c r="M243" s="572"/>
      <c r="N243" s="571"/>
      <c r="O243" s="571"/>
      <c r="P243" s="571"/>
      <c r="Q243" s="571"/>
      <c r="R243" s="571"/>
      <c r="S243" s="571"/>
      <c r="T243" s="571"/>
      <c r="U243" s="571"/>
      <c r="V243" s="571"/>
      <c r="W243" s="571"/>
      <c r="X243" s="571"/>
      <c r="Y243" s="571"/>
      <c r="Z243" s="571"/>
      <c r="AA243" s="571"/>
      <c r="AB243" s="572"/>
      <c r="AC243" s="572"/>
      <c r="AD243" s="572"/>
      <c r="AE243" s="572"/>
      <c r="AF243" s="572"/>
      <c r="AG243" s="572"/>
      <c r="AH243" s="572"/>
      <c r="AI243" s="572"/>
      <c r="AJ243" s="572"/>
      <c r="AK243" s="572"/>
      <c r="AL243" s="572"/>
      <c r="AM243" s="572"/>
      <c r="AN243" s="572"/>
      <c r="AO243" s="572"/>
      <c r="AP243" s="572"/>
      <c r="AQ243" s="572"/>
      <c r="AR243" s="572"/>
      <c r="AS243" s="572"/>
      <c r="AT243" s="572"/>
      <c r="AU243" s="572"/>
      <c r="AV243" s="572"/>
      <c r="AW243" s="572"/>
      <c r="AX243" s="572"/>
      <c r="AY243" s="572"/>
      <c r="AZ243" s="572"/>
      <c r="BA243" s="572"/>
      <c r="BB243" s="572"/>
      <c r="BC243" s="572"/>
      <c r="BD243" s="572"/>
      <c r="BE243" s="572"/>
      <c r="BF243" s="572"/>
      <c r="BG243" s="572"/>
      <c r="BH243" s="572"/>
      <c r="BI243" s="572"/>
      <c r="BJ243" s="572"/>
      <c r="BK243" s="572"/>
      <c r="BL243" s="572"/>
      <c r="BM243" s="572"/>
      <c r="BN243" s="572"/>
      <c r="BO243" s="572"/>
      <c r="BP243" s="572"/>
      <c r="BQ243" s="572"/>
      <c r="BR243" s="572"/>
      <c r="BS243" s="572"/>
      <c r="BT243" s="572"/>
      <c r="BU243" s="572"/>
      <c r="BV243" s="572"/>
      <c r="BW243" s="572"/>
      <c r="BX243" s="572"/>
      <c r="BY243" s="572"/>
      <c r="BZ243" s="572"/>
      <c r="CA243" s="572"/>
      <c r="CB243" s="572"/>
      <c r="CC243" s="572"/>
      <c r="CD243" s="572"/>
      <c r="CE243" s="572"/>
      <c r="CF243" s="572"/>
      <c r="CG243" s="572"/>
      <c r="CH243" s="572"/>
      <c r="CI243" s="572"/>
      <c r="CJ243" s="572"/>
      <c r="CK243" s="572"/>
      <c r="CL243" s="572"/>
      <c r="CM243" s="572"/>
      <c r="CN243" s="572"/>
      <c r="CO243" s="572"/>
      <c r="CP243" s="572"/>
      <c r="CQ243" s="572"/>
    </row>
    <row r="244" spans="1:95" ht="30" x14ac:dyDescent="0.25">
      <c r="A244" s="567"/>
      <c r="B244" s="650">
        <v>995</v>
      </c>
      <c r="C244" s="644" t="s">
        <v>981</v>
      </c>
      <c r="D244" s="647" t="s">
        <v>982</v>
      </c>
      <c r="E244" s="625">
        <v>0</v>
      </c>
      <c r="F244" s="624">
        <v>0</v>
      </c>
      <c r="G244" s="624">
        <v>0</v>
      </c>
      <c r="H244" s="624">
        <v>0</v>
      </c>
      <c r="I244" s="624">
        <v>0.09</v>
      </c>
      <c r="J244" s="624">
        <v>0</v>
      </c>
      <c r="K244" s="645">
        <v>7.0000000000000007E-2</v>
      </c>
      <c r="L244" s="646">
        <v>0</v>
      </c>
      <c r="M244" s="646">
        <v>0</v>
      </c>
      <c r="N244" s="621">
        <v>0</v>
      </c>
      <c r="O244" s="621">
        <v>0</v>
      </c>
      <c r="P244" s="621">
        <v>0</v>
      </c>
      <c r="Q244" s="621">
        <v>0</v>
      </c>
      <c r="R244" s="621">
        <v>0</v>
      </c>
      <c r="S244" s="621">
        <v>0</v>
      </c>
      <c r="T244" s="621">
        <v>0</v>
      </c>
      <c r="U244" s="621">
        <v>0</v>
      </c>
      <c r="V244" s="621">
        <v>0</v>
      </c>
      <c r="W244" s="621">
        <v>0</v>
      </c>
      <c r="X244" s="621">
        <v>0</v>
      </c>
      <c r="Y244" s="621">
        <v>0</v>
      </c>
      <c r="Z244" s="621">
        <v>0</v>
      </c>
      <c r="AA244" s="621">
        <v>0.08</v>
      </c>
      <c r="AB244" s="646">
        <v>0</v>
      </c>
      <c r="AC244" s="646">
        <v>0</v>
      </c>
      <c r="AD244" s="646">
        <v>0</v>
      </c>
      <c r="AE244" s="646">
        <v>0</v>
      </c>
      <c r="AF244" s="646">
        <v>0</v>
      </c>
      <c r="AG244" s="646">
        <v>0</v>
      </c>
      <c r="AH244" s="646">
        <v>0</v>
      </c>
      <c r="AI244" s="646">
        <v>0</v>
      </c>
      <c r="AJ244" s="646">
        <v>0</v>
      </c>
      <c r="AK244" s="646">
        <v>0</v>
      </c>
      <c r="AL244" s="646">
        <v>0</v>
      </c>
      <c r="AM244" s="646">
        <v>0</v>
      </c>
      <c r="AN244" s="646">
        <v>0</v>
      </c>
      <c r="AO244" s="646">
        <v>0</v>
      </c>
      <c r="AP244" s="646">
        <v>0</v>
      </c>
      <c r="AQ244" s="646">
        <v>0</v>
      </c>
      <c r="AR244" s="646">
        <v>0</v>
      </c>
      <c r="AS244" s="646">
        <v>0</v>
      </c>
      <c r="AT244" s="646">
        <v>0</v>
      </c>
      <c r="AU244" s="646">
        <v>0</v>
      </c>
      <c r="AV244" s="646">
        <v>0</v>
      </c>
      <c r="AW244" s="646">
        <v>0</v>
      </c>
      <c r="AX244" s="646">
        <v>0</v>
      </c>
      <c r="AY244" s="646">
        <v>0.08</v>
      </c>
      <c r="AZ244" s="646">
        <v>0</v>
      </c>
      <c r="BA244" s="646">
        <v>0</v>
      </c>
      <c r="BB244" s="646">
        <v>0</v>
      </c>
      <c r="BC244" s="646">
        <v>0</v>
      </c>
      <c r="BD244" s="646">
        <v>0</v>
      </c>
      <c r="BE244" s="646">
        <v>0.09</v>
      </c>
      <c r="BF244" s="646">
        <v>0</v>
      </c>
      <c r="BG244" s="646">
        <v>0</v>
      </c>
      <c r="BH244" s="646">
        <v>0.08</v>
      </c>
      <c r="BI244" s="646">
        <v>0</v>
      </c>
      <c r="BJ244" s="646">
        <v>0</v>
      </c>
      <c r="BK244" s="646">
        <v>0</v>
      </c>
      <c r="BL244" s="646">
        <v>0.09</v>
      </c>
      <c r="BM244" s="646">
        <v>0</v>
      </c>
      <c r="BN244" s="646">
        <v>0</v>
      </c>
      <c r="BO244" s="646">
        <v>0</v>
      </c>
      <c r="BP244" s="646">
        <v>0</v>
      </c>
      <c r="BQ244" s="646">
        <v>0</v>
      </c>
      <c r="BR244" s="646">
        <v>0</v>
      </c>
      <c r="BS244" s="646">
        <v>0</v>
      </c>
      <c r="BT244" s="646">
        <v>0</v>
      </c>
      <c r="BU244" s="646">
        <v>0</v>
      </c>
      <c r="BV244" s="646">
        <v>0</v>
      </c>
      <c r="BW244" s="646">
        <v>0</v>
      </c>
      <c r="BX244" s="646">
        <v>0</v>
      </c>
      <c r="BY244" s="646">
        <v>0</v>
      </c>
      <c r="BZ244" s="646">
        <v>0</v>
      </c>
      <c r="CA244" s="646">
        <v>0</v>
      </c>
      <c r="CB244" s="646">
        <v>0</v>
      </c>
      <c r="CC244" s="646">
        <v>0.08</v>
      </c>
      <c r="CD244" s="646">
        <v>0</v>
      </c>
      <c r="CE244" s="646">
        <v>0.09</v>
      </c>
      <c r="CF244" s="646">
        <v>0</v>
      </c>
      <c r="CG244" s="646">
        <v>0</v>
      </c>
      <c r="CH244" s="646">
        <v>0</v>
      </c>
      <c r="CI244" s="646">
        <v>0.09</v>
      </c>
      <c r="CJ244" s="646">
        <v>0</v>
      </c>
      <c r="CK244" s="646">
        <v>0</v>
      </c>
      <c r="CL244" s="646">
        <v>0</v>
      </c>
      <c r="CM244" s="646">
        <v>0</v>
      </c>
      <c r="CN244" s="646">
        <v>0</v>
      </c>
      <c r="CO244" s="646">
        <v>0</v>
      </c>
      <c r="CP244" s="646">
        <v>0</v>
      </c>
      <c r="CQ244" s="646">
        <v>0</v>
      </c>
    </row>
    <row r="245" spans="1:95" ht="30" x14ac:dyDescent="0.25">
      <c r="A245" s="567">
        <v>995</v>
      </c>
      <c r="B245" s="650">
        <v>996</v>
      </c>
      <c r="C245" s="644" t="s">
        <v>983</v>
      </c>
      <c r="D245" s="647" t="s">
        <v>984</v>
      </c>
      <c r="E245" s="625">
        <v>0</v>
      </c>
      <c r="F245" s="624">
        <v>0</v>
      </c>
      <c r="G245" s="624">
        <v>0.01</v>
      </c>
      <c r="H245" s="624">
        <v>0.01</v>
      </c>
      <c r="I245" s="624">
        <v>0.01</v>
      </c>
      <c r="J245" s="624">
        <v>0.01</v>
      </c>
      <c r="K245" s="645">
        <v>0.01</v>
      </c>
      <c r="L245" s="646">
        <v>0.01</v>
      </c>
      <c r="M245" s="646">
        <v>0</v>
      </c>
      <c r="N245" s="621">
        <v>0.01</v>
      </c>
      <c r="O245" s="621">
        <v>0.01</v>
      </c>
      <c r="P245" s="621">
        <v>0</v>
      </c>
      <c r="Q245" s="621">
        <v>0.01</v>
      </c>
      <c r="R245" s="621">
        <v>0</v>
      </c>
      <c r="S245" s="621">
        <v>0</v>
      </c>
      <c r="T245" s="621">
        <v>0</v>
      </c>
      <c r="U245" s="621">
        <v>0.01</v>
      </c>
      <c r="V245" s="621">
        <v>0</v>
      </c>
      <c r="W245" s="621">
        <v>0.01</v>
      </c>
      <c r="X245" s="621">
        <v>0</v>
      </c>
      <c r="Y245" s="621">
        <v>0.01</v>
      </c>
      <c r="Z245" s="621">
        <v>0</v>
      </c>
      <c r="AA245" s="621">
        <v>0.01</v>
      </c>
      <c r="AB245" s="646">
        <v>0.01</v>
      </c>
      <c r="AC245" s="646">
        <v>0.01</v>
      </c>
      <c r="AD245" s="646">
        <v>0.01</v>
      </c>
      <c r="AE245" s="646">
        <v>0.01</v>
      </c>
      <c r="AF245" s="646">
        <v>0</v>
      </c>
      <c r="AG245" s="646">
        <v>0.01</v>
      </c>
      <c r="AH245" s="646">
        <v>0</v>
      </c>
      <c r="AI245" s="646">
        <v>0.01</v>
      </c>
      <c r="AJ245" s="646">
        <v>0.01</v>
      </c>
      <c r="AK245" s="646">
        <v>0.01</v>
      </c>
      <c r="AL245" s="646">
        <v>0.01</v>
      </c>
      <c r="AM245" s="646">
        <v>0.01</v>
      </c>
      <c r="AN245" s="646">
        <v>0.01</v>
      </c>
      <c r="AO245" s="646">
        <v>0</v>
      </c>
      <c r="AP245" s="646">
        <v>0.01</v>
      </c>
      <c r="AQ245" s="646">
        <v>0.01</v>
      </c>
      <c r="AR245" s="646">
        <v>0</v>
      </c>
      <c r="AS245" s="646">
        <v>0</v>
      </c>
      <c r="AT245" s="646">
        <v>0</v>
      </c>
      <c r="AU245" s="646">
        <v>0</v>
      </c>
      <c r="AV245" s="646">
        <v>0.01</v>
      </c>
      <c r="AW245" s="646">
        <v>0.01</v>
      </c>
      <c r="AX245" s="646">
        <v>0.01</v>
      </c>
      <c r="AY245" s="646">
        <v>0</v>
      </c>
      <c r="AZ245" s="646">
        <v>0</v>
      </c>
      <c r="BA245" s="646">
        <v>0.01</v>
      </c>
      <c r="BB245" s="646">
        <v>0</v>
      </c>
      <c r="BC245" s="646">
        <v>0.01</v>
      </c>
      <c r="BD245" s="646">
        <v>0.01</v>
      </c>
      <c r="BE245" s="646">
        <v>0.01</v>
      </c>
      <c r="BF245" s="646">
        <v>0.01</v>
      </c>
      <c r="BG245" s="646">
        <v>0.01</v>
      </c>
      <c r="BH245" s="646">
        <v>0.01</v>
      </c>
      <c r="BI245" s="646">
        <v>0</v>
      </c>
      <c r="BJ245" s="646">
        <v>0</v>
      </c>
      <c r="BK245" s="646">
        <v>0</v>
      </c>
      <c r="BL245" s="646">
        <v>0.01</v>
      </c>
      <c r="BM245" s="646">
        <v>0.01</v>
      </c>
      <c r="BN245" s="646">
        <v>0</v>
      </c>
      <c r="BO245" s="646">
        <v>0</v>
      </c>
      <c r="BP245" s="646">
        <v>0.01</v>
      </c>
      <c r="BQ245" s="646">
        <v>0</v>
      </c>
      <c r="BR245" s="646">
        <v>0</v>
      </c>
      <c r="BS245" s="646">
        <v>0</v>
      </c>
      <c r="BT245" s="646">
        <v>0.01</v>
      </c>
      <c r="BU245" s="646">
        <v>0</v>
      </c>
      <c r="BV245" s="646">
        <v>0.01</v>
      </c>
      <c r="BW245" s="646">
        <v>0.01</v>
      </c>
      <c r="BX245" s="646">
        <v>0.01</v>
      </c>
      <c r="BY245" s="646">
        <v>0.01</v>
      </c>
      <c r="BZ245" s="646">
        <v>0.01</v>
      </c>
      <c r="CA245" s="646">
        <v>0.01</v>
      </c>
      <c r="CB245" s="646">
        <v>0</v>
      </c>
      <c r="CC245" s="646">
        <v>0.01</v>
      </c>
      <c r="CD245" s="646">
        <v>0</v>
      </c>
      <c r="CE245" s="646">
        <v>0.01</v>
      </c>
      <c r="CF245" s="646">
        <v>0.01</v>
      </c>
      <c r="CG245" s="646">
        <v>0.01</v>
      </c>
      <c r="CH245" s="646">
        <v>0.01</v>
      </c>
      <c r="CI245" s="646">
        <v>0.01</v>
      </c>
      <c r="CJ245" s="646">
        <v>0.01</v>
      </c>
      <c r="CK245" s="646">
        <v>0</v>
      </c>
      <c r="CL245" s="646">
        <v>0.01</v>
      </c>
      <c r="CM245" s="646">
        <v>0.01</v>
      </c>
      <c r="CN245" s="646">
        <v>0.01</v>
      </c>
      <c r="CO245" s="646">
        <v>0.01</v>
      </c>
      <c r="CP245" s="646">
        <v>0</v>
      </c>
      <c r="CQ245" s="646">
        <v>0</v>
      </c>
    </row>
    <row r="246" spans="1:95" x14ac:dyDescent="0.25">
      <c r="A246" s="567">
        <v>996</v>
      </c>
      <c r="B246" s="650">
        <v>997</v>
      </c>
      <c r="C246" s="644"/>
      <c r="D246" s="647"/>
      <c r="E246" s="625"/>
      <c r="F246" s="624"/>
      <c r="G246" s="624"/>
      <c r="H246" s="624"/>
      <c r="I246" s="624"/>
      <c r="J246" s="624"/>
      <c r="K246" s="645"/>
      <c r="L246" s="646"/>
      <c r="M246" s="646"/>
      <c r="N246" s="621"/>
      <c r="O246" s="621"/>
      <c r="P246" s="621"/>
      <c r="Q246" s="621"/>
      <c r="R246" s="621"/>
      <c r="S246" s="621"/>
      <c r="T246" s="621"/>
      <c r="U246" s="621"/>
      <c r="V246" s="621"/>
      <c r="W246" s="621"/>
      <c r="X246" s="621"/>
      <c r="Y246" s="621"/>
      <c r="Z246" s="621"/>
      <c r="AA246" s="621"/>
      <c r="AB246" s="646"/>
      <c r="AC246" s="646"/>
      <c r="AD246" s="646"/>
      <c r="AE246" s="646"/>
      <c r="AF246" s="646"/>
      <c r="AG246" s="646"/>
      <c r="AH246" s="646"/>
      <c r="AI246" s="646"/>
      <c r="AJ246" s="646"/>
      <c r="AK246" s="646"/>
      <c r="AL246" s="646"/>
      <c r="AM246" s="646"/>
      <c r="AN246" s="646"/>
      <c r="AO246" s="646"/>
      <c r="AP246" s="646"/>
      <c r="AQ246" s="646"/>
      <c r="AR246" s="646"/>
      <c r="AS246" s="646"/>
      <c r="AT246" s="646"/>
      <c r="AU246" s="646"/>
      <c r="AV246" s="646"/>
      <c r="AW246" s="646"/>
      <c r="AX246" s="646"/>
      <c r="AY246" s="646"/>
      <c r="AZ246" s="646"/>
      <c r="BA246" s="646"/>
      <c r="BB246" s="646"/>
      <c r="BC246" s="646"/>
      <c r="BD246" s="646"/>
      <c r="BE246" s="646"/>
      <c r="BF246" s="646"/>
      <c r="BG246" s="646"/>
      <c r="BH246" s="646"/>
      <c r="BI246" s="646"/>
      <c r="BJ246" s="646"/>
      <c r="BK246" s="646"/>
      <c r="BL246" s="646"/>
      <c r="BM246" s="646"/>
      <c r="BN246" s="646"/>
      <c r="BO246" s="646"/>
      <c r="BP246" s="646"/>
      <c r="BQ246" s="646"/>
      <c r="BR246" s="646"/>
      <c r="BS246" s="646"/>
      <c r="BT246" s="646"/>
      <c r="BU246" s="646"/>
      <c r="BV246" s="646"/>
      <c r="BW246" s="646"/>
      <c r="BX246" s="646"/>
      <c r="BY246" s="646"/>
      <c r="BZ246" s="646"/>
      <c r="CA246" s="646"/>
      <c r="CB246" s="646"/>
      <c r="CC246" s="646"/>
      <c r="CD246" s="646"/>
      <c r="CE246" s="646"/>
      <c r="CF246" s="646"/>
      <c r="CG246" s="646"/>
      <c r="CH246" s="646"/>
      <c r="CI246" s="646"/>
      <c r="CJ246" s="646"/>
      <c r="CK246" s="646"/>
      <c r="CL246" s="646"/>
      <c r="CM246" s="646"/>
      <c r="CN246" s="646"/>
      <c r="CO246" s="646"/>
      <c r="CP246" s="646"/>
      <c r="CQ246" s="646"/>
    </row>
    <row r="247" spans="1:95" x14ac:dyDescent="0.25">
      <c r="A247" s="567">
        <v>998</v>
      </c>
      <c r="B247" s="650">
        <v>998</v>
      </c>
      <c r="C247" s="644" t="s">
        <v>371</v>
      </c>
      <c r="D247" s="647" t="s">
        <v>985</v>
      </c>
      <c r="E247" s="640">
        <v>50</v>
      </c>
      <c r="F247" s="642">
        <v>50</v>
      </c>
      <c r="G247" s="642">
        <v>50</v>
      </c>
      <c r="H247" s="642">
        <v>50</v>
      </c>
      <c r="I247" s="642">
        <v>50</v>
      </c>
      <c r="J247" s="642">
        <v>50</v>
      </c>
      <c r="K247" s="637">
        <v>50</v>
      </c>
      <c r="L247" s="638">
        <v>50</v>
      </c>
      <c r="M247" s="638">
        <v>50</v>
      </c>
      <c r="N247" s="623">
        <v>50</v>
      </c>
      <c r="O247" s="623">
        <v>50</v>
      </c>
      <c r="P247" s="623">
        <v>50</v>
      </c>
      <c r="Q247" s="623">
        <v>50</v>
      </c>
      <c r="R247" s="623">
        <v>50</v>
      </c>
      <c r="S247" s="623">
        <v>50</v>
      </c>
      <c r="T247" s="623">
        <v>50</v>
      </c>
      <c r="U247" s="623">
        <v>50</v>
      </c>
      <c r="V247" s="623">
        <v>50</v>
      </c>
      <c r="W247" s="623">
        <v>50</v>
      </c>
      <c r="X247" s="623">
        <v>50</v>
      </c>
      <c r="Y247" s="623">
        <v>50</v>
      </c>
      <c r="Z247" s="623">
        <v>50</v>
      </c>
      <c r="AA247" s="623">
        <v>50</v>
      </c>
      <c r="AB247" s="638">
        <v>50</v>
      </c>
      <c r="AC247" s="638">
        <v>50</v>
      </c>
      <c r="AD247" s="638">
        <v>50</v>
      </c>
      <c r="AE247" s="638">
        <v>50</v>
      </c>
      <c r="AF247" s="638">
        <v>50</v>
      </c>
      <c r="AG247" s="638">
        <v>50</v>
      </c>
      <c r="AH247" s="638">
        <v>50</v>
      </c>
      <c r="AI247" s="638">
        <v>50</v>
      </c>
      <c r="AJ247" s="638">
        <v>50</v>
      </c>
      <c r="AK247" s="638">
        <v>50</v>
      </c>
      <c r="AL247" s="638">
        <v>50</v>
      </c>
      <c r="AM247" s="638">
        <v>50</v>
      </c>
      <c r="AN247" s="638">
        <v>50</v>
      </c>
      <c r="AO247" s="638">
        <v>50</v>
      </c>
      <c r="AP247" s="638">
        <v>50</v>
      </c>
      <c r="AQ247" s="638">
        <v>50</v>
      </c>
      <c r="AR247" s="638">
        <v>50</v>
      </c>
      <c r="AS247" s="638">
        <v>50</v>
      </c>
      <c r="AT247" s="638">
        <v>50</v>
      </c>
      <c r="AU247" s="638">
        <v>50</v>
      </c>
      <c r="AV247" s="638">
        <v>50</v>
      </c>
      <c r="AW247" s="638">
        <v>50</v>
      </c>
      <c r="AX247" s="638">
        <v>50</v>
      </c>
      <c r="AY247" s="638">
        <v>50</v>
      </c>
      <c r="AZ247" s="638">
        <v>50</v>
      </c>
      <c r="BA247" s="638">
        <v>50</v>
      </c>
      <c r="BB247" s="638">
        <v>50</v>
      </c>
      <c r="BC247" s="638">
        <v>50</v>
      </c>
      <c r="BD247" s="638">
        <v>50</v>
      </c>
      <c r="BE247" s="638">
        <v>50</v>
      </c>
      <c r="BF247" s="638">
        <v>50</v>
      </c>
      <c r="BG247" s="638">
        <v>50</v>
      </c>
      <c r="BH247" s="638">
        <v>50</v>
      </c>
      <c r="BI247" s="638">
        <v>50</v>
      </c>
      <c r="BJ247" s="638">
        <v>50</v>
      </c>
      <c r="BK247" s="638">
        <v>50</v>
      </c>
      <c r="BL247" s="638">
        <v>50</v>
      </c>
      <c r="BM247" s="638">
        <v>50</v>
      </c>
      <c r="BN247" s="638">
        <v>50</v>
      </c>
      <c r="BO247" s="638">
        <v>50</v>
      </c>
      <c r="BP247" s="638">
        <v>50</v>
      </c>
      <c r="BQ247" s="638">
        <v>50</v>
      </c>
      <c r="BR247" s="638">
        <v>50</v>
      </c>
      <c r="BS247" s="638">
        <v>50</v>
      </c>
      <c r="BT247" s="638">
        <v>50</v>
      </c>
      <c r="BU247" s="638">
        <v>50</v>
      </c>
      <c r="BV247" s="638">
        <v>50</v>
      </c>
      <c r="BW247" s="638">
        <v>50</v>
      </c>
      <c r="BX247" s="638">
        <v>50</v>
      </c>
      <c r="BY247" s="638">
        <v>50</v>
      </c>
      <c r="BZ247" s="638">
        <v>50</v>
      </c>
      <c r="CA247" s="638">
        <v>50</v>
      </c>
      <c r="CB247" s="638">
        <v>50</v>
      </c>
      <c r="CC247" s="638">
        <v>50</v>
      </c>
      <c r="CD247" s="638">
        <v>50</v>
      </c>
      <c r="CE247" s="638">
        <v>50</v>
      </c>
      <c r="CF247" s="638">
        <v>50</v>
      </c>
      <c r="CG247" s="638">
        <v>50</v>
      </c>
      <c r="CH247" s="638">
        <v>50</v>
      </c>
      <c r="CI247" s="638">
        <v>50</v>
      </c>
      <c r="CJ247" s="638">
        <v>50</v>
      </c>
      <c r="CK247" s="638">
        <v>50</v>
      </c>
      <c r="CL247" s="638">
        <v>50</v>
      </c>
      <c r="CM247" s="638">
        <v>50</v>
      </c>
      <c r="CN247" s="638">
        <v>50</v>
      </c>
      <c r="CO247" s="638">
        <v>50</v>
      </c>
      <c r="CP247" s="638">
        <v>50</v>
      </c>
      <c r="CQ247" s="638">
        <v>50</v>
      </c>
    </row>
    <row r="248" spans="1:95" x14ac:dyDescent="0.25">
      <c r="A248" s="567">
        <v>999</v>
      </c>
      <c r="B248" s="650">
        <v>999</v>
      </c>
      <c r="C248" s="639" t="s">
        <v>372</v>
      </c>
      <c r="D248" s="649" t="s">
        <v>986</v>
      </c>
      <c r="E248" s="619">
        <v>50372</v>
      </c>
      <c r="F248" s="628">
        <v>50457</v>
      </c>
      <c r="G248" s="628">
        <v>50373</v>
      </c>
      <c r="H248" s="628">
        <v>50374</v>
      </c>
      <c r="I248" s="628">
        <v>50375</v>
      </c>
      <c r="J248" s="628">
        <v>50376</v>
      </c>
      <c r="K248" s="648">
        <v>50377</v>
      </c>
      <c r="L248" s="630">
        <v>50378</v>
      </c>
      <c r="M248" s="630">
        <v>50379</v>
      </c>
      <c r="N248" s="634">
        <v>50530</v>
      </c>
      <c r="O248" s="634">
        <v>50380</v>
      </c>
      <c r="P248" s="634">
        <v>50483</v>
      </c>
      <c r="Q248" s="634">
        <v>50381</v>
      </c>
      <c r="R248" s="634">
        <v>50501</v>
      </c>
      <c r="S248" s="634">
        <v>50494</v>
      </c>
      <c r="T248" s="634">
        <v>50382</v>
      </c>
      <c r="U248" s="634">
        <v>50383</v>
      </c>
      <c r="V248" s="634">
        <v>50384</v>
      </c>
      <c r="W248" s="634">
        <v>50557</v>
      </c>
      <c r="X248" s="634">
        <v>50385</v>
      </c>
      <c r="Y248" s="634">
        <v>50386</v>
      </c>
      <c r="Z248" s="634">
        <v>50388</v>
      </c>
      <c r="AA248" s="634">
        <v>50387</v>
      </c>
      <c r="AB248" s="630">
        <v>50389</v>
      </c>
      <c r="AC248" s="630">
        <v>50500</v>
      </c>
      <c r="AD248" s="630">
        <v>50390</v>
      </c>
      <c r="AE248" s="630">
        <v>50391</v>
      </c>
      <c r="AF248" s="630">
        <v>50531</v>
      </c>
      <c r="AG248" s="630">
        <v>50392</v>
      </c>
      <c r="AH248" s="630">
        <v>50458</v>
      </c>
      <c r="AI248" s="630">
        <v>50393</v>
      </c>
      <c r="AJ248" s="630">
        <v>50544</v>
      </c>
      <c r="AK248" s="630">
        <v>50394</v>
      </c>
      <c r="AL248" s="630">
        <v>50395</v>
      </c>
      <c r="AM248" s="630">
        <v>50396</v>
      </c>
      <c r="AN248" s="630">
        <v>50397</v>
      </c>
      <c r="AO248" s="630">
        <v>50550</v>
      </c>
      <c r="AP248" s="630">
        <v>50398</v>
      </c>
      <c r="AQ248" s="630">
        <v>50399</v>
      </c>
      <c r="AR248" s="630">
        <v>50400</v>
      </c>
      <c r="AS248" s="630">
        <v>50532</v>
      </c>
      <c r="AT248" s="630">
        <v>50401</v>
      </c>
      <c r="AU248" s="630">
        <v>50402</v>
      </c>
      <c r="AV248" s="630">
        <v>50485</v>
      </c>
      <c r="AW248" s="630">
        <v>50403</v>
      </c>
      <c r="AX248" s="630">
        <v>50404</v>
      </c>
      <c r="AY248" s="630">
        <v>50405</v>
      </c>
      <c r="AZ248" s="630">
        <v>50533</v>
      </c>
      <c r="BA248" s="630">
        <v>50406</v>
      </c>
      <c r="BB248" s="630">
        <v>50565</v>
      </c>
      <c r="BC248" s="630">
        <v>50407</v>
      </c>
      <c r="BD248" s="630">
        <v>50486</v>
      </c>
      <c r="BE248" s="630">
        <v>50408</v>
      </c>
      <c r="BF248" s="630">
        <v>50409</v>
      </c>
      <c r="BG248" s="630">
        <v>50410</v>
      </c>
      <c r="BH248" s="630">
        <v>50411</v>
      </c>
      <c r="BI248" s="630">
        <v>50412</v>
      </c>
      <c r="BJ248" s="630">
        <v>50488</v>
      </c>
      <c r="BK248" s="630">
        <v>50413</v>
      </c>
      <c r="BL248" s="630">
        <v>50414</v>
      </c>
      <c r="BM248" s="630">
        <v>50415</v>
      </c>
      <c r="BN248" s="630">
        <v>50416</v>
      </c>
      <c r="BO248" s="630">
        <v>50534</v>
      </c>
      <c r="BP248" s="630">
        <v>50417</v>
      </c>
      <c r="BQ248" s="630">
        <v>50418</v>
      </c>
      <c r="BR248" s="630">
        <v>50546</v>
      </c>
      <c r="BS248" s="630">
        <v>50552</v>
      </c>
      <c r="BT248" s="630">
        <v>50419</v>
      </c>
      <c r="BU248" s="630">
        <v>50441</v>
      </c>
      <c r="BV248" s="630">
        <v>50420</v>
      </c>
      <c r="BW248" s="630">
        <v>50421</v>
      </c>
      <c r="BX248" s="630">
        <v>50422</v>
      </c>
      <c r="BY248" s="630">
        <v>50535</v>
      </c>
      <c r="BZ248" s="630">
        <v>50423</v>
      </c>
      <c r="CA248" s="630">
        <v>50424</v>
      </c>
      <c r="CB248" s="630">
        <v>50425</v>
      </c>
      <c r="CC248" s="630">
        <v>50426</v>
      </c>
      <c r="CD248" s="630">
        <v>50537</v>
      </c>
      <c r="CE248" s="630">
        <v>50427</v>
      </c>
      <c r="CF248" s="630">
        <v>50428</v>
      </c>
      <c r="CG248" s="630">
        <v>50429</v>
      </c>
      <c r="CH248" s="630">
        <v>50431</v>
      </c>
      <c r="CI248" s="630">
        <v>50430</v>
      </c>
      <c r="CJ248" s="630">
        <v>50432</v>
      </c>
      <c r="CK248" s="630">
        <v>50453</v>
      </c>
      <c r="CL248" s="630">
        <v>50433</v>
      </c>
      <c r="CM248" s="630">
        <v>50435</v>
      </c>
      <c r="CN248" s="630">
        <v>50436</v>
      </c>
      <c r="CO248" s="630">
        <v>50499</v>
      </c>
      <c r="CP248" s="630">
        <v>50438</v>
      </c>
      <c r="CQ248" s="630">
        <v>50439</v>
      </c>
    </row>
    <row r="249" spans="1:95" x14ac:dyDescent="0.25">
      <c r="A249" s="567"/>
      <c r="B249" s="590">
        <v>1000</v>
      </c>
      <c r="C249" s="576"/>
      <c r="D249" s="577"/>
      <c r="E249" s="629" t="s">
        <v>987</v>
      </c>
      <c r="F249" s="629" t="s">
        <v>987</v>
      </c>
      <c r="G249" s="629" t="s">
        <v>988</v>
      </c>
      <c r="H249" s="629" t="s">
        <v>988</v>
      </c>
      <c r="I249" s="629" t="s">
        <v>988</v>
      </c>
      <c r="J249" s="629" t="s">
        <v>988</v>
      </c>
      <c r="K249" s="629" t="s">
        <v>988</v>
      </c>
      <c r="L249" s="629" t="s">
        <v>988</v>
      </c>
      <c r="M249" s="629" t="s">
        <v>987</v>
      </c>
      <c r="N249" s="629" t="s">
        <v>988</v>
      </c>
      <c r="O249" s="629" t="s">
        <v>988</v>
      </c>
      <c r="P249" s="629" t="s">
        <v>987</v>
      </c>
      <c r="Q249" s="629" t="s">
        <v>988</v>
      </c>
      <c r="R249" s="629" t="s">
        <v>987</v>
      </c>
      <c r="S249" s="629" t="s">
        <v>987</v>
      </c>
      <c r="T249" s="629" t="s">
        <v>987</v>
      </c>
      <c r="U249" s="629" t="s">
        <v>988</v>
      </c>
      <c r="V249" s="629" t="s">
        <v>987</v>
      </c>
      <c r="W249" s="629" t="s">
        <v>988</v>
      </c>
      <c r="X249" s="629" t="s">
        <v>987</v>
      </c>
      <c r="Y249" s="629" t="s">
        <v>988</v>
      </c>
      <c r="Z249" s="629" t="s">
        <v>987</v>
      </c>
      <c r="AA249" s="629" t="s">
        <v>988</v>
      </c>
      <c r="AB249" s="629" t="s">
        <v>988</v>
      </c>
      <c r="AC249" s="629" t="s">
        <v>988</v>
      </c>
      <c r="AD249" s="629" t="s">
        <v>988</v>
      </c>
      <c r="AE249" s="629" t="s">
        <v>988</v>
      </c>
      <c r="AF249" s="629" t="s">
        <v>987</v>
      </c>
      <c r="AG249" s="629" t="s">
        <v>988</v>
      </c>
      <c r="AH249" s="629" t="s">
        <v>987</v>
      </c>
      <c r="AI249" s="629" t="s">
        <v>988</v>
      </c>
      <c r="AJ249" s="629" t="s">
        <v>988</v>
      </c>
      <c r="AK249" s="629" t="s">
        <v>988</v>
      </c>
      <c r="AL249" s="629" t="s">
        <v>988</v>
      </c>
      <c r="AM249" s="629" t="s">
        <v>988</v>
      </c>
      <c r="AN249" s="629" t="s">
        <v>988</v>
      </c>
      <c r="AO249" s="629" t="s">
        <v>987</v>
      </c>
      <c r="AP249" s="629" t="s">
        <v>988</v>
      </c>
      <c r="AQ249" s="629" t="s">
        <v>988</v>
      </c>
      <c r="AR249" s="629" t="s">
        <v>987</v>
      </c>
      <c r="AS249" s="629" t="s">
        <v>987</v>
      </c>
      <c r="AT249" s="629" t="s">
        <v>987</v>
      </c>
      <c r="AU249" s="629" t="s">
        <v>987</v>
      </c>
      <c r="AV249" s="629" t="s">
        <v>988</v>
      </c>
      <c r="AW249" s="629" t="s">
        <v>988</v>
      </c>
      <c r="AX249" s="629" t="s">
        <v>988</v>
      </c>
      <c r="AY249" s="629" t="s">
        <v>987</v>
      </c>
      <c r="AZ249" s="629" t="s">
        <v>987</v>
      </c>
      <c r="BA249" s="629" t="s">
        <v>988</v>
      </c>
      <c r="BB249" s="629" t="s">
        <v>987</v>
      </c>
      <c r="BC249" s="629" t="s">
        <v>988</v>
      </c>
      <c r="BD249" s="629" t="s">
        <v>988</v>
      </c>
      <c r="BE249" s="629" t="s">
        <v>988</v>
      </c>
      <c r="BF249" s="629" t="s">
        <v>988</v>
      </c>
      <c r="BG249" s="629" t="s">
        <v>988</v>
      </c>
      <c r="BH249" s="629" t="s">
        <v>988</v>
      </c>
      <c r="BI249" s="629" t="s">
        <v>987</v>
      </c>
      <c r="BJ249" s="629" t="s">
        <v>987</v>
      </c>
      <c r="BK249" s="629" t="s">
        <v>987</v>
      </c>
      <c r="BL249" s="629" t="s">
        <v>988</v>
      </c>
      <c r="BM249" s="629" t="s">
        <v>988</v>
      </c>
      <c r="BN249" s="629" t="s">
        <v>987</v>
      </c>
      <c r="BO249" s="629" t="s">
        <v>987</v>
      </c>
      <c r="BP249" s="629" t="s">
        <v>988</v>
      </c>
      <c r="BQ249" s="629" t="s">
        <v>987</v>
      </c>
      <c r="BR249" s="629" t="s">
        <v>987</v>
      </c>
      <c r="BS249" s="629" t="s">
        <v>987</v>
      </c>
      <c r="BT249" s="629" t="s">
        <v>988</v>
      </c>
      <c r="BU249" s="629" t="s">
        <v>987</v>
      </c>
      <c r="BV249" s="629" t="s">
        <v>988</v>
      </c>
      <c r="BW249" s="629" t="s">
        <v>988</v>
      </c>
      <c r="BX249" s="629" t="s">
        <v>988</v>
      </c>
      <c r="BY249" s="629" t="s">
        <v>988</v>
      </c>
      <c r="BZ249" s="629" t="s">
        <v>988</v>
      </c>
      <c r="CA249" s="629" t="s">
        <v>988</v>
      </c>
      <c r="CB249" s="629" t="s">
        <v>987</v>
      </c>
      <c r="CC249" s="629" t="s">
        <v>988</v>
      </c>
      <c r="CD249" s="629" t="s">
        <v>987</v>
      </c>
      <c r="CE249" s="629" t="s">
        <v>988</v>
      </c>
      <c r="CF249" s="629" t="s">
        <v>988</v>
      </c>
      <c r="CG249" s="629" t="s">
        <v>988</v>
      </c>
      <c r="CH249" s="629" t="s">
        <v>988</v>
      </c>
      <c r="CI249" s="629" t="s">
        <v>988</v>
      </c>
      <c r="CJ249" s="629" t="s">
        <v>988</v>
      </c>
      <c r="CK249" s="629" t="s">
        <v>987</v>
      </c>
      <c r="CL249" s="629" t="s">
        <v>988</v>
      </c>
      <c r="CM249" s="629" t="s">
        <v>988</v>
      </c>
      <c r="CN249" s="629" t="s">
        <v>988</v>
      </c>
      <c r="CO249" s="629" t="s">
        <v>988</v>
      </c>
      <c r="CP249" s="629" t="s">
        <v>987</v>
      </c>
      <c r="CQ249" s="629" t="s">
        <v>987</v>
      </c>
    </row>
    <row r="250" spans="1:95" x14ac:dyDescent="0.25">
      <c r="A250" s="567"/>
      <c r="B250" s="590">
        <v>537</v>
      </c>
      <c r="C250" s="576"/>
      <c r="D250" s="577"/>
      <c r="E250" s="595" t="s">
        <v>987</v>
      </c>
      <c r="F250" s="595" t="s">
        <v>71</v>
      </c>
      <c r="G250" s="595" t="s">
        <v>71</v>
      </c>
      <c r="H250" s="595" t="s">
        <v>71</v>
      </c>
      <c r="I250" s="595" t="s">
        <v>70</v>
      </c>
      <c r="J250" s="595" t="s">
        <v>71</v>
      </c>
      <c r="K250" s="595" t="s">
        <v>71</v>
      </c>
      <c r="L250" s="595" t="s">
        <v>71</v>
      </c>
      <c r="M250" s="595" t="s">
        <v>71</v>
      </c>
      <c r="N250" s="595" t="s">
        <v>70</v>
      </c>
      <c r="O250" s="595" t="s">
        <v>71</v>
      </c>
      <c r="P250" s="595" t="s">
        <v>71</v>
      </c>
      <c r="Q250" s="595" t="s">
        <v>71</v>
      </c>
      <c r="R250" s="595" t="s">
        <v>987</v>
      </c>
      <c r="S250" s="595" t="s">
        <v>987</v>
      </c>
      <c r="T250" s="595" t="s">
        <v>987</v>
      </c>
      <c r="U250" s="595" t="s">
        <v>987</v>
      </c>
      <c r="V250" s="595" t="s">
        <v>71</v>
      </c>
      <c r="W250" s="595" t="s">
        <v>71</v>
      </c>
      <c r="X250" s="595" t="s">
        <v>987</v>
      </c>
      <c r="Y250" s="595" t="s">
        <v>71</v>
      </c>
      <c r="Z250" s="595" t="s">
        <v>71</v>
      </c>
      <c r="AA250" s="595" t="s">
        <v>71</v>
      </c>
      <c r="AB250" s="595" t="s">
        <v>71</v>
      </c>
      <c r="AC250" s="595" t="s">
        <v>71</v>
      </c>
      <c r="AD250" s="595" t="s">
        <v>71</v>
      </c>
      <c r="AE250" s="595" t="s">
        <v>70</v>
      </c>
      <c r="AF250" s="595" t="s">
        <v>987</v>
      </c>
      <c r="AG250" s="595" t="s">
        <v>71</v>
      </c>
      <c r="AH250" s="595" t="s">
        <v>987</v>
      </c>
      <c r="AI250" s="595" t="s">
        <v>71</v>
      </c>
      <c r="AJ250" s="595" t="s">
        <v>71</v>
      </c>
      <c r="AK250" s="595" t="s">
        <v>71</v>
      </c>
      <c r="AL250" s="595" t="s">
        <v>71</v>
      </c>
      <c r="AM250" s="595" t="s">
        <v>71</v>
      </c>
      <c r="AN250" s="595" t="s">
        <v>70</v>
      </c>
      <c r="AO250" s="595" t="s">
        <v>987</v>
      </c>
      <c r="AP250" s="595" t="s">
        <v>70</v>
      </c>
      <c r="AQ250" s="595" t="s">
        <v>987</v>
      </c>
      <c r="AR250" s="595" t="s">
        <v>987</v>
      </c>
      <c r="AS250" s="595" t="s">
        <v>71</v>
      </c>
      <c r="AT250" s="595" t="s">
        <v>71</v>
      </c>
      <c r="AU250" s="595" t="s">
        <v>71</v>
      </c>
      <c r="AV250" s="595" t="s">
        <v>71</v>
      </c>
      <c r="AW250" s="595" t="s">
        <v>70</v>
      </c>
      <c r="AX250" s="595" t="s">
        <v>71</v>
      </c>
      <c r="AY250" s="595" t="s">
        <v>71</v>
      </c>
      <c r="AZ250" s="595" t="s">
        <v>71</v>
      </c>
      <c r="BA250" s="595" t="s">
        <v>71</v>
      </c>
      <c r="BB250" s="595" t="s">
        <v>987</v>
      </c>
      <c r="BC250" s="595" t="s">
        <v>70</v>
      </c>
      <c r="BD250" s="595" t="s">
        <v>70</v>
      </c>
      <c r="BE250" s="595" t="s">
        <v>70</v>
      </c>
      <c r="BF250" s="595" t="s">
        <v>71</v>
      </c>
      <c r="BG250" s="595" t="s">
        <v>71</v>
      </c>
      <c r="BH250" s="595" t="s">
        <v>71</v>
      </c>
      <c r="BI250" s="595" t="s">
        <v>987</v>
      </c>
      <c r="BJ250" s="595" t="s">
        <v>71</v>
      </c>
      <c r="BK250" s="595" t="s">
        <v>71</v>
      </c>
      <c r="BL250" s="595" t="s">
        <v>70</v>
      </c>
      <c r="BM250" s="595" t="s">
        <v>70</v>
      </c>
      <c r="BN250" s="595" t="s">
        <v>987</v>
      </c>
      <c r="BO250" s="595" t="s">
        <v>71</v>
      </c>
      <c r="BP250" s="595" t="s">
        <v>987</v>
      </c>
      <c r="BQ250" s="595" t="s">
        <v>71</v>
      </c>
      <c r="BR250" s="595" t="s">
        <v>987</v>
      </c>
      <c r="BS250" s="595" t="s">
        <v>987</v>
      </c>
      <c r="BT250" s="595" t="s">
        <v>71</v>
      </c>
      <c r="BU250" s="595" t="s">
        <v>71</v>
      </c>
      <c r="BV250" s="595" t="s">
        <v>71</v>
      </c>
      <c r="BW250" s="595" t="s">
        <v>71</v>
      </c>
      <c r="BX250" s="595" t="s">
        <v>71</v>
      </c>
      <c r="BY250" s="595" t="s">
        <v>71</v>
      </c>
      <c r="BZ250" s="595" t="s">
        <v>987</v>
      </c>
      <c r="CA250" s="595" t="s">
        <v>70</v>
      </c>
      <c r="CB250" s="595" t="s">
        <v>987</v>
      </c>
      <c r="CC250" s="595" t="s">
        <v>70</v>
      </c>
      <c r="CD250" s="595" t="s">
        <v>71</v>
      </c>
      <c r="CE250" s="595" t="s">
        <v>71</v>
      </c>
      <c r="CF250" s="595" t="s">
        <v>987</v>
      </c>
      <c r="CG250" s="595" t="s">
        <v>70</v>
      </c>
      <c r="CH250" s="595" t="s">
        <v>70</v>
      </c>
      <c r="CI250" s="595" t="s">
        <v>71</v>
      </c>
      <c r="CJ250" s="595" t="s">
        <v>71</v>
      </c>
      <c r="CK250" s="595" t="s">
        <v>71</v>
      </c>
      <c r="CL250" s="595" t="s">
        <v>71</v>
      </c>
      <c r="CM250" s="595" t="s">
        <v>71</v>
      </c>
      <c r="CN250" s="595" t="s">
        <v>71</v>
      </c>
      <c r="CO250" s="595" t="s">
        <v>71</v>
      </c>
      <c r="CP250" s="595" t="s">
        <v>71</v>
      </c>
      <c r="CQ250" s="595" t="s">
        <v>987</v>
      </c>
    </row>
    <row r="251" spans="1:95" x14ac:dyDescent="0.25">
      <c r="A251" s="567"/>
      <c r="B251" s="590">
        <v>538</v>
      </c>
      <c r="C251" s="576"/>
      <c r="D251" s="577"/>
      <c r="E251" s="595" t="s">
        <v>987</v>
      </c>
      <c r="F251" s="595" t="s">
        <v>71</v>
      </c>
      <c r="G251" s="595" t="s">
        <v>71</v>
      </c>
      <c r="H251" s="595" t="s">
        <v>71</v>
      </c>
      <c r="I251" s="595" t="s">
        <v>70</v>
      </c>
      <c r="J251" s="595" t="s">
        <v>71</v>
      </c>
      <c r="K251" s="595" t="s">
        <v>70</v>
      </c>
      <c r="L251" s="595" t="s">
        <v>71</v>
      </c>
      <c r="M251" s="595" t="s">
        <v>71</v>
      </c>
      <c r="N251" s="595" t="s">
        <v>71</v>
      </c>
      <c r="O251" s="595" t="s">
        <v>71</v>
      </c>
      <c r="P251" s="595" t="s">
        <v>71</v>
      </c>
      <c r="Q251" s="595" t="s">
        <v>71</v>
      </c>
      <c r="R251" s="595" t="s">
        <v>987</v>
      </c>
      <c r="S251" s="595" t="s">
        <v>987</v>
      </c>
      <c r="T251" s="595" t="s">
        <v>987</v>
      </c>
      <c r="U251" s="595" t="s">
        <v>987</v>
      </c>
      <c r="V251" s="595" t="s">
        <v>71</v>
      </c>
      <c r="W251" s="595" t="s">
        <v>71</v>
      </c>
      <c r="X251" s="595" t="s">
        <v>987</v>
      </c>
      <c r="Y251" s="595" t="s">
        <v>71</v>
      </c>
      <c r="Z251" s="595" t="s">
        <v>71</v>
      </c>
      <c r="AA251" s="595" t="s">
        <v>71</v>
      </c>
      <c r="AB251" s="595" t="s">
        <v>70</v>
      </c>
      <c r="AC251" s="595" t="s">
        <v>71</v>
      </c>
      <c r="AD251" s="595" t="s">
        <v>71</v>
      </c>
      <c r="AE251" s="595" t="s">
        <v>70</v>
      </c>
      <c r="AF251" s="595" t="s">
        <v>987</v>
      </c>
      <c r="AG251" s="595" t="s">
        <v>71</v>
      </c>
      <c r="AH251" s="595" t="s">
        <v>987</v>
      </c>
      <c r="AI251" s="595" t="s">
        <v>71</v>
      </c>
      <c r="AJ251" s="595" t="s">
        <v>71</v>
      </c>
      <c r="AK251" s="595" t="s">
        <v>71</v>
      </c>
      <c r="AL251" s="595" t="s">
        <v>71</v>
      </c>
      <c r="AM251" s="595" t="s">
        <v>71</v>
      </c>
      <c r="AN251" s="595" t="s">
        <v>71</v>
      </c>
      <c r="AO251" s="595" t="s">
        <v>987</v>
      </c>
      <c r="AP251" s="595" t="s">
        <v>70</v>
      </c>
      <c r="AQ251" s="595" t="s">
        <v>987</v>
      </c>
      <c r="AR251" s="595" t="s">
        <v>987</v>
      </c>
      <c r="AS251" s="595" t="s">
        <v>71</v>
      </c>
      <c r="AT251" s="595" t="s">
        <v>71</v>
      </c>
      <c r="AU251" s="595" t="s">
        <v>71</v>
      </c>
      <c r="AV251" s="595" t="s">
        <v>70</v>
      </c>
      <c r="AW251" s="595" t="s">
        <v>71</v>
      </c>
      <c r="AX251" s="595" t="s">
        <v>71</v>
      </c>
      <c r="AY251" s="595" t="s">
        <v>71</v>
      </c>
      <c r="AZ251" s="595" t="s">
        <v>71</v>
      </c>
      <c r="BA251" s="595" t="s">
        <v>71</v>
      </c>
      <c r="BB251" s="595" t="s">
        <v>987</v>
      </c>
      <c r="BC251" s="595" t="s">
        <v>70</v>
      </c>
      <c r="BD251" s="595" t="s">
        <v>70</v>
      </c>
      <c r="BE251" s="595" t="s">
        <v>71</v>
      </c>
      <c r="BF251" s="595" t="s">
        <v>70</v>
      </c>
      <c r="BG251" s="595" t="s">
        <v>71</v>
      </c>
      <c r="BH251" s="595" t="s">
        <v>70</v>
      </c>
      <c r="BI251" s="595" t="s">
        <v>987</v>
      </c>
      <c r="BJ251" s="595" t="s">
        <v>987</v>
      </c>
      <c r="BK251" s="595" t="s">
        <v>71</v>
      </c>
      <c r="BL251" s="595" t="s">
        <v>70</v>
      </c>
      <c r="BM251" s="595" t="s">
        <v>70</v>
      </c>
      <c r="BN251" s="595" t="s">
        <v>987</v>
      </c>
      <c r="BO251" s="595" t="s">
        <v>71</v>
      </c>
      <c r="BP251" s="595" t="s">
        <v>987</v>
      </c>
      <c r="BQ251" s="595" t="s">
        <v>71</v>
      </c>
      <c r="BR251" s="595" t="s">
        <v>987</v>
      </c>
      <c r="BS251" s="595" t="s">
        <v>987</v>
      </c>
      <c r="BT251" s="595" t="s">
        <v>71</v>
      </c>
      <c r="BU251" s="595" t="s">
        <v>71</v>
      </c>
      <c r="BV251" s="595" t="s">
        <v>71</v>
      </c>
      <c r="BW251" s="595" t="s">
        <v>71</v>
      </c>
      <c r="BX251" s="595" t="s">
        <v>71</v>
      </c>
      <c r="BY251" s="595" t="s">
        <v>71</v>
      </c>
      <c r="BZ251" s="595" t="s">
        <v>987</v>
      </c>
      <c r="CA251" s="595" t="s">
        <v>71</v>
      </c>
      <c r="CB251" s="595" t="s">
        <v>987</v>
      </c>
      <c r="CC251" s="595" t="s">
        <v>70</v>
      </c>
      <c r="CD251" s="595" t="s">
        <v>71</v>
      </c>
      <c r="CE251" s="595" t="s">
        <v>71</v>
      </c>
      <c r="CF251" s="595" t="s">
        <v>987</v>
      </c>
      <c r="CG251" s="595" t="s">
        <v>70</v>
      </c>
      <c r="CH251" s="595" t="s">
        <v>70</v>
      </c>
      <c r="CI251" s="595" t="s">
        <v>70</v>
      </c>
      <c r="CJ251" s="595" t="s">
        <v>71</v>
      </c>
      <c r="CK251" s="595" t="s">
        <v>71</v>
      </c>
      <c r="CL251" s="595" t="s">
        <v>71</v>
      </c>
      <c r="CM251" s="595" t="s">
        <v>71</v>
      </c>
      <c r="CN251" s="595" t="s">
        <v>71</v>
      </c>
      <c r="CO251" s="595" t="s">
        <v>71</v>
      </c>
      <c r="CP251" s="595" t="s">
        <v>71</v>
      </c>
      <c r="CQ251" s="595" t="s">
        <v>987</v>
      </c>
    </row>
    <row r="252" spans="1:95" ht="28.5" x14ac:dyDescent="0.25">
      <c r="A252" s="567">
        <v>591</v>
      </c>
      <c r="B252" s="556">
        <v>591</v>
      </c>
      <c r="C252" s="598" t="s">
        <v>467</v>
      </c>
      <c r="D252" s="577"/>
      <c r="E252" s="595">
        <v>0</v>
      </c>
      <c r="F252" s="596">
        <v>182369</v>
      </c>
      <c r="G252" s="596">
        <v>444620</v>
      </c>
      <c r="H252" s="596">
        <v>2338341</v>
      </c>
      <c r="I252" s="596">
        <v>2902563</v>
      </c>
      <c r="J252" s="596">
        <v>301576</v>
      </c>
      <c r="K252" s="597">
        <v>58962960</v>
      </c>
      <c r="L252" s="594">
        <v>641058</v>
      </c>
      <c r="M252" s="594">
        <v>0</v>
      </c>
      <c r="N252" s="593">
        <v>509033</v>
      </c>
      <c r="O252" s="593">
        <v>711968</v>
      </c>
      <c r="P252" s="593">
        <v>0</v>
      </c>
      <c r="Q252" s="593">
        <v>344386</v>
      </c>
      <c r="R252" s="593">
        <v>479628</v>
      </c>
      <c r="S252" s="593">
        <v>0</v>
      </c>
      <c r="T252" s="593">
        <v>0</v>
      </c>
      <c r="U252" s="593">
        <v>0</v>
      </c>
      <c r="V252" s="593">
        <v>386437</v>
      </c>
      <c r="W252" s="593">
        <v>921505</v>
      </c>
      <c r="X252" s="593">
        <v>0</v>
      </c>
      <c r="Y252" s="593">
        <v>1999262</v>
      </c>
      <c r="Z252" s="593">
        <v>0</v>
      </c>
      <c r="AA252" s="593">
        <v>25329581</v>
      </c>
      <c r="AB252" s="594">
        <v>2678734</v>
      </c>
      <c r="AC252" s="594">
        <v>266746</v>
      </c>
      <c r="AD252" s="594">
        <v>268091</v>
      </c>
      <c r="AE252" s="594">
        <v>12209899</v>
      </c>
      <c r="AF252" s="594">
        <v>0</v>
      </c>
      <c r="AG252" s="594">
        <v>701121</v>
      </c>
      <c r="AH252" s="594">
        <v>0</v>
      </c>
      <c r="AI252" s="594">
        <v>222877</v>
      </c>
      <c r="AJ252" s="594">
        <v>2390001</v>
      </c>
      <c r="AK252" s="594">
        <v>1866970</v>
      </c>
      <c r="AL252" s="594">
        <v>1728429</v>
      </c>
      <c r="AM252" s="594">
        <v>1776186</v>
      </c>
      <c r="AN252" s="594">
        <v>41551</v>
      </c>
      <c r="AO252" s="594">
        <v>0</v>
      </c>
      <c r="AP252" s="594">
        <v>4544064</v>
      </c>
      <c r="AQ252" s="594">
        <v>0</v>
      </c>
      <c r="AR252" s="594">
        <v>0</v>
      </c>
      <c r="AS252" s="594">
        <v>0</v>
      </c>
      <c r="AT252" s="594">
        <v>0</v>
      </c>
      <c r="AU252" s="594">
        <v>0</v>
      </c>
      <c r="AV252" s="594">
        <v>142054</v>
      </c>
      <c r="AW252" s="594">
        <v>2420372</v>
      </c>
      <c r="AX252" s="594">
        <v>309338</v>
      </c>
      <c r="AY252" s="594">
        <v>20200887</v>
      </c>
      <c r="AZ252" s="594">
        <v>14752</v>
      </c>
      <c r="BA252" s="594">
        <v>3401642</v>
      </c>
      <c r="BB252" s="594">
        <v>0</v>
      </c>
      <c r="BC252" s="594">
        <v>862701</v>
      </c>
      <c r="BD252" s="594">
        <v>789930</v>
      </c>
      <c r="BE252" s="594">
        <v>453473</v>
      </c>
      <c r="BF252" s="594">
        <v>1966341</v>
      </c>
      <c r="BG252" s="594">
        <v>1493569</v>
      </c>
      <c r="BH252" s="594">
        <v>37623887</v>
      </c>
      <c r="BI252" s="594">
        <v>0</v>
      </c>
      <c r="BJ252" s="594">
        <v>0</v>
      </c>
      <c r="BK252" s="594">
        <v>0</v>
      </c>
      <c r="BL252" s="594">
        <v>12688513</v>
      </c>
      <c r="BM252" s="594">
        <v>7880874</v>
      </c>
      <c r="BN252" s="594">
        <v>0</v>
      </c>
      <c r="BO252" s="594">
        <v>0</v>
      </c>
      <c r="BP252" s="594">
        <v>0</v>
      </c>
      <c r="BQ252" s="594">
        <v>60725</v>
      </c>
      <c r="BR252" s="594">
        <v>0</v>
      </c>
      <c r="BS252" s="594">
        <v>0</v>
      </c>
      <c r="BT252" s="594">
        <v>1036086</v>
      </c>
      <c r="BU252" s="594">
        <v>0</v>
      </c>
      <c r="BV252" s="594">
        <v>1092399</v>
      </c>
      <c r="BW252" s="594">
        <v>1404871</v>
      </c>
      <c r="BX252" s="594">
        <v>2676168</v>
      </c>
      <c r="BY252" s="594">
        <v>31078</v>
      </c>
      <c r="BZ252" s="594">
        <v>0</v>
      </c>
      <c r="CA252" s="594">
        <v>4290683</v>
      </c>
      <c r="CB252" s="594">
        <v>22411102</v>
      </c>
      <c r="CC252" s="594">
        <v>173271900</v>
      </c>
      <c r="CD252" s="594">
        <v>74893</v>
      </c>
      <c r="CE252" s="594">
        <v>5596440</v>
      </c>
      <c r="CF252" s="594">
        <v>0</v>
      </c>
      <c r="CG252" s="594">
        <v>1743808</v>
      </c>
      <c r="CH252" s="594">
        <v>141555618</v>
      </c>
      <c r="CI252" s="594">
        <v>9991792</v>
      </c>
      <c r="CJ252" s="594">
        <v>668120</v>
      </c>
      <c r="CK252" s="594">
        <v>0</v>
      </c>
      <c r="CL252" s="594">
        <v>212100</v>
      </c>
      <c r="CM252" s="594">
        <v>2497074</v>
      </c>
      <c r="CN252" s="594">
        <v>2419529</v>
      </c>
      <c r="CO252" s="594">
        <v>1584273</v>
      </c>
      <c r="CP252" s="594">
        <v>0</v>
      </c>
      <c r="CQ252" s="594">
        <v>992</v>
      </c>
    </row>
    <row r="253" spans="1:95" ht="28.5" x14ac:dyDescent="0.25">
      <c r="A253" s="567">
        <v>592</v>
      </c>
      <c r="B253" s="556">
        <v>592</v>
      </c>
      <c r="C253" s="598" t="s">
        <v>468</v>
      </c>
      <c r="D253" s="577"/>
      <c r="E253" s="595">
        <v>0</v>
      </c>
      <c r="F253" s="596">
        <v>311435</v>
      </c>
      <c r="G253" s="596">
        <v>-9288</v>
      </c>
      <c r="H253" s="596">
        <v>270703</v>
      </c>
      <c r="I253" s="596">
        <v>304478</v>
      </c>
      <c r="J253" s="596">
        <v>-25294</v>
      </c>
      <c r="K253" s="597">
        <v>7423793</v>
      </c>
      <c r="L253" s="594">
        <v>-134500</v>
      </c>
      <c r="M253" s="594">
        <v>0</v>
      </c>
      <c r="N253" s="593">
        <v>-24784</v>
      </c>
      <c r="O253" s="593">
        <v>45353</v>
      </c>
      <c r="P253" s="593">
        <v>0</v>
      </c>
      <c r="Q253" s="593">
        <v>-96425</v>
      </c>
      <c r="R253" s="593">
        <v>53029</v>
      </c>
      <c r="S253" s="593">
        <v>0</v>
      </c>
      <c r="T253" s="593">
        <v>0</v>
      </c>
      <c r="U253" s="593">
        <v>0</v>
      </c>
      <c r="V253" s="593">
        <v>29454</v>
      </c>
      <c r="W253" s="593">
        <v>324602</v>
      </c>
      <c r="X253" s="593">
        <v>0</v>
      </c>
      <c r="Y253" s="593">
        <v>120833</v>
      </c>
      <c r="Z253" s="593">
        <v>0</v>
      </c>
      <c r="AA253" s="593">
        <v>2854690</v>
      </c>
      <c r="AB253" s="594">
        <v>287273</v>
      </c>
      <c r="AC253" s="594">
        <v>-88018</v>
      </c>
      <c r="AD253" s="594">
        <v>-45533</v>
      </c>
      <c r="AE253" s="594">
        <v>679989</v>
      </c>
      <c r="AF253" s="594">
        <v>0</v>
      </c>
      <c r="AG253" s="594">
        <v>271252</v>
      </c>
      <c r="AH253" s="594">
        <v>0</v>
      </c>
      <c r="AI253" s="594">
        <v>383252</v>
      </c>
      <c r="AJ253" s="594">
        <v>-431685</v>
      </c>
      <c r="AK253" s="594">
        <v>782</v>
      </c>
      <c r="AL253" s="594">
        <v>251346</v>
      </c>
      <c r="AM253" s="594">
        <v>26913</v>
      </c>
      <c r="AN253" s="594">
        <v>9836</v>
      </c>
      <c r="AO253" s="594">
        <v>0</v>
      </c>
      <c r="AP253" s="594">
        <v>242104</v>
      </c>
      <c r="AQ253" s="594">
        <v>0</v>
      </c>
      <c r="AR253" s="594">
        <v>0</v>
      </c>
      <c r="AS253" s="594">
        <v>0</v>
      </c>
      <c r="AT253" s="594">
        <v>0</v>
      </c>
      <c r="AU253" s="594">
        <v>0</v>
      </c>
      <c r="AV253" s="594">
        <v>-27099</v>
      </c>
      <c r="AW253" s="594">
        <v>410178</v>
      </c>
      <c r="AX253" s="594">
        <v>-93330</v>
      </c>
      <c r="AY253" s="594">
        <v>928867</v>
      </c>
      <c r="AZ253" s="594">
        <v>229392</v>
      </c>
      <c r="BA253" s="594">
        <v>-40606</v>
      </c>
      <c r="BB253" s="594">
        <v>0</v>
      </c>
      <c r="BC253" s="594">
        <v>271835</v>
      </c>
      <c r="BD253" s="594">
        <v>-284137</v>
      </c>
      <c r="BE253" s="594">
        <v>-18577</v>
      </c>
      <c r="BF253" s="594">
        <v>-209556</v>
      </c>
      <c r="BG253" s="594">
        <v>1005174</v>
      </c>
      <c r="BH253" s="594">
        <v>6343211</v>
      </c>
      <c r="BI253" s="594">
        <v>0</v>
      </c>
      <c r="BJ253" s="594">
        <v>0</v>
      </c>
      <c r="BK253" s="594">
        <v>0</v>
      </c>
      <c r="BL253" s="594">
        <v>1117085</v>
      </c>
      <c r="BM253" s="594">
        <v>218376</v>
      </c>
      <c r="BN253" s="594">
        <v>0</v>
      </c>
      <c r="BO253" s="594">
        <v>0</v>
      </c>
      <c r="BP253" s="594">
        <v>0</v>
      </c>
      <c r="BQ253" s="594">
        <v>0</v>
      </c>
      <c r="BR253" s="594">
        <v>0</v>
      </c>
      <c r="BS253" s="594">
        <v>0</v>
      </c>
      <c r="BT253" s="594">
        <v>13002</v>
      </c>
      <c r="BU253" s="594">
        <v>0</v>
      </c>
      <c r="BV253" s="594">
        <v>32353</v>
      </c>
      <c r="BW253" s="594">
        <v>-127442</v>
      </c>
      <c r="BX253" s="594">
        <v>-266511</v>
      </c>
      <c r="BY253" s="594">
        <v>11152</v>
      </c>
      <c r="BZ253" s="594">
        <v>0</v>
      </c>
      <c r="CA253" s="594">
        <v>-25273</v>
      </c>
      <c r="CB253" s="594">
        <v>5593838</v>
      </c>
      <c r="CC253" s="594">
        <v>18568486</v>
      </c>
      <c r="CD253" s="594">
        <v>-166693</v>
      </c>
      <c r="CE253" s="594">
        <v>-190838</v>
      </c>
      <c r="CF253" s="594">
        <v>0</v>
      </c>
      <c r="CG253" s="594">
        <v>100388</v>
      </c>
      <c r="CH253" s="594">
        <v>48705460</v>
      </c>
      <c r="CI253" s="594">
        <v>901132</v>
      </c>
      <c r="CJ253" s="594">
        <v>-66643</v>
      </c>
      <c r="CK253" s="594">
        <v>0</v>
      </c>
      <c r="CL253" s="594">
        <v>51641</v>
      </c>
      <c r="CM253" s="594">
        <v>591777</v>
      </c>
      <c r="CN253" s="594">
        <v>79073</v>
      </c>
      <c r="CO253" s="594">
        <v>154517</v>
      </c>
      <c r="CP253" s="594">
        <v>0</v>
      </c>
      <c r="CQ253" s="594">
        <v>3889</v>
      </c>
    </row>
    <row r="254" spans="1:95" x14ac:dyDescent="0.25">
      <c r="B254" s="557"/>
      <c r="C254" s="598" t="s">
        <v>989</v>
      </c>
      <c r="D254" s="577"/>
      <c r="E254" s="595"/>
      <c r="F254" s="596"/>
      <c r="G254" s="596"/>
      <c r="H254" s="596"/>
      <c r="I254" s="596"/>
      <c r="J254" s="596"/>
      <c r="K254" s="597"/>
      <c r="L254" s="594"/>
      <c r="M254" s="594"/>
      <c r="N254" s="593"/>
      <c r="O254" s="593"/>
      <c r="P254" s="593"/>
      <c r="Q254" s="593"/>
      <c r="R254" s="593"/>
      <c r="S254" s="593"/>
      <c r="T254" s="593"/>
      <c r="U254" s="593"/>
      <c r="V254" s="593"/>
      <c r="W254" s="593"/>
      <c r="X254" s="593"/>
      <c r="Y254" s="593"/>
      <c r="Z254" s="593"/>
      <c r="AA254" s="593"/>
      <c r="AB254" s="594"/>
      <c r="AC254" s="594"/>
      <c r="AD254" s="594"/>
      <c r="AE254" s="594"/>
      <c r="AF254" s="594"/>
      <c r="AG254" s="594"/>
      <c r="AH254" s="594"/>
      <c r="AI254" s="594"/>
      <c r="AJ254" s="594"/>
      <c r="AK254" s="594"/>
      <c r="AL254" s="594"/>
      <c r="AM254" s="594"/>
      <c r="AN254" s="594"/>
      <c r="AO254" s="594"/>
      <c r="AP254" s="594"/>
      <c r="AQ254" s="594"/>
      <c r="AR254" s="594"/>
      <c r="AS254" s="594"/>
      <c r="AT254" s="594"/>
      <c r="AU254" s="594"/>
      <c r="AV254" s="594"/>
      <c r="AW254" s="594"/>
      <c r="AX254" s="594"/>
      <c r="AY254" s="594"/>
      <c r="AZ254" s="594"/>
      <c r="BA254" s="594"/>
      <c r="BB254" s="594"/>
      <c r="BC254" s="594"/>
      <c r="BD254" s="594"/>
      <c r="BE254" s="594"/>
      <c r="BF254" s="594"/>
      <c r="BG254" s="594"/>
      <c r="BH254" s="594"/>
      <c r="BI254" s="594"/>
      <c r="BJ254" s="594"/>
      <c r="BK254" s="594"/>
      <c r="BL254" s="594"/>
      <c r="BM254" s="594"/>
      <c r="BN254" s="594"/>
      <c r="BO254" s="594"/>
      <c r="BP254" s="594"/>
      <c r="BQ254" s="594"/>
      <c r="BR254" s="594"/>
      <c r="BS254" s="594"/>
      <c r="BT254" s="594"/>
      <c r="BU254" s="594"/>
      <c r="BV254" s="594"/>
      <c r="BW254" s="594"/>
      <c r="BX254" s="594"/>
      <c r="BY254" s="594"/>
      <c r="BZ254" s="594"/>
      <c r="CA254" s="594"/>
      <c r="CB254" s="594"/>
      <c r="CC254" s="594"/>
      <c r="CD254" s="594"/>
      <c r="CE254" s="594"/>
      <c r="CF254" s="594"/>
      <c r="CG254" s="594"/>
      <c r="CH254" s="594"/>
      <c r="CI254" s="594"/>
      <c r="CJ254" s="594"/>
      <c r="CK254" s="594"/>
      <c r="CL254" s="594"/>
      <c r="CM254" s="594"/>
      <c r="CN254" s="594"/>
      <c r="CO254" s="594"/>
      <c r="CP254" s="594"/>
      <c r="CQ254" s="594"/>
    </row>
    <row r="255" spans="1:95" x14ac:dyDescent="0.25">
      <c r="A255" s="567">
        <v>596</v>
      </c>
      <c r="B255" s="556">
        <v>596</v>
      </c>
      <c r="C255" s="598" t="s">
        <v>473</v>
      </c>
      <c r="D255" s="577"/>
      <c r="E255" s="595">
        <v>0</v>
      </c>
      <c r="F255" s="596">
        <v>52</v>
      </c>
      <c r="G255" s="596">
        <v>52</v>
      </c>
      <c r="H255" s="596">
        <v>52</v>
      </c>
      <c r="I255" s="596">
        <v>52</v>
      </c>
      <c r="J255" s="596">
        <v>52</v>
      </c>
      <c r="K255" s="597">
        <v>52</v>
      </c>
      <c r="L255" s="594">
        <v>52</v>
      </c>
      <c r="M255" s="594">
        <v>52</v>
      </c>
      <c r="N255" s="593">
        <v>52</v>
      </c>
      <c r="O255" s="593">
        <v>52</v>
      </c>
      <c r="P255" s="593">
        <v>52</v>
      </c>
      <c r="Q255" s="593">
        <v>52</v>
      </c>
      <c r="R255" s="593">
        <v>0</v>
      </c>
      <c r="S255" s="593">
        <v>52</v>
      </c>
      <c r="T255" s="593">
        <v>52</v>
      </c>
      <c r="U255" s="593">
        <v>0</v>
      </c>
      <c r="V255" s="593">
        <v>52</v>
      </c>
      <c r="W255" s="593">
        <v>52</v>
      </c>
      <c r="X255" s="593">
        <v>52</v>
      </c>
      <c r="Y255" s="593">
        <v>52</v>
      </c>
      <c r="Z255" s="593">
        <v>0</v>
      </c>
      <c r="AA255" s="593">
        <v>52</v>
      </c>
      <c r="AB255" s="594">
        <v>52</v>
      </c>
      <c r="AC255" s="594">
        <v>52</v>
      </c>
      <c r="AD255" s="594">
        <v>52</v>
      </c>
      <c r="AE255" s="594">
        <v>52</v>
      </c>
      <c r="AF255" s="594">
        <v>52</v>
      </c>
      <c r="AG255" s="594">
        <v>52</v>
      </c>
      <c r="AH255" s="594">
        <v>0</v>
      </c>
      <c r="AI255" s="594">
        <v>52</v>
      </c>
      <c r="AJ255" s="594">
        <v>52</v>
      </c>
      <c r="AK255" s="594">
        <v>52</v>
      </c>
      <c r="AL255" s="594">
        <v>52</v>
      </c>
      <c r="AM255" s="594">
        <v>52</v>
      </c>
      <c r="AN255" s="594">
        <v>52</v>
      </c>
      <c r="AO255" s="594">
        <v>52</v>
      </c>
      <c r="AP255" s="594">
        <v>52</v>
      </c>
      <c r="AQ255" s="594">
        <v>0</v>
      </c>
      <c r="AR255" s="594">
        <v>52</v>
      </c>
      <c r="AS255" s="594">
        <v>52</v>
      </c>
      <c r="AT255" s="594">
        <v>52</v>
      </c>
      <c r="AU255" s="594">
        <v>52</v>
      </c>
      <c r="AV255" s="594">
        <v>52</v>
      </c>
      <c r="AW255" s="594">
        <v>52</v>
      </c>
      <c r="AX255" s="594">
        <v>52</v>
      </c>
      <c r="AY255" s="594">
        <v>51</v>
      </c>
      <c r="AZ255" s="594">
        <v>51</v>
      </c>
      <c r="BA255" s="594">
        <v>52</v>
      </c>
      <c r="BB255" s="594">
        <v>52</v>
      </c>
      <c r="BC255" s="594">
        <v>52</v>
      </c>
      <c r="BD255" s="594">
        <v>52</v>
      </c>
      <c r="BE255" s="594">
        <v>52</v>
      </c>
      <c r="BF255" s="594">
        <v>52</v>
      </c>
      <c r="BG255" s="594">
        <v>52</v>
      </c>
      <c r="BH255" s="594">
        <v>52</v>
      </c>
      <c r="BI255" s="594">
        <v>52</v>
      </c>
      <c r="BJ255" s="594">
        <v>52</v>
      </c>
      <c r="BK255" s="594">
        <v>52</v>
      </c>
      <c r="BL255" s="594">
        <v>52</v>
      </c>
      <c r="BM255" s="594">
        <v>52</v>
      </c>
      <c r="BN255" s="594">
        <v>52</v>
      </c>
      <c r="BO255" s="594">
        <v>52</v>
      </c>
      <c r="BP255" s="594">
        <v>0</v>
      </c>
      <c r="BQ255" s="594">
        <v>52</v>
      </c>
      <c r="BR255" s="594">
        <v>0</v>
      </c>
      <c r="BS255" s="594">
        <v>0</v>
      </c>
      <c r="BT255" s="594">
        <v>52</v>
      </c>
      <c r="BU255" s="594">
        <v>52</v>
      </c>
      <c r="BV255" s="594">
        <v>52</v>
      </c>
      <c r="BW255" s="594">
        <v>52</v>
      </c>
      <c r="BX255" s="594">
        <v>52</v>
      </c>
      <c r="BY255" s="594">
        <v>52</v>
      </c>
      <c r="BZ255" s="594">
        <v>0</v>
      </c>
      <c r="CA255" s="594">
        <v>52</v>
      </c>
      <c r="CB255" s="594">
        <v>0</v>
      </c>
      <c r="CC255" s="594">
        <v>52</v>
      </c>
      <c r="CD255" s="594">
        <v>52</v>
      </c>
      <c r="CE255" s="594">
        <v>52</v>
      </c>
      <c r="CF255" s="594">
        <v>0</v>
      </c>
      <c r="CG255" s="594">
        <v>52</v>
      </c>
      <c r="CH255" s="594">
        <v>52</v>
      </c>
      <c r="CI255" s="594">
        <v>52</v>
      </c>
      <c r="CJ255" s="594">
        <v>52</v>
      </c>
      <c r="CK255" s="594">
        <v>0</v>
      </c>
      <c r="CL255" s="594">
        <v>52</v>
      </c>
      <c r="CM255" s="594">
        <v>52</v>
      </c>
      <c r="CN255" s="594">
        <v>52</v>
      </c>
      <c r="CO255" s="594">
        <v>52</v>
      </c>
      <c r="CP255" s="594">
        <v>52</v>
      </c>
      <c r="CQ255" s="594">
        <v>52</v>
      </c>
    </row>
    <row r="256" spans="1:95" ht="28.5" x14ac:dyDescent="0.25">
      <c r="A256" s="567">
        <v>597</v>
      </c>
      <c r="B256" s="556">
        <v>597</v>
      </c>
      <c r="C256" s="598" t="s">
        <v>990</v>
      </c>
      <c r="D256" s="577"/>
      <c r="E256" s="595">
        <v>804</v>
      </c>
      <c r="F256" s="596">
        <v>90526</v>
      </c>
      <c r="G256" s="596">
        <v>2458</v>
      </c>
      <c r="H256" s="596">
        <v>17374</v>
      </c>
      <c r="I256" s="596">
        <v>54531</v>
      </c>
      <c r="J256" s="596">
        <v>2355</v>
      </c>
      <c r="K256" s="597">
        <v>575649</v>
      </c>
      <c r="L256" s="594">
        <v>9737</v>
      </c>
      <c r="M256" s="594">
        <v>137</v>
      </c>
      <c r="N256" s="593">
        <v>19374</v>
      </c>
      <c r="O256" s="593">
        <v>1509</v>
      </c>
      <c r="P256" s="593">
        <v>57</v>
      </c>
      <c r="Q256" s="593">
        <v>894</v>
      </c>
      <c r="R256" s="593">
        <v>12900</v>
      </c>
      <c r="S256" s="593">
        <v>97212</v>
      </c>
      <c r="T256" s="593">
        <v>94114</v>
      </c>
      <c r="U256" s="593">
        <v>0</v>
      </c>
      <c r="V256" s="593">
        <v>25378</v>
      </c>
      <c r="W256" s="593">
        <v>49944</v>
      </c>
      <c r="X256" s="593">
        <v>81921</v>
      </c>
      <c r="Y256" s="593">
        <v>29</v>
      </c>
      <c r="Z256" s="593">
        <v>61</v>
      </c>
      <c r="AA256" s="593">
        <v>213912</v>
      </c>
      <c r="AB256" s="594">
        <v>998</v>
      </c>
      <c r="AC256" s="594">
        <v>973</v>
      </c>
      <c r="AD256" s="594">
        <v>1187</v>
      </c>
      <c r="AE256" s="594">
        <v>124935</v>
      </c>
      <c r="AF256" s="594">
        <v>17848</v>
      </c>
      <c r="AG256" s="594">
        <v>79607</v>
      </c>
      <c r="AH256" s="594">
        <v>41983</v>
      </c>
      <c r="AI256" s="594">
        <v>750</v>
      </c>
      <c r="AJ256" s="594">
        <v>28615</v>
      </c>
      <c r="AK256" s="594">
        <v>11749</v>
      </c>
      <c r="AL256" s="594">
        <v>2510</v>
      </c>
      <c r="AM256" s="594">
        <v>2689</v>
      </c>
      <c r="AN256" s="594">
        <v>134</v>
      </c>
      <c r="AO256" s="594">
        <v>21076</v>
      </c>
      <c r="AP256" s="594">
        <v>26083</v>
      </c>
      <c r="AQ256" s="594">
        <v>0</v>
      </c>
      <c r="AR256" s="594">
        <v>87</v>
      </c>
      <c r="AS256" s="594">
        <v>10623</v>
      </c>
      <c r="AT256" s="594">
        <v>857</v>
      </c>
      <c r="AU256" s="594">
        <v>1956</v>
      </c>
      <c r="AV256" s="594">
        <v>4191</v>
      </c>
      <c r="AW256" s="594">
        <v>39281</v>
      </c>
      <c r="AX256" s="594">
        <v>1194</v>
      </c>
      <c r="AY256" s="594">
        <v>328284</v>
      </c>
      <c r="AZ256" s="594">
        <v>49321</v>
      </c>
      <c r="BA256" s="594">
        <v>23569</v>
      </c>
      <c r="BB256" s="594">
        <v>2849</v>
      </c>
      <c r="BC256" s="594">
        <v>2815</v>
      </c>
      <c r="BD256" s="594">
        <v>160</v>
      </c>
      <c r="BE256" s="594">
        <v>1232</v>
      </c>
      <c r="BF256" s="594">
        <v>592</v>
      </c>
      <c r="BG256" s="594">
        <v>92346</v>
      </c>
      <c r="BH256" s="594">
        <v>395636</v>
      </c>
      <c r="BI256" s="594">
        <v>1735</v>
      </c>
      <c r="BJ256" s="594">
        <v>0</v>
      </c>
      <c r="BK256" s="594">
        <v>91321</v>
      </c>
      <c r="BL256" s="594">
        <v>66804</v>
      </c>
      <c r="BM256" s="594">
        <v>106526</v>
      </c>
      <c r="BN256" s="594">
        <v>536</v>
      </c>
      <c r="BO256" s="594">
        <v>14129</v>
      </c>
      <c r="BP256" s="594">
        <v>0</v>
      </c>
      <c r="BQ256" s="594">
        <v>67884</v>
      </c>
      <c r="BR256" s="594">
        <v>11836</v>
      </c>
      <c r="BS256" s="594">
        <v>4535</v>
      </c>
      <c r="BT256" s="594">
        <v>25194</v>
      </c>
      <c r="BU256" s="594">
        <v>23213</v>
      </c>
      <c r="BV256" s="594">
        <v>50</v>
      </c>
      <c r="BW256" s="594">
        <v>31221</v>
      </c>
      <c r="BX256" s="594">
        <v>4175</v>
      </c>
      <c r="BY256" s="594">
        <v>6408</v>
      </c>
      <c r="BZ256" s="594">
        <v>0</v>
      </c>
      <c r="CA256" s="594">
        <v>134358</v>
      </c>
      <c r="CB256" s="594">
        <v>1793864</v>
      </c>
      <c r="CC256" s="594">
        <v>165486</v>
      </c>
      <c r="CD256" s="594">
        <v>2414</v>
      </c>
      <c r="CE256" s="594">
        <v>0</v>
      </c>
      <c r="CF256" s="594">
        <v>0</v>
      </c>
      <c r="CG256" s="594">
        <v>9779</v>
      </c>
      <c r="CH256" s="594">
        <v>17380632</v>
      </c>
      <c r="CI256" s="594">
        <v>105146</v>
      </c>
      <c r="CJ256" s="594">
        <v>646</v>
      </c>
      <c r="CK256" s="594">
        <v>9758</v>
      </c>
      <c r="CL256" s="594">
        <v>899</v>
      </c>
      <c r="CM256" s="594">
        <v>122901</v>
      </c>
      <c r="CN256" s="594">
        <v>12549</v>
      </c>
      <c r="CO256" s="594">
        <v>1129</v>
      </c>
      <c r="CP256" s="594">
        <v>6844</v>
      </c>
      <c r="CQ256" s="594">
        <v>110622</v>
      </c>
    </row>
    <row r="257" spans="1:95" x14ac:dyDescent="0.25">
      <c r="A257" s="567"/>
      <c r="B257" s="577"/>
      <c r="C257" s="576"/>
      <c r="D257" s="633" t="s">
        <v>988</v>
      </c>
      <c r="E257" s="595"/>
      <c r="F257" s="596"/>
      <c r="G257" s="596"/>
      <c r="H257" s="596"/>
      <c r="I257" s="596"/>
      <c r="J257" s="596"/>
      <c r="K257" s="597"/>
      <c r="L257" s="594"/>
      <c r="M257" s="594"/>
      <c r="N257" s="593"/>
      <c r="O257" s="593"/>
      <c r="P257" s="593"/>
      <c r="Q257" s="593"/>
      <c r="R257" s="593"/>
      <c r="S257" s="593"/>
      <c r="T257" s="593"/>
      <c r="U257" s="593"/>
      <c r="V257" s="593"/>
      <c r="W257" s="593"/>
      <c r="X257" s="593"/>
      <c r="Y257" s="593"/>
      <c r="Z257" s="593"/>
      <c r="AA257" s="593"/>
      <c r="AB257" s="594"/>
      <c r="AC257" s="594"/>
      <c r="AD257" s="594"/>
      <c r="AE257" s="594"/>
      <c r="AF257" s="594"/>
      <c r="AG257" s="594"/>
      <c r="AH257" s="594"/>
      <c r="AI257" s="594"/>
      <c r="AJ257" s="594"/>
      <c r="AK257" s="594"/>
      <c r="AL257" s="594"/>
      <c r="AM257" s="594"/>
      <c r="AN257" s="594"/>
      <c r="AO257" s="594"/>
      <c r="AP257" s="594"/>
      <c r="AQ257" s="594"/>
      <c r="AR257" s="594"/>
      <c r="AS257" s="594"/>
      <c r="AT257" s="594"/>
      <c r="AU257" s="594"/>
      <c r="AV257" s="594"/>
      <c r="AW257" s="594"/>
      <c r="AX257" s="594"/>
      <c r="AY257" s="594"/>
      <c r="AZ257" s="594"/>
      <c r="BA257" s="594"/>
      <c r="BB257" s="594"/>
      <c r="BC257" s="594"/>
      <c r="BD257" s="594"/>
      <c r="BE257" s="594"/>
      <c r="BF257" s="594"/>
      <c r="BG257" s="594"/>
      <c r="BH257" s="594"/>
      <c r="BI257" s="594"/>
      <c r="BJ257" s="594"/>
      <c r="BK257" s="594"/>
      <c r="BL257" s="594"/>
      <c r="BM257" s="594"/>
      <c r="BN257" s="594"/>
      <c r="BO257" s="594"/>
      <c r="BP257" s="594"/>
      <c r="BQ257" s="594"/>
      <c r="BR257" s="594"/>
      <c r="BS257" s="594"/>
      <c r="BT257" s="594"/>
      <c r="BU257" s="594"/>
      <c r="BV257" s="594"/>
      <c r="BW257" s="594"/>
      <c r="BX257" s="594"/>
      <c r="BY257" s="594"/>
      <c r="BZ257" s="594"/>
      <c r="CA257" s="594"/>
      <c r="CB257" s="594"/>
      <c r="CC257" s="594"/>
      <c r="CD257" s="594"/>
      <c r="CE257" s="594"/>
      <c r="CF257" s="594"/>
      <c r="CG257" s="594"/>
      <c r="CH257" s="594"/>
      <c r="CI257" s="594"/>
      <c r="CJ257" s="594"/>
      <c r="CK257" s="594"/>
      <c r="CL257" s="594"/>
      <c r="CM257" s="594"/>
      <c r="CN257" s="594"/>
      <c r="CO257" s="594"/>
      <c r="CP257" s="594"/>
      <c r="CQ257" s="594"/>
    </row>
    <row r="258" spans="1:95" ht="77.25" x14ac:dyDescent="0.25">
      <c r="A258" s="567" t="s">
        <v>490</v>
      </c>
      <c r="B258" s="631">
        <v>598</v>
      </c>
      <c r="C258" s="632" t="s">
        <v>488</v>
      </c>
      <c r="D258" s="577"/>
      <c r="E258" s="595">
        <v>0</v>
      </c>
      <c r="F258" s="596">
        <v>19866</v>
      </c>
      <c r="G258" s="596">
        <v>0</v>
      </c>
      <c r="H258" s="596">
        <v>0</v>
      </c>
      <c r="I258" s="596">
        <v>0</v>
      </c>
      <c r="J258" s="596">
        <v>0</v>
      </c>
      <c r="K258" s="597">
        <v>120734</v>
      </c>
      <c r="L258" s="594">
        <v>16446</v>
      </c>
      <c r="M258" s="594">
        <v>0</v>
      </c>
      <c r="N258" s="593">
        <v>0</v>
      </c>
      <c r="O258" s="593">
        <v>0</v>
      </c>
      <c r="P258" s="593">
        <v>0</v>
      </c>
      <c r="Q258" s="593">
        <v>0</v>
      </c>
      <c r="R258" s="593">
        <v>2961</v>
      </c>
      <c r="S258" s="593">
        <v>0</v>
      </c>
      <c r="T258" s="593">
        <v>46839</v>
      </c>
      <c r="U258" s="593">
        <v>0</v>
      </c>
      <c r="V258" s="593">
        <v>11956</v>
      </c>
      <c r="W258" s="593">
        <v>0</v>
      </c>
      <c r="X258" s="593">
        <v>17024</v>
      </c>
      <c r="Y258" s="593">
        <v>0</v>
      </c>
      <c r="Z258" s="593">
        <v>0</v>
      </c>
      <c r="AA258" s="593">
        <v>95349</v>
      </c>
      <c r="AB258" s="594">
        <v>0</v>
      </c>
      <c r="AC258" s="594">
        <v>0</v>
      </c>
      <c r="AD258" s="594">
        <v>0</v>
      </c>
      <c r="AE258" s="594">
        <v>87009</v>
      </c>
      <c r="AF258" s="594">
        <v>0</v>
      </c>
      <c r="AG258" s="594">
        <v>2378</v>
      </c>
      <c r="AH258" s="594">
        <v>18039</v>
      </c>
      <c r="AI258" s="594">
        <v>0</v>
      </c>
      <c r="AJ258" s="594">
        <v>0</v>
      </c>
      <c r="AK258" s="594">
        <v>0</v>
      </c>
      <c r="AL258" s="594">
        <v>0</v>
      </c>
      <c r="AM258" s="594">
        <v>0</v>
      </c>
      <c r="AN258" s="594">
        <v>0</v>
      </c>
      <c r="AO258" s="594">
        <v>0</v>
      </c>
      <c r="AP258" s="594">
        <v>0</v>
      </c>
      <c r="AQ258" s="594">
        <v>0</v>
      </c>
      <c r="AR258" s="594">
        <v>0</v>
      </c>
      <c r="AS258" s="594">
        <v>0</v>
      </c>
      <c r="AT258" s="594">
        <v>0</v>
      </c>
      <c r="AU258" s="594">
        <v>0</v>
      </c>
      <c r="AV258" s="594">
        <v>0</v>
      </c>
      <c r="AW258" s="594">
        <v>15709</v>
      </c>
      <c r="AX258" s="594">
        <v>0</v>
      </c>
      <c r="AY258" s="594">
        <v>4590</v>
      </c>
      <c r="AZ258" s="594">
        <v>0</v>
      </c>
      <c r="BA258" s="594">
        <v>17169</v>
      </c>
      <c r="BB258" s="594">
        <v>0</v>
      </c>
      <c r="BC258" s="594">
        <v>0</v>
      </c>
      <c r="BD258" s="594">
        <v>11177</v>
      </c>
      <c r="BE258" s="594">
        <v>0</v>
      </c>
      <c r="BF258" s="594">
        <v>0</v>
      </c>
      <c r="BG258" s="594">
        <v>0</v>
      </c>
      <c r="BH258" s="594">
        <v>56240</v>
      </c>
      <c r="BI258" s="594">
        <v>0</v>
      </c>
      <c r="BJ258" s="594">
        <v>0</v>
      </c>
      <c r="BK258" s="594">
        <v>8400</v>
      </c>
      <c r="BL258" s="594">
        <v>67135</v>
      </c>
      <c r="BM258" s="594">
        <v>17919</v>
      </c>
      <c r="BN258" s="594">
        <v>0</v>
      </c>
      <c r="BO258" s="594">
        <v>0</v>
      </c>
      <c r="BP258" s="594">
        <v>0</v>
      </c>
      <c r="BQ258" s="594">
        <v>21598</v>
      </c>
      <c r="BR258" s="594">
        <v>0</v>
      </c>
      <c r="BS258" s="594">
        <v>0</v>
      </c>
      <c r="BT258" s="594">
        <v>1061</v>
      </c>
      <c r="BU258" s="594">
        <v>0</v>
      </c>
      <c r="BV258" s="594">
        <v>0</v>
      </c>
      <c r="BW258" s="594">
        <v>0</v>
      </c>
      <c r="BX258" s="594">
        <v>22030</v>
      </c>
      <c r="BY258" s="594">
        <v>0</v>
      </c>
      <c r="BZ258" s="594">
        <v>0</v>
      </c>
      <c r="CA258" s="594">
        <v>0</v>
      </c>
      <c r="CB258" s="594">
        <v>553939</v>
      </c>
      <c r="CC258" s="594">
        <v>208220</v>
      </c>
      <c r="CD258" s="594">
        <v>2663</v>
      </c>
      <c r="CE258" s="594">
        <v>0</v>
      </c>
      <c r="CF258" s="594">
        <v>0</v>
      </c>
      <c r="CG258" s="594">
        <v>0</v>
      </c>
      <c r="CH258" s="594">
        <v>1854762</v>
      </c>
      <c r="CI258" s="594">
        <v>33390</v>
      </c>
      <c r="CJ258" s="594">
        <v>0</v>
      </c>
      <c r="CK258" s="594">
        <v>0</v>
      </c>
      <c r="CL258" s="594">
        <v>0</v>
      </c>
      <c r="CM258" s="594">
        <v>50061</v>
      </c>
      <c r="CN258" s="594">
        <v>11175</v>
      </c>
      <c r="CO258" s="594">
        <v>0</v>
      </c>
      <c r="CP258" s="594">
        <v>0</v>
      </c>
      <c r="CQ258" s="594">
        <v>7308</v>
      </c>
    </row>
    <row r="259" spans="1:95" ht="39" x14ac:dyDescent="0.25">
      <c r="A259" s="567">
        <v>599</v>
      </c>
      <c r="B259" s="631">
        <v>599</v>
      </c>
      <c r="C259" s="632" t="s">
        <v>489</v>
      </c>
      <c r="D259" s="577"/>
      <c r="E259" s="595">
        <v>0</v>
      </c>
      <c r="F259" s="596">
        <v>524452</v>
      </c>
      <c r="G259" s="596">
        <v>123902</v>
      </c>
      <c r="H259" s="596">
        <v>493856</v>
      </c>
      <c r="I259" s="596">
        <v>21974</v>
      </c>
      <c r="J259" s="596">
        <v>38312</v>
      </c>
      <c r="K259" s="597">
        <v>2281664</v>
      </c>
      <c r="L259" s="594">
        <v>65779</v>
      </c>
      <c r="M259" s="594">
        <v>0</v>
      </c>
      <c r="N259" s="593">
        <v>0</v>
      </c>
      <c r="O259" s="593">
        <v>248916</v>
      </c>
      <c r="P259" s="593">
        <v>0</v>
      </c>
      <c r="Q259" s="593">
        <v>0</v>
      </c>
      <c r="R259" s="593">
        <v>121748</v>
      </c>
      <c r="S259" s="593">
        <v>0</v>
      </c>
      <c r="T259" s="593">
        <v>387290</v>
      </c>
      <c r="U259" s="593">
        <v>0</v>
      </c>
      <c r="V259" s="593">
        <v>70646</v>
      </c>
      <c r="W259" s="593">
        <v>0</v>
      </c>
      <c r="X259" s="593">
        <v>423012</v>
      </c>
      <c r="Y259" s="593">
        <v>68240</v>
      </c>
      <c r="Z259" s="593">
        <v>0</v>
      </c>
      <c r="AA259" s="593">
        <v>1371809</v>
      </c>
      <c r="AB259" s="594">
        <v>279924</v>
      </c>
      <c r="AC259" s="594">
        <v>30290</v>
      </c>
      <c r="AD259" s="594">
        <v>0</v>
      </c>
      <c r="AE259" s="594">
        <v>2250595</v>
      </c>
      <c r="AF259" s="594">
        <v>0</v>
      </c>
      <c r="AG259" s="594">
        <v>77513</v>
      </c>
      <c r="AH259" s="594">
        <v>231078</v>
      </c>
      <c r="AI259" s="594">
        <v>0</v>
      </c>
      <c r="AJ259" s="594">
        <v>0</v>
      </c>
      <c r="AK259" s="594">
        <v>434780</v>
      </c>
      <c r="AL259" s="594">
        <v>193955</v>
      </c>
      <c r="AM259" s="594">
        <v>339373</v>
      </c>
      <c r="AN259" s="594">
        <v>0</v>
      </c>
      <c r="AO259" s="594">
        <v>0</v>
      </c>
      <c r="AP259" s="594">
        <v>175301</v>
      </c>
      <c r="AQ259" s="594">
        <v>0</v>
      </c>
      <c r="AR259" s="594">
        <v>0</v>
      </c>
      <c r="AS259" s="594">
        <v>0</v>
      </c>
      <c r="AT259" s="594">
        <v>23739</v>
      </c>
      <c r="AU259" s="594">
        <v>0</v>
      </c>
      <c r="AV259" s="594">
        <v>0</v>
      </c>
      <c r="AW259" s="594">
        <v>454570</v>
      </c>
      <c r="AX259" s="594">
        <v>38570</v>
      </c>
      <c r="AY259" s="594">
        <v>2807287</v>
      </c>
      <c r="AZ259" s="594">
        <v>0</v>
      </c>
      <c r="BA259" s="594">
        <v>246758</v>
      </c>
      <c r="BB259" s="594">
        <v>0</v>
      </c>
      <c r="BC259" s="594">
        <v>0</v>
      </c>
      <c r="BD259" s="594">
        <v>46955</v>
      </c>
      <c r="BE259" s="594">
        <v>0</v>
      </c>
      <c r="BF259" s="594">
        <v>26571</v>
      </c>
      <c r="BG259" s="594">
        <v>221035</v>
      </c>
      <c r="BH259" s="594">
        <v>1473901</v>
      </c>
      <c r="BI259" s="594">
        <v>0</v>
      </c>
      <c r="BJ259" s="594">
        <v>0</v>
      </c>
      <c r="BK259" s="594">
        <v>460816</v>
      </c>
      <c r="BL259" s="594">
        <v>1189141</v>
      </c>
      <c r="BM259" s="594">
        <v>551717</v>
      </c>
      <c r="BN259" s="594">
        <v>0</v>
      </c>
      <c r="BO259" s="594">
        <v>0</v>
      </c>
      <c r="BP259" s="594">
        <v>0</v>
      </c>
      <c r="BQ259" s="594">
        <v>605877</v>
      </c>
      <c r="BR259" s="594">
        <v>0</v>
      </c>
      <c r="BS259" s="594">
        <v>0</v>
      </c>
      <c r="BT259" s="594">
        <v>55099</v>
      </c>
      <c r="BU259" s="594">
        <v>237454</v>
      </c>
      <c r="BV259" s="594">
        <v>15973</v>
      </c>
      <c r="BW259" s="594">
        <v>133713</v>
      </c>
      <c r="BX259" s="594">
        <v>273960</v>
      </c>
      <c r="BY259" s="594">
        <v>0</v>
      </c>
      <c r="BZ259" s="594">
        <v>0</v>
      </c>
      <c r="CA259" s="594">
        <v>362173</v>
      </c>
      <c r="CB259" s="594">
        <v>12120460</v>
      </c>
      <c r="CC259" s="594">
        <v>5063852</v>
      </c>
      <c r="CD259" s="594">
        <v>89651</v>
      </c>
      <c r="CE259" s="594">
        <v>131948</v>
      </c>
      <c r="CF259" s="594">
        <v>0</v>
      </c>
      <c r="CG259" s="594">
        <v>146847</v>
      </c>
      <c r="CH259" s="594">
        <v>22535005</v>
      </c>
      <c r="CI259" s="594">
        <v>469135</v>
      </c>
      <c r="CJ259" s="594">
        <v>0</v>
      </c>
      <c r="CK259" s="594">
        <v>414678</v>
      </c>
      <c r="CL259" s="594">
        <v>0</v>
      </c>
      <c r="CM259" s="594">
        <v>585438</v>
      </c>
      <c r="CN259" s="594">
        <v>651525</v>
      </c>
      <c r="CO259" s="594">
        <v>0</v>
      </c>
      <c r="CP259" s="594">
        <v>112153</v>
      </c>
      <c r="CQ259" s="594">
        <v>507354</v>
      </c>
    </row>
    <row r="260" spans="1:95" ht="102.75" x14ac:dyDescent="0.25">
      <c r="A260" s="567"/>
      <c r="B260" s="631">
        <v>600</v>
      </c>
      <c r="C260" s="632" t="s">
        <v>991</v>
      </c>
      <c r="D260" s="577"/>
      <c r="E260" s="595"/>
      <c r="F260" s="596"/>
      <c r="G260" s="596"/>
      <c r="H260" s="596"/>
      <c r="I260" s="596"/>
      <c r="J260" s="596"/>
      <c r="K260" s="597"/>
      <c r="L260" s="594"/>
      <c r="M260" s="594"/>
      <c r="N260" s="593"/>
      <c r="O260" s="593"/>
      <c r="P260" s="593"/>
      <c r="Q260" s="593"/>
      <c r="R260" s="593"/>
      <c r="S260" s="593"/>
      <c r="T260" s="593"/>
      <c r="U260" s="593"/>
      <c r="V260" s="593"/>
      <c r="W260" s="593"/>
      <c r="X260" s="593"/>
      <c r="Y260" s="593"/>
      <c r="Z260" s="593"/>
      <c r="AA260" s="593"/>
      <c r="AB260" s="594"/>
      <c r="AC260" s="594"/>
      <c r="AD260" s="594"/>
      <c r="AE260" s="594"/>
      <c r="AF260" s="594"/>
      <c r="AG260" s="594"/>
      <c r="AH260" s="594"/>
      <c r="AI260" s="594"/>
      <c r="AJ260" s="594"/>
      <c r="AK260" s="594"/>
      <c r="AL260" s="594"/>
      <c r="AM260" s="594"/>
      <c r="AN260" s="594"/>
      <c r="AO260" s="594"/>
      <c r="AP260" s="594"/>
      <c r="AQ260" s="594"/>
      <c r="AR260" s="594"/>
      <c r="AS260" s="594"/>
      <c r="AT260" s="594"/>
      <c r="AU260" s="594"/>
      <c r="AV260" s="594"/>
      <c r="AW260" s="594"/>
      <c r="AX260" s="594"/>
      <c r="AY260" s="594"/>
      <c r="AZ260" s="594"/>
      <c r="BA260" s="594"/>
      <c r="BB260" s="594"/>
      <c r="BC260" s="594"/>
      <c r="BD260" s="594"/>
      <c r="BE260" s="594"/>
      <c r="BF260" s="594"/>
      <c r="BG260" s="594"/>
      <c r="BH260" s="594"/>
      <c r="BI260" s="594"/>
      <c r="BJ260" s="594"/>
      <c r="BK260" s="594"/>
      <c r="BL260" s="594"/>
      <c r="BM260" s="594"/>
      <c r="BN260" s="594"/>
      <c r="BO260" s="594"/>
      <c r="BP260" s="594"/>
      <c r="BQ260" s="594"/>
      <c r="BR260" s="594"/>
      <c r="BS260" s="594"/>
      <c r="BT260" s="594"/>
      <c r="BU260" s="594"/>
      <c r="BV260" s="594"/>
      <c r="BW260" s="594"/>
      <c r="BX260" s="594"/>
      <c r="BY260" s="594"/>
      <c r="BZ260" s="594"/>
      <c r="CA260" s="594"/>
      <c r="CB260" s="594"/>
      <c r="CC260" s="594"/>
      <c r="CD260" s="594"/>
      <c r="CE260" s="594"/>
      <c r="CF260" s="594"/>
      <c r="CG260" s="594"/>
      <c r="CH260" s="594"/>
      <c r="CI260" s="594"/>
      <c r="CJ260" s="594"/>
      <c r="CK260" s="594"/>
      <c r="CL260" s="594"/>
      <c r="CM260" s="594"/>
      <c r="CN260" s="594"/>
      <c r="CO260" s="594"/>
      <c r="CP260" s="594"/>
      <c r="CQ260" s="594"/>
    </row>
    <row r="261" spans="1:95" ht="217.5" x14ac:dyDescent="0.25">
      <c r="A261" s="567"/>
      <c r="B261" s="631">
        <v>601</v>
      </c>
      <c r="C261" s="632" t="s">
        <v>992</v>
      </c>
      <c r="D261" s="577"/>
      <c r="E261" s="595"/>
      <c r="F261" s="596"/>
      <c r="G261" s="596"/>
      <c r="H261" s="596"/>
      <c r="I261" s="596"/>
      <c r="J261" s="596"/>
      <c r="K261" s="597"/>
      <c r="L261" s="594"/>
      <c r="M261" s="594"/>
      <c r="N261" s="593"/>
      <c r="O261" s="593"/>
      <c r="P261" s="593"/>
      <c r="Q261" s="593"/>
      <c r="R261" s="593"/>
      <c r="S261" s="593"/>
      <c r="T261" s="593"/>
      <c r="U261" s="593"/>
      <c r="V261" s="593"/>
      <c r="W261" s="593"/>
      <c r="X261" s="593"/>
      <c r="Y261" s="593"/>
      <c r="Z261" s="593"/>
      <c r="AA261" s="593"/>
      <c r="AB261" s="594"/>
      <c r="AC261" s="594"/>
      <c r="AD261" s="594"/>
      <c r="AE261" s="594"/>
      <c r="AF261" s="594"/>
      <c r="AG261" s="594"/>
      <c r="AH261" s="594"/>
      <c r="AI261" s="594"/>
      <c r="AJ261" s="594"/>
      <c r="AK261" s="594"/>
      <c r="AL261" s="594"/>
      <c r="AM261" s="594"/>
      <c r="AN261" s="594"/>
      <c r="AO261" s="594"/>
      <c r="AP261" s="594"/>
      <c r="AQ261" s="594"/>
      <c r="AR261" s="594"/>
      <c r="AS261" s="594"/>
      <c r="AT261" s="594"/>
      <c r="AU261" s="594"/>
      <c r="AV261" s="594"/>
      <c r="AW261" s="594"/>
      <c r="AX261" s="594"/>
      <c r="AY261" s="594"/>
      <c r="AZ261" s="594"/>
      <c r="BA261" s="594"/>
      <c r="BB261" s="594"/>
      <c r="BC261" s="594"/>
      <c r="BD261" s="594"/>
      <c r="BE261" s="594"/>
      <c r="BF261" s="594"/>
      <c r="BG261" s="594"/>
      <c r="BH261" s="594"/>
      <c r="BI261" s="594"/>
      <c r="BJ261" s="594"/>
      <c r="BK261" s="594"/>
      <c r="BL261" s="594"/>
      <c r="BM261" s="594"/>
      <c r="BN261" s="594"/>
      <c r="BO261" s="594"/>
      <c r="BP261" s="594"/>
      <c r="BQ261" s="594"/>
      <c r="BR261" s="594"/>
      <c r="BS261" s="594"/>
      <c r="BT261" s="594"/>
      <c r="BU261" s="594"/>
      <c r="BV261" s="594"/>
      <c r="BW261" s="594"/>
      <c r="BX261" s="594"/>
      <c r="BY261" s="594"/>
      <c r="BZ261" s="594"/>
      <c r="CA261" s="594"/>
      <c r="CB261" s="594"/>
      <c r="CC261" s="594"/>
      <c r="CD261" s="594"/>
      <c r="CE261" s="594"/>
      <c r="CF261" s="594"/>
      <c r="CG261" s="594"/>
      <c r="CH261" s="594"/>
      <c r="CI261" s="594"/>
      <c r="CJ261" s="594"/>
      <c r="CK261" s="594"/>
      <c r="CL261" s="594"/>
      <c r="CM261" s="594"/>
      <c r="CN261" s="594"/>
      <c r="CO261" s="594"/>
      <c r="CP261" s="594"/>
      <c r="CQ261" s="594"/>
    </row>
    <row r="262" spans="1:95" ht="64.5" x14ac:dyDescent="0.25">
      <c r="A262" s="558">
        <v>602</v>
      </c>
      <c r="B262" s="631">
        <v>602</v>
      </c>
      <c r="C262" s="632" t="s">
        <v>993</v>
      </c>
      <c r="D262" s="577"/>
      <c r="E262" s="595">
        <v>0</v>
      </c>
      <c r="F262" s="596">
        <v>0</v>
      </c>
      <c r="G262" s="596">
        <v>0</v>
      </c>
      <c r="H262" s="596">
        <v>0</v>
      </c>
      <c r="I262" s="596">
        <v>0</v>
      </c>
      <c r="J262" s="596">
        <v>0</v>
      </c>
      <c r="K262" s="597">
        <v>0</v>
      </c>
      <c r="L262" s="594">
        <v>0</v>
      </c>
      <c r="M262" s="594">
        <v>0</v>
      </c>
      <c r="N262" s="593">
        <v>0</v>
      </c>
      <c r="O262" s="593">
        <v>0</v>
      </c>
      <c r="P262" s="593">
        <v>0</v>
      </c>
      <c r="Q262" s="593">
        <v>0</v>
      </c>
      <c r="R262" s="593">
        <v>0</v>
      </c>
      <c r="S262" s="593">
        <v>0</v>
      </c>
      <c r="T262" s="593">
        <v>0</v>
      </c>
      <c r="U262" s="593">
        <v>0</v>
      </c>
      <c r="V262" s="593">
        <v>0</v>
      </c>
      <c r="W262" s="593">
        <v>0</v>
      </c>
      <c r="X262" s="593">
        <v>0</v>
      </c>
      <c r="Y262" s="593">
        <v>0</v>
      </c>
      <c r="Z262" s="593">
        <v>0</v>
      </c>
      <c r="AA262" s="593">
        <v>0</v>
      </c>
      <c r="AB262" s="594">
        <v>0</v>
      </c>
      <c r="AC262" s="594">
        <v>0</v>
      </c>
      <c r="AD262" s="594">
        <v>0</v>
      </c>
      <c r="AE262" s="594">
        <v>0</v>
      </c>
      <c r="AF262" s="594">
        <v>0</v>
      </c>
      <c r="AG262" s="594">
        <v>0</v>
      </c>
      <c r="AH262" s="594">
        <v>0</v>
      </c>
      <c r="AI262" s="594">
        <v>0</v>
      </c>
      <c r="AJ262" s="594">
        <v>0</v>
      </c>
      <c r="AK262" s="594">
        <v>0</v>
      </c>
      <c r="AL262" s="594">
        <v>0</v>
      </c>
      <c r="AM262" s="594">
        <v>0</v>
      </c>
      <c r="AN262" s="594">
        <v>0</v>
      </c>
      <c r="AO262" s="594">
        <v>0</v>
      </c>
      <c r="AP262" s="594">
        <v>0</v>
      </c>
      <c r="AQ262" s="594">
        <v>0</v>
      </c>
      <c r="AR262" s="594">
        <v>0</v>
      </c>
      <c r="AS262" s="594">
        <v>0</v>
      </c>
      <c r="AT262" s="594">
        <v>0</v>
      </c>
      <c r="AU262" s="594">
        <v>0</v>
      </c>
      <c r="AV262" s="594">
        <v>0</v>
      </c>
      <c r="AW262" s="594">
        <v>0</v>
      </c>
      <c r="AX262" s="594">
        <v>0</v>
      </c>
      <c r="AY262" s="594">
        <v>0</v>
      </c>
      <c r="AZ262" s="594">
        <v>0</v>
      </c>
      <c r="BA262" s="594">
        <v>0</v>
      </c>
      <c r="BB262" s="594">
        <v>0</v>
      </c>
      <c r="BC262" s="594">
        <v>0</v>
      </c>
      <c r="BD262" s="594">
        <v>0</v>
      </c>
      <c r="BE262" s="594">
        <v>0</v>
      </c>
      <c r="BF262" s="594">
        <v>0</v>
      </c>
      <c r="BG262" s="594">
        <v>0</v>
      </c>
      <c r="BH262" s="594">
        <v>0</v>
      </c>
      <c r="BI262" s="594">
        <v>0</v>
      </c>
      <c r="BJ262" s="594">
        <v>0</v>
      </c>
      <c r="BK262" s="594">
        <v>0</v>
      </c>
      <c r="BL262" s="594">
        <v>0</v>
      </c>
      <c r="BM262" s="594">
        <v>0</v>
      </c>
      <c r="BN262" s="594">
        <v>0</v>
      </c>
      <c r="BO262" s="594">
        <v>0</v>
      </c>
      <c r="BP262" s="594">
        <v>0</v>
      </c>
      <c r="BQ262" s="594">
        <v>0</v>
      </c>
      <c r="BR262" s="594">
        <v>0</v>
      </c>
      <c r="BS262" s="594">
        <v>0</v>
      </c>
      <c r="BT262" s="594">
        <v>0</v>
      </c>
      <c r="BU262" s="594">
        <v>0</v>
      </c>
      <c r="BV262" s="594">
        <v>0</v>
      </c>
      <c r="BW262" s="594">
        <v>0</v>
      </c>
      <c r="BX262" s="594">
        <v>0</v>
      </c>
      <c r="BY262" s="594">
        <v>0</v>
      </c>
      <c r="BZ262" s="594">
        <v>0</v>
      </c>
      <c r="CA262" s="594">
        <v>0</v>
      </c>
      <c r="CB262" s="594">
        <v>0</v>
      </c>
      <c r="CC262" s="594">
        <v>0</v>
      </c>
      <c r="CD262" s="594">
        <v>0</v>
      </c>
      <c r="CE262" s="594">
        <v>0</v>
      </c>
      <c r="CF262" s="594">
        <v>0</v>
      </c>
      <c r="CG262" s="594">
        <v>0</v>
      </c>
      <c r="CH262" s="594">
        <v>10254316</v>
      </c>
      <c r="CI262" s="594">
        <v>0</v>
      </c>
      <c r="CJ262" s="594">
        <v>0</v>
      </c>
      <c r="CK262" s="594">
        <v>0</v>
      </c>
      <c r="CL262" s="594">
        <v>0</v>
      </c>
      <c r="CM262" s="594">
        <v>0</v>
      </c>
      <c r="CN262" s="594">
        <v>0</v>
      </c>
      <c r="CO262" s="594">
        <v>0</v>
      </c>
      <c r="CP262" s="594">
        <v>0</v>
      </c>
      <c r="CQ262" s="594">
        <v>0</v>
      </c>
    </row>
    <row r="263" spans="1:95" ht="210" x14ac:dyDescent="0.25">
      <c r="A263" s="558">
        <v>603</v>
      </c>
      <c r="B263" s="659">
        <v>603</v>
      </c>
      <c r="C263" s="658" t="s">
        <v>509</v>
      </c>
      <c r="D263" s="577"/>
      <c r="E263" s="595">
        <v>4</v>
      </c>
      <c r="F263" s="596">
        <v>1</v>
      </c>
      <c r="G263" s="596">
        <v>1</v>
      </c>
      <c r="H263" s="596">
        <v>1</v>
      </c>
      <c r="I263" s="596">
        <v>2</v>
      </c>
      <c r="J263" s="596">
        <v>2</v>
      </c>
      <c r="K263" s="597">
        <v>1</v>
      </c>
      <c r="L263" s="594">
        <v>4</v>
      </c>
      <c r="M263" s="594">
        <v>2</v>
      </c>
      <c r="N263" s="593">
        <v>2</v>
      </c>
      <c r="O263" s="593">
        <v>1</v>
      </c>
      <c r="P263" s="593">
        <v>1</v>
      </c>
      <c r="Q263" s="593">
        <v>2</v>
      </c>
      <c r="R263" s="593">
        <v>2</v>
      </c>
      <c r="S263" s="593">
        <v>1</v>
      </c>
      <c r="T263" s="593">
        <v>2</v>
      </c>
      <c r="U263" s="593">
        <v>0</v>
      </c>
      <c r="V263" s="593">
        <v>1</v>
      </c>
      <c r="W263" s="593">
        <v>2</v>
      </c>
      <c r="X263" s="593">
        <v>1</v>
      </c>
      <c r="Y263" s="593">
        <v>4</v>
      </c>
      <c r="Z263" s="593">
        <v>2</v>
      </c>
      <c r="AA263" s="593">
        <v>1</v>
      </c>
      <c r="AB263" s="594">
        <v>2</v>
      </c>
      <c r="AC263" s="594">
        <v>5</v>
      </c>
      <c r="AD263" s="594">
        <v>2</v>
      </c>
      <c r="AE263" s="594">
        <v>1</v>
      </c>
      <c r="AF263" s="594">
        <v>1</v>
      </c>
      <c r="AG263" s="594">
        <v>1</v>
      </c>
      <c r="AH263" s="594">
        <v>1</v>
      </c>
      <c r="AI263" s="594">
        <v>2</v>
      </c>
      <c r="AJ263" s="594">
        <v>2</v>
      </c>
      <c r="AK263" s="594">
        <v>2</v>
      </c>
      <c r="AL263" s="594">
        <v>2</v>
      </c>
      <c r="AM263" s="594">
        <v>5</v>
      </c>
      <c r="AN263" s="594">
        <v>2</v>
      </c>
      <c r="AO263" s="594">
        <v>2</v>
      </c>
      <c r="AP263" s="594">
        <v>2</v>
      </c>
      <c r="AQ263" s="594">
        <v>0</v>
      </c>
      <c r="AR263" s="594">
        <v>2</v>
      </c>
      <c r="AS263" s="594">
        <v>2</v>
      </c>
      <c r="AT263" s="594">
        <v>2</v>
      </c>
      <c r="AU263" s="594">
        <v>3</v>
      </c>
      <c r="AV263" s="594">
        <v>2</v>
      </c>
      <c r="AW263" s="594">
        <v>1</v>
      </c>
      <c r="AX263" s="594">
        <v>1</v>
      </c>
      <c r="AY263" s="594">
        <v>1</v>
      </c>
      <c r="AZ263" s="594">
        <v>2</v>
      </c>
      <c r="BA263" s="594">
        <v>2</v>
      </c>
      <c r="BB263" s="594">
        <v>1</v>
      </c>
      <c r="BC263" s="594">
        <v>4</v>
      </c>
      <c r="BD263" s="594">
        <v>2</v>
      </c>
      <c r="BE263" s="594">
        <v>6</v>
      </c>
      <c r="BF263" s="594">
        <v>2</v>
      </c>
      <c r="BG263" s="594">
        <v>2</v>
      </c>
      <c r="BH263" s="594">
        <v>1</v>
      </c>
      <c r="BI263" s="594">
        <v>2</v>
      </c>
      <c r="BJ263" s="594">
        <v>1</v>
      </c>
      <c r="BK263" s="594">
        <v>2</v>
      </c>
      <c r="BL263" s="594">
        <v>1</v>
      </c>
      <c r="BM263" s="594">
        <v>1</v>
      </c>
      <c r="BN263" s="594">
        <v>1</v>
      </c>
      <c r="BO263" s="594">
        <v>1</v>
      </c>
      <c r="BP263" s="594">
        <v>0</v>
      </c>
      <c r="BQ263" s="594">
        <v>1</v>
      </c>
      <c r="BR263" s="594">
        <v>2</v>
      </c>
      <c r="BS263" s="594">
        <v>1</v>
      </c>
      <c r="BT263" s="594">
        <v>1</v>
      </c>
      <c r="BU263" s="594">
        <v>1</v>
      </c>
      <c r="BV263" s="594">
        <v>4</v>
      </c>
      <c r="BW263" s="594">
        <v>1</v>
      </c>
      <c r="BX263" s="594">
        <v>4</v>
      </c>
      <c r="BY263" s="594">
        <v>1</v>
      </c>
      <c r="BZ263" s="594">
        <v>0</v>
      </c>
      <c r="CA263" s="594">
        <v>1</v>
      </c>
      <c r="CB263" s="594">
        <v>1</v>
      </c>
      <c r="CC263" s="594">
        <v>1</v>
      </c>
      <c r="CD263" s="594">
        <v>2</v>
      </c>
      <c r="CE263" s="594">
        <v>3</v>
      </c>
      <c r="CF263" s="594">
        <v>0</v>
      </c>
      <c r="CG263" s="594">
        <v>2</v>
      </c>
      <c r="CH263" s="594">
        <v>2</v>
      </c>
      <c r="CI263" s="594">
        <v>1</v>
      </c>
      <c r="CJ263" s="594">
        <v>2</v>
      </c>
      <c r="CK263" s="594">
        <v>4</v>
      </c>
      <c r="CL263" s="594">
        <v>2</v>
      </c>
      <c r="CM263" s="594">
        <v>3</v>
      </c>
      <c r="CN263" s="594">
        <v>1</v>
      </c>
      <c r="CO263" s="594">
        <v>2</v>
      </c>
      <c r="CP263" s="594">
        <v>2</v>
      </c>
      <c r="CQ263" s="594">
        <v>1</v>
      </c>
    </row>
    <row r="264" spans="1:95" ht="135" x14ac:dyDescent="0.25">
      <c r="A264" s="567">
        <v>604</v>
      </c>
      <c r="B264" s="659">
        <v>604</v>
      </c>
      <c r="C264" s="658" t="s">
        <v>994</v>
      </c>
      <c r="D264" s="558"/>
      <c r="E264" s="595">
        <v>5</v>
      </c>
      <c r="F264" s="596">
        <v>1</v>
      </c>
      <c r="G264" s="596">
        <v>1</v>
      </c>
      <c r="H264" s="596">
        <v>5</v>
      </c>
      <c r="I264" s="596">
        <v>1</v>
      </c>
      <c r="J264" s="596">
        <v>1</v>
      </c>
      <c r="K264" s="597">
        <v>1</v>
      </c>
      <c r="L264" s="594">
        <v>4</v>
      </c>
      <c r="M264" s="594">
        <v>1</v>
      </c>
      <c r="N264" s="593">
        <v>1</v>
      </c>
      <c r="O264" s="593">
        <v>1</v>
      </c>
      <c r="P264" s="593">
        <v>1</v>
      </c>
      <c r="Q264" s="593">
        <v>5</v>
      </c>
      <c r="R264" s="593">
        <v>1</v>
      </c>
      <c r="S264" s="593">
        <v>1</v>
      </c>
      <c r="T264" s="593">
        <v>1</v>
      </c>
      <c r="U264" s="593">
        <v>0</v>
      </c>
      <c r="V264" s="593">
        <v>1</v>
      </c>
      <c r="W264" s="593">
        <v>1</v>
      </c>
      <c r="X264" s="593">
        <v>1</v>
      </c>
      <c r="Y264" s="593">
        <v>4</v>
      </c>
      <c r="Z264" s="593">
        <v>2</v>
      </c>
      <c r="AA264" s="593">
        <v>1</v>
      </c>
      <c r="AB264" s="594">
        <v>1</v>
      </c>
      <c r="AC264" s="594">
        <v>3</v>
      </c>
      <c r="AD264" s="594">
        <v>1</v>
      </c>
      <c r="AE264" s="594">
        <v>1</v>
      </c>
      <c r="AF264" s="594">
        <v>1</v>
      </c>
      <c r="AG264" s="594">
        <v>1</v>
      </c>
      <c r="AH264" s="594">
        <v>1</v>
      </c>
      <c r="AI264" s="594">
        <v>1</v>
      </c>
      <c r="AJ264" s="594">
        <v>1</v>
      </c>
      <c r="AK264" s="594">
        <v>3</v>
      </c>
      <c r="AL264" s="594">
        <v>1</v>
      </c>
      <c r="AM264" s="594">
        <v>5</v>
      </c>
      <c r="AN264" s="594">
        <v>1</v>
      </c>
      <c r="AO264" s="594">
        <v>1</v>
      </c>
      <c r="AP264" s="594">
        <v>3</v>
      </c>
      <c r="AQ264" s="594">
        <v>0</v>
      </c>
      <c r="AR264" s="594">
        <v>1</v>
      </c>
      <c r="AS264" s="594">
        <v>1</v>
      </c>
      <c r="AT264" s="594">
        <v>1</v>
      </c>
      <c r="AU264" s="594">
        <v>2</v>
      </c>
      <c r="AV264" s="594">
        <v>1</v>
      </c>
      <c r="AW264" s="594">
        <v>1</v>
      </c>
      <c r="AX264" s="594">
        <v>1</v>
      </c>
      <c r="AY264" s="594">
        <v>1</v>
      </c>
      <c r="AZ264" s="594">
        <v>1</v>
      </c>
      <c r="BA264" s="594">
        <v>1</v>
      </c>
      <c r="BB264" s="594">
        <v>1</v>
      </c>
      <c r="BC264" s="594">
        <v>4</v>
      </c>
      <c r="BD264" s="594">
        <v>1</v>
      </c>
      <c r="BE264" s="594">
        <v>1</v>
      </c>
      <c r="BF264" s="594">
        <v>1</v>
      </c>
      <c r="BG264" s="594">
        <v>1</v>
      </c>
      <c r="BH264" s="594">
        <v>1</v>
      </c>
      <c r="BI264" s="594">
        <v>1</v>
      </c>
      <c r="BJ264" s="594">
        <v>1</v>
      </c>
      <c r="BK264" s="594">
        <v>1</v>
      </c>
      <c r="BL264" s="594">
        <v>1</v>
      </c>
      <c r="BM264" s="594">
        <v>1</v>
      </c>
      <c r="BN264" s="594">
        <v>1</v>
      </c>
      <c r="BO264" s="594">
        <v>1</v>
      </c>
      <c r="BP264" s="594">
        <v>0</v>
      </c>
      <c r="BQ264" s="594">
        <v>1</v>
      </c>
      <c r="BR264" s="594">
        <v>1</v>
      </c>
      <c r="BS264" s="594">
        <v>1</v>
      </c>
      <c r="BT264" s="594">
        <v>1</v>
      </c>
      <c r="BU264" s="594">
        <v>1</v>
      </c>
      <c r="BV264" s="594">
        <v>3</v>
      </c>
      <c r="BW264" s="594">
        <v>4</v>
      </c>
      <c r="BX264" s="594">
        <v>4</v>
      </c>
      <c r="BY264" s="594">
        <v>1</v>
      </c>
      <c r="BZ264" s="594">
        <v>0</v>
      </c>
      <c r="CA264" s="594">
        <v>1</v>
      </c>
      <c r="CB264" s="594">
        <v>1</v>
      </c>
      <c r="CC264" s="594">
        <v>1</v>
      </c>
      <c r="CD264" s="594">
        <v>1</v>
      </c>
      <c r="CE264" s="594">
        <v>2</v>
      </c>
      <c r="CF264" s="594">
        <v>0</v>
      </c>
      <c r="CG264" s="594">
        <v>1</v>
      </c>
      <c r="CH264" s="594">
        <v>1</v>
      </c>
      <c r="CI264" s="594">
        <v>1</v>
      </c>
      <c r="CJ264" s="594">
        <v>3</v>
      </c>
      <c r="CK264" s="594">
        <v>3</v>
      </c>
      <c r="CL264" s="594">
        <v>1</v>
      </c>
      <c r="CM264" s="594">
        <v>2</v>
      </c>
      <c r="CN264" s="594">
        <v>1</v>
      </c>
      <c r="CO264" s="594">
        <v>1</v>
      </c>
      <c r="CP264" s="594">
        <v>1</v>
      </c>
      <c r="CQ264" s="594">
        <v>1</v>
      </c>
    </row>
    <row r="265" spans="1:95" ht="45" x14ac:dyDescent="0.25">
      <c r="A265" s="567">
        <v>605</v>
      </c>
      <c r="B265" s="659">
        <v>605</v>
      </c>
      <c r="C265" s="658" t="s">
        <v>512</v>
      </c>
      <c r="D265" s="558"/>
      <c r="E265" s="595">
        <v>1</v>
      </c>
      <c r="F265" s="596">
        <v>0</v>
      </c>
      <c r="G265" s="596">
        <v>1</v>
      </c>
      <c r="H265" s="596">
        <v>1</v>
      </c>
      <c r="I265" s="596">
        <v>1</v>
      </c>
      <c r="J265" s="596">
        <v>1</v>
      </c>
      <c r="K265" s="597">
        <v>1</v>
      </c>
      <c r="L265" s="594">
        <v>1</v>
      </c>
      <c r="M265" s="594">
        <v>1</v>
      </c>
      <c r="N265" s="593">
        <v>1</v>
      </c>
      <c r="O265" s="593">
        <v>1</v>
      </c>
      <c r="P265" s="593">
        <v>1</v>
      </c>
      <c r="Q265" s="593">
        <v>1</v>
      </c>
      <c r="R265" s="593">
        <v>1</v>
      </c>
      <c r="S265" s="593">
        <v>0</v>
      </c>
      <c r="T265" s="593">
        <v>1</v>
      </c>
      <c r="U265" s="593">
        <v>0</v>
      </c>
      <c r="V265" s="593">
        <v>1</v>
      </c>
      <c r="W265" s="593">
        <v>0</v>
      </c>
      <c r="X265" s="593">
        <v>1</v>
      </c>
      <c r="Y265" s="593">
        <v>1</v>
      </c>
      <c r="Z265" s="593">
        <v>1</v>
      </c>
      <c r="AA265" s="593">
        <v>1</v>
      </c>
      <c r="AB265" s="594">
        <v>1</v>
      </c>
      <c r="AC265" s="594">
        <v>1</v>
      </c>
      <c r="AD265" s="594">
        <v>1</v>
      </c>
      <c r="AE265" s="594">
        <v>1</v>
      </c>
      <c r="AF265" s="594">
        <v>1</v>
      </c>
      <c r="AG265" s="594">
        <v>0</v>
      </c>
      <c r="AH265" s="594">
        <v>1</v>
      </c>
      <c r="AI265" s="594">
        <v>1</v>
      </c>
      <c r="AJ265" s="594">
        <v>1</v>
      </c>
      <c r="AK265" s="594">
        <v>1</v>
      </c>
      <c r="AL265" s="594">
        <v>1</v>
      </c>
      <c r="AM265" s="594">
        <v>1</v>
      </c>
      <c r="AN265" s="594">
        <v>1</v>
      </c>
      <c r="AO265" s="594">
        <v>1</v>
      </c>
      <c r="AP265" s="594">
        <v>1</v>
      </c>
      <c r="AQ265" s="594">
        <v>0</v>
      </c>
      <c r="AR265" s="594">
        <v>1</v>
      </c>
      <c r="AS265" s="594">
        <v>1</v>
      </c>
      <c r="AT265" s="594">
        <v>1</v>
      </c>
      <c r="AU265" s="594">
        <v>1</v>
      </c>
      <c r="AV265" s="594">
        <v>1</v>
      </c>
      <c r="AW265" s="594">
        <v>1</v>
      </c>
      <c r="AX265" s="594">
        <v>1</v>
      </c>
      <c r="AY265" s="594">
        <v>1</v>
      </c>
      <c r="AZ265" s="594">
        <v>1</v>
      </c>
      <c r="BA265" s="594">
        <v>1</v>
      </c>
      <c r="BB265" s="594">
        <v>1</v>
      </c>
      <c r="BC265" s="594">
        <v>1</v>
      </c>
      <c r="BD265" s="594">
        <v>1</v>
      </c>
      <c r="BE265" s="594">
        <v>1</v>
      </c>
      <c r="BF265" s="594">
        <v>1</v>
      </c>
      <c r="BG265" s="594">
        <v>1</v>
      </c>
      <c r="BH265" s="594">
        <v>1</v>
      </c>
      <c r="BI265" s="594">
        <v>1</v>
      </c>
      <c r="BJ265" s="594">
        <v>1</v>
      </c>
      <c r="BK265" s="594">
        <v>1</v>
      </c>
      <c r="BL265" s="594">
        <v>1</v>
      </c>
      <c r="BM265" s="594">
        <v>1</v>
      </c>
      <c r="BN265" s="594">
        <v>1</v>
      </c>
      <c r="BO265" s="594">
        <v>1</v>
      </c>
      <c r="BP265" s="594">
        <v>0</v>
      </c>
      <c r="BQ265" s="594">
        <v>1</v>
      </c>
      <c r="BR265" s="594">
        <v>1</v>
      </c>
      <c r="BS265" s="594">
        <v>1</v>
      </c>
      <c r="BT265" s="594">
        <v>1</v>
      </c>
      <c r="BU265" s="594">
        <v>1</v>
      </c>
      <c r="BV265" s="594">
        <v>1</v>
      </c>
      <c r="BW265" s="594">
        <v>1</v>
      </c>
      <c r="BX265" s="594">
        <v>1</v>
      </c>
      <c r="BY265" s="594">
        <v>1</v>
      </c>
      <c r="BZ265" s="594">
        <v>0</v>
      </c>
      <c r="CA265" s="594">
        <v>1</v>
      </c>
      <c r="CB265" s="594">
        <v>1</v>
      </c>
      <c r="CC265" s="594">
        <v>1</v>
      </c>
      <c r="CD265" s="594">
        <v>1</v>
      </c>
      <c r="CE265" s="594">
        <v>1</v>
      </c>
      <c r="CF265" s="594">
        <v>0</v>
      </c>
      <c r="CG265" s="594">
        <v>1</v>
      </c>
      <c r="CH265" s="594">
        <v>1</v>
      </c>
      <c r="CI265" s="594">
        <v>1</v>
      </c>
      <c r="CJ265" s="594">
        <v>1</v>
      </c>
      <c r="CK265" s="594">
        <v>1</v>
      </c>
      <c r="CL265" s="594">
        <v>1</v>
      </c>
      <c r="CM265" s="594">
        <v>1</v>
      </c>
      <c r="CN265" s="594">
        <v>1</v>
      </c>
      <c r="CO265" s="594">
        <v>1</v>
      </c>
      <c r="CP265" s="594">
        <v>1</v>
      </c>
      <c r="CQ265" s="594">
        <v>1</v>
      </c>
    </row>
    <row r="266" spans="1:95" ht="45" x14ac:dyDescent="0.25">
      <c r="A266" s="567">
        <v>606</v>
      </c>
      <c r="B266" s="661">
        <v>606</v>
      </c>
      <c r="C266" s="662" t="s">
        <v>995</v>
      </c>
      <c r="D266" s="558"/>
      <c r="E266" s="595">
        <v>0</v>
      </c>
      <c r="F266" s="596">
        <v>1</v>
      </c>
      <c r="G266" s="596">
        <v>0</v>
      </c>
      <c r="H266" s="596">
        <v>1</v>
      </c>
      <c r="I266" s="596">
        <v>0</v>
      </c>
      <c r="J266" s="596">
        <v>0</v>
      </c>
      <c r="K266" s="597">
        <v>1</v>
      </c>
      <c r="L266" s="594">
        <v>0</v>
      </c>
      <c r="M266" s="594">
        <v>0</v>
      </c>
      <c r="N266" s="593">
        <v>0</v>
      </c>
      <c r="O266" s="593">
        <v>0</v>
      </c>
      <c r="P266" s="593">
        <v>0</v>
      </c>
      <c r="Q266" s="593">
        <v>0</v>
      </c>
      <c r="R266" s="593">
        <v>0</v>
      </c>
      <c r="S266" s="593">
        <v>0</v>
      </c>
      <c r="T266" s="593">
        <v>0</v>
      </c>
      <c r="U266" s="593">
        <v>0</v>
      </c>
      <c r="V266" s="593">
        <v>0</v>
      </c>
      <c r="W266" s="593">
        <v>0</v>
      </c>
      <c r="X266" s="593">
        <v>0</v>
      </c>
      <c r="Y266" s="593">
        <v>1</v>
      </c>
      <c r="Z266" s="593">
        <v>0</v>
      </c>
      <c r="AA266" s="593">
        <v>1</v>
      </c>
      <c r="AB266" s="594">
        <v>1</v>
      </c>
      <c r="AC266" s="594">
        <v>0</v>
      </c>
      <c r="AD266" s="594">
        <v>0</v>
      </c>
      <c r="AE266" s="594">
        <v>1</v>
      </c>
      <c r="AF266" s="594">
        <v>0</v>
      </c>
      <c r="AG266" s="594">
        <v>0</v>
      </c>
      <c r="AH266" s="594">
        <v>0</v>
      </c>
      <c r="AI266" s="594">
        <v>0</v>
      </c>
      <c r="AJ266" s="594">
        <v>0</v>
      </c>
      <c r="AK266" s="594">
        <v>0</v>
      </c>
      <c r="AL266" s="594">
        <v>0</v>
      </c>
      <c r="AM266" s="594">
        <v>0</v>
      </c>
      <c r="AN266" s="594">
        <v>0</v>
      </c>
      <c r="AO266" s="594">
        <v>0</v>
      </c>
      <c r="AP266" s="594">
        <v>1</v>
      </c>
      <c r="AQ266" s="594">
        <v>0</v>
      </c>
      <c r="AR266" s="594">
        <v>0</v>
      </c>
      <c r="AS266" s="594">
        <v>0</v>
      </c>
      <c r="AT266" s="594">
        <v>0</v>
      </c>
      <c r="AU266" s="594">
        <v>0</v>
      </c>
      <c r="AV266" s="594">
        <v>0</v>
      </c>
      <c r="AW266" s="594">
        <v>0</v>
      </c>
      <c r="AX266" s="594">
        <v>0</v>
      </c>
      <c r="AY266" s="594">
        <v>1</v>
      </c>
      <c r="AZ266" s="594">
        <v>0</v>
      </c>
      <c r="BA266" s="594">
        <v>0</v>
      </c>
      <c r="BB266" s="594">
        <v>0</v>
      </c>
      <c r="BC266" s="594">
        <v>0</v>
      </c>
      <c r="BD266" s="594">
        <v>0</v>
      </c>
      <c r="BE266" s="594">
        <v>0</v>
      </c>
      <c r="BF266" s="594">
        <v>0</v>
      </c>
      <c r="BG266" s="594">
        <v>1</v>
      </c>
      <c r="BH266" s="594">
        <v>1</v>
      </c>
      <c r="BI266" s="594">
        <v>0</v>
      </c>
      <c r="BJ266" s="594">
        <v>0</v>
      </c>
      <c r="BK266" s="594">
        <v>0</v>
      </c>
      <c r="BL266" s="594">
        <v>1</v>
      </c>
      <c r="BM266" s="594">
        <v>0</v>
      </c>
      <c r="BN266" s="594">
        <v>0</v>
      </c>
      <c r="BO266" s="594">
        <v>0</v>
      </c>
      <c r="BP266" s="594">
        <v>0</v>
      </c>
      <c r="BQ266" s="594">
        <v>0</v>
      </c>
      <c r="BR266" s="594">
        <v>0</v>
      </c>
      <c r="BS266" s="594">
        <v>0</v>
      </c>
      <c r="BT266" s="594">
        <v>0</v>
      </c>
      <c r="BU266" s="594">
        <v>0</v>
      </c>
      <c r="BV266" s="594">
        <v>0</v>
      </c>
      <c r="BW266" s="594">
        <v>0</v>
      </c>
      <c r="BX266" s="594">
        <v>1</v>
      </c>
      <c r="BY266" s="594">
        <v>0</v>
      </c>
      <c r="BZ266" s="594">
        <v>0</v>
      </c>
      <c r="CA266" s="594">
        <v>1</v>
      </c>
      <c r="CB266" s="594">
        <v>1</v>
      </c>
      <c r="CC266" s="594">
        <v>1</v>
      </c>
      <c r="CD266" s="594">
        <v>0</v>
      </c>
      <c r="CE266" s="594">
        <v>0</v>
      </c>
      <c r="CF266" s="594">
        <v>0</v>
      </c>
      <c r="CG266" s="594">
        <v>0</v>
      </c>
      <c r="CH266" s="594">
        <v>1</v>
      </c>
      <c r="CI266" s="594">
        <v>1</v>
      </c>
      <c r="CJ266" s="594">
        <v>0</v>
      </c>
      <c r="CK266" s="594">
        <v>0</v>
      </c>
      <c r="CL266" s="594">
        <v>0</v>
      </c>
      <c r="CM266" s="594">
        <v>0</v>
      </c>
      <c r="CN266" s="594">
        <v>0</v>
      </c>
      <c r="CO266" s="594">
        <v>0</v>
      </c>
      <c r="CP266" s="594">
        <v>0</v>
      </c>
      <c r="CQ266" s="594">
        <v>0</v>
      </c>
    </row>
    <row r="267" spans="1:95" ht="30" x14ac:dyDescent="0.25">
      <c r="A267" s="567">
        <v>607</v>
      </c>
      <c r="B267" s="660">
        <v>607</v>
      </c>
      <c r="C267" s="658" t="s">
        <v>501</v>
      </c>
      <c r="D267" s="558"/>
      <c r="E267" s="595">
        <v>0</v>
      </c>
      <c r="F267" s="596">
        <v>0</v>
      </c>
      <c r="G267" s="596">
        <v>0</v>
      </c>
      <c r="H267" s="596">
        <v>157492</v>
      </c>
      <c r="I267" s="596">
        <v>0</v>
      </c>
      <c r="J267" s="596">
        <v>0</v>
      </c>
      <c r="K267" s="597">
        <v>2175877</v>
      </c>
      <c r="L267" s="594">
        <v>959925</v>
      </c>
      <c r="M267" s="594">
        <v>0</v>
      </c>
      <c r="N267" s="593">
        <v>0</v>
      </c>
      <c r="O267" s="593">
        <v>0</v>
      </c>
      <c r="P267" s="593">
        <v>0</v>
      </c>
      <c r="Q267" s="593">
        <v>0</v>
      </c>
      <c r="R267" s="593">
        <v>0</v>
      </c>
      <c r="S267" s="593">
        <v>0</v>
      </c>
      <c r="T267" s="593">
        <v>0</v>
      </c>
      <c r="U267" s="593">
        <v>0</v>
      </c>
      <c r="V267" s="593">
        <v>663045</v>
      </c>
      <c r="W267" s="593">
        <v>0</v>
      </c>
      <c r="X267" s="593">
        <v>768939</v>
      </c>
      <c r="Y267" s="593">
        <v>0</v>
      </c>
      <c r="Z267" s="593">
        <v>0</v>
      </c>
      <c r="AA267" s="593">
        <v>22516950</v>
      </c>
      <c r="AB267" s="594">
        <v>0</v>
      </c>
      <c r="AC267" s="594">
        <v>0</v>
      </c>
      <c r="AD267" s="594">
        <v>0</v>
      </c>
      <c r="AE267" s="594">
        <v>7282990</v>
      </c>
      <c r="AF267" s="594">
        <v>0</v>
      </c>
      <c r="AG267" s="594">
        <v>230734</v>
      </c>
      <c r="AH267" s="594">
        <v>0</v>
      </c>
      <c r="AI267" s="594">
        <v>0</v>
      </c>
      <c r="AJ267" s="594">
        <v>0</v>
      </c>
      <c r="AK267" s="594">
        <v>359146</v>
      </c>
      <c r="AL267" s="594">
        <v>0</v>
      </c>
      <c r="AM267" s="594">
        <v>0</v>
      </c>
      <c r="AN267" s="594">
        <v>0</v>
      </c>
      <c r="AO267" s="594">
        <v>0</v>
      </c>
      <c r="AP267" s="594">
        <v>945586</v>
      </c>
      <c r="AQ267" s="594">
        <v>0</v>
      </c>
      <c r="AR267" s="594">
        <v>0</v>
      </c>
      <c r="AS267" s="594">
        <v>0</v>
      </c>
      <c r="AT267" s="594">
        <v>0</v>
      </c>
      <c r="AU267" s="594">
        <v>0</v>
      </c>
      <c r="AV267" s="594">
        <v>260268</v>
      </c>
      <c r="AW267" s="594">
        <v>6036730</v>
      </c>
      <c r="AX267" s="594">
        <v>0</v>
      </c>
      <c r="AY267" s="594">
        <v>19593442</v>
      </c>
      <c r="AZ267" s="594">
        <v>0</v>
      </c>
      <c r="BA267" s="594">
        <v>0</v>
      </c>
      <c r="BB267" s="594">
        <v>0</v>
      </c>
      <c r="BC267" s="594">
        <v>0</v>
      </c>
      <c r="BD267" s="594">
        <v>0</v>
      </c>
      <c r="BE267" s="594">
        <v>0</v>
      </c>
      <c r="BF267" s="594">
        <v>0</v>
      </c>
      <c r="BG267" s="594">
        <v>0</v>
      </c>
      <c r="BH267" s="594">
        <v>4815036</v>
      </c>
      <c r="BI267" s="594">
        <v>0</v>
      </c>
      <c r="BJ267" s="594">
        <v>0</v>
      </c>
      <c r="BK267" s="594">
        <v>0</v>
      </c>
      <c r="BL267" s="594">
        <v>4870479</v>
      </c>
      <c r="BM267" s="594">
        <v>1141375</v>
      </c>
      <c r="BN267" s="594">
        <v>0</v>
      </c>
      <c r="BO267" s="594">
        <v>0</v>
      </c>
      <c r="BP267" s="594">
        <v>0</v>
      </c>
      <c r="BQ267" s="594">
        <v>4154063</v>
      </c>
      <c r="BR267" s="594">
        <v>0</v>
      </c>
      <c r="BS267" s="594">
        <v>0</v>
      </c>
      <c r="BT267" s="594">
        <v>0</v>
      </c>
      <c r="BU267" s="594">
        <v>0</v>
      </c>
      <c r="BV267" s="594">
        <v>0</v>
      </c>
      <c r="BW267" s="594">
        <v>0</v>
      </c>
      <c r="BX267" s="594">
        <v>2559811</v>
      </c>
      <c r="BY267" s="594">
        <v>0</v>
      </c>
      <c r="BZ267" s="594">
        <v>0</v>
      </c>
      <c r="CA267" s="594">
        <v>4892518</v>
      </c>
      <c r="CB267" s="594">
        <v>49077653</v>
      </c>
      <c r="CC267" s="594">
        <v>63386371</v>
      </c>
      <c r="CD267" s="594">
        <v>0</v>
      </c>
      <c r="CE267" s="594">
        <v>2426568</v>
      </c>
      <c r="CF267" s="594">
        <v>0</v>
      </c>
      <c r="CG267" s="594">
        <v>65790</v>
      </c>
      <c r="CH267" s="594">
        <v>83859116</v>
      </c>
      <c r="CI267" s="594">
        <v>1685042</v>
      </c>
      <c r="CJ267" s="594">
        <v>0</v>
      </c>
      <c r="CK267" s="594">
        <v>2203567</v>
      </c>
      <c r="CL267" s="594">
        <v>0</v>
      </c>
      <c r="CM267" s="594">
        <v>5505378</v>
      </c>
      <c r="CN267" s="594">
        <v>0</v>
      </c>
      <c r="CO267" s="594">
        <v>0</v>
      </c>
      <c r="CP267" s="594">
        <v>0</v>
      </c>
      <c r="CQ267" s="594">
        <v>4724377</v>
      </c>
    </row>
    <row r="268" spans="1:95" ht="30" x14ac:dyDescent="0.25">
      <c r="A268" s="567">
        <v>608</v>
      </c>
      <c r="B268" s="660">
        <v>608</v>
      </c>
      <c r="C268" s="658" t="s">
        <v>502</v>
      </c>
      <c r="D268" s="558"/>
      <c r="E268" s="595">
        <v>0</v>
      </c>
      <c r="F268" s="596">
        <v>0</v>
      </c>
      <c r="G268" s="596">
        <v>0</v>
      </c>
      <c r="H268" s="596">
        <v>0</v>
      </c>
      <c r="I268" s="596">
        <v>0</v>
      </c>
      <c r="J268" s="596">
        <v>0</v>
      </c>
      <c r="K268" s="597">
        <v>0</v>
      </c>
      <c r="L268" s="594">
        <v>0</v>
      </c>
      <c r="M268" s="594">
        <v>0</v>
      </c>
      <c r="N268" s="593">
        <v>0</v>
      </c>
      <c r="O268" s="593">
        <v>0</v>
      </c>
      <c r="P268" s="593">
        <v>0</v>
      </c>
      <c r="Q268" s="593">
        <v>0</v>
      </c>
      <c r="R268" s="593">
        <v>0</v>
      </c>
      <c r="S268" s="593">
        <v>0</v>
      </c>
      <c r="T268" s="593">
        <v>0</v>
      </c>
      <c r="U268" s="593">
        <v>0</v>
      </c>
      <c r="V268" s="593">
        <v>0</v>
      </c>
      <c r="W268" s="593">
        <v>0</v>
      </c>
      <c r="X268" s="593">
        <v>0</v>
      </c>
      <c r="Y268" s="593">
        <v>0</v>
      </c>
      <c r="Z268" s="593">
        <v>0</v>
      </c>
      <c r="AA268" s="593">
        <v>0</v>
      </c>
      <c r="AB268" s="594">
        <v>0</v>
      </c>
      <c r="AC268" s="594">
        <v>0</v>
      </c>
      <c r="AD268" s="594">
        <v>0</v>
      </c>
      <c r="AE268" s="594">
        <v>0</v>
      </c>
      <c r="AF268" s="594">
        <v>0</v>
      </c>
      <c r="AG268" s="594">
        <v>0</v>
      </c>
      <c r="AH268" s="594">
        <v>0</v>
      </c>
      <c r="AI268" s="594">
        <v>0</v>
      </c>
      <c r="AJ268" s="594">
        <v>0</v>
      </c>
      <c r="AK268" s="594">
        <v>0</v>
      </c>
      <c r="AL268" s="594">
        <v>0</v>
      </c>
      <c r="AM268" s="594">
        <v>0</v>
      </c>
      <c r="AN268" s="594">
        <v>0</v>
      </c>
      <c r="AO268" s="594">
        <v>0</v>
      </c>
      <c r="AP268" s="594">
        <v>0</v>
      </c>
      <c r="AQ268" s="594">
        <v>0</v>
      </c>
      <c r="AR268" s="594">
        <v>0</v>
      </c>
      <c r="AS268" s="594">
        <v>0</v>
      </c>
      <c r="AT268" s="594">
        <v>0</v>
      </c>
      <c r="AU268" s="594">
        <v>0</v>
      </c>
      <c r="AV268" s="594">
        <v>0</v>
      </c>
      <c r="AW268" s="594">
        <v>0</v>
      </c>
      <c r="AX268" s="594">
        <v>0</v>
      </c>
      <c r="AY268" s="594">
        <v>0</v>
      </c>
      <c r="AZ268" s="594">
        <v>0</v>
      </c>
      <c r="BA268" s="594">
        <v>0</v>
      </c>
      <c r="BB268" s="594">
        <v>0</v>
      </c>
      <c r="BC268" s="594">
        <v>0</v>
      </c>
      <c r="BD268" s="594">
        <v>0</v>
      </c>
      <c r="BE268" s="594">
        <v>0</v>
      </c>
      <c r="BF268" s="594">
        <v>0</v>
      </c>
      <c r="BG268" s="594">
        <v>0</v>
      </c>
      <c r="BH268" s="594">
        <v>0</v>
      </c>
      <c r="BI268" s="594">
        <v>0</v>
      </c>
      <c r="BJ268" s="594">
        <v>0</v>
      </c>
      <c r="BK268" s="594">
        <v>0</v>
      </c>
      <c r="BL268" s="594">
        <v>0</v>
      </c>
      <c r="BM268" s="594">
        <v>0</v>
      </c>
      <c r="BN268" s="594">
        <v>0</v>
      </c>
      <c r="BO268" s="594">
        <v>0</v>
      </c>
      <c r="BP268" s="594">
        <v>0</v>
      </c>
      <c r="BQ268" s="594">
        <v>0</v>
      </c>
      <c r="BR268" s="594">
        <v>0</v>
      </c>
      <c r="BS268" s="594">
        <v>0</v>
      </c>
      <c r="BT268" s="594">
        <v>0</v>
      </c>
      <c r="BU268" s="594">
        <v>0</v>
      </c>
      <c r="BV268" s="594">
        <v>0</v>
      </c>
      <c r="BW268" s="594">
        <v>0</v>
      </c>
      <c r="BX268" s="594">
        <v>0</v>
      </c>
      <c r="BY268" s="594">
        <v>0</v>
      </c>
      <c r="BZ268" s="594">
        <v>0</v>
      </c>
      <c r="CA268" s="594">
        <v>695168</v>
      </c>
      <c r="CB268" s="594">
        <v>2959731</v>
      </c>
      <c r="CC268" s="594">
        <v>0</v>
      </c>
      <c r="CD268" s="594">
        <v>0</v>
      </c>
      <c r="CE268" s="594">
        <v>0</v>
      </c>
      <c r="CF268" s="594">
        <v>0</v>
      </c>
      <c r="CG268" s="594">
        <v>0</v>
      </c>
      <c r="CH268" s="594">
        <v>68246293</v>
      </c>
      <c r="CI268" s="594">
        <v>0</v>
      </c>
      <c r="CJ268" s="594">
        <v>0</v>
      </c>
      <c r="CK268" s="594">
        <v>0</v>
      </c>
      <c r="CL268" s="594">
        <v>0</v>
      </c>
      <c r="CM268" s="594">
        <v>0</v>
      </c>
      <c r="CN268" s="594">
        <v>0</v>
      </c>
      <c r="CO268" s="594">
        <v>0</v>
      </c>
      <c r="CP268" s="594">
        <v>0</v>
      </c>
      <c r="CQ268" s="594">
        <v>0</v>
      </c>
    </row>
    <row r="269" spans="1:95" ht="60" x14ac:dyDescent="0.25">
      <c r="A269" s="567">
        <v>609</v>
      </c>
      <c r="B269" s="660">
        <v>609</v>
      </c>
      <c r="C269" s="658" t="s">
        <v>996</v>
      </c>
      <c r="D269" s="558"/>
      <c r="E269" s="657">
        <v>0</v>
      </c>
      <c r="F269" s="654">
        <v>0</v>
      </c>
      <c r="G269" s="654">
        <v>0</v>
      </c>
      <c r="H269" s="654">
        <v>0</v>
      </c>
      <c r="I269" s="654">
        <v>0</v>
      </c>
      <c r="J269" s="654">
        <v>0</v>
      </c>
      <c r="K269" s="655">
        <v>0</v>
      </c>
      <c r="L269" s="653">
        <v>0</v>
      </c>
      <c r="M269" s="653">
        <v>0</v>
      </c>
      <c r="N269" s="652">
        <v>0</v>
      </c>
      <c r="O269" s="652">
        <v>0</v>
      </c>
      <c r="P269" s="652">
        <v>0</v>
      </c>
      <c r="Q269" s="652">
        <v>0</v>
      </c>
      <c r="R269" s="652">
        <v>0</v>
      </c>
      <c r="S269" s="652">
        <v>0</v>
      </c>
      <c r="T269" s="652">
        <v>0</v>
      </c>
      <c r="U269" s="652">
        <v>0</v>
      </c>
      <c r="V269" s="652">
        <v>0</v>
      </c>
      <c r="W269" s="652">
        <v>0</v>
      </c>
      <c r="X269" s="652">
        <v>0</v>
      </c>
      <c r="Y269" s="652">
        <v>0</v>
      </c>
      <c r="Z269" s="652">
        <v>0</v>
      </c>
      <c r="AA269" s="652">
        <v>0</v>
      </c>
      <c r="AB269" s="653">
        <v>0</v>
      </c>
      <c r="AC269" s="653">
        <v>0</v>
      </c>
      <c r="AD269" s="653">
        <v>0</v>
      </c>
      <c r="AE269" s="653">
        <v>0</v>
      </c>
      <c r="AF269" s="653">
        <v>0</v>
      </c>
      <c r="AG269" s="653">
        <v>0</v>
      </c>
      <c r="AH269" s="653">
        <v>0</v>
      </c>
      <c r="AI269" s="653">
        <v>0</v>
      </c>
      <c r="AJ269" s="653">
        <v>0</v>
      </c>
      <c r="AK269" s="653">
        <v>0</v>
      </c>
      <c r="AL269" s="653">
        <v>0</v>
      </c>
      <c r="AM269" s="653">
        <v>0</v>
      </c>
      <c r="AN269" s="653">
        <v>0</v>
      </c>
      <c r="AO269" s="653">
        <v>0</v>
      </c>
      <c r="AP269" s="653">
        <v>0</v>
      </c>
      <c r="AQ269" s="653">
        <v>0</v>
      </c>
      <c r="AR269" s="653">
        <v>0</v>
      </c>
      <c r="AS269" s="653">
        <v>0</v>
      </c>
      <c r="AT269" s="653">
        <v>0</v>
      </c>
      <c r="AU269" s="653">
        <v>0</v>
      </c>
      <c r="AV269" s="653">
        <v>0</v>
      </c>
      <c r="AW269" s="653">
        <v>0</v>
      </c>
      <c r="AX269" s="653">
        <v>0</v>
      </c>
      <c r="AY269" s="653">
        <v>0</v>
      </c>
      <c r="AZ269" s="653">
        <v>0</v>
      </c>
      <c r="BA269" s="653">
        <v>0</v>
      </c>
      <c r="BB269" s="653">
        <v>0</v>
      </c>
      <c r="BC269" s="653">
        <v>0</v>
      </c>
      <c r="BD269" s="653">
        <v>0</v>
      </c>
      <c r="BE269" s="653">
        <v>0</v>
      </c>
      <c r="BF269" s="653">
        <v>0</v>
      </c>
      <c r="BG269" s="653">
        <v>0</v>
      </c>
      <c r="BH269" s="653">
        <v>0</v>
      </c>
      <c r="BI269" s="653">
        <v>0</v>
      </c>
      <c r="BJ269" s="653">
        <v>0</v>
      </c>
      <c r="BK269" s="653">
        <v>0</v>
      </c>
      <c r="BL269" s="653">
        <v>0</v>
      </c>
      <c r="BM269" s="653">
        <v>0</v>
      </c>
      <c r="BN269" s="653">
        <v>0</v>
      </c>
      <c r="BO269" s="653">
        <v>0</v>
      </c>
      <c r="BP269" s="653">
        <v>0</v>
      </c>
      <c r="BQ269" s="653">
        <v>0</v>
      </c>
      <c r="BR269" s="653">
        <v>0</v>
      </c>
      <c r="BS269" s="653">
        <v>0</v>
      </c>
      <c r="BT269" s="653">
        <v>0</v>
      </c>
      <c r="BU269" s="653">
        <v>0</v>
      </c>
      <c r="BV269" s="653">
        <v>0</v>
      </c>
      <c r="BW269" s="653">
        <v>0</v>
      </c>
      <c r="BX269" s="653">
        <v>0</v>
      </c>
      <c r="BY269" s="653">
        <v>0</v>
      </c>
      <c r="BZ269" s="653">
        <v>0</v>
      </c>
      <c r="CA269" s="653">
        <v>14.2</v>
      </c>
      <c r="CB269" s="653">
        <v>6</v>
      </c>
      <c r="CC269" s="653">
        <v>0</v>
      </c>
      <c r="CD269" s="653">
        <v>0</v>
      </c>
      <c r="CE269" s="653">
        <v>0</v>
      </c>
      <c r="CF269" s="653">
        <v>0</v>
      </c>
      <c r="CG269" s="653">
        <v>0</v>
      </c>
      <c r="CH269" s="653">
        <v>81.400000000000006</v>
      </c>
      <c r="CI269" s="653">
        <v>0</v>
      </c>
      <c r="CJ269" s="653">
        <v>0</v>
      </c>
      <c r="CK269" s="653">
        <v>0</v>
      </c>
      <c r="CL269" s="653">
        <v>0</v>
      </c>
      <c r="CM269" s="653">
        <v>0</v>
      </c>
      <c r="CN269" s="653">
        <v>0</v>
      </c>
      <c r="CO269" s="653">
        <v>0</v>
      </c>
      <c r="CP269" s="653">
        <v>0</v>
      </c>
      <c r="CQ269" s="653">
        <v>0</v>
      </c>
    </row>
    <row r="270" spans="1:95" ht="30" x14ac:dyDescent="0.25">
      <c r="A270" s="567">
        <v>610</v>
      </c>
      <c r="B270" s="660">
        <v>610</v>
      </c>
      <c r="C270" s="658" t="s">
        <v>503</v>
      </c>
      <c r="D270" s="558"/>
      <c r="E270" s="595">
        <v>0</v>
      </c>
      <c r="F270" s="596">
        <v>0</v>
      </c>
      <c r="G270" s="596">
        <v>0</v>
      </c>
      <c r="H270" s="596">
        <v>0</v>
      </c>
      <c r="I270" s="596">
        <v>0</v>
      </c>
      <c r="J270" s="596">
        <v>0</v>
      </c>
      <c r="K270" s="597">
        <v>0</v>
      </c>
      <c r="L270" s="594">
        <v>0</v>
      </c>
      <c r="M270" s="594">
        <v>0</v>
      </c>
      <c r="N270" s="593">
        <v>0</v>
      </c>
      <c r="O270" s="593">
        <v>0</v>
      </c>
      <c r="P270" s="593">
        <v>0</v>
      </c>
      <c r="Q270" s="593">
        <v>0</v>
      </c>
      <c r="R270" s="593">
        <v>0</v>
      </c>
      <c r="S270" s="593">
        <v>0</v>
      </c>
      <c r="T270" s="593">
        <v>0</v>
      </c>
      <c r="U270" s="593">
        <v>0</v>
      </c>
      <c r="V270" s="593">
        <v>0</v>
      </c>
      <c r="W270" s="593">
        <v>0</v>
      </c>
      <c r="X270" s="593">
        <v>0</v>
      </c>
      <c r="Y270" s="593">
        <v>0</v>
      </c>
      <c r="Z270" s="593">
        <v>0</v>
      </c>
      <c r="AA270" s="593">
        <v>0</v>
      </c>
      <c r="AB270" s="594">
        <v>0</v>
      </c>
      <c r="AC270" s="594">
        <v>0</v>
      </c>
      <c r="AD270" s="594">
        <v>0</v>
      </c>
      <c r="AE270" s="594">
        <v>0</v>
      </c>
      <c r="AF270" s="594">
        <v>0</v>
      </c>
      <c r="AG270" s="594">
        <v>0</v>
      </c>
      <c r="AH270" s="594">
        <v>0</v>
      </c>
      <c r="AI270" s="594">
        <v>0</v>
      </c>
      <c r="AJ270" s="594">
        <v>0</v>
      </c>
      <c r="AK270" s="594">
        <v>0</v>
      </c>
      <c r="AL270" s="594">
        <v>0</v>
      </c>
      <c r="AM270" s="594">
        <v>0</v>
      </c>
      <c r="AN270" s="594">
        <v>0</v>
      </c>
      <c r="AO270" s="594">
        <v>0</v>
      </c>
      <c r="AP270" s="594">
        <v>0</v>
      </c>
      <c r="AQ270" s="594">
        <v>0</v>
      </c>
      <c r="AR270" s="594">
        <v>0</v>
      </c>
      <c r="AS270" s="594">
        <v>0</v>
      </c>
      <c r="AT270" s="594">
        <v>0</v>
      </c>
      <c r="AU270" s="594">
        <v>0</v>
      </c>
      <c r="AV270" s="594">
        <v>0</v>
      </c>
      <c r="AW270" s="594">
        <v>0</v>
      </c>
      <c r="AX270" s="594">
        <v>0</v>
      </c>
      <c r="AY270" s="594">
        <v>0</v>
      </c>
      <c r="AZ270" s="594">
        <v>0</v>
      </c>
      <c r="BA270" s="594">
        <v>0</v>
      </c>
      <c r="BB270" s="594">
        <v>0</v>
      </c>
      <c r="BC270" s="594">
        <v>0</v>
      </c>
      <c r="BD270" s="594">
        <v>0</v>
      </c>
      <c r="BE270" s="594">
        <v>0</v>
      </c>
      <c r="BF270" s="594">
        <v>0</v>
      </c>
      <c r="BG270" s="594">
        <v>0</v>
      </c>
      <c r="BH270" s="594">
        <v>0</v>
      </c>
      <c r="BI270" s="594">
        <v>0</v>
      </c>
      <c r="BJ270" s="594">
        <v>0</v>
      </c>
      <c r="BK270" s="594">
        <v>0</v>
      </c>
      <c r="BL270" s="594">
        <v>0</v>
      </c>
      <c r="BM270" s="594">
        <v>0</v>
      </c>
      <c r="BN270" s="594">
        <v>0</v>
      </c>
      <c r="BO270" s="594">
        <v>0</v>
      </c>
      <c r="BP270" s="594">
        <v>0</v>
      </c>
      <c r="BQ270" s="594">
        <v>0</v>
      </c>
      <c r="BR270" s="594">
        <v>0</v>
      </c>
      <c r="BS270" s="594">
        <v>0</v>
      </c>
      <c r="BT270" s="594">
        <v>0</v>
      </c>
      <c r="BU270" s="594">
        <v>0</v>
      </c>
      <c r="BV270" s="594">
        <v>0</v>
      </c>
      <c r="BW270" s="594">
        <v>0</v>
      </c>
      <c r="BX270" s="594">
        <v>0</v>
      </c>
      <c r="BY270" s="594">
        <v>0</v>
      </c>
      <c r="BZ270" s="594">
        <v>0</v>
      </c>
      <c r="CA270" s="594">
        <v>0</v>
      </c>
      <c r="CB270" s="594">
        <v>0</v>
      </c>
      <c r="CC270" s="594">
        <v>0</v>
      </c>
      <c r="CD270" s="594">
        <v>0</v>
      </c>
      <c r="CE270" s="594">
        <v>0</v>
      </c>
      <c r="CF270" s="594">
        <v>0</v>
      </c>
      <c r="CG270" s="594">
        <v>0</v>
      </c>
      <c r="CH270" s="594">
        <v>0</v>
      </c>
      <c r="CI270" s="594">
        <v>0</v>
      </c>
      <c r="CJ270" s="594">
        <v>0</v>
      </c>
      <c r="CK270" s="594">
        <v>0</v>
      </c>
      <c r="CL270" s="594">
        <v>0</v>
      </c>
      <c r="CM270" s="594">
        <v>0</v>
      </c>
      <c r="CN270" s="594">
        <v>0</v>
      </c>
      <c r="CO270" s="594">
        <v>0</v>
      </c>
      <c r="CP270" s="594">
        <v>0</v>
      </c>
      <c r="CQ270" s="594">
        <v>0</v>
      </c>
    </row>
    <row r="271" spans="1:95" ht="30" x14ac:dyDescent="0.25">
      <c r="A271" s="567">
        <v>611</v>
      </c>
      <c r="B271" s="660">
        <v>611</v>
      </c>
      <c r="C271" s="658" t="s">
        <v>504</v>
      </c>
      <c r="D271" s="558"/>
      <c r="E271" s="595">
        <v>0</v>
      </c>
      <c r="F271" s="596">
        <v>0</v>
      </c>
      <c r="G271" s="596">
        <v>0</v>
      </c>
      <c r="H271" s="596">
        <v>0</v>
      </c>
      <c r="I271" s="596">
        <v>0</v>
      </c>
      <c r="J271" s="596">
        <v>0</v>
      </c>
      <c r="K271" s="597">
        <v>0</v>
      </c>
      <c r="L271" s="594">
        <v>0</v>
      </c>
      <c r="M271" s="594">
        <v>0</v>
      </c>
      <c r="N271" s="593">
        <v>0</v>
      </c>
      <c r="O271" s="593">
        <v>0</v>
      </c>
      <c r="P271" s="593">
        <v>0</v>
      </c>
      <c r="Q271" s="593">
        <v>0</v>
      </c>
      <c r="R271" s="593">
        <v>0</v>
      </c>
      <c r="S271" s="593">
        <v>0</v>
      </c>
      <c r="T271" s="593">
        <v>0</v>
      </c>
      <c r="U271" s="593">
        <v>0</v>
      </c>
      <c r="V271" s="593">
        <v>0</v>
      </c>
      <c r="W271" s="593">
        <v>0</v>
      </c>
      <c r="X271" s="593">
        <v>0</v>
      </c>
      <c r="Y271" s="593">
        <v>0</v>
      </c>
      <c r="Z271" s="593">
        <v>0</v>
      </c>
      <c r="AA271" s="593">
        <v>0</v>
      </c>
      <c r="AB271" s="594">
        <v>0</v>
      </c>
      <c r="AC271" s="594">
        <v>0</v>
      </c>
      <c r="AD271" s="594">
        <v>0</v>
      </c>
      <c r="AE271" s="594">
        <v>0</v>
      </c>
      <c r="AF271" s="594">
        <v>0</v>
      </c>
      <c r="AG271" s="594">
        <v>0</v>
      </c>
      <c r="AH271" s="594">
        <v>0</v>
      </c>
      <c r="AI271" s="594">
        <v>0</v>
      </c>
      <c r="AJ271" s="594">
        <v>0</v>
      </c>
      <c r="AK271" s="594">
        <v>0</v>
      </c>
      <c r="AL271" s="594">
        <v>0</v>
      </c>
      <c r="AM271" s="594">
        <v>0</v>
      </c>
      <c r="AN271" s="594">
        <v>0</v>
      </c>
      <c r="AO271" s="594">
        <v>0</v>
      </c>
      <c r="AP271" s="594">
        <v>0</v>
      </c>
      <c r="AQ271" s="594">
        <v>0</v>
      </c>
      <c r="AR271" s="594">
        <v>0</v>
      </c>
      <c r="AS271" s="594">
        <v>0</v>
      </c>
      <c r="AT271" s="594">
        <v>0</v>
      </c>
      <c r="AU271" s="594">
        <v>0</v>
      </c>
      <c r="AV271" s="594">
        <v>0</v>
      </c>
      <c r="AW271" s="594">
        <v>0</v>
      </c>
      <c r="AX271" s="594">
        <v>0</v>
      </c>
      <c r="AY271" s="594">
        <v>0</v>
      </c>
      <c r="AZ271" s="594">
        <v>0</v>
      </c>
      <c r="BA271" s="594">
        <v>0</v>
      </c>
      <c r="BB271" s="594">
        <v>0</v>
      </c>
      <c r="BC271" s="594">
        <v>0</v>
      </c>
      <c r="BD271" s="594">
        <v>0</v>
      </c>
      <c r="BE271" s="594">
        <v>0</v>
      </c>
      <c r="BF271" s="594">
        <v>0</v>
      </c>
      <c r="BG271" s="594">
        <v>0</v>
      </c>
      <c r="BH271" s="594">
        <v>0</v>
      </c>
      <c r="BI271" s="594">
        <v>0</v>
      </c>
      <c r="BJ271" s="594">
        <v>0</v>
      </c>
      <c r="BK271" s="594">
        <v>0</v>
      </c>
      <c r="BL271" s="594">
        <v>0</v>
      </c>
      <c r="BM271" s="594">
        <v>0</v>
      </c>
      <c r="BN271" s="594">
        <v>0</v>
      </c>
      <c r="BO271" s="594">
        <v>0</v>
      </c>
      <c r="BP271" s="594">
        <v>0</v>
      </c>
      <c r="BQ271" s="594">
        <v>0</v>
      </c>
      <c r="BR271" s="594">
        <v>0</v>
      </c>
      <c r="BS271" s="594">
        <v>0</v>
      </c>
      <c r="BT271" s="594">
        <v>0</v>
      </c>
      <c r="BU271" s="594">
        <v>0</v>
      </c>
      <c r="BV271" s="594">
        <v>0</v>
      </c>
      <c r="BW271" s="594">
        <v>0</v>
      </c>
      <c r="BX271" s="594">
        <v>0</v>
      </c>
      <c r="BY271" s="594">
        <v>0</v>
      </c>
      <c r="BZ271" s="594">
        <v>0</v>
      </c>
      <c r="CA271" s="594">
        <v>0</v>
      </c>
      <c r="CB271" s="594">
        <v>0</v>
      </c>
      <c r="CC271" s="594">
        <v>0</v>
      </c>
      <c r="CD271" s="594">
        <v>0</v>
      </c>
      <c r="CE271" s="594">
        <v>0</v>
      </c>
      <c r="CF271" s="594">
        <v>0</v>
      </c>
      <c r="CG271" s="594">
        <v>0</v>
      </c>
      <c r="CH271" s="594">
        <v>0</v>
      </c>
      <c r="CI271" s="594">
        <v>0</v>
      </c>
      <c r="CJ271" s="594">
        <v>0</v>
      </c>
      <c r="CK271" s="594">
        <v>0</v>
      </c>
      <c r="CL271" s="594">
        <v>0</v>
      </c>
      <c r="CM271" s="594">
        <v>0</v>
      </c>
      <c r="CN271" s="594">
        <v>0</v>
      </c>
      <c r="CO271" s="594">
        <v>0</v>
      </c>
      <c r="CP271" s="594">
        <v>0</v>
      </c>
      <c r="CQ271" s="594">
        <v>0</v>
      </c>
    </row>
    <row r="272" spans="1:95" ht="60" x14ac:dyDescent="0.25">
      <c r="A272" s="567">
        <v>612</v>
      </c>
      <c r="B272" s="660">
        <v>612</v>
      </c>
      <c r="C272" s="658" t="s">
        <v>997</v>
      </c>
      <c r="D272" s="558"/>
      <c r="E272" s="657">
        <v>0</v>
      </c>
      <c r="F272" s="654">
        <v>0</v>
      </c>
      <c r="G272" s="654">
        <v>0</v>
      </c>
      <c r="H272" s="654">
        <v>0</v>
      </c>
      <c r="I272" s="654">
        <v>0</v>
      </c>
      <c r="J272" s="654">
        <v>0</v>
      </c>
      <c r="K272" s="655">
        <v>0</v>
      </c>
      <c r="L272" s="653">
        <v>0</v>
      </c>
      <c r="M272" s="653">
        <v>0</v>
      </c>
      <c r="N272" s="652">
        <v>0</v>
      </c>
      <c r="O272" s="652">
        <v>0</v>
      </c>
      <c r="P272" s="652">
        <v>0</v>
      </c>
      <c r="Q272" s="652">
        <v>0</v>
      </c>
      <c r="R272" s="652">
        <v>0</v>
      </c>
      <c r="S272" s="652">
        <v>0</v>
      </c>
      <c r="T272" s="652">
        <v>0</v>
      </c>
      <c r="U272" s="652">
        <v>0</v>
      </c>
      <c r="V272" s="652">
        <v>0</v>
      </c>
      <c r="W272" s="652">
        <v>0</v>
      </c>
      <c r="X272" s="652">
        <v>0</v>
      </c>
      <c r="Y272" s="652">
        <v>0</v>
      </c>
      <c r="Z272" s="652">
        <v>0</v>
      </c>
      <c r="AA272" s="652">
        <v>0</v>
      </c>
      <c r="AB272" s="653">
        <v>0</v>
      </c>
      <c r="AC272" s="653">
        <v>0</v>
      </c>
      <c r="AD272" s="653">
        <v>0</v>
      </c>
      <c r="AE272" s="653">
        <v>0</v>
      </c>
      <c r="AF272" s="653">
        <v>0</v>
      </c>
      <c r="AG272" s="653">
        <v>0</v>
      </c>
      <c r="AH272" s="653">
        <v>0</v>
      </c>
      <c r="AI272" s="653">
        <v>0</v>
      </c>
      <c r="AJ272" s="653">
        <v>0</v>
      </c>
      <c r="AK272" s="653">
        <v>0</v>
      </c>
      <c r="AL272" s="653">
        <v>0</v>
      </c>
      <c r="AM272" s="653">
        <v>0</v>
      </c>
      <c r="AN272" s="653">
        <v>0</v>
      </c>
      <c r="AO272" s="653">
        <v>0</v>
      </c>
      <c r="AP272" s="653">
        <v>0</v>
      </c>
      <c r="AQ272" s="653">
        <v>0</v>
      </c>
      <c r="AR272" s="653">
        <v>0</v>
      </c>
      <c r="AS272" s="653">
        <v>0</v>
      </c>
      <c r="AT272" s="653">
        <v>0</v>
      </c>
      <c r="AU272" s="653">
        <v>0</v>
      </c>
      <c r="AV272" s="653">
        <v>0</v>
      </c>
      <c r="AW272" s="653">
        <v>0</v>
      </c>
      <c r="AX272" s="653">
        <v>0</v>
      </c>
      <c r="AY272" s="653">
        <v>0</v>
      </c>
      <c r="AZ272" s="653">
        <v>0</v>
      </c>
      <c r="BA272" s="653">
        <v>0</v>
      </c>
      <c r="BB272" s="653">
        <v>0</v>
      </c>
      <c r="BC272" s="653">
        <v>0</v>
      </c>
      <c r="BD272" s="653">
        <v>0</v>
      </c>
      <c r="BE272" s="653">
        <v>0</v>
      </c>
      <c r="BF272" s="653">
        <v>0</v>
      </c>
      <c r="BG272" s="653">
        <v>0</v>
      </c>
      <c r="BH272" s="653">
        <v>0</v>
      </c>
      <c r="BI272" s="653">
        <v>0</v>
      </c>
      <c r="BJ272" s="653">
        <v>0</v>
      </c>
      <c r="BK272" s="653">
        <v>0</v>
      </c>
      <c r="BL272" s="653">
        <v>0</v>
      </c>
      <c r="BM272" s="653">
        <v>0</v>
      </c>
      <c r="BN272" s="653">
        <v>0</v>
      </c>
      <c r="BO272" s="653">
        <v>0</v>
      </c>
      <c r="BP272" s="653">
        <v>0</v>
      </c>
      <c r="BQ272" s="653">
        <v>0</v>
      </c>
      <c r="BR272" s="653">
        <v>0</v>
      </c>
      <c r="BS272" s="653">
        <v>0</v>
      </c>
      <c r="BT272" s="653">
        <v>0</v>
      </c>
      <c r="BU272" s="653">
        <v>0</v>
      </c>
      <c r="BV272" s="653">
        <v>0</v>
      </c>
      <c r="BW272" s="653">
        <v>0</v>
      </c>
      <c r="BX272" s="653">
        <v>0</v>
      </c>
      <c r="BY272" s="653">
        <v>0</v>
      </c>
      <c r="BZ272" s="653">
        <v>0</v>
      </c>
      <c r="CA272" s="653">
        <v>0</v>
      </c>
      <c r="CB272" s="653">
        <v>0</v>
      </c>
      <c r="CC272" s="653">
        <v>0</v>
      </c>
      <c r="CD272" s="653">
        <v>0</v>
      </c>
      <c r="CE272" s="653">
        <v>0</v>
      </c>
      <c r="CF272" s="653">
        <v>0</v>
      </c>
      <c r="CG272" s="653">
        <v>0</v>
      </c>
      <c r="CH272" s="653">
        <v>0</v>
      </c>
      <c r="CI272" s="653">
        <v>0</v>
      </c>
      <c r="CJ272" s="653">
        <v>0</v>
      </c>
      <c r="CK272" s="653">
        <v>0</v>
      </c>
      <c r="CL272" s="653">
        <v>0</v>
      </c>
      <c r="CM272" s="653">
        <v>0</v>
      </c>
      <c r="CN272" s="653">
        <v>0</v>
      </c>
      <c r="CO272" s="653">
        <v>0</v>
      </c>
      <c r="CP272" s="653">
        <v>0</v>
      </c>
      <c r="CQ272" s="653">
        <v>0</v>
      </c>
    </row>
    <row r="273" spans="1:95" ht="30" x14ac:dyDescent="0.25">
      <c r="A273" s="567">
        <v>613</v>
      </c>
      <c r="B273" s="660">
        <v>613</v>
      </c>
      <c r="C273" s="658" t="s">
        <v>517</v>
      </c>
      <c r="D273" s="558"/>
      <c r="E273" s="595">
        <v>0</v>
      </c>
      <c r="F273" s="596">
        <v>0</v>
      </c>
      <c r="G273" s="596">
        <v>0</v>
      </c>
      <c r="H273" s="596">
        <v>0</v>
      </c>
      <c r="I273" s="596">
        <v>0</v>
      </c>
      <c r="J273" s="596">
        <v>0</v>
      </c>
      <c r="K273" s="597">
        <v>0</v>
      </c>
      <c r="L273" s="594">
        <v>0</v>
      </c>
      <c r="M273" s="594">
        <v>0</v>
      </c>
      <c r="N273" s="593">
        <v>0</v>
      </c>
      <c r="O273" s="593">
        <v>0</v>
      </c>
      <c r="P273" s="593">
        <v>0</v>
      </c>
      <c r="Q273" s="593">
        <v>0</v>
      </c>
      <c r="R273" s="593">
        <v>0</v>
      </c>
      <c r="S273" s="593">
        <v>0</v>
      </c>
      <c r="T273" s="593">
        <v>0</v>
      </c>
      <c r="U273" s="593">
        <v>0</v>
      </c>
      <c r="V273" s="593">
        <v>0</v>
      </c>
      <c r="W273" s="593">
        <v>0</v>
      </c>
      <c r="X273" s="593">
        <v>0</v>
      </c>
      <c r="Y273" s="593">
        <v>0</v>
      </c>
      <c r="Z273" s="593">
        <v>0</v>
      </c>
      <c r="AA273" s="593">
        <v>0</v>
      </c>
      <c r="AB273" s="594">
        <v>0</v>
      </c>
      <c r="AC273" s="594">
        <v>0</v>
      </c>
      <c r="AD273" s="594">
        <v>0</v>
      </c>
      <c r="AE273" s="594">
        <v>0</v>
      </c>
      <c r="AF273" s="594">
        <v>0</v>
      </c>
      <c r="AG273" s="594">
        <v>0</v>
      </c>
      <c r="AH273" s="594">
        <v>0</v>
      </c>
      <c r="AI273" s="594">
        <v>0</v>
      </c>
      <c r="AJ273" s="594">
        <v>0</v>
      </c>
      <c r="AK273" s="594">
        <v>0</v>
      </c>
      <c r="AL273" s="594">
        <v>0</v>
      </c>
      <c r="AM273" s="594">
        <v>0</v>
      </c>
      <c r="AN273" s="594">
        <v>0</v>
      </c>
      <c r="AO273" s="594">
        <v>0</v>
      </c>
      <c r="AP273" s="594">
        <v>0</v>
      </c>
      <c r="AQ273" s="594">
        <v>0</v>
      </c>
      <c r="AR273" s="594">
        <v>0</v>
      </c>
      <c r="AS273" s="594">
        <v>0</v>
      </c>
      <c r="AT273" s="594">
        <v>0</v>
      </c>
      <c r="AU273" s="594">
        <v>0</v>
      </c>
      <c r="AV273" s="594">
        <v>0</v>
      </c>
      <c r="AW273" s="594">
        <v>0</v>
      </c>
      <c r="AX273" s="594">
        <v>0</v>
      </c>
      <c r="AY273" s="594">
        <v>0</v>
      </c>
      <c r="AZ273" s="594">
        <v>0</v>
      </c>
      <c r="BA273" s="594">
        <v>0</v>
      </c>
      <c r="BB273" s="594">
        <v>0</v>
      </c>
      <c r="BC273" s="594">
        <v>0</v>
      </c>
      <c r="BD273" s="594">
        <v>0</v>
      </c>
      <c r="BE273" s="594">
        <v>0</v>
      </c>
      <c r="BF273" s="594">
        <v>0</v>
      </c>
      <c r="BG273" s="594">
        <v>0</v>
      </c>
      <c r="BH273" s="594">
        <v>0</v>
      </c>
      <c r="BI273" s="594">
        <v>0</v>
      </c>
      <c r="BJ273" s="594">
        <v>0</v>
      </c>
      <c r="BK273" s="594">
        <v>0</v>
      </c>
      <c r="BL273" s="594">
        <v>0</v>
      </c>
      <c r="BM273" s="594">
        <v>0</v>
      </c>
      <c r="BN273" s="594">
        <v>0</v>
      </c>
      <c r="BO273" s="594">
        <v>0</v>
      </c>
      <c r="BP273" s="594">
        <v>0</v>
      </c>
      <c r="BQ273" s="594">
        <v>0</v>
      </c>
      <c r="BR273" s="594">
        <v>0</v>
      </c>
      <c r="BS273" s="594">
        <v>0</v>
      </c>
      <c r="BT273" s="594">
        <v>0</v>
      </c>
      <c r="BU273" s="594">
        <v>0</v>
      </c>
      <c r="BV273" s="594">
        <v>0</v>
      </c>
      <c r="BW273" s="594">
        <v>0</v>
      </c>
      <c r="BX273" s="594">
        <v>0</v>
      </c>
      <c r="BY273" s="594">
        <v>0</v>
      </c>
      <c r="BZ273" s="594">
        <v>0</v>
      </c>
      <c r="CA273" s="594">
        <v>0</v>
      </c>
      <c r="CB273" s="594">
        <v>0</v>
      </c>
      <c r="CC273" s="594">
        <v>0</v>
      </c>
      <c r="CD273" s="594">
        <v>0</v>
      </c>
      <c r="CE273" s="594">
        <v>0</v>
      </c>
      <c r="CF273" s="594">
        <v>0</v>
      </c>
      <c r="CG273" s="594">
        <v>0</v>
      </c>
      <c r="CH273" s="594">
        <v>0</v>
      </c>
      <c r="CI273" s="594">
        <v>0</v>
      </c>
      <c r="CJ273" s="594">
        <v>0</v>
      </c>
      <c r="CK273" s="594">
        <v>0</v>
      </c>
      <c r="CL273" s="594">
        <v>0</v>
      </c>
      <c r="CM273" s="594">
        <v>0</v>
      </c>
      <c r="CN273" s="594">
        <v>0</v>
      </c>
      <c r="CO273" s="594">
        <v>0</v>
      </c>
      <c r="CP273" s="594">
        <v>0</v>
      </c>
      <c r="CQ273" s="594">
        <v>0</v>
      </c>
    </row>
    <row r="274" spans="1:95" ht="30" x14ac:dyDescent="0.25">
      <c r="A274" s="567">
        <v>614</v>
      </c>
      <c r="B274" s="660">
        <v>614</v>
      </c>
      <c r="C274" s="658" t="s">
        <v>505</v>
      </c>
      <c r="D274" s="558"/>
      <c r="E274" s="595">
        <v>0</v>
      </c>
      <c r="F274" s="596">
        <v>0</v>
      </c>
      <c r="G274" s="596">
        <v>0</v>
      </c>
      <c r="H274" s="596">
        <v>0</v>
      </c>
      <c r="I274" s="596">
        <v>0</v>
      </c>
      <c r="J274" s="596">
        <v>0</v>
      </c>
      <c r="K274" s="597">
        <v>0</v>
      </c>
      <c r="L274" s="594">
        <v>0</v>
      </c>
      <c r="M274" s="594">
        <v>0</v>
      </c>
      <c r="N274" s="593">
        <v>0</v>
      </c>
      <c r="O274" s="593">
        <v>0</v>
      </c>
      <c r="P274" s="593">
        <v>0</v>
      </c>
      <c r="Q274" s="593">
        <v>0</v>
      </c>
      <c r="R274" s="593">
        <v>0</v>
      </c>
      <c r="S274" s="593">
        <v>0</v>
      </c>
      <c r="T274" s="593">
        <v>0</v>
      </c>
      <c r="U274" s="593">
        <v>0</v>
      </c>
      <c r="V274" s="593">
        <v>0</v>
      </c>
      <c r="W274" s="593">
        <v>0</v>
      </c>
      <c r="X274" s="593">
        <v>0</v>
      </c>
      <c r="Y274" s="593">
        <v>0</v>
      </c>
      <c r="Z274" s="593">
        <v>0</v>
      </c>
      <c r="AA274" s="593">
        <v>0</v>
      </c>
      <c r="AB274" s="594">
        <v>0</v>
      </c>
      <c r="AC274" s="594">
        <v>0</v>
      </c>
      <c r="AD274" s="594">
        <v>0</v>
      </c>
      <c r="AE274" s="594">
        <v>0</v>
      </c>
      <c r="AF274" s="594">
        <v>0</v>
      </c>
      <c r="AG274" s="594">
        <v>0</v>
      </c>
      <c r="AH274" s="594">
        <v>0</v>
      </c>
      <c r="AI274" s="594">
        <v>0</v>
      </c>
      <c r="AJ274" s="594">
        <v>0</v>
      </c>
      <c r="AK274" s="594">
        <v>0</v>
      </c>
      <c r="AL274" s="594">
        <v>0</v>
      </c>
      <c r="AM274" s="594">
        <v>0</v>
      </c>
      <c r="AN274" s="594">
        <v>0</v>
      </c>
      <c r="AO274" s="594">
        <v>0</v>
      </c>
      <c r="AP274" s="594">
        <v>0</v>
      </c>
      <c r="AQ274" s="594">
        <v>0</v>
      </c>
      <c r="AR274" s="594">
        <v>0</v>
      </c>
      <c r="AS274" s="594">
        <v>0</v>
      </c>
      <c r="AT274" s="594">
        <v>0</v>
      </c>
      <c r="AU274" s="594">
        <v>0</v>
      </c>
      <c r="AV274" s="594">
        <v>0</v>
      </c>
      <c r="AW274" s="594">
        <v>0</v>
      </c>
      <c r="AX274" s="594">
        <v>0</v>
      </c>
      <c r="AY274" s="594">
        <v>0</v>
      </c>
      <c r="AZ274" s="594">
        <v>0</v>
      </c>
      <c r="BA274" s="594">
        <v>0</v>
      </c>
      <c r="BB274" s="594">
        <v>0</v>
      </c>
      <c r="BC274" s="594">
        <v>0</v>
      </c>
      <c r="BD274" s="594">
        <v>0</v>
      </c>
      <c r="BE274" s="594">
        <v>0</v>
      </c>
      <c r="BF274" s="594">
        <v>0</v>
      </c>
      <c r="BG274" s="594">
        <v>0</v>
      </c>
      <c r="BH274" s="594">
        <v>0</v>
      </c>
      <c r="BI274" s="594">
        <v>0</v>
      </c>
      <c r="BJ274" s="594">
        <v>0</v>
      </c>
      <c r="BK274" s="594">
        <v>0</v>
      </c>
      <c r="BL274" s="594">
        <v>0</v>
      </c>
      <c r="BM274" s="594">
        <v>0</v>
      </c>
      <c r="BN274" s="594">
        <v>0</v>
      </c>
      <c r="BO274" s="594">
        <v>0</v>
      </c>
      <c r="BP274" s="594">
        <v>0</v>
      </c>
      <c r="BQ274" s="594">
        <v>0</v>
      </c>
      <c r="BR274" s="594">
        <v>0</v>
      </c>
      <c r="BS274" s="594">
        <v>0</v>
      </c>
      <c r="BT274" s="594">
        <v>0</v>
      </c>
      <c r="BU274" s="594">
        <v>0</v>
      </c>
      <c r="BV274" s="594">
        <v>0</v>
      </c>
      <c r="BW274" s="594">
        <v>0</v>
      </c>
      <c r="BX274" s="594">
        <v>0</v>
      </c>
      <c r="BY274" s="594">
        <v>0</v>
      </c>
      <c r="BZ274" s="594">
        <v>0</v>
      </c>
      <c r="CA274" s="594">
        <v>0</v>
      </c>
      <c r="CB274" s="594">
        <v>0</v>
      </c>
      <c r="CC274" s="594">
        <v>0</v>
      </c>
      <c r="CD274" s="594">
        <v>0</v>
      </c>
      <c r="CE274" s="594">
        <v>0</v>
      </c>
      <c r="CF274" s="594">
        <v>0</v>
      </c>
      <c r="CG274" s="594">
        <v>0</v>
      </c>
      <c r="CH274" s="594">
        <v>0</v>
      </c>
      <c r="CI274" s="594">
        <v>0</v>
      </c>
      <c r="CJ274" s="594">
        <v>0</v>
      </c>
      <c r="CK274" s="594">
        <v>0</v>
      </c>
      <c r="CL274" s="594">
        <v>0</v>
      </c>
      <c r="CM274" s="594">
        <v>0</v>
      </c>
      <c r="CN274" s="594">
        <v>0</v>
      </c>
      <c r="CO274" s="594">
        <v>0</v>
      </c>
      <c r="CP274" s="594">
        <v>0</v>
      </c>
      <c r="CQ274" s="594">
        <v>0</v>
      </c>
    </row>
    <row r="275" spans="1:95" ht="60" x14ac:dyDescent="0.25">
      <c r="A275" s="567">
        <v>615</v>
      </c>
      <c r="B275" s="660">
        <v>615</v>
      </c>
      <c r="C275" s="658" t="s">
        <v>998</v>
      </c>
      <c r="D275" s="558"/>
      <c r="E275" s="657">
        <v>0</v>
      </c>
      <c r="F275" s="654">
        <v>0</v>
      </c>
      <c r="G275" s="654">
        <v>0</v>
      </c>
      <c r="H275" s="654">
        <v>0</v>
      </c>
      <c r="I275" s="654">
        <v>0</v>
      </c>
      <c r="J275" s="654">
        <v>0</v>
      </c>
      <c r="K275" s="655">
        <v>0</v>
      </c>
      <c r="L275" s="653">
        <v>0</v>
      </c>
      <c r="M275" s="653">
        <v>0</v>
      </c>
      <c r="N275" s="652">
        <v>0</v>
      </c>
      <c r="O275" s="652">
        <v>0</v>
      </c>
      <c r="P275" s="652">
        <v>0</v>
      </c>
      <c r="Q275" s="652">
        <v>0</v>
      </c>
      <c r="R275" s="652">
        <v>0</v>
      </c>
      <c r="S275" s="652">
        <v>0</v>
      </c>
      <c r="T275" s="652">
        <v>0</v>
      </c>
      <c r="U275" s="652">
        <v>0</v>
      </c>
      <c r="V275" s="652">
        <v>0</v>
      </c>
      <c r="W275" s="652">
        <v>0</v>
      </c>
      <c r="X275" s="652">
        <v>0</v>
      </c>
      <c r="Y275" s="652">
        <v>0</v>
      </c>
      <c r="Z275" s="652">
        <v>0</v>
      </c>
      <c r="AA275" s="652">
        <v>0</v>
      </c>
      <c r="AB275" s="653">
        <v>0</v>
      </c>
      <c r="AC275" s="653">
        <v>0</v>
      </c>
      <c r="AD275" s="653">
        <v>0</v>
      </c>
      <c r="AE275" s="653">
        <v>0</v>
      </c>
      <c r="AF275" s="653">
        <v>0</v>
      </c>
      <c r="AG275" s="653">
        <v>0</v>
      </c>
      <c r="AH275" s="653">
        <v>0</v>
      </c>
      <c r="AI275" s="653">
        <v>0</v>
      </c>
      <c r="AJ275" s="653">
        <v>0</v>
      </c>
      <c r="AK275" s="653">
        <v>0</v>
      </c>
      <c r="AL275" s="653">
        <v>0</v>
      </c>
      <c r="AM275" s="653">
        <v>0</v>
      </c>
      <c r="AN275" s="653">
        <v>0</v>
      </c>
      <c r="AO275" s="653">
        <v>0</v>
      </c>
      <c r="AP275" s="653">
        <v>0</v>
      </c>
      <c r="AQ275" s="653">
        <v>0</v>
      </c>
      <c r="AR275" s="653">
        <v>0</v>
      </c>
      <c r="AS275" s="653">
        <v>0</v>
      </c>
      <c r="AT275" s="653">
        <v>0</v>
      </c>
      <c r="AU275" s="653">
        <v>0</v>
      </c>
      <c r="AV275" s="653">
        <v>0</v>
      </c>
      <c r="AW275" s="653">
        <v>0</v>
      </c>
      <c r="AX275" s="653">
        <v>0</v>
      </c>
      <c r="AY275" s="653">
        <v>0</v>
      </c>
      <c r="AZ275" s="653">
        <v>0</v>
      </c>
      <c r="BA275" s="653">
        <v>0</v>
      </c>
      <c r="BB275" s="653">
        <v>0</v>
      </c>
      <c r="BC275" s="653">
        <v>0</v>
      </c>
      <c r="BD275" s="653">
        <v>0</v>
      </c>
      <c r="BE275" s="653">
        <v>0</v>
      </c>
      <c r="BF275" s="653">
        <v>0</v>
      </c>
      <c r="BG275" s="653">
        <v>0</v>
      </c>
      <c r="BH275" s="653">
        <v>0</v>
      </c>
      <c r="BI275" s="653">
        <v>0</v>
      </c>
      <c r="BJ275" s="653">
        <v>0</v>
      </c>
      <c r="BK275" s="653">
        <v>0</v>
      </c>
      <c r="BL275" s="653">
        <v>0</v>
      </c>
      <c r="BM275" s="653">
        <v>0</v>
      </c>
      <c r="BN275" s="653">
        <v>0</v>
      </c>
      <c r="BO275" s="653">
        <v>0</v>
      </c>
      <c r="BP275" s="653">
        <v>0</v>
      </c>
      <c r="BQ275" s="653">
        <v>0</v>
      </c>
      <c r="BR275" s="653">
        <v>0</v>
      </c>
      <c r="BS275" s="653">
        <v>0</v>
      </c>
      <c r="BT275" s="653">
        <v>0</v>
      </c>
      <c r="BU275" s="653">
        <v>0</v>
      </c>
      <c r="BV275" s="653">
        <v>0</v>
      </c>
      <c r="BW275" s="653">
        <v>0</v>
      </c>
      <c r="BX275" s="653">
        <v>0</v>
      </c>
      <c r="BY275" s="653">
        <v>0</v>
      </c>
      <c r="BZ275" s="653">
        <v>0</v>
      </c>
      <c r="CA275" s="653">
        <v>0</v>
      </c>
      <c r="CB275" s="653">
        <v>0</v>
      </c>
      <c r="CC275" s="653">
        <v>0</v>
      </c>
      <c r="CD275" s="653">
        <v>0</v>
      </c>
      <c r="CE275" s="653">
        <v>0</v>
      </c>
      <c r="CF275" s="653">
        <v>0</v>
      </c>
      <c r="CG275" s="653">
        <v>0</v>
      </c>
      <c r="CH275" s="653">
        <v>0</v>
      </c>
      <c r="CI275" s="653">
        <v>0</v>
      </c>
      <c r="CJ275" s="653">
        <v>0</v>
      </c>
      <c r="CK275" s="653">
        <v>0</v>
      </c>
      <c r="CL275" s="653">
        <v>0</v>
      </c>
      <c r="CM275" s="653">
        <v>0</v>
      </c>
      <c r="CN275" s="653">
        <v>0</v>
      </c>
      <c r="CO275" s="653">
        <v>0</v>
      </c>
      <c r="CP275" s="653">
        <v>0</v>
      </c>
      <c r="CQ275" s="653">
        <v>0</v>
      </c>
    </row>
    <row r="276" spans="1:95" ht="30" x14ac:dyDescent="0.25">
      <c r="A276" s="567">
        <v>616</v>
      </c>
      <c r="B276" s="660">
        <v>616</v>
      </c>
      <c r="C276" s="658" t="s">
        <v>506</v>
      </c>
      <c r="D276" s="558"/>
      <c r="E276" s="595">
        <v>0</v>
      </c>
      <c r="F276" s="596">
        <v>0</v>
      </c>
      <c r="G276" s="596">
        <v>0</v>
      </c>
      <c r="H276" s="596">
        <v>0</v>
      </c>
      <c r="I276" s="596">
        <v>0</v>
      </c>
      <c r="J276" s="596">
        <v>0</v>
      </c>
      <c r="K276" s="597">
        <v>0</v>
      </c>
      <c r="L276" s="594">
        <v>0</v>
      </c>
      <c r="M276" s="594">
        <v>0</v>
      </c>
      <c r="N276" s="593">
        <v>0</v>
      </c>
      <c r="O276" s="593">
        <v>0</v>
      </c>
      <c r="P276" s="593">
        <v>0</v>
      </c>
      <c r="Q276" s="593">
        <v>0</v>
      </c>
      <c r="R276" s="593">
        <v>0</v>
      </c>
      <c r="S276" s="593">
        <v>0</v>
      </c>
      <c r="T276" s="593">
        <v>0</v>
      </c>
      <c r="U276" s="593">
        <v>0</v>
      </c>
      <c r="V276" s="593">
        <v>0</v>
      </c>
      <c r="W276" s="593">
        <v>0</v>
      </c>
      <c r="X276" s="593">
        <v>0</v>
      </c>
      <c r="Y276" s="593">
        <v>0</v>
      </c>
      <c r="Z276" s="593">
        <v>0</v>
      </c>
      <c r="AA276" s="593">
        <v>0</v>
      </c>
      <c r="AB276" s="594">
        <v>0</v>
      </c>
      <c r="AC276" s="594">
        <v>0</v>
      </c>
      <c r="AD276" s="594">
        <v>0</v>
      </c>
      <c r="AE276" s="594">
        <v>0</v>
      </c>
      <c r="AF276" s="594">
        <v>0</v>
      </c>
      <c r="AG276" s="594">
        <v>0</v>
      </c>
      <c r="AH276" s="594">
        <v>0</v>
      </c>
      <c r="AI276" s="594">
        <v>0</v>
      </c>
      <c r="AJ276" s="594">
        <v>0</v>
      </c>
      <c r="AK276" s="594">
        <v>0</v>
      </c>
      <c r="AL276" s="594">
        <v>0</v>
      </c>
      <c r="AM276" s="594">
        <v>0</v>
      </c>
      <c r="AN276" s="594">
        <v>0</v>
      </c>
      <c r="AO276" s="594">
        <v>0</v>
      </c>
      <c r="AP276" s="594">
        <v>0</v>
      </c>
      <c r="AQ276" s="594">
        <v>0</v>
      </c>
      <c r="AR276" s="594">
        <v>0</v>
      </c>
      <c r="AS276" s="594">
        <v>0</v>
      </c>
      <c r="AT276" s="594">
        <v>0</v>
      </c>
      <c r="AU276" s="594">
        <v>0</v>
      </c>
      <c r="AV276" s="594">
        <v>0</v>
      </c>
      <c r="AW276" s="594">
        <v>0</v>
      </c>
      <c r="AX276" s="594">
        <v>0</v>
      </c>
      <c r="AY276" s="594">
        <v>0</v>
      </c>
      <c r="AZ276" s="594">
        <v>0</v>
      </c>
      <c r="BA276" s="594">
        <v>0</v>
      </c>
      <c r="BB276" s="594">
        <v>0</v>
      </c>
      <c r="BC276" s="594">
        <v>0</v>
      </c>
      <c r="BD276" s="594">
        <v>0</v>
      </c>
      <c r="BE276" s="594">
        <v>0</v>
      </c>
      <c r="BF276" s="594">
        <v>0</v>
      </c>
      <c r="BG276" s="594">
        <v>0</v>
      </c>
      <c r="BH276" s="594">
        <v>0</v>
      </c>
      <c r="BI276" s="594">
        <v>0</v>
      </c>
      <c r="BJ276" s="594">
        <v>0</v>
      </c>
      <c r="BK276" s="594">
        <v>0</v>
      </c>
      <c r="BL276" s="594">
        <v>0</v>
      </c>
      <c r="BM276" s="594">
        <v>0</v>
      </c>
      <c r="BN276" s="594">
        <v>0</v>
      </c>
      <c r="BO276" s="594">
        <v>0</v>
      </c>
      <c r="BP276" s="594">
        <v>0</v>
      </c>
      <c r="BQ276" s="594">
        <v>0</v>
      </c>
      <c r="BR276" s="594">
        <v>0</v>
      </c>
      <c r="BS276" s="594">
        <v>0</v>
      </c>
      <c r="BT276" s="594">
        <v>0</v>
      </c>
      <c r="BU276" s="594">
        <v>0</v>
      </c>
      <c r="BV276" s="594">
        <v>0</v>
      </c>
      <c r="BW276" s="594">
        <v>0</v>
      </c>
      <c r="BX276" s="594">
        <v>0</v>
      </c>
      <c r="BY276" s="594">
        <v>0</v>
      </c>
      <c r="BZ276" s="594">
        <v>0</v>
      </c>
      <c r="CA276" s="594">
        <v>0</v>
      </c>
      <c r="CB276" s="594">
        <v>0</v>
      </c>
      <c r="CC276" s="594">
        <v>0</v>
      </c>
      <c r="CD276" s="594">
        <v>0</v>
      </c>
      <c r="CE276" s="594">
        <v>0</v>
      </c>
      <c r="CF276" s="594">
        <v>0</v>
      </c>
      <c r="CG276" s="594">
        <v>0</v>
      </c>
      <c r="CH276" s="594">
        <v>0</v>
      </c>
      <c r="CI276" s="594">
        <v>1685042</v>
      </c>
      <c r="CJ276" s="594">
        <v>0</v>
      </c>
      <c r="CK276" s="594">
        <v>0</v>
      </c>
      <c r="CL276" s="594">
        <v>0</v>
      </c>
      <c r="CM276" s="594">
        <v>0</v>
      </c>
      <c r="CN276" s="594">
        <v>0</v>
      </c>
      <c r="CO276" s="594">
        <v>0</v>
      </c>
      <c r="CP276" s="594">
        <v>0</v>
      </c>
      <c r="CQ276" s="594">
        <v>0</v>
      </c>
    </row>
    <row r="277" spans="1:95" ht="30" x14ac:dyDescent="0.25">
      <c r="A277" s="567">
        <v>617</v>
      </c>
      <c r="B277" s="660">
        <v>617</v>
      </c>
      <c r="C277" s="658" t="s">
        <v>507</v>
      </c>
      <c r="D277" s="558"/>
      <c r="E277" s="595">
        <v>0</v>
      </c>
      <c r="F277" s="596">
        <v>0</v>
      </c>
      <c r="G277" s="596">
        <v>0</v>
      </c>
      <c r="H277" s="596">
        <v>0</v>
      </c>
      <c r="I277" s="596">
        <v>0</v>
      </c>
      <c r="J277" s="596">
        <v>0</v>
      </c>
      <c r="K277" s="597">
        <v>0</v>
      </c>
      <c r="L277" s="594">
        <v>0</v>
      </c>
      <c r="M277" s="594">
        <v>0</v>
      </c>
      <c r="N277" s="593">
        <v>0</v>
      </c>
      <c r="O277" s="593">
        <v>0</v>
      </c>
      <c r="P277" s="593">
        <v>0</v>
      </c>
      <c r="Q277" s="593">
        <v>0</v>
      </c>
      <c r="R277" s="593">
        <v>0</v>
      </c>
      <c r="S277" s="593">
        <v>0</v>
      </c>
      <c r="T277" s="593">
        <v>0</v>
      </c>
      <c r="U277" s="593">
        <v>0</v>
      </c>
      <c r="V277" s="593">
        <v>0</v>
      </c>
      <c r="W277" s="593">
        <v>0</v>
      </c>
      <c r="X277" s="593">
        <v>0</v>
      </c>
      <c r="Y277" s="593">
        <v>0</v>
      </c>
      <c r="Z277" s="593">
        <v>0</v>
      </c>
      <c r="AA277" s="593">
        <v>0</v>
      </c>
      <c r="AB277" s="594">
        <v>0</v>
      </c>
      <c r="AC277" s="594">
        <v>0</v>
      </c>
      <c r="AD277" s="594">
        <v>0</v>
      </c>
      <c r="AE277" s="594">
        <v>0</v>
      </c>
      <c r="AF277" s="594">
        <v>0</v>
      </c>
      <c r="AG277" s="594">
        <v>0</v>
      </c>
      <c r="AH277" s="594">
        <v>0</v>
      </c>
      <c r="AI277" s="594">
        <v>0</v>
      </c>
      <c r="AJ277" s="594">
        <v>0</v>
      </c>
      <c r="AK277" s="594">
        <v>0</v>
      </c>
      <c r="AL277" s="594">
        <v>0</v>
      </c>
      <c r="AM277" s="594">
        <v>0</v>
      </c>
      <c r="AN277" s="594">
        <v>0</v>
      </c>
      <c r="AO277" s="594">
        <v>0</v>
      </c>
      <c r="AP277" s="594">
        <v>0</v>
      </c>
      <c r="AQ277" s="594">
        <v>0</v>
      </c>
      <c r="AR277" s="594">
        <v>0</v>
      </c>
      <c r="AS277" s="594">
        <v>0</v>
      </c>
      <c r="AT277" s="594">
        <v>0</v>
      </c>
      <c r="AU277" s="594">
        <v>0</v>
      </c>
      <c r="AV277" s="594">
        <v>0</v>
      </c>
      <c r="AW277" s="594">
        <v>0</v>
      </c>
      <c r="AX277" s="594">
        <v>0</v>
      </c>
      <c r="AY277" s="594">
        <v>0</v>
      </c>
      <c r="AZ277" s="594">
        <v>0</v>
      </c>
      <c r="BA277" s="594">
        <v>0</v>
      </c>
      <c r="BB277" s="594">
        <v>0</v>
      </c>
      <c r="BC277" s="594">
        <v>0</v>
      </c>
      <c r="BD277" s="594">
        <v>0</v>
      </c>
      <c r="BE277" s="594">
        <v>0</v>
      </c>
      <c r="BF277" s="594">
        <v>0</v>
      </c>
      <c r="BG277" s="594">
        <v>0</v>
      </c>
      <c r="BH277" s="594">
        <v>0</v>
      </c>
      <c r="BI277" s="594">
        <v>0</v>
      </c>
      <c r="BJ277" s="594">
        <v>0</v>
      </c>
      <c r="BK277" s="594">
        <v>0</v>
      </c>
      <c r="BL277" s="594">
        <v>0</v>
      </c>
      <c r="BM277" s="594">
        <v>0</v>
      </c>
      <c r="BN277" s="594">
        <v>0</v>
      </c>
      <c r="BO277" s="594">
        <v>0</v>
      </c>
      <c r="BP277" s="594">
        <v>0</v>
      </c>
      <c r="BQ277" s="594">
        <v>0</v>
      </c>
      <c r="BR277" s="594">
        <v>0</v>
      </c>
      <c r="BS277" s="594">
        <v>0</v>
      </c>
      <c r="BT277" s="594">
        <v>0</v>
      </c>
      <c r="BU277" s="594">
        <v>0</v>
      </c>
      <c r="BV277" s="594">
        <v>0</v>
      </c>
      <c r="BW277" s="594">
        <v>0</v>
      </c>
      <c r="BX277" s="594">
        <v>0</v>
      </c>
      <c r="BY277" s="594">
        <v>0</v>
      </c>
      <c r="BZ277" s="594">
        <v>0</v>
      </c>
      <c r="CA277" s="594">
        <v>0</v>
      </c>
      <c r="CB277" s="594">
        <v>0</v>
      </c>
      <c r="CC277" s="594">
        <v>0</v>
      </c>
      <c r="CD277" s="594">
        <v>0</v>
      </c>
      <c r="CE277" s="594">
        <v>0</v>
      </c>
      <c r="CF277" s="594">
        <v>0</v>
      </c>
      <c r="CG277" s="594">
        <v>0</v>
      </c>
      <c r="CH277" s="594">
        <v>0</v>
      </c>
      <c r="CI277" s="594">
        <v>0</v>
      </c>
      <c r="CJ277" s="594">
        <v>0</v>
      </c>
      <c r="CK277" s="594">
        <v>0</v>
      </c>
      <c r="CL277" s="594">
        <v>0</v>
      </c>
      <c r="CM277" s="594">
        <v>0</v>
      </c>
      <c r="CN277" s="594">
        <v>0</v>
      </c>
      <c r="CO277" s="594">
        <v>0</v>
      </c>
      <c r="CP277" s="594">
        <v>0</v>
      </c>
      <c r="CQ277" s="594">
        <v>0</v>
      </c>
    </row>
    <row r="278" spans="1:95" ht="60" x14ac:dyDescent="0.25">
      <c r="A278" s="567">
        <v>618</v>
      </c>
      <c r="B278" s="660">
        <v>618</v>
      </c>
      <c r="C278" s="658" t="s">
        <v>999</v>
      </c>
      <c r="D278" s="558"/>
      <c r="E278" s="657">
        <v>0</v>
      </c>
      <c r="F278" s="654">
        <v>0</v>
      </c>
      <c r="G278" s="654">
        <v>0</v>
      </c>
      <c r="H278" s="654">
        <v>0</v>
      </c>
      <c r="I278" s="654">
        <v>0</v>
      </c>
      <c r="J278" s="654">
        <v>0</v>
      </c>
      <c r="K278" s="655">
        <v>0</v>
      </c>
      <c r="L278" s="653">
        <v>0</v>
      </c>
      <c r="M278" s="653">
        <v>0</v>
      </c>
      <c r="N278" s="652">
        <v>0</v>
      </c>
      <c r="O278" s="652">
        <v>0</v>
      </c>
      <c r="P278" s="652">
        <v>0</v>
      </c>
      <c r="Q278" s="652">
        <v>0</v>
      </c>
      <c r="R278" s="652">
        <v>0</v>
      </c>
      <c r="S278" s="652">
        <v>0</v>
      </c>
      <c r="T278" s="652">
        <v>0</v>
      </c>
      <c r="U278" s="652">
        <v>0</v>
      </c>
      <c r="V278" s="652">
        <v>0</v>
      </c>
      <c r="W278" s="652">
        <v>0</v>
      </c>
      <c r="X278" s="652">
        <v>0</v>
      </c>
      <c r="Y278" s="652">
        <v>0</v>
      </c>
      <c r="Z278" s="652">
        <v>0</v>
      </c>
      <c r="AA278" s="652">
        <v>0</v>
      </c>
      <c r="AB278" s="653">
        <v>0</v>
      </c>
      <c r="AC278" s="653">
        <v>0</v>
      </c>
      <c r="AD278" s="653">
        <v>0</v>
      </c>
      <c r="AE278" s="653">
        <v>0</v>
      </c>
      <c r="AF278" s="653">
        <v>0</v>
      </c>
      <c r="AG278" s="653">
        <v>0</v>
      </c>
      <c r="AH278" s="653">
        <v>0</v>
      </c>
      <c r="AI278" s="653">
        <v>0</v>
      </c>
      <c r="AJ278" s="653">
        <v>0</v>
      </c>
      <c r="AK278" s="653">
        <v>0</v>
      </c>
      <c r="AL278" s="653">
        <v>0</v>
      </c>
      <c r="AM278" s="653">
        <v>0</v>
      </c>
      <c r="AN278" s="653">
        <v>0</v>
      </c>
      <c r="AO278" s="653">
        <v>0</v>
      </c>
      <c r="AP278" s="653">
        <v>0</v>
      </c>
      <c r="AQ278" s="653">
        <v>0</v>
      </c>
      <c r="AR278" s="653">
        <v>0</v>
      </c>
      <c r="AS278" s="653">
        <v>0</v>
      </c>
      <c r="AT278" s="653">
        <v>0</v>
      </c>
      <c r="AU278" s="653">
        <v>0</v>
      </c>
      <c r="AV278" s="653">
        <v>0</v>
      </c>
      <c r="AW278" s="653">
        <v>0</v>
      </c>
      <c r="AX278" s="653">
        <v>0</v>
      </c>
      <c r="AY278" s="653">
        <v>0</v>
      </c>
      <c r="AZ278" s="653">
        <v>0</v>
      </c>
      <c r="BA278" s="653">
        <v>0</v>
      </c>
      <c r="BB278" s="653">
        <v>0</v>
      </c>
      <c r="BC278" s="653">
        <v>0</v>
      </c>
      <c r="BD278" s="653">
        <v>0</v>
      </c>
      <c r="BE278" s="653">
        <v>0</v>
      </c>
      <c r="BF278" s="653">
        <v>0</v>
      </c>
      <c r="BG278" s="653">
        <v>0</v>
      </c>
      <c r="BH278" s="653">
        <v>0</v>
      </c>
      <c r="BI278" s="653">
        <v>0</v>
      </c>
      <c r="BJ278" s="653">
        <v>0</v>
      </c>
      <c r="BK278" s="653">
        <v>0</v>
      </c>
      <c r="BL278" s="653">
        <v>0</v>
      </c>
      <c r="BM278" s="653">
        <v>0</v>
      </c>
      <c r="BN278" s="653">
        <v>0</v>
      </c>
      <c r="BO278" s="653">
        <v>0</v>
      </c>
      <c r="BP278" s="653">
        <v>0</v>
      </c>
      <c r="BQ278" s="653">
        <v>0</v>
      </c>
      <c r="BR278" s="653">
        <v>0</v>
      </c>
      <c r="BS278" s="653">
        <v>0</v>
      </c>
      <c r="BT278" s="653">
        <v>0</v>
      </c>
      <c r="BU278" s="653">
        <v>0</v>
      </c>
      <c r="BV278" s="653">
        <v>0</v>
      </c>
      <c r="BW278" s="653">
        <v>0</v>
      </c>
      <c r="BX278" s="653">
        <v>0</v>
      </c>
      <c r="BY278" s="653">
        <v>0</v>
      </c>
      <c r="BZ278" s="653">
        <v>0</v>
      </c>
      <c r="CA278" s="653">
        <v>0</v>
      </c>
      <c r="CB278" s="653">
        <v>0</v>
      </c>
      <c r="CC278" s="653">
        <v>0</v>
      </c>
      <c r="CD278" s="653">
        <v>0</v>
      </c>
      <c r="CE278" s="653">
        <v>0</v>
      </c>
      <c r="CF278" s="653">
        <v>0</v>
      </c>
      <c r="CG278" s="653">
        <v>0</v>
      </c>
      <c r="CH278" s="653">
        <v>0</v>
      </c>
      <c r="CI278" s="653">
        <v>0</v>
      </c>
      <c r="CJ278" s="653">
        <v>0</v>
      </c>
      <c r="CK278" s="653">
        <v>0</v>
      </c>
      <c r="CL278" s="653">
        <v>0</v>
      </c>
      <c r="CM278" s="653">
        <v>0</v>
      </c>
      <c r="CN278" s="653">
        <v>0</v>
      </c>
      <c r="CO278" s="653">
        <v>0</v>
      </c>
      <c r="CP278" s="653">
        <v>0</v>
      </c>
      <c r="CQ278" s="653">
        <v>0</v>
      </c>
    </row>
    <row r="279" spans="1:95" ht="45" x14ac:dyDescent="0.25">
      <c r="A279" s="567">
        <v>619</v>
      </c>
      <c r="B279" s="660">
        <v>619</v>
      </c>
      <c r="C279" s="658" t="s">
        <v>532</v>
      </c>
      <c r="D279" s="558"/>
      <c r="E279" s="657">
        <v>0</v>
      </c>
      <c r="F279" s="654">
        <v>0</v>
      </c>
      <c r="G279" s="654">
        <v>0</v>
      </c>
      <c r="H279" s="654">
        <v>0</v>
      </c>
      <c r="I279" s="654">
        <v>0</v>
      </c>
      <c r="J279" s="654">
        <v>0</v>
      </c>
      <c r="K279" s="655">
        <v>0</v>
      </c>
      <c r="L279" s="653">
        <v>0</v>
      </c>
      <c r="M279" s="653">
        <v>0</v>
      </c>
      <c r="N279" s="652">
        <v>0</v>
      </c>
      <c r="O279" s="652">
        <v>0</v>
      </c>
      <c r="P279" s="652">
        <v>0</v>
      </c>
      <c r="Q279" s="652">
        <v>0</v>
      </c>
      <c r="R279" s="652">
        <v>0</v>
      </c>
      <c r="S279" s="652">
        <v>0</v>
      </c>
      <c r="T279" s="652">
        <v>0</v>
      </c>
      <c r="U279" s="652">
        <v>0</v>
      </c>
      <c r="V279" s="652">
        <v>0</v>
      </c>
      <c r="W279" s="652">
        <v>0</v>
      </c>
      <c r="X279" s="652">
        <v>0</v>
      </c>
      <c r="Y279" s="652">
        <v>0</v>
      </c>
      <c r="Z279" s="652">
        <v>0</v>
      </c>
      <c r="AA279" s="652">
        <v>0</v>
      </c>
      <c r="AB279" s="653">
        <v>0</v>
      </c>
      <c r="AC279" s="653">
        <v>0</v>
      </c>
      <c r="AD279" s="653">
        <v>0</v>
      </c>
      <c r="AE279" s="653">
        <v>0</v>
      </c>
      <c r="AF279" s="653">
        <v>0</v>
      </c>
      <c r="AG279" s="653">
        <v>0</v>
      </c>
      <c r="AH279" s="653">
        <v>0</v>
      </c>
      <c r="AI279" s="653">
        <v>0</v>
      </c>
      <c r="AJ279" s="653">
        <v>0</v>
      </c>
      <c r="AK279" s="653">
        <v>0</v>
      </c>
      <c r="AL279" s="653">
        <v>0</v>
      </c>
      <c r="AM279" s="653">
        <v>0</v>
      </c>
      <c r="AN279" s="653">
        <v>0</v>
      </c>
      <c r="AO279" s="653">
        <v>0</v>
      </c>
      <c r="AP279" s="653">
        <v>0</v>
      </c>
      <c r="AQ279" s="653">
        <v>0</v>
      </c>
      <c r="AR279" s="653">
        <v>0</v>
      </c>
      <c r="AS279" s="653">
        <v>0</v>
      </c>
      <c r="AT279" s="653">
        <v>0</v>
      </c>
      <c r="AU279" s="653">
        <v>0</v>
      </c>
      <c r="AV279" s="653">
        <v>0</v>
      </c>
      <c r="AW279" s="653">
        <v>0</v>
      </c>
      <c r="AX279" s="653">
        <v>0</v>
      </c>
      <c r="AY279" s="653">
        <v>0</v>
      </c>
      <c r="AZ279" s="653">
        <v>0</v>
      </c>
      <c r="BA279" s="653">
        <v>0</v>
      </c>
      <c r="BB279" s="653">
        <v>0</v>
      </c>
      <c r="BC279" s="653">
        <v>0</v>
      </c>
      <c r="BD279" s="653">
        <v>0</v>
      </c>
      <c r="BE279" s="653">
        <v>0</v>
      </c>
      <c r="BF279" s="653">
        <v>0</v>
      </c>
      <c r="BG279" s="653">
        <v>94.2</v>
      </c>
      <c r="BH279" s="653">
        <v>0</v>
      </c>
      <c r="BI279" s="653">
        <v>0</v>
      </c>
      <c r="BJ279" s="653">
        <v>0</v>
      </c>
      <c r="BK279" s="653">
        <v>0</v>
      </c>
      <c r="BL279" s="653">
        <v>0</v>
      </c>
      <c r="BM279" s="653">
        <v>0</v>
      </c>
      <c r="BN279" s="653">
        <v>0</v>
      </c>
      <c r="BO279" s="653">
        <v>0</v>
      </c>
      <c r="BP279" s="653">
        <v>0</v>
      </c>
      <c r="BQ279" s="653">
        <v>0</v>
      </c>
      <c r="BR279" s="653">
        <v>0</v>
      </c>
      <c r="BS279" s="653">
        <v>0</v>
      </c>
      <c r="BT279" s="653">
        <v>0</v>
      </c>
      <c r="BU279" s="653">
        <v>0</v>
      </c>
      <c r="BV279" s="653">
        <v>0</v>
      </c>
      <c r="BW279" s="653">
        <v>0</v>
      </c>
      <c r="BX279" s="653">
        <v>0</v>
      </c>
      <c r="BY279" s="653">
        <v>0</v>
      </c>
      <c r="BZ279" s="653">
        <v>0</v>
      </c>
      <c r="CA279" s="653">
        <v>0</v>
      </c>
      <c r="CB279" s="653">
        <v>0</v>
      </c>
      <c r="CC279" s="653">
        <v>0</v>
      </c>
      <c r="CD279" s="653">
        <v>0</v>
      </c>
      <c r="CE279" s="653">
        <v>0</v>
      </c>
      <c r="CF279" s="653">
        <v>0</v>
      </c>
      <c r="CG279" s="653">
        <v>0</v>
      </c>
      <c r="CH279" s="653">
        <v>45.5</v>
      </c>
      <c r="CI279" s="653">
        <v>0</v>
      </c>
      <c r="CJ279" s="653">
        <v>0</v>
      </c>
      <c r="CK279" s="653">
        <v>0</v>
      </c>
      <c r="CL279" s="653">
        <v>0</v>
      </c>
      <c r="CM279" s="653">
        <v>0</v>
      </c>
      <c r="CN279" s="653">
        <v>0</v>
      </c>
      <c r="CO279" s="653">
        <v>0</v>
      </c>
      <c r="CP279" s="653">
        <v>0</v>
      </c>
      <c r="CQ279" s="653">
        <v>0</v>
      </c>
    </row>
    <row r="280" spans="1:95" ht="75" x14ac:dyDescent="0.25">
      <c r="A280" s="567">
        <v>620</v>
      </c>
      <c r="B280" s="660">
        <v>620</v>
      </c>
      <c r="C280" s="658" t="s">
        <v>522</v>
      </c>
      <c r="D280" s="558"/>
      <c r="E280" s="595">
        <v>2</v>
      </c>
      <c r="F280" s="596">
        <v>2</v>
      </c>
      <c r="G280" s="596">
        <v>2</v>
      </c>
      <c r="H280" s="596">
        <v>1</v>
      </c>
      <c r="I280" s="596">
        <v>2</v>
      </c>
      <c r="J280" s="596">
        <v>2</v>
      </c>
      <c r="K280" s="597">
        <v>2</v>
      </c>
      <c r="L280" s="594">
        <v>2</v>
      </c>
      <c r="M280" s="594">
        <v>1</v>
      </c>
      <c r="N280" s="593">
        <v>2</v>
      </c>
      <c r="O280" s="593">
        <v>1</v>
      </c>
      <c r="P280" s="593">
        <v>2</v>
      </c>
      <c r="Q280" s="593">
        <v>2</v>
      </c>
      <c r="R280" s="593">
        <v>2</v>
      </c>
      <c r="S280" s="593">
        <v>2</v>
      </c>
      <c r="T280" s="593">
        <v>2</v>
      </c>
      <c r="U280" s="593">
        <v>0</v>
      </c>
      <c r="V280" s="593">
        <v>2</v>
      </c>
      <c r="W280" s="593">
        <v>2</v>
      </c>
      <c r="X280" s="593">
        <v>2</v>
      </c>
      <c r="Y280" s="593">
        <v>2</v>
      </c>
      <c r="Z280" s="593">
        <v>2</v>
      </c>
      <c r="AA280" s="593">
        <v>2</v>
      </c>
      <c r="AB280" s="594">
        <v>2</v>
      </c>
      <c r="AC280" s="594">
        <v>2</v>
      </c>
      <c r="AD280" s="594">
        <v>2</v>
      </c>
      <c r="AE280" s="594">
        <v>1</v>
      </c>
      <c r="AF280" s="594">
        <v>2</v>
      </c>
      <c r="AG280" s="594">
        <v>2</v>
      </c>
      <c r="AH280" s="594">
        <v>2</v>
      </c>
      <c r="AI280" s="594">
        <v>2</v>
      </c>
      <c r="AJ280" s="594">
        <v>2</v>
      </c>
      <c r="AK280" s="594">
        <v>2</v>
      </c>
      <c r="AL280" s="594">
        <v>2</v>
      </c>
      <c r="AM280" s="594">
        <v>2</v>
      </c>
      <c r="AN280" s="594">
        <v>2</v>
      </c>
      <c r="AO280" s="594">
        <v>2</v>
      </c>
      <c r="AP280" s="594">
        <v>1</v>
      </c>
      <c r="AQ280" s="594">
        <v>0</v>
      </c>
      <c r="AR280" s="594">
        <v>2</v>
      </c>
      <c r="AS280" s="594">
        <v>2</v>
      </c>
      <c r="AT280" s="594">
        <v>2</v>
      </c>
      <c r="AU280" s="594">
        <v>2</v>
      </c>
      <c r="AV280" s="594">
        <v>2</v>
      </c>
      <c r="AW280" s="594">
        <v>1</v>
      </c>
      <c r="AX280" s="594">
        <v>2</v>
      </c>
      <c r="AY280" s="594">
        <v>2</v>
      </c>
      <c r="AZ280" s="594">
        <v>2</v>
      </c>
      <c r="BA280" s="594">
        <v>2</v>
      </c>
      <c r="BB280" s="594">
        <v>0</v>
      </c>
      <c r="BC280" s="594">
        <v>2</v>
      </c>
      <c r="BD280" s="594">
        <v>2</v>
      </c>
      <c r="BE280" s="594">
        <v>1</v>
      </c>
      <c r="BF280" s="594">
        <v>1</v>
      </c>
      <c r="BG280" s="594">
        <v>2</v>
      </c>
      <c r="BH280" s="594">
        <v>2</v>
      </c>
      <c r="BI280" s="594">
        <v>2</v>
      </c>
      <c r="BJ280" s="594">
        <v>2</v>
      </c>
      <c r="BK280" s="594">
        <v>1</v>
      </c>
      <c r="BL280" s="594">
        <v>2</v>
      </c>
      <c r="BM280" s="594">
        <v>2</v>
      </c>
      <c r="BN280" s="594">
        <v>2</v>
      </c>
      <c r="BO280" s="594">
        <v>2</v>
      </c>
      <c r="BP280" s="594">
        <v>0</v>
      </c>
      <c r="BQ280" s="594">
        <v>2</v>
      </c>
      <c r="BR280" s="594">
        <v>2</v>
      </c>
      <c r="BS280" s="594">
        <v>2</v>
      </c>
      <c r="BT280" s="594">
        <v>2</v>
      </c>
      <c r="BU280" s="594">
        <v>2</v>
      </c>
      <c r="BV280" s="594">
        <v>2</v>
      </c>
      <c r="BW280" s="594">
        <v>2</v>
      </c>
      <c r="BX280" s="594">
        <v>2</v>
      </c>
      <c r="BY280" s="594">
        <v>2</v>
      </c>
      <c r="BZ280" s="594">
        <v>0</v>
      </c>
      <c r="CA280" s="594">
        <v>1</v>
      </c>
      <c r="CB280" s="594">
        <v>1</v>
      </c>
      <c r="CC280" s="594">
        <v>2</v>
      </c>
      <c r="CD280" s="594">
        <v>0</v>
      </c>
      <c r="CE280" s="594">
        <v>2</v>
      </c>
      <c r="CF280" s="594">
        <v>0</v>
      </c>
      <c r="CG280" s="594">
        <v>2</v>
      </c>
      <c r="CH280" s="594">
        <v>2</v>
      </c>
      <c r="CI280" s="594">
        <v>2</v>
      </c>
      <c r="CJ280" s="594">
        <v>2</v>
      </c>
      <c r="CK280" s="594">
        <v>2</v>
      </c>
      <c r="CL280" s="594">
        <v>2</v>
      </c>
      <c r="CM280" s="594">
        <v>2</v>
      </c>
      <c r="CN280" s="594">
        <v>2</v>
      </c>
      <c r="CO280" s="594">
        <v>2</v>
      </c>
      <c r="CP280" s="594">
        <v>1</v>
      </c>
      <c r="CQ280" s="594">
        <v>1</v>
      </c>
    </row>
    <row r="281" spans="1:95" x14ac:dyDescent="0.25">
      <c r="A281" s="567">
        <v>621</v>
      </c>
      <c r="B281" s="660">
        <v>621</v>
      </c>
      <c r="C281" s="663" t="s">
        <v>1000</v>
      </c>
      <c r="D281" s="558"/>
      <c r="E281" s="595">
        <v>0</v>
      </c>
      <c r="F281" s="596">
        <v>0</v>
      </c>
      <c r="G281" s="596">
        <v>0</v>
      </c>
      <c r="H281" s="596">
        <v>0</v>
      </c>
      <c r="I281" s="596">
        <v>0</v>
      </c>
      <c r="J281" s="596">
        <v>0</v>
      </c>
      <c r="K281" s="597">
        <v>0</v>
      </c>
      <c r="L281" s="594">
        <v>0</v>
      </c>
      <c r="M281" s="594">
        <v>0</v>
      </c>
      <c r="N281" s="593">
        <v>0</v>
      </c>
      <c r="O281" s="593">
        <v>0</v>
      </c>
      <c r="P281" s="593">
        <v>0</v>
      </c>
      <c r="Q281" s="593">
        <v>0</v>
      </c>
      <c r="R281" s="593">
        <v>0</v>
      </c>
      <c r="S281" s="593">
        <v>0</v>
      </c>
      <c r="T281" s="593">
        <v>4886483</v>
      </c>
      <c r="U281" s="593">
        <v>0</v>
      </c>
      <c r="V281" s="593">
        <v>0</v>
      </c>
      <c r="W281" s="593">
        <v>0</v>
      </c>
      <c r="X281" s="593">
        <v>0</v>
      </c>
      <c r="Y281" s="593">
        <v>0</v>
      </c>
      <c r="Z281" s="593">
        <v>0</v>
      </c>
      <c r="AA281" s="593">
        <v>0</v>
      </c>
      <c r="AB281" s="594">
        <v>0</v>
      </c>
      <c r="AC281" s="594">
        <v>0</v>
      </c>
      <c r="AD281" s="594">
        <v>0</v>
      </c>
      <c r="AE281" s="594">
        <v>0</v>
      </c>
      <c r="AF281" s="594">
        <v>0</v>
      </c>
      <c r="AG281" s="594">
        <v>0</v>
      </c>
      <c r="AH281" s="594">
        <v>0</v>
      </c>
      <c r="AI281" s="594">
        <v>0</v>
      </c>
      <c r="AJ281" s="594">
        <v>0</v>
      </c>
      <c r="AK281" s="594">
        <v>0</v>
      </c>
      <c r="AL281" s="594">
        <v>0</v>
      </c>
      <c r="AM281" s="594">
        <v>0</v>
      </c>
      <c r="AN281" s="594">
        <v>0</v>
      </c>
      <c r="AO281" s="594">
        <v>0</v>
      </c>
      <c r="AP281" s="594">
        <v>0</v>
      </c>
      <c r="AQ281" s="594">
        <v>0</v>
      </c>
      <c r="AR281" s="594">
        <v>0</v>
      </c>
      <c r="AS281" s="594">
        <v>0</v>
      </c>
      <c r="AT281" s="594">
        <v>0</v>
      </c>
      <c r="AU281" s="594">
        <v>0</v>
      </c>
      <c r="AV281" s="594">
        <v>0</v>
      </c>
      <c r="AW281" s="594">
        <v>0</v>
      </c>
      <c r="AX281" s="594">
        <v>0</v>
      </c>
      <c r="AY281" s="594">
        <v>0</v>
      </c>
      <c r="AZ281" s="594">
        <v>0</v>
      </c>
      <c r="BA281" s="594">
        <v>0</v>
      </c>
      <c r="BB281" s="594">
        <v>0</v>
      </c>
      <c r="BC281" s="594">
        <v>0</v>
      </c>
      <c r="BD281" s="594">
        <v>0</v>
      </c>
      <c r="BE281" s="594">
        <v>0</v>
      </c>
      <c r="BF281" s="594">
        <v>0</v>
      </c>
      <c r="BG281" s="594">
        <v>0</v>
      </c>
      <c r="BH281" s="594">
        <v>0</v>
      </c>
      <c r="BI281" s="594">
        <v>0</v>
      </c>
      <c r="BJ281" s="594">
        <v>0</v>
      </c>
      <c r="BK281" s="594">
        <v>0</v>
      </c>
      <c r="BL281" s="594">
        <v>0</v>
      </c>
      <c r="BM281" s="594">
        <v>0</v>
      </c>
      <c r="BN281" s="594">
        <v>0</v>
      </c>
      <c r="BO281" s="594">
        <v>0</v>
      </c>
      <c r="BP281" s="594">
        <v>0</v>
      </c>
      <c r="BQ281" s="594">
        <v>0</v>
      </c>
      <c r="BR281" s="594">
        <v>0</v>
      </c>
      <c r="BS281" s="594">
        <v>0</v>
      </c>
      <c r="BT281" s="594">
        <v>0</v>
      </c>
      <c r="BU281" s="594">
        <v>0</v>
      </c>
      <c r="BV281" s="594">
        <v>0</v>
      </c>
      <c r="BW281" s="594">
        <v>0</v>
      </c>
      <c r="BX281" s="594">
        <v>0</v>
      </c>
      <c r="BY281" s="594">
        <v>0</v>
      </c>
      <c r="BZ281" s="594">
        <v>0</v>
      </c>
      <c r="CA281" s="594">
        <v>0</v>
      </c>
      <c r="CB281" s="594">
        <v>0</v>
      </c>
      <c r="CC281" s="594">
        <v>0</v>
      </c>
      <c r="CD281" s="594">
        <v>0</v>
      </c>
      <c r="CE281" s="594">
        <v>0</v>
      </c>
      <c r="CF281" s="594">
        <v>0</v>
      </c>
      <c r="CG281" s="594">
        <v>0</v>
      </c>
      <c r="CH281" s="594">
        <v>0</v>
      </c>
      <c r="CI281" s="594">
        <v>0</v>
      </c>
      <c r="CJ281" s="594">
        <v>0</v>
      </c>
      <c r="CK281" s="594">
        <v>0</v>
      </c>
      <c r="CL281" s="594">
        <v>0</v>
      </c>
      <c r="CM281" s="594">
        <v>0</v>
      </c>
      <c r="CN281" s="594">
        <v>0</v>
      </c>
      <c r="CO281" s="594">
        <v>0</v>
      </c>
      <c r="CP281" s="594">
        <v>0</v>
      </c>
      <c r="CQ281" s="594">
        <v>0</v>
      </c>
    </row>
    <row r="282" spans="1:95" s="678" customFormat="1" x14ac:dyDescent="0.25">
      <c r="A282" s="675"/>
      <c r="B282" s="675"/>
      <c r="C282" s="676" t="s">
        <v>1001</v>
      </c>
      <c r="D282" s="675"/>
      <c r="E282" s="677">
        <f>E144-E226</f>
        <v>830202</v>
      </c>
      <c r="F282" s="677">
        <f t="shared" ref="F282:BQ282" si="0">F144-F226</f>
        <v>24921270</v>
      </c>
      <c r="G282" s="677">
        <f t="shared" si="0"/>
        <v>1872343</v>
      </c>
      <c r="H282" s="677">
        <f t="shared" si="0"/>
        <v>6944973</v>
      </c>
      <c r="I282" s="677">
        <f t="shared" si="0"/>
        <v>1867816</v>
      </c>
      <c r="J282" s="677">
        <f t="shared" si="0"/>
        <v>2134124</v>
      </c>
      <c r="K282" s="677">
        <f t="shared" si="0"/>
        <v>82920287</v>
      </c>
      <c r="L282" s="677">
        <f t="shared" si="0"/>
        <v>982058</v>
      </c>
      <c r="M282" s="677">
        <f t="shared" si="0"/>
        <v>794280</v>
      </c>
      <c r="N282" s="677">
        <f t="shared" si="0"/>
        <v>5213963</v>
      </c>
      <c r="O282" s="677">
        <f t="shared" si="0"/>
        <v>1908865</v>
      </c>
      <c r="P282" s="677">
        <f t="shared" si="0"/>
        <v>367630</v>
      </c>
      <c r="Q282" s="677">
        <f t="shared" si="0"/>
        <v>529243</v>
      </c>
      <c r="R282" s="677">
        <f t="shared" si="0"/>
        <v>4972901</v>
      </c>
      <c r="S282" s="677">
        <f t="shared" si="0"/>
        <v>13749418</v>
      </c>
      <c r="T282" s="677">
        <f t="shared" si="0"/>
        <v>25746911</v>
      </c>
      <c r="U282" s="677">
        <f t="shared" si="0"/>
        <v>0</v>
      </c>
      <c r="V282" s="677">
        <f t="shared" si="0"/>
        <v>10668187</v>
      </c>
      <c r="W282" s="677">
        <f t="shared" si="0"/>
        <v>3677891</v>
      </c>
      <c r="X282" s="677">
        <f t="shared" si="0"/>
        <v>16889826</v>
      </c>
      <c r="Y282" s="677">
        <f t="shared" si="0"/>
        <v>7009138</v>
      </c>
      <c r="Z282" s="677">
        <f t="shared" si="0"/>
        <v>115884</v>
      </c>
      <c r="AA282" s="677">
        <f t="shared" si="0"/>
        <v>19602127</v>
      </c>
      <c r="AB282" s="677">
        <f t="shared" si="0"/>
        <v>2687342</v>
      </c>
      <c r="AC282" s="677">
        <f t="shared" si="0"/>
        <v>1915862</v>
      </c>
      <c r="AD282" s="677">
        <f t="shared" si="0"/>
        <v>829590</v>
      </c>
      <c r="AE282" s="677">
        <f t="shared" si="0"/>
        <v>29831873</v>
      </c>
      <c r="AF282" s="677">
        <f t="shared" si="0"/>
        <v>4343336</v>
      </c>
      <c r="AG282" s="677">
        <f t="shared" si="0"/>
        <v>13242677</v>
      </c>
      <c r="AH282" s="677">
        <f t="shared" si="0"/>
        <v>7077116</v>
      </c>
      <c r="AI282" s="677">
        <f t="shared" si="0"/>
        <v>564824</v>
      </c>
      <c r="AJ282" s="677">
        <f t="shared" si="0"/>
        <v>11213859</v>
      </c>
      <c r="AK282" s="677">
        <f t="shared" si="0"/>
        <v>8520347</v>
      </c>
      <c r="AL282" s="677">
        <f t="shared" si="0"/>
        <v>8238501</v>
      </c>
      <c r="AM282" s="677">
        <f t="shared" si="0"/>
        <v>5138152</v>
      </c>
      <c r="AN282" s="677">
        <f t="shared" si="0"/>
        <v>212333</v>
      </c>
      <c r="AO282" s="677">
        <f t="shared" si="0"/>
        <v>2931051</v>
      </c>
      <c r="AP282" s="677">
        <f t="shared" si="0"/>
        <v>13139379</v>
      </c>
      <c r="AQ282" s="677">
        <f t="shared" si="0"/>
        <v>0</v>
      </c>
      <c r="AR282" s="677">
        <f t="shared" si="0"/>
        <v>1541368</v>
      </c>
      <c r="AS282" s="677">
        <f t="shared" si="0"/>
        <v>2182078</v>
      </c>
      <c r="AT282" s="677">
        <f t="shared" si="0"/>
        <v>1397380</v>
      </c>
      <c r="AU282" s="677">
        <f t="shared" si="0"/>
        <v>266865</v>
      </c>
      <c r="AV282" s="677">
        <f t="shared" si="0"/>
        <v>941886</v>
      </c>
      <c r="AW282" s="677">
        <f t="shared" si="0"/>
        <v>9200166</v>
      </c>
      <c r="AX282" s="677">
        <f t="shared" si="0"/>
        <v>2816072</v>
      </c>
      <c r="AY282" s="677">
        <f t="shared" si="0"/>
        <v>241366448</v>
      </c>
      <c r="AZ282" s="677">
        <f t="shared" si="0"/>
        <v>8911844</v>
      </c>
      <c r="BA282" s="677">
        <f t="shared" si="0"/>
        <v>11184937</v>
      </c>
      <c r="BB282" s="677">
        <f t="shared" si="0"/>
        <v>6091296</v>
      </c>
      <c r="BC282" s="677">
        <f t="shared" si="0"/>
        <v>2414841</v>
      </c>
      <c r="BD282" s="677">
        <f t="shared" si="0"/>
        <v>5459140</v>
      </c>
      <c r="BE282" s="677">
        <f t="shared" si="0"/>
        <v>290962</v>
      </c>
      <c r="BF282" s="677">
        <f t="shared" si="0"/>
        <v>1399633</v>
      </c>
      <c r="BG282" s="677">
        <f t="shared" si="0"/>
        <v>4566393</v>
      </c>
      <c r="BH282" s="677">
        <f t="shared" si="0"/>
        <v>36614049</v>
      </c>
      <c r="BI282" s="677">
        <f t="shared" si="0"/>
        <v>486206</v>
      </c>
      <c r="BJ282" s="677">
        <f t="shared" si="0"/>
        <v>245227</v>
      </c>
      <c r="BK282" s="677">
        <f t="shared" si="0"/>
        <v>63970291</v>
      </c>
      <c r="BL282" s="677">
        <f t="shared" si="0"/>
        <v>32640217</v>
      </c>
      <c r="BM282" s="677">
        <f t="shared" si="0"/>
        <v>17856089</v>
      </c>
      <c r="BN282" s="677">
        <f t="shared" si="0"/>
        <v>357452</v>
      </c>
      <c r="BO282" s="677">
        <f t="shared" si="0"/>
        <v>4881650</v>
      </c>
      <c r="BP282" s="677">
        <f t="shared" si="0"/>
        <v>0</v>
      </c>
      <c r="BQ282" s="677">
        <f t="shared" si="0"/>
        <v>16275838</v>
      </c>
      <c r="BR282" s="677">
        <f t="shared" ref="BR282:CQ282" si="1">BR144-BR226</f>
        <v>3903438</v>
      </c>
      <c r="BS282" s="677">
        <f t="shared" si="1"/>
        <v>3950055</v>
      </c>
      <c r="BT282" s="677">
        <f t="shared" si="1"/>
        <v>5630637</v>
      </c>
      <c r="BU282" s="677">
        <f t="shared" si="1"/>
        <v>7324966</v>
      </c>
      <c r="BV282" s="677">
        <f t="shared" si="1"/>
        <v>1026065</v>
      </c>
      <c r="BW282" s="677">
        <f t="shared" si="1"/>
        <v>3918410</v>
      </c>
      <c r="BX282" s="677">
        <f t="shared" si="1"/>
        <v>13434626</v>
      </c>
      <c r="BY282" s="677">
        <f t="shared" si="1"/>
        <v>710035</v>
      </c>
      <c r="BZ282" s="677">
        <f t="shared" si="1"/>
        <v>0</v>
      </c>
      <c r="CA282" s="677">
        <f t="shared" si="1"/>
        <v>17021450</v>
      </c>
      <c r="CB282" s="677">
        <f t="shared" si="1"/>
        <v>579315362</v>
      </c>
      <c r="CC282" s="677">
        <f t="shared" si="1"/>
        <v>122227874</v>
      </c>
      <c r="CD282" s="677">
        <f t="shared" si="1"/>
        <v>2316313</v>
      </c>
      <c r="CE282" s="677">
        <f t="shared" si="1"/>
        <v>8328351</v>
      </c>
      <c r="CF282" s="677">
        <f t="shared" si="1"/>
        <v>0</v>
      </c>
      <c r="CG282" s="677">
        <f t="shared" si="1"/>
        <v>5722980</v>
      </c>
      <c r="CH282" s="677">
        <f t="shared" si="1"/>
        <v>777120245</v>
      </c>
      <c r="CI282" s="677">
        <f t="shared" si="1"/>
        <v>33790962</v>
      </c>
      <c r="CJ282" s="677">
        <f t="shared" si="1"/>
        <v>1779554</v>
      </c>
      <c r="CK282" s="677">
        <f t="shared" si="1"/>
        <v>5721000</v>
      </c>
      <c r="CL282" s="677">
        <f t="shared" si="1"/>
        <v>1594865</v>
      </c>
      <c r="CM282" s="677">
        <f t="shared" si="1"/>
        <v>27734821</v>
      </c>
      <c r="CN282" s="677">
        <f t="shared" si="1"/>
        <v>6977550</v>
      </c>
      <c r="CO282" s="677">
        <f t="shared" si="1"/>
        <v>4806205</v>
      </c>
      <c r="CP282" s="677">
        <f t="shared" si="1"/>
        <v>3120759</v>
      </c>
      <c r="CQ282" s="677">
        <f t="shared" si="1"/>
        <v>31318155</v>
      </c>
    </row>
    <row r="283" spans="1:95" s="678" customFormat="1" x14ac:dyDescent="0.25">
      <c r="A283" s="675"/>
      <c r="B283" s="675"/>
      <c r="C283" s="676" t="s">
        <v>1002</v>
      </c>
      <c r="D283" s="675"/>
      <c r="E283" s="677">
        <f>E102-E226</f>
        <v>4311</v>
      </c>
      <c r="F283" s="677">
        <f t="shared" ref="F283:BQ283" si="2">F102-F226</f>
        <v>239996</v>
      </c>
      <c r="G283" s="677">
        <f t="shared" si="2"/>
        <v>12373</v>
      </c>
      <c r="H283" s="677">
        <f t="shared" si="2"/>
        <v>333926</v>
      </c>
      <c r="I283" s="677">
        <f t="shared" si="2"/>
        <v>9107</v>
      </c>
      <c r="J283" s="677">
        <f t="shared" si="2"/>
        <v>16865</v>
      </c>
      <c r="K283" s="677">
        <f t="shared" si="2"/>
        <v>3840839</v>
      </c>
      <c r="L283" s="677">
        <f t="shared" si="2"/>
        <v>27096</v>
      </c>
      <c r="M283" s="677">
        <f t="shared" si="2"/>
        <v>10032</v>
      </c>
      <c r="N283" s="677">
        <f t="shared" si="2"/>
        <v>14624</v>
      </c>
      <c r="O283" s="677">
        <f t="shared" si="2"/>
        <v>95394</v>
      </c>
      <c r="P283" s="677">
        <f t="shared" si="2"/>
        <v>1270</v>
      </c>
      <c r="Q283" s="677">
        <f t="shared" si="2"/>
        <v>1831</v>
      </c>
      <c r="R283" s="677">
        <f t="shared" si="2"/>
        <v>305693</v>
      </c>
      <c r="S283" s="677">
        <f t="shared" si="2"/>
        <v>116168</v>
      </c>
      <c r="T283" s="677">
        <f t="shared" si="2"/>
        <v>155822</v>
      </c>
      <c r="U283" s="677">
        <f t="shared" si="2"/>
        <v>0</v>
      </c>
      <c r="V283" s="677">
        <f t="shared" si="2"/>
        <v>782870</v>
      </c>
      <c r="W283" s="677">
        <f t="shared" si="2"/>
        <v>10683</v>
      </c>
      <c r="X283" s="677">
        <f t="shared" si="2"/>
        <v>280072</v>
      </c>
      <c r="Y283" s="677">
        <f t="shared" si="2"/>
        <v>36803</v>
      </c>
      <c r="Z283" s="677">
        <f t="shared" si="2"/>
        <v>1539</v>
      </c>
      <c r="AA283" s="677">
        <f t="shared" si="2"/>
        <v>252917</v>
      </c>
      <c r="AB283" s="677">
        <f t="shared" si="2"/>
        <v>88588</v>
      </c>
      <c r="AC283" s="677">
        <f t="shared" si="2"/>
        <v>17853</v>
      </c>
      <c r="AD283" s="677">
        <f t="shared" si="2"/>
        <v>3813</v>
      </c>
      <c r="AE283" s="677">
        <f t="shared" si="2"/>
        <v>1605976</v>
      </c>
      <c r="AF283" s="677">
        <f t="shared" si="2"/>
        <v>53544</v>
      </c>
      <c r="AG283" s="677">
        <f t="shared" si="2"/>
        <v>356702</v>
      </c>
      <c r="AH283" s="677">
        <f t="shared" si="2"/>
        <v>10210</v>
      </c>
      <c r="AI283" s="677">
        <f t="shared" si="2"/>
        <v>765</v>
      </c>
      <c r="AJ283" s="677">
        <f t="shared" si="2"/>
        <v>54178</v>
      </c>
      <c r="AK283" s="677">
        <f t="shared" si="2"/>
        <v>417862</v>
      </c>
      <c r="AL283" s="677">
        <f t="shared" si="2"/>
        <v>330623</v>
      </c>
      <c r="AM283" s="677">
        <f t="shared" si="2"/>
        <v>433521</v>
      </c>
      <c r="AN283" s="677">
        <f t="shared" si="2"/>
        <v>990</v>
      </c>
      <c r="AO283" s="677">
        <f t="shared" si="2"/>
        <v>15986</v>
      </c>
      <c r="AP283" s="677">
        <f t="shared" si="2"/>
        <v>445212</v>
      </c>
      <c r="AQ283" s="677">
        <f t="shared" si="2"/>
        <v>0</v>
      </c>
      <c r="AR283" s="677">
        <f t="shared" si="2"/>
        <v>6064</v>
      </c>
      <c r="AS283" s="677">
        <f t="shared" si="2"/>
        <v>0</v>
      </c>
      <c r="AT283" s="677">
        <f t="shared" si="2"/>
        <v>50399</v>
      </c>
      <c r="AU283" s="677">
        <f t="shared" si="2"/>
        <v>2561</v>
      </c>
      <c r="AV283" s="677">
        <f t="shared" si="2"/>
        <v>18681</v>
      </c>
      <c r="AW283" s="677">
        <f t="shared" si="2"/>
        <v>227935</v>
      </c>
      <c r="AX283" s="677">
        <f t="shared" si="2"/>
        <v>8374</v>
      </c>
      <c r="AY283" s="677">
        <f t="shared" si="2"/>
        <v>10332990</v>
      </c>
      <c r="AZ283" s="677">
        <f t="shared" si="2"/>
        <v>84054</v>
      </c>
      <c r="BA283" s="677">
        <f t="shared" si="2"/>
        <v>396858</v>
      </c>
      <c r="BB283" s="677">
        <f t="shared" si="2"/>
        <v>0</v>
      </c>
      <c r="BC283" s="677">
        <f t="shared" si="2"/>
        <v>134159</v>
      </c>
      <c r="BD283" s="677">
        <f t="shared" si="2"/>
        <v>567171</v>
      </c>
      <c r="BE283" s="677">
        <f t="shared" si="2"/>
        <v>10221</v>
      </c>
      <c r="BF283" s="677">
        <f t="shared" si="2"/>
        <v>48148</v>
      </c>
      <c r="BG283" s="677">
        <f t="shared" si="2"/>
        <v>43350</v>
      </c>
      <c r="BH283" s="677">
        <f t="shared" si="2"/>
        <v>655009</v>
      </c>
      <c r="BI283" s="677">
        <f t="shared" si="2"/>
        <v>5262</v>
      </c>
      <c r="BJ283" s="677">
        <f t="shared" si="2"/>
        <v>0</v>
      </c>
      <c r="BK283" s="677">
        <f t="shared" si="2"/>
        <v>1135671</v>
      </c>
      <c r="BL283" s="677">
        <f t="shared" si="2"/>
        <v>1898835</v>
      </c>
      <c r="BM283" s="677">
        <f t="shared" si="2"/>
        <v>591795</v>
      </c>
      <c r="BN283" s="677">
        <f t="shared" si="2"/>
        <v>4726</v>
      </c>
      <c r="BO283" s="677">
        <f t="shared" si="2"/>
        <v>107636</v>
      </c>
      <c r="BP283" s="677">
        <f t="shared" si="2"/>
        <v>0</v>
      </c>
      <c r="BQ283" s="677">
        <f t="shared" si="2"/>
        <v>3196237</v>
      </c>
      <c r="BR283" s="677">
        <f t="shared" ref="BR283:CQ283" si="3">BR102-BR226</f>
        <v>23301</v>
      </c>
      <c r="BS283" s="677">
        <f t="shared" si="3"/>
        <v>208567</v>
      </c>
      <c r="BT283" s="677">
        <f t="shared" si="3"/>
        <v>100842</v>
      </c>
      <c r="BU283" s="677">
        <f t="shared" si="3"/>
        <v>167765</v>
      </c>
      <c r="BV283" s="677">
        <f t="shared" si="3"/>
        <v>27363</v>
      </c>
      <c r="BW283" s="677">
        <f t="shared" si="3"/>
        <v>166394</v>
      </c>
      <c r="BX283" s="677">
        <f t="shared" si="3"/>
        <v>1051922</v>
      </c>
      <c r="BY283" s="677">
        <f t="shared" si="3"/>
        <v>6752</v>
      </c>
      <c r="BZ283" s="677">
        <f t="shared" si="3"/>
        <v>0</v>
      </c>
      <c r="CA283" s="677">
        <f t="shared" si="3"/>
        <v>557093</v>
      </c>
      <c r="CB283" s="677">
        <f t="shared" si="3"/>
        <v>21605007</v>
      </c>
      <c r="CC283" s="677">
        <f t="shared" si="3"/>
        <v>6561430</v>
      </c>
      <c r="CD283" s="677">
        <f t="shared" si="3"/>
        <v>29746</v>
      </c>
      <c r="CE283" s="677">
        <f t="shared" si="3"/>
        <v>26945</v>
      </c>
      <c r="CF283" s="677">
        <f t="shared" si="3"/>
        <v>0</v>
      </c>
      <c r="CG283" s="677">
        <f t="shared" si="3"/>
        <v>161306</v>
      </c>
      <c r="CH283" s="677">
        <f t="shared" si="3"/>
        <v>53469694</v>
      </c>
      <c r="CI283" s="677">
        <f t="shared" si="3"/>
        <v>778339</v>
      </c>
      <c r="CJ283" s="677">
        <f t="shared" si="3"/>
        <v>49006</v>
      </c>
      <c r="CK283" s="677">
        <f t="shared" si="3"/>
        <v>367198</v>
      </c>
      <c r="CL283" s="677">
        <f t="shared" si="3"/>
        <v>49168</v>
      </c>
      <c r="CM283" s="677">
        <f t="shared" si="3"/>
        <v>720505</v>
      </c>
      <c r="CN283" s="677">
        <f t="shared" si="3"/>
        <v>77297</v>
      </c>
      <c r="CO283" s="677">
        <f t="shared" si="3"/>
        <v>89256</v>
      </c>
      <c r="CP283" s="677">
        <f t="shared" si="3"/>
        <v>184455</v>
      </c>
      <c r="CQ283" s="677">
        <f t="shared" si="3"/>
        <v>1360921</v>
      </c>
    </row>
    <row r="284" spans="1:95" s="678" customFormat="1" x14ac:dyDescent="0.25">
      <c r="A284" s="675"/>
      <c r="B284" s="675"/>
      <c r="C284" s="676" t="s">
        <v>1003</v>
      </c>
      <c r="D284" s="675"/>
      <c r="E284" s="677">
        <f>E104-E226</f>
        <v>4311</v>
      </c>
      <c r="F284" s="677">
        <f t="shared" ref="F284:BQ284" si="4">F104-F226</f>
        <v>1496501</v>
      </c>
      <c r="G284" s="677">
        <f t="shared" si="4"/>
        <v>228352</v>
      </c>
      <c r="H284" s="677">
        <f t="shared" si="4"/>
        <v>2013926</v>
      </c>
      <c r="I284" s="677">
        <f t="shared" si="4"/>
        <v>232490</v>
      </c>
      <c r="J284" s="677">
        <f t="shared" si="4"/>
        <v>180307</v>
      </c>
      <c r="K284" s="677">
        <f t="shared" si="4"/>
        <v>15412463</v>
      </c>
      <c r="L284" s="677">
        <f t="shared" si="4"/>
        <v>1027164</v>
      </c>
      <c r="M284" s="677">
        <f t="shared" si="4"/>
        <v>10032</v>
      </c>
      <c r="N284" s="677">
        <f t="shared" si="4"/>
        <v>61510</v>
      </c>
      <c r="O284" s="677">
        <f t="shared" si="4"/>
        <v>752095</v>
      </c>
      <c r="P284" s="677">
        <f t="shared" si="4"/>
        <v>1270</v>
      </c>
      <c r="Q284" s="677">
        <f t="shared" si="4"/>
        <v>9364</v>
      </c>
      <c r="R284" s="677">
        <f t="shared" si="4"/>
        <v>1980343</v>
      </c>
      <c r="S284" s="677">
        <f t="shared" si="4"/>
        <v>271848</v>
      </c>
      <c r="T284" s="677">
        <f t="shared" si="4"/>
        <v>8657409</v>
      </c>
      <c r="U284" s="677">
        <f t="shared" si="4"/>
        <v>0</v>
      </c>
      <c r="V284" s="677">
        <f t="shared" si="4"/>
        <v>3667584</v>
      </c>
      <c r="W284" s="677">
        <f t="shared" si="4"/>
        <v>10683</v>
      </c>
      <c r="X284" s="677">
        <f t="shared" si="4"/>
        <v>2938192</v>
      </c>
      <c r="Y284" s="677">
        <f t="shared" si="4"/>
        <v>586213</v>
      </c>
      <c r="Z284" s="677">
        <f t="shared" si="4"/>
        <v>1539</v>
      </c>
      <c r="AA284" s="677">
        <f t="shared" si="4"/>
        <v>21811832</v>
      </c>
      <c r="AB284" s="677">
        <f t="shared" si="4"/>
        <v>1779860</v>
      </c>
      <c r="AC284" s="677">
        <f t="shared" si="4"/>
        <v>96751</v>
      </c>
      <c r="AD284" s="677">
        <f t="shared" si="4"/>
        <v>16111</v>
      </c>
      <c r="AE284" s="677">
        <f t="shared" si="4"/>
        <v>16713642</v>
      </c>
      <c r="AF284" s="677">
        <f t="shared" si="4"/>
        <v>177210</v>
      </c>
      <c r="AG284" s="677">
        <f t="shared" si="4"/>
        <v>1265859</v>
      </c>
      <c r="AH284" s="677">
        <f t="shared" si="4"/>
        <v>423512</v>
      </c>
      <c r="AI284" s="677">
        <f t="shared" si="4"/>
        <v>20765</v>
      </c>
      <c r="AJ284" s="677">
        <f t="shared" si="4"/>
        <v>145257</v>
      </c>
      <c r="AK284" s="677">
        <f t="shared" si="4"/>
        <v>3052415</v>
      </c>
      <c r="AL284" s="677">
        <f t="shared" si="4"/>
        <v>1841829</v>
      </c>
      <c r="AM284" s="677">
        <f t="shared" si="4"/>
        <v>1385405</v>
      </c>
      <c r="AN284" s="677">
        <f t="shared" si="4"/>
        <v>5703</v>
      </c>
      <c r="AO284" s="677">
        <f t="shared" si="4"/>
        <v>28711</v>
      </c>
      <c r="AP284" s="677">
        <f t="shared" si="4"/>
        <v>4935163</v>
      </c>
      <c r="AQ284" s="677">
        <f t="shared" si="4"/>
        <v>0</v>
      </c>
      <c r="AR284" s="677">
        <f t="shared" si="4"/>
        <v>72430</v>
      </c>
      <c r="AS284" s="677">
        <f t="shared" si="4"/>
        <v>0</v>
      </c>
      <c r="AT284" s="677">
        <f t="shared" si="4"/>
        <v>588645</v>
      </c>
      <c r="AU284" s="677">
        <f t="shared" si="4"/>
        <v>2561</v>
      </c>
      <c r="AV284" s="677">
        <f t="shared" si="4"/>
        <v>293510</v>
      </c>
      <c r="AW284" s="677">
        <f t="shared" si="4"/>
        <v>8086872</v>
      </c>
      <c r="AX284" s="677">
        <f t="shared" si="4"/>
        <v>519141</v>
      </c>
      <c r="AY284" s="677">
        <f t="shared" si="4"/>
        <v>73465002</v>
      </c>
      <c r="AZ284" s="677">
        <f t="shared" si="4"/>
        <v>114982</v>
      </c>
      <c r="BA284" s="677">
        <f t="shared" si="4"/>
        <v>1883713</v>
      </c>
      <c r="BB284" s="677">
        <f t="shared" si="4"/>
        <v>0</v>
      </c>
      <c r="BC284" s="677">
        <f t="shared" si="4"/>
        <v>289825</v>
      </c>
      <c r="BD284" s="677">
        <f t="shared" si="4"/>
        <v>702085</v>
      </c>
      <c r="BE284" s="677">
        <f t="shared" si="4"/>
        <v>13631</v>
      </c>
      <c r="BF284" s="677">
        <f t="shared" si="4"/>
        <v>330890</v>
      </c>
      <c r="BG284" s="677">
        <f t="shared" si="4"/>
        <v>771375</v>
      </c>
      <c r="BH284" s="677">
        <f t="shared" si="4"/>
        <v>9135056</v>
      </c>
      <c r="BI284" s="677">
        <f t="shared" si="4"/>
        <v>20510</v>
      </c>
      <c r="BJ284" s="677">
        <f t="shared" si="4"/>
        <v>0</v>
      </c>
      <c r="BK284" s="677">
        <f t="shared" si="4"/>
        <v>7255473</v>
      </c>
      <c r="BL284" s="677">
        <f t="shared" si="4"/>
        <v>14001484</v>
      </c>
      <c r="BM284" s="677">
        <f t="shared" si="4"/>
        <v>3997920</v>
      </c>
      <c r="BN284" s="677">
        <f t="shared" si="4"/>
        <v>4726</v>
      </c>
      <c r="BO284" s="677">
        <f t="shared" si="4"/>
        <v>160989</v>
      </c>
      <c r="BP284" s="677">
        <f t="shared" si="4"/>
        <v>0</v>
      </c>
      <c r="BQ284" s="677">
        <f t="shared" si="4"/>
        <v>11713382</v>
      </c>
      <c r="BR284" s="677">
        <f t="shared" ref="BR284:CQ284" si="5">BR104-BR226</f>
        <v>27129</v>
      </c>
      <c r="BS284" s="677">
        <f t="shared" si="5"/>
        <v>218834</v>
      </c>
      <c r="BT284" s="677">
        <f t="shared" si="5"/>
        <v>742215</v>
      </c>
      <c r="BU284" s="677">
        <f t="shared" si="5"/>
        <v>923302</v>
      </c>
      <c r="BV284" s="677">
        <f t="shared" si="5"/>
        <v>73280</v>
      </c>
      <c r="BW284" s="677">
        <f t="shared" si="5"/>
        <v>688925</v>
      </c>
      <c r="BX284" s="677">
        <f t="shared" si="5"/>
        <v>6900186</v>
      </c>
      <c r="BY284" s="677">
        <f t="shared" si="5"/>
        <v>6752</v>
      </c>
      <c r="BZ284" s="677">
        <f t="shared" si="5"/>
        <v>0</v>
      </c>
      <c r="CA284" s="677">
        <f t="shared" si="5"/>
        <v>7142595</v>
      </c>
      <c r="CB284" s="677">
        <f t="shared" si="5"/>
        <v>278039399</v>
      </c>
      <c r="CC284" s="677">
        <f t="shared" si="5"/>
        <v>70276597</v>
      </c>
      <c r="CD284" s="677">
        <f t="shared" si="5"/>
        <v>352543</v>
      </c>
      <c r="CE284" s="677">
        <f t="shared" si="5"/>
        <v>2115033</v>
      </c>
      <c r="CF284" s="677">
        <f t="shared" si="5"/>
        <v>0</v>
      </c>
      <c r="CG284" s="677">
        <f t="shared" si="5"/>
        <v>2776080</v>
      </c>
      <c r="CH284" s="677">
        <f t="shared" si="5"/>
        <v>499838678</v>
      </c>
      <c r="CI284" s="677">
        <f t="shared" si="5"/>
        <v>6607125</v>
      </c>
      <c r="CJ284" s="677">
        <f t="shared" si="5"/>
        <v>417738</v>
      </c>
      <c r="CK284" s="677">
        <f t="shared" si="5"/>
        <v>4200939</v>
      </c>
      <c r="CL284" s="677">
        <f t="shared" si="5"/>
        <v>239569</v>
      </c>
      <c r="CM284" s="677">
        <f t="shared" si="5"/>
        <v>10288297</v>
      </c>
      <c r="CN284" s="677">
        <f t="shared" si="5"/>
        <v>1295242</v>
      </c>
      <c r="CO284" s="677">
        <f t="shared" si="5"/>
        <v>572092</v>
      </c>
      <c r="CP284" s="677">
        <f t="shared" si="5"/>
        <v>1010159</v>
      </c>
      <c r="CQ284" s="677">
        <f t="shared" si="5"/>
        <v>10911961</v>
      </c>
    </row>
    <row r="285" spans="1:95" s="557" customFormat="1" x14ac:dyDescent="0.25">
      <c r="A285" s="567"/>
      <c r="B285" s="567"/>
      <c r="C285" s="679"/>
      <c r="D285" s="558"/>
      <c r="E285" s="595"/>
      <c r="F285" s="596"/>
      <c r="G285" s="596"/>
      <c r="H285" s="596"/>
      <c r="I285" s="596"/>
      <c r="J285" s="596"/>
      <c r="K285" s="597"/>
      <c r="L285" s="594"/>
      <c r="M285" s="594"/>
      <c r="N285" s="593"/>
      <c r="O285" s="593"/>
      <c r="P285" s="593"/>
      <c r="Q285" s="593"/>
      <c r="R285" s="593"/>
      <c r="S285" s="593"/>
      <c r="T285" s="593"/>
      <c r="U285" s="593"/>
      <c r="V285" s="593"/>
      <c r="W285" s="593"/>
      <c r="X285" s="593"/>
      <c r="Y285" s="593"/>
      <c r="Z285" s="593"/>
      <c r="AA285" s="593"/>
      <c r="AB285" s="594"/>
      <c r="AC285" s="594"/>
      <c r="AD285" s="594"/>
      <c r="AE285" s="594"/>
      <c r="AF285" s="594"/>
      <c r="AG285" s="594"/>
      <c r="AH285" s="594"/>
      <c r="AI285" s="594"/>
      <c r="AJ285" s="594"/>
      <c r="AK285" s="594"/>
      <c r="AL285" s="594"/>
      <c r="AM285" s="594"/>
      <c r="AN285" s="594"/>
      <c r="AO285" s="594"/>
      <c r="AP285" s="594"/>
      <c r="AQ285" s="594"/>
      <c r="AR285" s="594"/>
      <c r="AS285" s="594"/>
      <c r="AT285" s="594"/>
      <c r="AU285" s="594"/>
      <c r="AV285" s="594"/>
      <c r="AW285" s="594"/>
      <c r="AX285" s="594"/>
      <c r="AY285" s="594"/>
      <c r="AZ285" s="594"/>
      <c r="BA285" s="594"/>
      <c r="BB285" s="594"/>
      <c r="BC285" s="594"/>
      <c r="BD285" s="594"/>
      <c r="BE285" s="594"/>
      <c r="BF285" s="594"/>
      <c r="BG285" s="594"/>
      <c r="BH285" s="594"/>
      <c r="BI285" s="594"/>
      <c r="BJ285" s="594"/>
      <c r="BK285" s="594"/>
      <c r="BL285" s="594"/>
      <c r="BM285" s="594"/>
      <c r="BN285" s="594"/>
      <c r="BO285" s="594"/>
      <c r="BP285" s="594"/>
      <c r="BQ285" s="594"/>
      <c r="BR285" s="594"/>
      <c r="BS285" s="594"/>
      <c r="BT285" s="594"/>
      <c r="BU285" s="594"/>
      <c r="BV285" s="594"/>
      <c r="BW285" s="594"/>
      <c r="BX285" s="594"/>
      <c r="BY285" s="594"/>
      <c r="BZ285" s="594"/>
      <c r="CA285" s="594"/>
      <c r="CB285" s="594"/>
      <c r="CC285" s="594"/>
      <c r="CD285" s="594"/>
      <c r="CE285" s="594"/>
      <c r="CF285" s="594"/>
      <c r="CG285" s="594"/>
      <c r="CH285" s="594"/>
      <c r="CI285" s="594"/>
      <c r="CJ285" s="594"/>
      <c r="CK285" s="594"/>
      <c r="CL285" s="594"/>
      <c r="CM285" s="594"/>
      <c r="CN285" s="594"/>
      <c r="CO285" s="594"/>
      <c r="CP285" s="594"/>
      <c r="CQ285" s="594"/>
    </row>
    <row r="286" spans="1:95" x14ac:dyDescent="0.25">
      <c r="A286" s="567"/>
      <c r="B286" s="558"/>
      <c r="C286" s="558"/>
      <c r="D286" s="558"/>
      <c r="E286" s="656">
        <f>SUM(E3:E281)</f>
        <v>5614277.2200000007</v>
      </c>
      <c r="F286" s="656">
        <f t="shared" ref="F286:BQ286" si="6">SUM(F3:F281)</f>
        <v>187711576.42000002</v>
      </c>
      <c r="G286" s="656">
        <f t="shared" si="6"/>
        <v>36059877.699999996</v>
      </c>
      <c r="H286" s="656">
        <f t="shared" si="6"/>
        <v>135569827.5</v>
      </c>
      <c r="I286" s="656">
        <f t="shared" si="6"/>
        <v>98731565.870000005</v>
      </c>
      <c r="J286" s="656">
        <f t="shared" si="6"/>
        <v>28646264.750000004</v>
      </c>
      <c r="K286" s="656">
        <f t="shared" si="6"/>
        <v>1661853625.3899999</v>
      </c>
      <c r="L286" s="656">
        <f t="shared" si="6"/>
        <v>36592806.359999999</v>
      </c>
      <c r="M286" s="656">
        <f t="shared" si="6"/>
        <v>6629330.96</v>
      </c>
      <c r="N286" s="656">
        <f t="shared" si="6"/>
        <v>51404135.009999998</v>
      </c>
      <c r="O286" s="656">
        <f t="shared" si="6"/>
        <v>46260722.079999998</v>
      </c>
      <c r="P286" s="656">
        <f t="shared" si="6"/>
        <v>2699981.68</v>
      </c>
      <c r="Q286" s="656">
        <f t="shared" si="6"/>
        <v>23932778.560000002</v>
      </c>
      <c r="R286" s="656">
        <f t="shared" si="6"/>
        <v>34223239.420000002</v>
      </c>
      <c r="S286" s="656">
        <f t="shared" si="6"/>
        <v>72516401.120000005</v>
      </c>
      <c r="T286" s="656">
        <f t="shared" si="6"/>
        <v>134111817.41</v>
      </c>
      <c r="U286" s="656">
        <f t="shared" si="6"/>
        <v>50433.01</v>
      </c>
      <c r="V286" s="656">
        <f t="shared" si="6"/>
        <v>64345998.950000003</v>
      </c>
      <c r="W286" s="656">
        <f t="shared" si="6"/>
        <v>52140265.009999998</v>
      </c>
      <c r="X286" s="656">
        <f t="shared" si="6"/>
        <v>96874177.219999999</v>
      </c>
      <c r="Y286" s="656">
        <f t="shared" si="6"/>
        <v>112974238.66000001</v>
      </c>
      <c r="Z286" s="656">
        <f t="shared" si="6"/>
        <v>1068208.6099999999</v>
      </c>
      <c r="AA286" s="656">
        <f t="shared" si="6"/>
        <v>731443457.16999996</v>
      </c>
      <c r="AB286" s="656">
        <f t="shared" si="6"/>
        <v>118200213.09999999</v>
      </c>
      <c r="AC286" s="656">
        <f t="shared" si="6"/>
        <v>18803357.940000001</v>
      </c>
      <c r="AD286" s="656">
        <f t="shared" si="6"/>
        <v>19387228.060000002</v>
      </c>
      <c r="AE286" s="656">
        <f t="shared" si="6"/>
        <v>731875008.38999987</v>
      </c>
      <c r="AF286" s="656">
        <f t="shared" si="6"/>
        <v>26081919.259999998</v>
      </c>
      <c r="AG286" s="656">
        <f t="shared" si="6"/>
        <v>108993674.47000001</v>
      </c>
      <c r="AH286" s="656">
        <f t="shared" si="6"/>
        <v>42570869.629999995</v>
      </c>
      <c r="AI286" s="656">
        <f t="shared" si="6"/>
        <v>21084429.920000002</v>
      </c>
      <c r="AJ286" s="656">
        <f t="shared" si="6"/>
        <v>194772753.69</v>
      </c>
      <c r="AK286" s="656">
        <f t="shared" si="6"/>
        <v>137506745.91</v>
      </c>
      <c r="AL286" s="656">
        <f t="shared" si="6"/>
        <v>109683674.08</v>
      </c>
      <c r="AM286" s="656">
        <f t="shared" si="6"/>
        <v>91655492.820000008</v>
      </c>
      <c r="AN286" s="656">
        <f t="shared" si="6"/>
        <v>3852488.9499999997</v>
      </c>
      <c r="AO286" s="656">
        <f t="shared" si="6"/>
        <v>19615811.259999998</v>
      </c>
      <c r="AP286" s="656">
        <f t="shared" si="6"/>
        <v>246000429.49000001</v>
      </c>
      <c r="AQ286" s="656">
        <f t="shared" si="6"/>
        <v>50449.01</v>
      </c>
      <c r="AR286" s="656">
        <f t="shared" si="6"/>
        <v>5571381.4000000004</v>
      </c>
      <c r="AS286" s="656">
        <f t="shared" si="6"/>
        <v>12539283.460000001</v>
      </c>
      <c r="AT286" s="656">
        <f t="shared" si="6"/>
        <v>11331183.24</v>
      </c>
      <c r="AU286" s="656">
        <f t="shared" si="6"/>
        <v>2248918.62</v>
      </c>
      <c r="AV286" s="656">
        <f t="shared" si="6"/>
        <v>11667997.889999999</v>
      </c>
      <c r="AW286" s="656">
        <f t="shared" si="6"/>
        <v>157220046.28</v>
      </c>
      <c r="AX286" s="656">
        <f t="shared" si="6"/>
        <v>31891124.030000001</v>
      </c>
      <c r="AY286" s="656">
        <f t="shared" si="6"/>
        <v>1402746599.5</v>
      </c>
      <c r="AZ286" s="656">
        <f t="shared" si="6"/>
        <v>51717442.460000001</v>
      </c>
      <c r="BA286" s="656">
        <f t="shared" si="6"/>
        <v>194604090.16999999</v>
      </c>
      <c r="BB286" s="656">
        <f t="shared" si="6"/>
        <v>31158263.129999999</v>
      </c>
      <c r="BC286" s="656">
        <f t="shared" si="6"/>
        <v>49470805.490000002</v>
      </c>
      <c r="BD286" s="656">
        <f t="shared" si="6"/>
        <v>56131091.579999998</v>
      </c>
      <c r="BE286" s="656">
        <f t="shared" si="6"/>
        <v>14475519.069999998</v>
      </c>
      <c r="BF286" s="656">
        <f t="shared" si="6"/>
        <v>57978689.829999998</v>
      </c>
      <c r="BG286" s="656">
        <f t="shared" si="6"/>
        <v>122880057.20000002</v>
      </c>
      <c r="BH286" s="656">
        <f t="shared" si="6"/>
        <v>965333997.00000012</v>
      </c>
      <c r="BI286" s="656">
        <f t="shared" si="6"/>
        <v>4812930.1099999994</v>
      </c>
      <c r="BJ286" s="656">
        <f t="shared" si="6"/>
        <v>2093014.27</v>
      </c>
      <c r="BK286" s="656">
        <f t="shared" si="6"/>
        <v>347804796.13999999</v>
      </c>
      <c r="BL286" s="656">
        <f t="shared" si="6"/>
        <v>541429262.17999995</v>
      </c>
      <c r="BM286" s="656">
        <f t="shared" si="6"/>
        <v>203629036.78999999</v>
      </c>
      <c r="BN286" s="656">
        <f t="shared" si="6"/>
        <v>2249393.08</v>
      </c>
      <c r="BO286" s="656">
        <f t="shared" si="6"/>
        <v>34174558.269999996</v>
      </c>
      <c r="BP286" s="656">
        <f t="shared" si="6"/>
        <v>50467.01</v>
      </c>
      <c r="BQ286" s="656">
        <f t="shared" si="6"/>
        <v>125317491.62</v>
      </c>
      <c r="BR286" s="656">
        <f t="shared" ref="BR286:CQ286" si="7">SUM(BR3:BR281)</f>
        <v>19714774</v>
      </c>
      <c r="BS286" s="656">
        <f t="shared" si="7"/>
        <v>20322274.75</v>
      </c>
      <c r="BT286" s="656">
        <f t="shared" si="7"/>
        <v>95375679.140000001</v>
      </c>
      <c r="BU286" s="656">
        <f t="shared" si="7"/>
        <v>49827318.890000001</v>
      </c>
      <c r="BV286" s="656">
        <f t="shared" si="7"/>
        <v>24859330.700000003</v>
      </c>
      <c r="BW286" s="656">
        <f t="shared" si="7"/>
        <v>61393487.719999999</v>
      </c>
      <c r="BX286" s="656">
        <f t="shared" si="7"/>
        <v>207328942.60999998</v>
      </c>
      <c r="BY286" s="656">
        <f t="shared" si="7"/>
        <v>8058755.9799999995</v>
      </c>
      <c r="BZ286" s="656">
        <f t="shared" si="7"/>
        <v>50473.01</v>
      </c>
      <c r="CA286" s="656">
        <f t="shared" si="7"/>
        <v>261052833.20999998</v>
      </c>
      <c r="CB286" s="656">
        <f t="shared" si="7"/>
        <v>3144754948.2800002</v>
      </c>
      <c r="CC286" s="656">
        <f t="shared" si="7"/>
        <v>3145121796.5300002</v>
      </c>
      <c r="CD286" s="656">
        <f t="shared" si="7"/>
        <v>39208905.789999999</v>
      </c>
      <c r="CE286" s="656">
        <f t="shared" si="7"/>
        <v>162617560.00999999</v>
      </c>
      <c r="CF286" s="656">
        <f t="shared" si="7"/>
        <v>50478.01</v>
      </c>
      <c r="CG286" s="656">
        <f t="shared" si="7"/>
        <v>86380264.920000017</v>
      </c>
      <c r="CH286" s="656">
        <f t="shared" si="7"/>
        <v>10797906423.519999</v>
      </c>
      <c r="CI286" s="656">
        <f t="shared" si="7"/>
        <v>418201754.67999995</v>
      </c>
      <c r="CJ286" s="656">
        <f t="shared" si="7"/>
        <v>42895033.619999997</v>
      </c>
      <c r="CK286" s="656">
        <f t="shared" si="7"/>
        <v>48304125.350000001</v>
      </c>
      <c r="CL286" s="656">
        <f t="shared" si="7"/>
        <v>25741528.110000003</v>
      </c>
      <c r="CM286" s="656">
        <f t="shared" si="7"/>
        <v>276145810.39999998</v>
      </c>
      <c r="CN286" s="656">
        <f t="shared" si="7"/>
        <v>143040885.31999999</v>
      </c>
      <c r="CO286" s="656">
        <f t="shared" si="7"/>
        <v>92814022.210000008</v>
      </c>
      <c r="CP286" s="656">
        <f t="shared" si="7"/>
        <v>26059925.149999999</v>
      </c>
      <c r="CQ286" s="656">
        <f t="shared" si="7"/>
        <v>212620102.09</v>
      </c>
    </row>
    <row r="287" spans="1:95" x14ac:dyDescent="0.25">
      <c r="A287" s="567"/>
      <c r="B287" s="558"/>
      <c r="C287" s="558"/>
      <c r="D287" s="558"/>
      <c r="E287" s="664">
        <f t="shared" ref="E287:AJ287" si="8">SUM(E187:E188,E204:E207,E227,E244:E248,E263:E266)</f>
        <v>50434</v>
      </c>
      <c r="F287" s="664">
        <f t="shared" si="8"/>
        <v>1075288</v>
      </c>
      <c r="G287" s="664">
        <f t="shared" si="8"/>
        <v>50430.01</v>
      </c>
      <c r="H287" s="664">
        <f t="shared" si="8"/>
        <v>2761470.01</v>
      </c>
      <c r="I287" s="664">
        <f t="shared" si="8"/>
        <v>50433.1</v>
      </c>
      <c r="J287" s="664">
        <f t="shared" si="8"/>
        <v>50436.01</v>
      </c>
      <c r="K287" s="664">
        <f t="shared" si="8"/>
        <v>9085495.0800000001</v>
      </c>
      <c r="L287" s="664">
        <f t="shared" si="8"/>
        <v>50443.01</v>
      </c>
      <c r="M287" s="664">
        <f t="shared" si="8"/>
        <v>50439</v>
      </c>
      <c r="N287" s="664">
        <f t="shared" si="8"/>
        <v>50587.01</v>
      </c>
      <c r="O287" s="664">
        <f t="shared" si="8"/>
        <v>50439.01</v>
      </c>
      <c r="P287" s="664">
        <f t="shared" si="8"/>
        <v>50542</v>
      </c>
      <c r="Q287" s="664">
        <f t="shared" si="8"/>
        <v>50445.01</v>
      </c>
      <c r="R287" s="664">
        <f t="shared" si="8"/>
        <v>50557</v>
      </c>
      <c r="S287" s="664">
        <f t="shared" si="8"/>
        <v>50548</v>
      </c>
      <c r="T287" s="664">
        <f t="shared" si="8"/>
        <v>50438</v>
      </c>
      <c r="U287" s="664">
        <f t="shared" si="8"/>
        <v>50433.01</v>
      </c>
      <c r="V287" s="664">
        <f t="shared" si="8"/>
        <v>50443</v>
      </c>
      <c r="W287" s="664">
        <f t="shared" si="8"/>
        <v>50614.01</v>
      </c>
      <c r="X287" s="664">
        <f t="shared" si="8"/>
        <v>50440</v>
      </c>
      <c r="Y287" s="664">
        <f t="shared" si="8"/>
        <v>1931988.01</v>
      </c>
      <c r="Z287" s="664">
        <f t="shared" si="8"/>
        <v>50449</v>
      </c>
      <c r="AA287" s="664">
        <f t="shared" si="8"/>
        <v>3477886.09</v>
      </c>
      <c r="AB287" s="664">
        <f t="shared" si="8"/>
        <v>3564834.01</v>
      </c>
      <c r="AC287" s="664">
        <f t="shared" si="8"/>
        <v>50564.01</v>
      </c>
      <c r="AD287" s="664">
        <f t="shared" si="8"/>
        <v>50450.01</v>
      </c>
      <c r="AE287" s="664">
        <f t="shared" si="8"/>
        <v>13773022.01</v>
      </c>
      <c r="AF287" s="664">
        <f t="shared" si="8"/>
        <v>50586</v>
      </c>
      <c r="AG287" s="664">
        <f t="shared" si="8"/>
        <v>50450.01</v>
      </c>
      <c r="AH287" s="664">
        <f t="shared" si="8"/>
        <v>50513</v>
      </c>
      <c r="AI287" s="664">
        <f t="shared" si="8"/>
        <v>50453.01</v>
      </c>
      <c r="AJ287" s="664">
        <f t="shared" si="8"/>
        <v>50604.01</v>
      </c>
      <c r="AK287" s="664">
        <f t="shared" ref="AK287:BP287" si="9">SUM(AK187:AK188,AK204:AK207,AK227,AK244:AK248,AK263:AK266)</f>
        <v>50456.01</v>
      </c>
      <c r="AL287" s="664">
        <f t="shared" si="9"/>
        <v>50453.01</v>
      </c>
      <c r="AM287" s="664">
        <f t="shared" si="9"/>
        <v>50463.01</v>
      </c>
      <c r="AN287" s="664">
        <f t="shared" si="9"/>
        <v>50456.01</v>
      </c>
      <c r="AO287" s="664">
        <f t="shared" si="9"/>
        <v>50606</v>
      </c>
      <c r="AP287" s="664">
        <f t="shared" si="9"/>
        <v>5092752.01</v>
      </c>
      <c r="AQ287" s="664">
        <f t="shared" si="9"/>
        <v>50449.01</v>
      </c>
      <c r="AR287" s="664">
        <f t="shared" si="9"/>
        <v>50456</v>
      </c>
      <c r="AS287" s="664">
        <f t="shared" si="9"/>
        <v>50592</v>
      </c>
      <c r="AT287" s="664">
        <f t="shared" si="9"/>
        <v>50461</v>
      </c>
      <c r="AU287" s="664">
        <f t="shared" si="9"/>
        <v>50464</v>
      </c>
      <c r="AV287" s="664">
        <f t="shared" si="9"/>
        <v>50544.01</v>
      </c>
      <c r="AW287" s="664">
        <f t="shared" si="9"/>
        <v>50461.01</v>
      </c>
      <c r="AX287" s="664">
        <f t="shared" si="9"/>
        <v>50463.01</v>
      </c>
      <c r="AY287" s="664">
        <f t="shared" si="9"/>
        <v>4793007.08</v>
      </c>
      <c r="AZ287" s="664">
        <f t="shared" si="9"/>
        <v>50593</v>
      </c>
      <c r="BA287" s="664">
        <f t="shared" si="9"/>
        <v>50466.01</v>
      </c>
      <c r="BB287" s="664">
        <f t="shared" si="9"/>
        <v>50620</v>
      </c>
      <c r="BC287" s="664">
        <f t="shared" si="9"/>
        <v>50470.01</v>
      </c>
      <c r="BD287" s="664">
        <f t="shared" si="9"/>
        <v>50543.01</v>
      </c>
      <c r="BE287" s="664">
        <f t="shared" si="9"/>
        <v>50469.1</v>
      </c>
      <c r="BF287" s="664">
        <f t="shared" si="9"/>
        <v>50468.01</v>
      </c>
      <c r="BG287" s="664">
        <f t="shared" si="9"/>
        <v>2622422.0099999998</v>
      </c>
      <c r="BH287" s="664">
        <f t="shared" si="9"/>
        <v>2285934.09</v>
      </c>
      <c r="BI287" s="664">
        <f t="shared" si="9"/>
        <v>50468</v>
      </c>
      <c r="BJ287" s="664">
        <f t="shared" si="9"/>
        <v>50545</v>
      </c>
      <c r="BK287" s="664">
        <f t="shared" si="9"/>
        <v>50473</v>
      </c>
      <c r="BL287" s="664">
        <f t="shared" si="9"/>
        <v>1266216.1000000001</v>
      </c>
      <c r="BM287" s="664">
        <f t="shared" si="9"/>
        <v>50470.01</v>
      </c>
      <c r="BN287" s="664">
        <f t="shared" si="9"/>
        <v>50471</v>
      </c>
      <c r="BO287" s="664">
        <f t="shared" si="9"/>
        <v>50593</v>
      </c>
      <c r="BP287" s="664">
        <f t="shared" si="9"/>
        <v>50467.01</v>
      </c>
      <c r="BQ287" s="664">
        <f t="shared" ref="BQ287:CQ287" si="10">SUM(BQ187:BQ188,BQ204:BQ207,BQ227,BQ244:BQ248,BQ263:BQ266)</f>
        <v>50477</v>
      </c>
      <c r="BR287" s="664">
        <f t="shared" si="10"/>
        <v>50602</v>
      </c>
      <c r="BS287" s="664">
        <f t="shared" si="10"/>
        <v>50605</v>
      </c>
      <c r="BT287" s="664">
        <f t="shared" si="10"/>
        <v>50478.01</v>
      </c>
      <c r="BU287" s="664">
        <f t="shared" si="10"/>
        <v>50500</v>
      </c>
      <c r="BV287" s="664">
        <f t="shared" si="10"/>
        <v>50484.01</v>
      </c>
      <c r="BW287" s="664">
        <f t="shared" si="10"/>
        <v>50483.01</v>
      </c>
      <c r="BX287" s="664">
        <f t="shared" si="10"/>
        <v>1366475.01</v>
      </c>
      <c r="BY287" s="664">
        <f t="shared" si="10"/>
        <v>50592.01</v>
      </c>
      <c r="BZ287" s="664">
        <f t="shared" si="10"/>
        <v>50473.01</v>
      </c>
      <c r="CA287" s="664">
        <f t="shared" si="10"/>
        <v>2779856.01</v>
      </c>
      <c r="CB287" s="664">
        <f t="shared" si="10"/>
        <v>10096936</v>
      </c>
      <c r="CC287" s="664">
        <f t="shared" si="10"/>
        <v>9358388.0899999999</v>
      </c>
      <c r="CD287" s="664">
        <f t="shared" si="10"/>
        <v>50597</v>
      </c>
      <c r="CE287" s="664">
        <f t="shared" si="10"/>
        <v>50489.1</v>
      </c>
      <c r="CF287" s="664">
        <f t="shared" si="10"/>
        <v>50478.01</v>
      </c>
      <c r="CG287" s="664">
        <f t="shared" si="10"/>
        <v>50486.01</v>
      </c>
      <c r="CH287" s="664">
        <f t="shared" si="10"/>
        <v>53504646.009999998</v>
      </c>
      <c r="CI287" s="664">
        <f t="shared" si="10"/>
        <v>1844536.1</v>
      </c>
      <c r="CJ287" s="664">
        <f t="shared" si="10"/>
        <v>50494.01</v>
      </c>
      <c r="CK287" s="664">
        <f t="shared" si="10"/>
        <v>50517</v>
      </c>
      <c r="CL287" s="664">
        <f t="shared" si="10"/>
        <v>50493.01</v>
      </c>
      <c r="CM287" s="664">
        <f t="shared" si="10"/>
        <v>50497.01</v>
      </c>
      <c r="CN287" s="664">
        <f t="shared" si="10"/>
        <v>50495.01</v>
      </c>
      <c r="CO287" s="664">
        <f t="shared" si="10"/>
        <v>50559.01</v>
      </c>
      <c r="CP287" s="664">
        <f t="shared" si="10"/>
        <v>50496</v>
      </c>
      <c r="CQ287" s="664">
        <f t="shared" si="10"/>
        <v>50494</v>
      </c>
    </row>
    <row r="288" spans="1:95" x14ac:dyDescent="0.25">
      <c r="A288" s="558"/>
      <c r="B288" s="558"/>
      <c r="C288" s="558"/>
      <c r="D288" s="592"/>
      <c r="E288" s="592">
        <f>E286-E287</f>
        <v>5563843.2200000007</v>
      </c>
      <c r="F288" s="592">
        <f t="shared" ref="F288:BQ288" si="11">F286-F287</f>
        <v>186636288.42000002</v>
      </c>
      <c r="G288" s="592">
        <f t="shared" si="11"/>
        <v>36009447.689999998</v>
      </c>
      <c r="H288" s="592">
        <f t="shared" si="11"/>
        <v>132808357.48999999</v>
      </c>
      <c r="I288" s="592">
        <f t="shared" si="11"/>
        <v>98681132.770000011</v>
      </c>
      <c r="J288" s="592">
        <f t="shared" si="11"/>
        <v>28595828.740000002</v>
      </c>
      <c r="K288" s="592">
        <f t="shared" si="11"/>
        <v>1652768130.3099999</v>
      </c>
      <c r="L288" s="592">
        <f t="shared" si="11"/>
        <v>36542363.350000001</v>
      </c>
      <c r="M288" s="592">
        <f t="shared" si="11"/>
        <v>6578891.96</v>
      </c>
      <c r="N288" s="592">
        <f t="shared" si="11"/>
        <v>51353548</v>
      </c>
      <c r="O288" s="592">
        <f t="shared" si="11"/>
        <v>46210283.07</v>
      </c>
      <c r="P288" s="592">
        <f t="shared" si="11"/>
        <v>2649439.6800000002</v>
      </c>
      <c r="Q288" s="592">
        <f t="shared" si="11"/>
        <v>23882333.550000001</v>
      </c>
      <c r="R288" s="592">
        <f t="shared" si="11"/>
        <v>34172682.420000002</v>
      </c>
      <c r="S288" s="592">
        <f t="shared" si="11"/>
        <v>72465853.120000005</v>
      </c>
      <c r="T288" s="592">
        <f t="shared" si="11"/>
        <v>134061379.41</v>
      </c>
      <c r="U288" s="592">
        <f t="shared" si="11"/>
        <v>0</v>
      </c>
      <c r="V288" s="592">
        <f t="shared" si="11"/>
        <v>64295555.950000003</v>
      </c>
      <c r="W288" s="592">
        <f t="shared" si="11"/>
        <v>52089651</v>
      </c>
      <c r="X288" s="592">
        <f t="shared" si="11"/>
        <v>96823737.219999999</v>
      </c>
      <c r="Y288" s="592">
        <f t="shared" si="11"/>
        <v>111042250.65000001</v>
      </c>
      <c r="Z288" s="592">
        <f t="shared" si="11"/>
        <v>1017759.6099999999</v>
      </c>
      <c r="AA288" s="592">
        <f t="shared" si="11"/>
        <v>727965571.07999992</v>
      </c>
      <c r="AB288" s="592">
        <f t="shared" si="11"/>
        <v>114635379.08999999</v>
      </c>
      <c r="AC288" s="592">
        <f t="shared" si="11"/>
        <v>18752793.93</v>
      </c>
      <c r="AD288" s="592">
        <f t="shared" si="11"/>
        <v>19336778.050000001</v>
      </c>
      <c r="AE288" s="592">
        <f t="shared" si="11"/>
        <v>718101986.37999988</v>
      </c>
      <c r="AF288" s="592">
        <f t="shared" si="11"/>
        <v>26031333.259999998</v>
      </c>
      <c r="AG288" s="592">
        <f t="shared" si="11"/>
        <v>108943224.46000001</v>
      </c>
      <c r="AH288" s="592">
        <f t="shared" si="11"/>
        <v>42520356.629999995</v>
      </c>
      <c r="AI288" s="592">
        <f t="shared" si="11"/>
        <v>21033976.91</v>
      </c>
      <c r="AJ288" s="592">
        <f t="shared" si="11"/>
        <v>194722149.68000001</v>
      </c>
      <c r="AK288" s="592">
        <f t="shared" si="11"/>
        <v>137456289.90000001</v>
      </c>
      <c r="AL288" s="592">
        <f t="shared" si="11"/>
        <v>109633221.06999999</v>
      </c>
      <c r="AM288" s="592">
        <f t="shared" si="11"/>
        <v>91605029.810000002</v>
      </c>
      <c r="AN288" s="592">
        <f t="shared" si="11"/>
        <v>3802032.94</v>
      </c>
      <c r="AO288" s="592">
        <f t="shared" si="11"/>
        <v>19565205.259999998</v>
      </c>
      <c r="AP288" s="592">
        <f t="shared" si="11"/>
        <v>240907677.48000002</v>
      </c>
      <c r="AQ288" s="592">
        <f t="shared" si="11"/>
        <v>0</v>
      </c>
      <c r="AR288" s="592">
        <f t="shared" si="11"/>
        <v>5520925.4000000004</v>
      </c>
      <c r="AS288" s="592">
        <f t="shared" si="11"/>
        <v>12488691.460000001</v>
      </c>
      <c r="AT288" s="592">
        <f t="shared" si="11"/>
        <v>11280722.24</v>
      </c>
      <c r="AU288" s="592">
        <f t="shared" si="11"/>
        <v>2198454.62</v>
      </c>
      <c r="AV288" s="592">
        <f t="shared" si="11"/>
        <v>11617453.879999999</v>
      </c>
      <c r="AW288" s="592">
        <f t="shared" si="11"/>
        <v>157169585.27000001</v>
      </c>
      <c r="AX288" s="592">
        <f t="shared" si="11"/>
        <v>31840661.02</v>
      </c>
      <c r="AY288" s="592">
        <f t="shared" si="11"/>
        <v>1397953592.4200001</v>
      </c>
      <c r="AZ288" s="592">
        <f t="shared" si="11"/>
        <v>51666849.460000001</v>
      </c>
      <c r="BA288" s="592">
        <f t="shared" si="11"/>
        <v>194553624.16</v>
      </c>
      <c r="BB288" s="592">
        <f t="shared" si="11"/>
        <v>31107643.129999999</v>
      </c>
      <c r="BC288" s="592">
        <f t="shared" si="11"/>
        <v>49420335.480000004</v>
      </c>
      <c r="BD288" s="592">
        <f t="shared" si="11"/>
        <v>56080548.57</v>
      </c>
      <c r="BE288" s="592">
        <f t="shared" si="11"/>
        <v>14425049.969999999</v>
      </c>
      <c r="BF288" s="592">
        <f t="shared" si="11"/>
        <v>57928221.82</v>
      </c>
      <c r="BG288" s="592">
        <f t="shared" si="11"/>
        <v>120257635.19000001</v>
      </c>
      <c r="BH288" s="592">
        <f t="shared" si="11"/>
        <v>963048062.91000009</v>
      </c>
      <c r="BI288" s="592">
        <f t="shared" si="11"/>
        <v>4762462.1099999994</v>
      </c>
      <c r="BJ288" s="592">
        <f t="shared" si="11"/>
        <v>2042469.27</v>
      </c>
      <c r="BK288" s="592">
        <f t="shared" si="11"/>
        <v>347754323.13999999</v>
      </c>
      <c r="BL288" s="592">
        <f t="shared" si="11"/>
        <v>540163046.07999992</v>
      </c>
      <c r="BM288" s="592">
        <f t="shared" si="11"/>
        <v>203578566.78</v>
      </c>
      <c r="BN288" s="592">
        <f t="shared" si="11"/>
        <v>2198922.08</v>
      </c>
      <c r="BO288" s="592">
        <f t="shared" si="11"/>
        <v>34123965.269999996</v>
      </c>
      <c r="BP288" s="592">
        <f t="shared" si="11"/>
        <v>0</v>
      </c>
      <c r="BQ288" s="592">
        <f t="shared" si="11"/>
        <v>125267014.62</v>
      </c>
      <c r="BR288" s="592">
        <f t="shared" ref="BR288:CQ288" si="12">BR286-BR287</f>
        <v>19664172</v>
      </c>
      <c r="BS288" s="592">
        <f t="shared" si="12"/>
        <v>20271669.75</v>
      </c>
      <c r="BT288" s="592">
        <f t="shared" si="12"/>
        <v>95325201.129999995</v>
      </c>
      <c r="BU288" s="592">
        <f t="shared" si="12"/>
        <v>49776818.890000001</v>
      </c>
      <c r="BV288" s="592">
        <f t="shared" si="12"/>
        <v>24808846.690000001</v>
      </c>
      <c r="BW288" s="592">
        <f t="shared" si="12"/>
        <v>61343004.710000001</v>
      </c>
      <c r="BX288" s="592">
        <f t="shared" si="12"/>
        <v>205962467.59999999</v>
      </c>
      <c r="BY288" s="592">
        <f t="shared" si="12"/>
        <v>8008163.9699999997</v>
      </c>
      <c r="BZ288" s="592">
        <f t="shared" si="12"/>
        <v>0</v>
      </c>
      <c r="CA288" s="592">
        <f t="shared" si="12"/>
        <v>258272977.19999999</v>
      </c>
      <c r="CB288" s="592">
        <f t="shared" si="12"/>
        <v>3134658012.2800002</v>
      </c>
      <c r="CC288" s="592">
        <f t="shared" si="12"/>
        <v>3135763408.4400001</v>
      </c>
      <c r="CD288" s="592">
        <f t="shared" si="12"/>
        <v>39158308.789999999</v>
      </c>
      <c r="CE288" s="592">
        <f t="shared" si="12"/>
        <v>162567070.91</v>
      </c>
      <c r="CF288" s="592">
        <f t="shared" si="12"/>
        <v>0</v>
      </c>
      <c r="CG288" s="592">
        <f t="shared" si="12"/>
        <v>86329778.910000011</v>
      </c>
      <c r="CH288" s="592">
        <f t="shared" si="12"/>
        <v>10744401777.509998</v>
      </c>
      <c r="CI288" s="592">
        <f t="shared" si="12"/>
        <v>416357218.57999992</v>
      </c>
      <c r="CJ288" s="592">
        <f t="shared" si="12"/>
        <v>42844539.609999999</v>
      </c>
      <c r="CK288" s="592">
        <f t="shared" si="12"/>
        <v>48253608.350000001</v>
      </c>
      <c r="CL288" s="592">
        <f t="shared" si="12"/>
        <v>25691035.100000001</v>
      </c>
      <c r="CM288" s="592">
        <f t="shared" si="12"/>
        <v>276095313.38999999</v>
      </c>
      <c r="CN288" s="592">
        <f t="shared" si="12"/>
        <v>142990390.31</v>
      </c>
      <c r="CO288" s="592">
        <f t="shared" si="12"/>
        <v>92763463.200000003</v>
      </c>
      <c r="CP288" s="592">
        <f t="shared" si="12"/>
        <v>26009429.149999999</v>
      </c>
      <c r="CQ288" s="592">
        <f t="shared" si="12"/>
        <v>212569608.09</v>
      </c>
    </row>
    <row r="289" spans="1:95" x14ac:dyDescent="0.25">
      <c r="A289" s="558"/>
      <c r="B289" s="558"/>
      <c r="C289" s="558"/>
      <c r="D289" s="558"/>
      <c r="E289" s="558"/>
      <c r="F289" s="558"/>
      <c r="G289" s="558"/>
      <c r="H289" s="558"/>
      <c r="I289" s="558"/>
      <c r="J289" s="558"/>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7"/>
      <c r="AL289" s="567"/>
      <c r="AM289" s="567"/>
      <c r="AN289" s="567"/>
      <c r="AO289" s="567"/>
      <c r="AP289" s="567"/>
      <c r="AQ289" s="567"/>
      <c r="AR289" s="567"/>
      <c r="AS289" s="567"/>
      <c r="AT289" s="567"/>
      <c r="AU289" s="567"/>
      <c r="AV289" s="567"/>
      <c r="AW289" s="567"/>
      <c r="AX289" s="567"/>
      <c r="AY289" s="567"/>
      <c r="AZ289" s="567"/>
      <c r="BA289" s="567"/>
      <c r="BB289" s="567"/>
      <c r="BC289" s="567"/>
      <c r="BD289" s="567"/>
      <c r="BE289" s="567"/>
      <c r="BF289" s="567"/>
      <c r="BG289" s="567"/>
      <c r="BH289" s="567"/>
      <c r="BI289" s="567"/>
      <c r="BJ289" s="567"/>
      <c r="BK289" s="567"/>
      <c r="BL289" s="567"/>
      <c r="BM289" s="567"/>
      <c r="BN289" s="567"/>
      <c r="BO289" s="567"/>
      <c r="BP289" s="567"/>
      <c r="BQ289" s="567"/>
      <c r="BR289" s="567"/>
      <c r="BS289" s="567"/>
      <c r="BT289" s="567"/>
      <c r="BU289" s="558"/>
      <c r="BV289" s="558"/>
      <c r="BW289" s="558"/>
      <c r="BX289" s="558"/>
      <c r="BY289" s="558"/>
      <c r="BZ289" s="558"/>
      <c r="CA289" s="558"/>
      <c r="CB289" s="558"/>
      <c r="CC289" s="558"/>
      <c r="CD289" s="558"/>
      <c r="CE289" s="558"/>
      <c r="CF289" s="558"/>
      <c r="CG289" s="558"/>
      <c r="CH289" s="558"/>
      <c r="CI289" s="558"/>
      <c r="CJ289" s="558"/>
      <c r="CK289" s="558"/>
      <c r="CL289" s="558"/>
      <c r="CM289" s="558"/>
      <c r="CN289" s="558"/>
      <c r="CO289" s="558"/>
      <c r="CP289" s="558"/>
    </row>
    <row r="290" spans="1:95" x14ac:dyDescent="0.25">
      <c r="A290" s="558"/>
      <c r="B290" s="558"/>
      <c r="C290" s="558"/>
      <c r="D290" s="558"/>
      <c r="E290" s="673">
        <f>E226</f>
        <v>0</v>
      </c>
      <c r="F290" s="673">
        <f t="shared" ref="F290:BQ290" si="13">F226</f>
        <v>0</v>
      </c>
      <c r="G290" s="673">
        <f t="shared" si="13"/>
        <v>0</v>
      </c>
      <c r="H290" s="673">
        <f t="shared" si="13"/>
        <v>90542</v>
      </c>
      <c r="I290" s="673">
        <f t="shared" si="13"/>
        <v>0</v>
      </c>
      <c r="J290" s="673">
        <f t="shared" si="13"/>
        <v>0</v>
      </c>
      <c r="K290" s="673">
        <f t="shared" si="13"/>
        <v>0</v>
      </c>
      <c r="L290" s="673">
        <f t="shared" si="13"/>
        <v>0</v>
      </c>
      <c r="M290" s="673">
        <f t="shared" si="13"/>
        <v>0</v>
      </c>
      <c r="N290" s="673">
        <f t="shared" si="13"/>
        <v>0</v>
      </c>
      <c r="O290" s="673">
        <f t="shared" si="13"/>
        <v>0</v>
      </c>
      <c r="P290" s="673">
        <f t="shared" si="13"/>
        <v>0</v>
      </c>
      <c r="Q290" s="673">
        <f t="shared" si="13"/>
        <v>0</v>
      </c>
      <c r="R290" s="673">
        <f t="shared" si="13"/>
        <v>0</v>
      </c>
      <c r="S290" s="673">
        <f t="shared" si="13"/>
        <v>0</v>
      </c>
      <c r="T290" s="673">
        <f t="shared" si="13"/>
        <v>0</v>
      </c>
      <c r="U290" s="673">
        <f t="shared" si="13"/>
        <v>0</v>
      </c>
      <c r="V290" s="673">
        <f t="shared" si="13"/>
        <v>0</v>
      </c>
      <c r="W290" s="673">
        <f t="shared" si="13"/>
        <v>0</v>
      </c>
      <c r="X290" s="673">
        <f t="shared" si="13"/>
        <v>0</v>
      </c>
      <c r="Y290" s="673">
        <f t="shared" si="13"/>
        <v>0</v>
      </c>
      <c r="Z290" s="673">
        <f t="shared" si="13"/>
        <v>0</v>
      </c>
      <c r="AA290" s="673">
        <f t="shared" si="13"/>
        <v>0</v>
      </c>
      <c r="AB290" s="673">
        <f t="shared" si="13"/>
        <v>0</v>
      </c>
      <c r="AC290" s="673">
        <f t="shared" si="13"/>
        <v>0</v>
      </c>
      <c r="AD290" s="673">
        <f t="shared" si="13"/>
        <v>0</v>
      </c>
      <c r="AE290" s="673">
        <f t="shared" si="13"/>
        <v>0</v>
      </c>
      <c r="AF290" s="673">
        <f t="shared" si="13"/>
        <v>0</v>
      </c>
      <c r="AG290" s="673">
        <f t="shared" si="13"/>
        <v>0</v>
      </c>
      <c r="AH290" s="673">
        <f t="shared" si="13"/>
        <v>0</v>
      </c>
      <c r="AI290" s="673">
        <f t="shared" si="13"/>
        <v>0</v>
      </c>
      <c r="AJ290" s="673">
        <f t="shared" si="13"/>
        <v>0</v>
      </c>
      <c r="AK290" s="673">
        <f t="shared" si="13"/>
        <v>0</v>
      </c>
      <c r="AL290" s="673">
        <f t="shared" si="13"/>
        <v>0</v>
      </c>
      <c r="AM290" s="673">
        <f t="shared" si="13"/>
        <v>0</v>
      </c>
      <c r="AN290" s="673">
        <f t="shared" si="13"/>
        <v>0</v>
      </c>
      <c r="AO290" s="673">
        <f t="shared" si="13"/>
        <v>0</v>
      </c>
      <c r="AP290" s="673">
        <f t="shared" si="13"/>
        <v>0</v>
      </c>
      <c r="AQ290" s="673">
        <f t="shared" si="13"/>
        <v>0</v>
      </c>
      <c r="AR290" s="673">
        <f t="shared" si="13"/>
        <v>0</v>
      </c>
      <c r="AS290" s="673">
        <f t="shared" si="13"/>
        <v>0</v>
      </c>
      <c r="AT290" s="673">
        <f t="shared" si="13"/>
        <v>0</v>
      </c>
      <c r="AU290" s="673">
        <f t="shared" si="13"/>
        <v>0</v>
      </c>
      <c r="AV290" s="673">
        <f t="shared" si="13"/>
        <v>0</v>
      </c>
      <c r="AW290" s="673">
        <f t="shared" si="13"/>
        <v>0</v>
      </c>
      <c r="AX290" s="673">
        <f t="shared" si="13"/>
        <v>0</v>
      </c>
      <c r="AY290" s="673">
        <f t="shared" si="13"/>
        <v>0</v>
      </c>
      <c r="AZ290" s="673">
        <f t="shared" si="13"/>
        <v>5000</v>
      </c>
      <c r="BA290" s="673">
        <f t="shared" si="13"/>
        <v>0</v>
      </c>
      <c r="BB290" s="673">
        <f t="shared" si="13"/>
        <v>0</v>
      </c>
      <c r="BC290" s="673">
        <f t="shared" si="13"/>
        <v>0</v>
      </c>
      <c r="BD290" s="673">
        <f t="shared" si="13"/>
        <v>0</v>
      </c>
      <c r="BE290" s="673">
        <f t="shared" si="13"/>
        <v>3245</v>
      </c>
      <c r="BF290" s="673">
        <f t="shared" si="13"/>
        <v>0</v>
      </c>
      <c r="BG290" s="673">
        <f t="shared" si="13"/>
        <v>0</v>
      </c>
      <c r="BH290" s="673">
        <f t="shared" si="13"/>
        <v>0</v>
      </c>
      <c r="BI290" s="673">
        <f t="shared" si="13"/>
        <v>0</v>
      </c>
      <c r="BJ290" s="673">
        <f t="shared" si="13"/>
        <v>0</v>
      </c>
      <c r="BK290" s="673">
        <f t="shared" si="13"/>
        <v>0</v>
      </c>
      <c r="BL290" s="673">
        <f t="shared" si="13"/>
        <v>228577</v>
      </c>
      <c r="BM290" s="673">
        <f t="shared" si="13"/>
        <v>0</v>
      </c>
      <c r="BN290" s="673">
        <f t="shared" si="13"/>
        <v>0</v>
      </c>
      <c r="BO290" s="673">
        <f t="shared" si="13"/>
        <v>0</v>
      </c>
      <c r="BP290" s="673">
        <f t="shared" si="13"/>
        <v>0</v>
      </c>
      <c r="BQ290" s="673">
        <f t="shared" si="13"/>
        <v>0</v>
      </c>
      <c r="BR290" s="673">
        <f t="shared" ref="BR290:CQ290" si="14">BR226</f>
        <v>0</v>
      </c>
      <c r="BS290" s="673">
        <f t="shared" si="14"/>
        <v>0</v>
      </c>
      <c r="BT290" s="673">
        <f t="shared" si="14"/>
        <v>0</v>
      </c>
      <c r="BU290" s="673">
        <f t="shared" si="14"/>
        <v>0</v>
      </c>
      <c r="BV290" s="673">
        <f t="shared" si="14"/>
        <v>0</v>
      </c>
      <c r="BW290" s="673">
        <f t="shared" si="14"/>
        <v>0</v>
      </c>
      <c r="BX290" s="673">
        <f t="shared" si="14"/>
        <v>1007</v>
      </c>
      <c r="BY290" s="673">
        <f t="shared" si="14"/>
        <v>0</v>
      </c>
      <c r="BZ290" s="673">
        <f t="shared" si="14"/>
        <v>0</v>
      </c>
      <c r="CA290" s="673">
        <f t="shared" si="14"/>
        <v>22614</v>
      </c>
      <c r="CB290" s="673">
        <f t="shared" si="14"/>
        <v>0</v>
      </c>
      <c r="CC290" s="673">
        <f t="shared" si="14"/>
        <v>0</v>
      </c>
      <c r="CD290" s="673">
        <f t="shared" si="14"/>
        <v>0</v>
      </c>
      <c r="CE290" s="673">
        <f t="shared" si="14"/>
        <v>0</v>
      </c>
      <c r="CF290" s="673">
        <f t="shared" si="14"/>
        <v>0</v>
      </c>
      <c r="CG290" s="673">
        <f t="shared" si="14"/>
        <v>0</v>
      </c>
      <c r="CH290" s="673">
        <f t="shared" si="14"/>
        <v>0</v>
      </c>
      <c r="CI290" s="673">
        <f t="shared" si="14"/>
        <v>3985406</v>
      </c>
      <c r="CJ290" s="673">
        <f t="shared" si="14"/>
        <v>0</v>
      </c>
      <c r="CK290" s="673">
        <f t="shared" si="14"/>
        <v>0</v>
      </c>
      <c r="CL290" s="673">
        <f t="shared" si="14"/>
        <v>0</v>
      </c>
      <c r="CM290" s="673">
        <f t="shared" si="14"/>
        <v>0</v>
      </c>
      <c r="CN290" s="673">
        <f t="shared" si="14"/>
        <v>0</v>
      </c>
      <c r="CO290" s="673">
        <f t="shared" si="14"/>
        <v>0</v>
      </c>
      <c r="CP290" s="673">
        <f t="shared" si="14"/>
        <v>0</v>
      </c>
      <c r="CQ290" s="673">
        <f t="shared" si="14"/>
        <v>0</v>
      </c>
    </row>
    <row r="291" spans="1:95" x14ac:dyDescent="0.25">
      <c r="A291" s="558"/>
      <c r="B291" s="558"/>
      <c r="C291" s="558"/>
      <c r="D291" s="558"/>
      <c r="E291" s="558">
        <v>0</v>
      </c>
      <c r="F291" s="558">
        <v>0</v>
      </c>
      <c r="G291" s="558">
        <v>0</v>
      </c>
      <c r="H291" s="558">
        <v>90542</v>
      </c>
      <c r="I291" s="558">
        <v>0</v>
      </c>
      <c r="J291" s="558">
        <v>0</v>
      </c>
      <c r="K291" s="558">
        <v>0</v>
      </c>
      <c r="L291" s="558">
        <v>0</v>
      </c>
      <c r="M291" s="558">
        <v>0</v>
      </c>
      <c r="N291" s="558">
        <v>0</v>
      </c>
      <c r="O291" s="558">
        <v>0</v>
      </c>
      <c r="P291" s="558">
        <v>0</v>
      </c>
      <c r="Q291" s="558">
        <v>0</v>
      </c>
      <c r="R291" s="558">
        <v>0</v>
      </c>
      <c r="S291" s="558">
        <v>0</v>
      </c>
      <c r="T291" s="558">
        <v>0</v>
      </c>
      <c r="U291" s="558">
        <v>0</v>
      </c>
      <c r="V291" s="558">
        <v>0</v>
      </c>
      <c r="W291" s="558">
        <v>0</v>
      </c>
      <c r="X291" s="558">
        <v>0</v>
      </c>
      <c r="Y291" s="558">
        <v>0</v>
      </c>
      <c r="Z291" s="558">
        <v>0</v>
      </c>
      <c r="AA291" s="558">
        <v>0</v>
      </c>
      <c r="AB291" s="558">
        <v>0</v>
      </c>
      <c r="AC291" s="558">
        <v>0</v>
      </c>
      <c r="AD291" s="558">
        <v>0</v>
      </c>
      <c r="AE291" s="558">
        <v>0</v>
      </c>
      <c r="AF291" s="558">
        <v>0</v>
      </c>
      <c r="AG291" s="558">
        <v>0</v>
      </c>
      <c r="AH291" s="558">
        <v>0</v>
      </c>
      <c r="AI291" s="558">
        <v>0</v>
      </c>
      <c r="AJ291" s="558">
        <v>0</v>
      </c>
      <c r="AK291" s="558">
        <v>0</v>
      </c>
      <c r="AL291" s="558">
        <v>0</v>
      </c>
      <c r="AM291" s="558">
        <v>0</v>
      </c>
      <c r="AN291" s="558">
        <v>0</v>
      </c>
      <c r="AO291" s="558">
        <v>0</v>
      </c>
      <c r="AP291" s="558">
        <v>0</v>
      </c>
      <c r="AQ291" s="558">
        <v>0</v>
      </c>
      <c r="AR291" s="558">
        <v>0</v>
      </c>
      <c r="AS291" s="558">
        <v>0</v>
      </c>
      <c r="AT291" s="558">
        <v>0</v>
      </c>
      <c r="AU291" s="558">
        <v>0</v>
      </c>
      <c r="AV291" s="558">
        <v>0</v>
      </c>
      <c r="AW291" s="558">
        <v>0</v>
      </c>
      <c r="AX291" s="558">
        <v>0</v>
      </c>
      <c r="AY291" s="558">
        <v>0</v>
      </c>
      <c r="AZ291" s="558">
        <v>5000</v>
      </c>
      <c r="BA291" s="558">
        <v>0</v>
      </c>
      <c r="BB291" s="558">
        <v>0</v>
      </c>
      <c r="BC291" s="558">
        <v>0</v>
      </c>
      <c r="BD291" s="558">
        <v>0</v>
      </c>
      <c r="BE291" s="558">
        <v>3245</v>
      </c>
      <c r="BF291" s="558">
        <v>0</v>
      </c>
      <c r="BG291" s="558">
        <v>0</v>
      </c>
      <c r="BH291" s="558">
        <v>0</v>
      </c>
      <c r="BI291" s="558">
        <v>0</v>
      </c>
      <c r="BJ291" s="558">
        <v>0</v>
      </c>
      <c r="BK291" s="558">
        <v>0</v>
      </c>
      <c r="BL291" s="558">
        <v>228577</v>
      </c>
      <c r="BM291" s="558">
        <v>0</v>
      </c>
      <c r="BN291" s="558">
        <v>0</v>
      </c>
      <c r="BO291" s="558">
        <v>0</v>
      </c>
      <c r="BP291" s="558">
        <v>0</v>
      </c>
      <c r="BQ291" s="558">
        <v>0</v>
      </c>
      <c r="BR291" s="558">
        <v>0</v>
      </c>
      <c r="BS291" s="558">
        <v>0</v>
      </c>
      <c r="BT291" s="558">
        <v>0</v>
      </c>
      <c r="BU291" s="558">
        <v>0</v>
      </c>
      <c r="BV291" s="558">
        <v>0</v>
      </c>
      <c r="BW291" s="558">
        <v>0</v>
      </c>
      <c r="BX291" s="558">
        <v>1007</v>
      </c>
      <c r="BY291" s="558">
        <v>0</v>
      </c>
      <c r="BZ291" s="558">
        <v>0</v>
      </c>
      <c r="CA291" s="558">
        <v>22614</v>
      </c>
      <c r="CB291" s="558">
        <v>0</v>
      </c>
      <c r="CC291" s="558">
        <v>0</v>
      </c>
      <c r="CD291" s="558">
        <v>0</v>
      </c>
      <c r="CE291" s="558">
        <v>0</v>
      </c>
      <c r="CF291" s="558">
        <v>0</v>
      </c>
      <c r="CG291" s="558">
        <v>0</v>
      </c>
      <c r="CH291" s="558">
        <v>0</v>
      </c>
      <c r="CI291" s="558">
        <v>3985406</v>
      </c>
      <c r="CJ291" s="558">
        <v>0</v>
      </c>
      <c r="CK291" s="558">
        <v>0</v>
      </c>
      <c r="CL291" s="558">
        <v>0</v>
      </c>
      <c r="CM291" s="558">
        <v>0</v>
      </c>
      <c r="CN291" s="558">
        <v>0</v>
      </c>
      <c r="CO291" s="558">
        <v>0</v>
      </c>
      <c r="CP291" s="558">
        <v>0</v>
      </c>
      <c r="CQ291">
        <v>0</v>
      </c>
    </row>
    <row r="292" spans="1:95" x14ac:dyDescent="0.25">
      <c r="E292">
        <v>0</v>
      </c>
      <c r="F292">
        <v>0</v>
      </c>
      <c r="G292">
        <v>0</v>
      </c>
      <c r="H292">
        <v>90542</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5000</v>
      </c>
      <c r="BA292">
        <v>0</v>
      </c>
      <c r="BB292">
        <v>0</v>
      </c>
      <c r="BC292">
        <v>0</v>
      </c>
      <c r="BD292">
        <v>0</v>
      </c>
      <c r="BE292">
        <v>3245</v>
      </c>
      <c r="BF292">
        <v>0</v>
      </c>
      <c r="BG292">
        <v>0</v>
      </c>
      <c r="BH292">
        <v>0</v>
      </c>
      <c r="BI292">
        <v>0</v>
      </c>
      <c r="BJ292">
        <v>0</v>
      </c>
      <c r="BK292">
        <v>0</v>
      </c>
      <c r="BL292">
        <v>228577</v>
      </c>
      <c r="BM292">
        <v>0</v>
      </c>
      <c r="BN292">
        <v>0</v>
      </c>
      <c r="BO292">
        <v>0</v>
      </c>
      <c r="BP292">
        <v>0</v>
      </c>
      <c r="BQ292">
        <v>0</v>
      </c>
      <c r="BR292">
        <v>0</v>
      </c>
      <c r="BS292">
        <v>0</v>
      </c>
      <c r="BT292">
        <v>0</v>
      </c>
      <c r="BU292">
        <v>0</v>
      </c>
      <c r="BV292">
        <v>0</v>
      </c>
      <c r="BW292">
        <v>0</v>
      </c>
      <c r="BX292">
        <v>1007</v>
      </c>
      <c r="BY292">
        <v>0</v>
      </c>
      <c r="BZ292">
        <v>0</v>
      </c>
      <c r="CA292">
        <v>22614</v>
      </c>
      <c r="CB292">
        <v>0</v>
      </c>
      <c r="CC292">
        <v>0</v>
      </c>
      <c r="CD292">
        <v>0</v>
      </c>
      <c r="CE292">
        <v>0</v>
      </c>
      <c r="CF292">
        <v>0</v>
      </c>
      <c r="CG292">
        <v>0</v>
      </c>
      <c r="CH292">
        <v>0</v>
      </c>
      <c r="CI292">
        <v>3985406</v>
      </c>
      <c r="CJ292">
        <v>0</v>
      </c>
      <c r="CK292">
        <v>0</v>
      </c>
      <c r="CL292">
        <v>0</v>
      </c>
      <c r="CM292">
        <v>0</v>
      </c>
      <c r="CN292">
        <v>0</v>
      </c>
      <c r="CO292">
        <v>0</v>
      </c>
      <c r="CP292">
        <v>0</v>
      </c>
      <c r="CQ292">
        <v>0</v>
      </c>
    </row>
    <row r="294" spans="1:95" x14ac:dyDescent="0.25">
      <c r="E294" s="674">
        <f>E288-E290-E291-E292</f>
        <v>5563843.2200000007</v>
      </c>
      <c r="F294" s="674">
        <f t="shared" ref="F294:BQ294" si="15">F288-F290-F291-F292</f>
        <v>186636288.42000002</v>
      </c>
      <c r="G294" s="674">
        <f t="shared" si="15"/>
        <v>36009447.689999998</v>
      </c>
      <c r="H294" s="674">
        <f t="shared" si="15"/>
        <v>132536731.48999999</v>
      </c>
      <c r="I294" s="674">
        <f t="shared" si="15"/>
        <v>98681132.770000011</v>
      </c>
      <c r="J294" s="674">
        <f t="shared" si="15"/>
        <v>28595828.740000002</v>
      </c>
      <c r="K294" s="674">
        <f t="shared" si="15"/>
        <v>1652768130.3099999</v>
      </c>
      <c r="L294" s="674">
        <f t="shared" si="15"/>
        <v>36542363.350000001</v>
      </c>
      <c r="M294" s="674">
        <f t="shared" si="15"/>
        <v>6578891.96</v>
      </c>
      <c r="N294" s="674">
        <f t="shared" si="15"/>
        <v>51353548</v>
      </c>
      <c r="O294" s="674">
        <f t="shared" si="15"/>
        <v>46210283.07</v>
      </c>
      <c r="P294" s="674">
        <f t="shared" si="15"/>
        <v>2649439.6800000002</v>
      </c>
      <c r="Q294" s="674">
        <f t="shared" si="15"/>
        <v>23882333.550000001</v>
      </c>
      <c r="R294" s="674">
        <f t="shared" si="15"/>
        <v>34172682.420000002</v>
      </c>
      <c r="S294" s="674">
        <f t="shared" si="15"/>
        <v>72465853.120000005</v>
      </c>
      <c r="T294" s="674">
        <f t="shared" si="15"/>
        <v>134061379.41</v>
      </c>
      <c r="U294" s="674">
        <f t="shared" si="15"/>
        <v>0</v>
      </c>
      <c r="V294" s="674">
        <f t="shared" si="15"/>
        <v>64295555.950000003</v>
      </c>
      <c r="W294" s="674">
        <f t="shared" si="15"/>
        <v>52089651</v>
      </c>
      <c r="X294" s="674">
        <f t="shared" si="15"/>
        <v>96823737.219999999</v>
      </c>
      <c r="Y294" s="674">
        <f t="shared" si="15"/>
        <v>111042250.65000001</v>
      </c>
      <c r="Z294" s="674">
        <f t="shared" si="15"/>
        <v>1017759.6099999999</v>
      </c>
      <c r="AA294" s="674">
        <f t="shared" si="15"/>
        <v>727965571.07999992</v>
      </c>
      <c r="AB294" s="674">
        <f t="shared" si="15"/>
        <v>114635379.08999999</v>
      </c>
      <c r="AC294" s="674">
        <f t="shared" si="15"/>
        <v>18752793.93</v>
      </c>
      <c r="AD294" s="674">
        <f t="shared" si="15"/>
        <v>19336778.050000001</v>
      </c>
      <c r="AE294" s="674">
        <f t="shared" si="15"/>
        <v>718101986.37999988</v>
      </c>
      <c r="AF294" s="674">
        <f t="shared" si="15"/>
        <v>26031333.259999998</v>
      </c>
      <c r="AG294" s="674">
        <f t="shared" si="15"/>
        <v>108943224.46000001</v>
      </c>
      <c r="AH294" s="674">
        <f t="shared" si="15"/>
        <v>42520356.629999995</v>
      </c>
      <c r="AI294" s="674">
        <f t="shared" si="15"/>
        <v>21033976.91</v>
      </c>
      <c r="AJ294" s="674">
        <f t="shared" si="15"/>
        <v>194722149.68000001</v>
      </c>
      <c r="AK294" s="674">
        <f t="shared" si="15"/>
        <v>137456289.90000001</v>
      </c>
      <c r="AL294" s="674">
        <f t="shared" si="15"/>
        <v>109633221.06999999</v>
      </c>
      <c r="AM294" s="674">
        <f t="shared" si="15"/>
        <v>91605029.810000002</v>
      </c>
      <c r="AN294" s="674">
        <f t="shared" si="15"/>
        <v>3802032.94</v>
      </c>
      <c r="AO294" s="674">
        <f t="shared" si="15"/>
        <v>19565205.259999998</v>
      </c>
      <c r="AP294" s="674">
        <f t="shared" si="15"/>
        <v>240907677.48000002</v>
      </c>
      <c r="AQ294" s="674">
        <f t="shared" si="15"/>
        <v>0</v>
      </c>
      <c r="AR294" s="674">
        <f t="shared" si="15"/>
        <v>5520925.4000000004</v>
      </c>
      <c r="AS294" s="674">
        <f t="shared" si="15"/>
        <v>12488691.460000001</v>
      </c>
      <c r="AT294" s="674">
        <f t="shared" si="15"/>
        <v>11280722.24</v>
      </c>
      <c r="AU294" s="674">
        <f t="shared" si="15"/>
        <v>2198454.62</v>
      </c>
      <c r="AV294" s="674">
        <f t="shared" si="15"/>
        <v>11617453.879999999</v>
      </c>
      <c r="AW294" s="674">
        <f t="shared" si="15"/>
        <v>157169585.27000001</v>
      </c>
      <c r="AX294" s="674">
        <f t="shared" si="15"/>
        <v>31840661.02</v>
      </c>
      <c r="AY294" s="674">
        <f t="shared" si="15"/>
        <v>1397953592.4200001</v>
      </c>
      <c r="AZ294" s="674">
        <f t="shared" si="15"/>
        <v>51651849.460000001</v>
      </c>
      <c r="BA294" s="674">
        <f t="shared" si="15"/>
        <v>194553624.16</v>
      </c>
      <c r="BB294" s="674">
        <f t="shared" si="15"/>
        <v>31107643.129999999</v>
      </c>
      <c r="BC294" s="674">
        <f t="shared" si="15"/>
        <v>49420335.480000004</v>
      </c>
      <c r="BD294" s="674">
        <f t="shared" si="15"/>
        <v>56080548.57</v>
      </c>
      <c r="BE294" s="674">
        <f t="shared" si="15"/>
        <v>14415314.969999999</v>
      </c>
      <c r="BF294" s="674">
        <f t="shared" si="15"/>
        <v>57928221.82</v>
      </c>
      <c r="BG294" s="674">
        <f t="shared" si="15"/>
        <v>120257635.19000001</v>
      </c>
      <c r="BH294" s="674">
        <f t="shared" si="15"/>
        <v>963048062.91000009</v>
      </c>
      <c r="BI294" s="674">
        <f t="shared" si="15"/>
        <v>4762462.1099999994</v>
      </c>
      <c r="BJ294" s="674">
        <f t="shared" si="15"/>
        <v>2042469.27</v>
      </c>
      <c r="BK294" s="674">
        <f t="shared" si="15"/>
        <v>347754323.13999999</v>
      </c>
      <c r="BL294" s="674">
        <f t="shared" si="15"/>
        <v>539477315.07999992</v>
      </c>
      <c r="BM294" s="674">
        <f t="shared" si="15"/>
        <v>203578566.78</v>
      </c>
      <c r="BN294" s="674">
        <f t="shared" si="15"/>
        <v>2198922.08</v>
      </c>
      <c r="BO294" s="674">
        <f t="shared" si="15"/>
        <v>34123965.269999996</v>
      </c>
      <c r="BP294" s="674">
        <f t="shared" si="15"/>
        <v>0</v>
      </c>
      <c r="BQ294" s="674">
        <f t="shared" si="15"/>
        <v>125267014.62</v>
      </c>
      <c r="BR294" s="674">
        <f t="shared" ref="BR294:CQ294" si="16">BR288-BR290-BR291-BR292</f>
        <v>19664172</v>
      </c>
      <c r="BS294" s="674">
        <f t="shared" si="16"/>
        <v>20271669.75</v>
      </c>
      <c r="BT294" s="674">
        <f t="shared" si="16"/>
        <v>95325201.129999995</v>
      </c>
      <c r="BU294" s="674">
        <f t="shared" si="16"/>
        <v>49776818.890000001</v>
      </c>
      <c r="BV294" s="674">
        <f t="shared" si="16"/>
        <v>24808846.690000001</v>
      </c>
      <c r="BW294" s="674">
        <f t="shared" si="16"/>
        <v>61343004.710000001</v>
      </c>
      <c r="BX294" s="674">
        <f t="shared" si="16"/>
        <v>205959446.59999999</v>
      </c>
      <c r="BY294" s="674">
        <f t="shared" si="16"/>
        <v>8008163.9699999997</v>
      </c>
      <c r="BZ294" s="674">
        <f t="shared" si="16"/>
        <v>0</v>
      </c>
      <c r="CA294" s="674">
        <f t="shared" si="16"/>
        <v>258205135.19999999</v>
      </c>
      <c r="CB294" s="674">
        <f t="shared" si="16"/>
        <v>3134658012.2800002</v>
      </c>
      <c r="CC294" s="674">
        <f t="shared" si="16"/>
        <v>3135763408.4400001</v>
      </c>
      <c r="CD294" s="674">
        <f t="shared" si="16"/>
        <v>39158308.789999999</v>
      </c>
      <c r="CE294" s="674">
        <f t="shared" si="16"/>
        <v>162567070.91</v>
      </c>
      <c r="CF294" s="674">
        <f t="shared" si="16"/>
        <v>0</v>
      </c>
      <c r="CG294" s="674">
        <f t="shared" si="16"/>
        <v>86329778.910000011</v>
      </c>
      <c r="CH294" s="674">
        <f t="shared" si="16"/>
        <v>10744401777.509998</v>
      </c>
      <c r="CI294" s="674">
        <f t="shared" si="16"/>
        <v>404401000.57999992</v>
      </c>
      <c r="CJ294" s="674">
        <f t="shared" si="16"/>
        <v>42844539.609999999</v>
      </c>
      <c r="CK294" s="674">
        <f t="shared" si="16"/>
        <v>48253608.350000001</v>
      </c>
      <c r="CL294" s="674">
        <f t="shared" si="16"/>
        <v>25691035.100000001</v>
      </c>
      <c r="CM294" s="674">
        <f t="shared" si="16"/>
        <v>276095313.38999999</v>
      </c>
      <c r="CN294" s="674">
        <f t="shared" si="16"/>
        <v>142990390.31</v>
      </c>
      <c r="CO294" s="674">
        <f t="shared" si="16"/>
        <v>92763463.200000003</v>
      </c>
      <c r="CP294" s="674">
        <f t="shared" si="16"/>
        <v>26009429.149999999</v>
      </c>
      <c r="CQ294" s="674">
        <f t="shared" si="16"/>
        <v>212569608.09</v>
      </c>
    </row>
    <row r="313" spans="1:1" x14ac:dyDescent="0.25">
      <c r="A313" s="567"/>
    </row>
    <row r="314" spans="1:1" x14ac:dyDescent="0.25">
      <c r="A314" s="567"/>
    </row>
    <row r="315" spans="1:1" x14ac:dyDescent="0.25">
      <c r="A315" s="567"/>
    </row>
    <row r="316" spans="1:1" x14ac:dyDescent="0.25">
      <c r="A316" s="567"/>
    </row>
    <row r="317" spans="1:1" x14ac:dyDescent="0.25">
      <c r="A317" s="567"/>
    </row>
    <row r="318" spans="1:1" x14ac:dyDescent="0.25">
      <c r="A318" s="567"/>
    </row>
    <row r="319" spans="1:1" x14ac:dyDescent="0.25">
      <c r="A319" s="567"/>
    </row>
    <row r="320" spans="1:1" x14ac:dyDescent="0.25">
      <c r="A320" s="567"/>
    </row>
    <row r="321" spans="1:1" x14ac:dyDescent="0.25">
      <c r="A321" s="567"/>
    </row>
    <row r="322" spans="1:1" x14ac:dyDescent="0.25">
      <c r="A322" s="567"/>
    </row>
    <row r="323" spans="1:1" x14ac:dyDescent="0.25">
      <c r="A323" s="567"/>
    </row>
    <row r="324" spans="1:1" x14ac:dyDescent="0.25">
      <c r="A324" s="567"/>
    </row>
    <row r="325" spans="1:1" x14ac:dyDescent="0.25">
      <c r="A325" s="567"/>
    </row>
    <row r="326" spans="1:1" x14ac:dyDescent="0.25">
      <c r="A326" s="567"/>
    </row>
    <row r="327" spans="1:1" x14ac:dyDescent="0.25">
      <c r="A327" s="567"/>
    </row>
    <row r="339" spans="1:1" x14ac:dyDescent="0.25">
      <c r="A339" s="577"/>
    </row>
    <row r="340" spans="1:1" x14ac:dyDescent="0.25">
      <c r="A340" s="577"/>
    </row>
  </sheetData>
  <sheetProtection algorithmName="SHA-512" hashValue="K3LF0pCWvS6jzbii4ztKJgUbwFYJ7TWJBT+bb8unYlurQ/EWPW3avUnlHqZXx6vkRGydrw1Tb9KD7oUY5tXRXQ==" saltValue="L2O52FPIxJ/a2LTWhaCZ4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1"/>
  <sheetViews>
    <sheetView workbookViewId="0"/>
  </sheetViews>
  <sheetFormatPr defaultRowHeight="15" x14ac:dyDescent="0.25"/>
  <cols>
    <col min="1" max="1" width="28.5703125" style="1" customWidth="1"/>
    <col min="2" max="9" width="9.140625" style="1"/>
    <col min="10" max="10" width="30.140625" style="1" customWidth="1"/>
    <col min="11" max="16384" width="9.140625" style="1"/>
  </cols>
  <sheetData>
    <row r="1" spans="1:9" ht="15.75" thickBot="1" x14ac:dyDescent="0.3">
      <c r="A1" s="548" t="s">
        <v>551</v>
      </c>
      <c r="B1" s="553">
        <v>50372</v>
      </c>
      <c r="C1" s="546"/>
      <c r="D1" s="543"/>
      <c r="E1" s="543"/>
      <c r="F1" s="547"/>
      <c r="G1" s="545">
        <v>100</v>
      </c>
      <c r="H1" s="547"/>
      <c r="I1" s="545" t="s">
        <v>471</v>
      </c>
    </row>
    <row r="2" spans="1:9" ht="15" customHeight="1" thickBot="1" x14ac:dyDescent="0.3">
      <c r="A2" s="548" t="s">
        <v>552</v>
      </c>
      <c r="B2" s="553">
        <v>50457</v>
      </c>
      <c r="C2" s="546"/>
      <c r="D2" s="544"/>
      <c r="E2" s="543"/>
      <c r="F2" s="547"/>
      <c r="G2" s="545">
        <v>200</v>
      </c>
      <c r="H2" s="547"/>
      <c r="I2" s="545" t="s">
        <v>472</v>
      </c>
    </row>
    <row r="3" spans="1:9" ht="15" customHeight="1" thickBot="1" x14ac:dyDescent="0.3">
      <c r="A3" s="548" t="s">
        <v>553</v>
      </c>
      <c r="B3" s="553">
        <v>50373</v>
      </c>
      <c r="C3" s="546"/>
      <c r="D3" s="544"/>
      <c r="E3" s="543"/>
      <c r="F3" s="547"/>
      <c r="G3" s="545">
        <v>300</v>
      </c>
      <c r="H3" s="547"/>
      <c r="I3" s="545" t="s">
        <v>550</v>
      </c>
    </row>
    <row r="4" spans="1:9" ht="15.75" thickBot="1" x14ac:dyDescent="0.3">
      <c r="A4" s="548" t="s">
        <v>554</v>
      </c>
      <c r="B4" s="553">
        <v>50374</v>
      </c>
      <c r="C4" s="546"/>
      <c r="D4" s="544"/>
      <c r="E4" s="543"/>
      <c r="F4" s="547"/>
      <c r="G4" s="545">
        <v>400</v>
      </c>
      <c r="H4" s="547"/>
      <c r="I4" s="547"/>
    </row>
    <row r="5" spans="1:9" ht="15.75" thickBot="1" x14ac:dyDescent="0.3">
      <c r="A5" s="548" t="s">
        <v>555</v>
      </c>
      <c r="B5" s="553">
        <v>50375</v>
      </c>
      <c r="C5" s="546"/>
      <c r="D5" s="544"/>
      <c r="E5" s="543"/>
      <c r="F5" s="547"/>
      <c r="G5" s="545">
        <v>500</v>
      </c>
      <c r="H5" s="547"/>
      <c r="I5" s="547"/>
    </row>
    <row r="6" spans="1:9" ht="15.75" thickBot="1" x14ac:dyDescent="0.3">
      <c r="A6" s="548" t="s">
        <v>556</v>
      </c>
      <c r="B6" s="553">
        <v>50376</v>
      </c>
      <c r="C6" s="546"/>
      <c r="D6" s="544"/>
      <c r="E6" s="543"/>
      <c r="F6" s="547"/>
      <c r="G6" s="547"/>
      <c r="H6" s="547"/>
      <c r="I6" s="547"/>
    </row>
    <row r="7" spans="1:9" ht="15.75" thickBot="1" x14ac:dyDescent="0.3">
      <c r="A7" s="548" t="s">
        <v>557</v>
      </c>
      <c r="B7" s="553">
        <v>50377</v>
      </c>
      <c r="C7" s="546"/>
      <c r="D7" s="544"/>
      <c r="E7" s="543"/>
      <c r="F7" s="547"/>
      <c r="G7" s="547"/>
      <c r="H7" s="547"/>
      <c r="I7" s="547"/>
    </row>
    <row r="8" spans="1:9" ht="15.75" thickBot="1" x14ac:dyDescent="0.3">
      <c r="A8" s="548" t="s">
        <v>558</v>
      </c>
      <c r="B8" s="553">
        <v>50378</v>
      </c>
      <c r="C8" s="546"/>
      <c r="D8" s="544"/>
      <c r="E8" s="543"/>
      <c r="F8" s="547"/>
      <c r="G8" s="547"/>
      <c r="H8" s="547"/>
      <c r="I8" s="547"/>
    </row>
    <row r="9" spans="1:9" ht="15.75" thickBot="1" x14ac:dyDescent="0.3">
      <c r="A9" s="548" t="s">
        <v>559</v>
      </c>
      <c r="B9" s="553">
        <v>50379</v>
      </c>
      <c r="C9" s="546"/>
      <c r="D9" s="544"/>
      <c r="E9" s="543"/>
      <c r="F9" s="547"/>
      <c r="G9" s="547"/>
      <c r="H9" s="547"/>
      <c r="I9" s="547"/>
    </row>
    <row r="10" spans="1:9" ht="15.75" thickBot="1" x14ac:dyDescent="0.3">
      <c r="A10" s="548" t="s">
        <v>560</v>
      </c>
      <c r="B10" s="553">
        <v>50530</v>
      </c>
      <c r="C10" s="546"/>
      <c r="D10" s="544"/>
      <c r="E10" s="543"/>
      <c r="F10" s="547"/>
      <c r="G10" s="547"/>
      <c r="H10" s="547"/>
      <c r="I10" s="547"/>
    </row>
    <row r="11" spans="1:9" ht="15.75" thickBot="1" x14ac:dyDescent="0.3">
      <c r="A11" s="548" t="s">
        <v>561</v>
      </c>
      <c r="B11" s="553">
        <v>50380</v>
      </c>
      <c r="C11" s="546"/>
      <c r="D11" s="544"/>
      <c r="E11" s="543"/>
      <c r="F11" s="547"/>
      <c r="G11" s="547"/>
      <c r="H11" s="547"/>
      <c r="I11" s="547"/>
    </row>
    <row r="12" spans="1:9" ht="15.75" thickBot="1" x14ac:dyDescent="0.3">
      <c r="A12" s="548" t="s">
        <v>562</v>
      </c>
      <c r="B12" s="553">
        <v>50483</v>
      </c>
      <c r="C12" s="546"/>
      <c r="D12" s="544"/>
      <c r="E12" s="543"/>
      <c r="F12" s="547"/>
      <c r="G12" s="547"/>
      <c r="H12" s="547"/>
      <c r="I12" s="547"/>
    </row>
    <row r="13" spans="1:9" ht="15.75" thickBot="1" x14ac:dyDescent="0.3">
      <c r="A13" s="548" t="s">
        <v>563</v>
      </c>
      <c r="B13" s="553">
        <v>50381</v>
      </c>
      <c r="C13" s="546"/>
      <c r="D13" s="544"/>
      <c r="E13" s="543"/>
      <c r="F13" s="547"/>
      <c r="G13" s="547"/>
      <c r="H13" s="547"/>
      <c r="I13" s="547"/>
    </row>
    <row r="14" spans="1:9" ht="15.75" thickBot="1" x14ac:dyDescent="0.3">
      <c r="A14" s="548" t="s">
        <v>564</v>
      </c>
      <c r="B14" s="553">
        <v>50501</v>
      </c>
      <c r="C14" s="546"/>
      <c r="D14" s="544"/>
      <c r="E14" s="543"/>
      <c r="F14" s="547"/>
      <c r="G14" s="547"/>
      <c r="H14" s="547"/>
      <c r="I14" s="547"/>
    </row>
    <row r="15" spans="1:9" ht="15.75" thickBot="1" x14ac:dyDescent="0.3">
      <c r="A15" s="548" t="s">
        <v>565</v>
      </c>
      <c r="B15" s="553">
        <v>50494</v>
      </c>
      <c r="C15" s="546"/>
      <c r="D15" s="544"/>
      <c r="E15" s="543"/>
      <c r="F15" s="547"/>
      <c r="G15" s="547"/>
      <c r="H15" s="547"/>
      <c r="I15" s="547"/>
    </row>
    <row r="16" spans="1:9" ht="15.75" thickBot="1" x14ac:dyDescent="0.3">
      <c r="A16" s="548" t="s">
        <v>566</v>
      </c>
      <c r="B16" s="553">
        <v>50382</v>
      </c>
      <c r="C16" s="546"/>
      <c r="D16" s="544"/>
      <c r="E16" s="543"/>
      <c r="F16" s="547"/>
      <c r="G16" s="547"/>
      <c r="H16" s="547"/>
      <c r="I16" s="547"/>
    </row>
    <row r="17" spans="1:13" ht="15.75" thickBot="1" x14ac:dyDescent="0.3">
      <c r="A17" s="548" t="s">
        <v>567</v>
      </c>
      <c r="B17" s="553">
        <v>50383</v>
      </c>
      <c r="C17" s="546"/>
      <c r="D17" s="544"/>
      <c r="E17" s="543"/>
      <c r="J17"/>
      <c r="K17"/>
      <c r="L17"/>
      <c r="M17"/>
    </row>
    <row r="18" spans="1:13" ht="15.75" thickBot="1" x14ac:dyDescent="0.3">
      <c r="A18" s="548" t="s">
        <v>568</v>
      </c>
      <c r="B18" s="553">
        <v>50384</v>
      </c>
      <c r="C18" s="546"/>
      <c r="D18" s="544"/>
      <c r="E18" s="543"/>
      <c r="J18"/>
      <c r="K18"/>
      <c r="L18"/>
      <c r="M18"/>
    </row>
    <row r="19" spans="1:13" ht="15.75" thickBot="1" x14ac:dyDescent="0.3">
      <c r="A19" s="548" t="s">
        <v>569</v>
      </c>
      <c r="B19" s="553">
        <v>50557</v>
      </c>
      <c r="C19" s="546"/>
      <c r="D19" s="544"/>
      <c r="E19" s="543"/>
      <c r="J19"/>
      <c r="K19"/>
      <c r="L19"/>
      <c r="M19"/>
    </row>
    <row r="20" spans="1:13" ht="15.75" thickBot="1" x14ac:dyDescent="0.3">
      <c r="A20" s="548" t="s">
        <v>570</v>
      </c>
      <c r="B20" s="553">
        <v>50385</v>
      </c>
      <c r="C20" s="546"/>
      <c r="D20" s="544"/>
      <c r="E20" s="543"/>
      <c r="J20"/>
      <c r="K20"/>
      <c r="L20"/>
      <c r="M20"/>
    </row>
    <row r="21" spans="1:13" ht="15.75" thickBot="1" x14ac:dyDescent="0.3">
      <c r="A21" s="548" t="s">
        <v>571</v>
      </c>
      <c r="B21" s="553">
        <v>50386</v>
      </c>
      <c r="C21" s="546"/>
      <c r="D21" s="544"/>
      <c r="E21" s="543"/>
      <c r="J21"/>
      <c r="K21"/>
      <c r="L21"/>
      <c r="M21"/>
    </row>
    <row r="22" spans="1:13" ht="15.75" thickBot="1" x14ac:dyDescent="0.3">
      <c r="A22" s="548" t="s">
        <v>572</v>
      </c>
      <c r="B22" s="553">
        <v>50388</v>
      </c>
      <c r="C22" s="546"/>
      <c r="D22" s="544"/>
      <c r="E22" s="543"/>
      <c r="J22"/>
      <c r="K22"/>
      <c r="L22"/>
      <c r="M22"/>
    </row>
    <row r="23" spans="1:13" ht="15.75" thickBot="1" x14ac:dyDescent="0.3">
      <c r="A23" s="548" t="s">
        <v>573</v>
      </c>
      <c r="B23" s="553">
        <v>50387</v>
      </c>
      <c r="C23" s="546"/>
      <c r="D23" s="544"/>
      <c r="E23" s="543"/>
    </row>
    <row r="24" spans="1:13" ht="15.75" thickBot="1" x14ac:dyDescent="0.3">
      <c r="A24" s="548" t="s">
        <v>574</v>
      </c>
      <c r="B24" s="553">
        <v>50389</v>
      </c>
      <c r="C24" s="546"/>
      <c r="D24" s="544"/>
      <c r="E24" s="543"/>
    </row>
    <row r="25" spans="1:13" ht="15.75" thickBot="1" x14ac:dyDescent="0.3">
      <c r="A25" s="548" t="s">
        <v>575</v>
      </c>
      <c r="B25" s="553">
        <v>50500</v>
      </c>
      <c r="C25" s="546"/>
      <c r="D25" s="544"/>
      <c r="E25" s="543"/>
    </row>
    <row r="26" spans="1:13" ht="15.75" thickBot="1" x14ac:dyDescent="0.3">
      <c r="A26" s="548" t="s">
        <v>576</v>
      </c>
      <c r="B26" s="553">
        <v>50390</v>
      </c>
      <c r="C26" s="546"/>
      <c r="D26" s="544"/>
      <c r="E26" s="543"/>
    </row>
    <row r="27" spans="1:13" ht="15.75" thickBot="1" x14ac:dyDescent="0.3">
      <c r="A27" s="548" t="s">
        <v>577</v>
      </c>
      <c r="B27" s="553">
        <v>50391</v>
      </c>
      <c r="C27" s="546"/>
      <c r="D27" s="544"/>
      <c r="E27" s="543"/>
    </row>
    <row r="28" spans="1:13" ht="15.75" thickBot="1" x14ac:dyDescent="0.3">
      <c r="A28" s="548" t="s">
        <v>578</v>
      </c>
      <c r="B28" s="553">
        <v>50531</v>
      </c>
      <c r="C28" s="546"/>
      <c r="D28" s="544"/>
      <c r="E28" s="543"/>
    </row>
    <row r="29" spans="1:13" ht="15.75" thickBot="1" x14ac:dyDescent="0.3">
      <c r="A29" s="548" t="s">
        <v>579</v>
      </c>
      <c r="B29" s="553">
        <v>50392</v>
      </c>
      <c r="C29" s="546"/>
      <c r="D29" s="544"/>
      <c r="E29" s="543"/>
    </row>
    <row r="30" spans="1:13" ht="15.75" thickBot="1" x14ac:dyDescent="0.3">
      <c r="A30" s="548" t="s">
        <v>580</v>
      </c>
      <c r="B30" s="553">
        <v>50458</v>
      </c>
      <c r="C30" s="546"/>
      <c r="D30" s="544"/>
      <c r="E30" s="543"/>
    </row>
    <row r="31" spans="1:13" ht="15.75" thickBot="1" x14ac:dyDescent="0.3">
      <c r="A31" s="548" t="s">
        <v>581</v>
      </c>
      <c r="B31" s="553">
        <v>50393</v>
      </c>
      <c r="C31" s="546"/>
      <c r="D31" s="544"/>
      <c r="E31" s="543"/>
    </row>
    <row r="32" spans="1:13" ht="15.75" thickBot="1" x14ac:dyDescent="0.3">
      <c r="A32" s="548" t="s">
        <v>582</v>
      </c>
      <c r="B32" s="553">
        <v>50544</v>
      </c>
      <c r="C32" s="546"/>
      <c r="D32" s="544"/>
      <c r="E32" s="543"/>
    </row>
    <row r="33" spans="1:5" ht="15.75" thickBot="1" x14ac:dyDescent="0.3">
      <c r="A33" s="548" t="s">
        <v>583</v>
      </c>
      <c r="B33" s="553">
        <v>50394</v>
      </c>
      <c r="C33" s="546"/>
      <c r="D33" s="544"/>
      <c r="E33" s="543"/>
    </row>
    <row r="34" spans="1:5" ht="15.75" thickBot="1" x14ac:dyDescent="0.3">
      <c r="A34" s="548" t="s">
        <v>584</v>
      </c>
      <c r="B34" s="553">
        <v>50395</v>
      </c>
      <c r="C34" s="546"/>
      <c r="D34" s="544"/>
      <c r="E34" s="543"/>
    </row>
    <row r="35" spans="1:5" ht="15.75" thickBot="1" x14ac:dyDescent="0.3">
      <c r="A35" s="548" t="s">
        <v>585</v>
      </c>
      <c r="B35" s="553">
        <v>50396</v>
      </c>
      <c r="C35" s="546"/>
      <c r="D35" s="544"/>
      <c r="E35" s="543"/>
    </row>
    <row r="36" spans="1:5" ht="15.75" thickBot="1" x14ac:dyDescent="0.3">
      <c r="A36" s="548" t="s">
        <v>586</v>
      </c>
      <c r="B36" s="553">
        <v>50397</v>
      </c>
      <c r="C36" s="546"/>
      <c r="D36" s="544"/>
      <c r="E36" s="543"/>
    </row>
    <row r="37" spans="1:5" ht="15.75" thickBot="1" x14ac:dyDescent="0.3">
      <c r="A37" s="548" t="s">
        <v>587</v>
      </c>
      <c r="B37" s="553">
        <v>50550</v>
      </c>
      <c r="C37" s="546"/>
      <c r="D37" s="544"/>
      <c r="E37" s="543"/>
    </row>
    <row r="38" spans="1:5" ht="15.75" thickBot="1" x14ac:dyDescent="0.3">
      <c r="A38" s="548" t="s">
        <v>588</v>
      </c>
      <c r="B38" s="553">
        <v>50398</v>
      </c>
      <c r="C38" s="546"/>
      <c r="D38" s="544"/>
      <c r="E38" s="543"/>
    </row>
    <row r="39" spans="1:5" ht="15.75" thickBot="1" x14ac:dyDescent="0.3">
      <c r="A39" s="548" t="s">
        <v>589</v>
      </c>
      <c r="B39" s="553">
        <v>50399</v>
      </c>
      <c r="C39" s="546"/>
      <c r="D39" s="544"/>
      <c r="E39" s="543"/>
    </row>
    <row r="40" spans="1:5" ht="15.75" thickBot="1" x14ac:dyDescent="0.3">
      <c r="A40" s="548" t="s">
        <v>590</v>
      </c>
      <c r="B40" s="553">
        <v>50400</v>
      </c>
      <c r="C40" s="546"/>
      <c r="D40" s="544"/>
      <c r="E40" s="543"/>
    </row>
    <row r="41" spans="1:5" ht="15.75" thickBot="1" x14ac:dyDescent="0.3">
      <c r="A41" s="548" t="s">
        <v>591</v>
      </c>
      <c r="B41" s="553">
        <v>50532</v>
      </c>
      <c r="C41" s="546"/>
      <c r="D41" s="544"/>
      <c r="E41" s="543"/>
    </row>
    <row r="42" spans="1:5" ht="15.75" thickBot="1" x14ac:dyDescent="0.3">
      <c r="A42" s="548" t="s">
        <v>592</v>
      </c>
      <c r="B42" s="553">
        <v>50401</v>
      </c>
      <c r="C42" s="546"/>
      <c r="D42" s="544"/>
      <c r="E42" s="543"/>
    </row>
    <row r="43" spans="1:5" ht="15.75" thickBot="1" x14ac:dyDescent="0.3">
      <c r="A43" s="548" t="s">
        <v>593</v>
      </c>
      <c r="B43" s="553">
        <v>50402</v>
      </c>
      <c r="C43" s="546"/>
      <c r="D43" s="544"/>
      <c r="E43" s="543"/>
    </row>
    <row r="44" spans="1:5" ht="15.75" thickBot="1" x14ac:dyDescent="0.3">
      <c r="A44" s="548" t="s">
        <v>594</v>
      </c>
      <c r="B44" s="553">
        <v>50485</v>
      </c>
      <c r="C44" s="546"/>
      <c r="D44" s="544"/>
      <c r="E44" s="543"/>
    </row>
    <row r="45" spans="1:5" ht="15.75" thickBot="1" x14ac:dyDescent="0.3">
      <c r="A45" s="548" t="s">
        <v>595</v>
      </c>
      <c r="B45" s="553">
        <v>50403</v>
      </c>
      <c r="C45" s="546"/>
      <c r="D45" s="544"/>
      <c r="E45" s="543"/>
    </row>
    <row r="46" spans="1:5" ht="15.75" thickBot="1" x14ac:dyDescent="0.3">
      <c r="A46" s="548" t="s">
        <v>596</v>
      </c>
      <c r="B46" s="553">
        <v>50404</v>
      </c>
      <c r="C46" s="546"/>
      <c r="D46" s="544"/>
      <c r="E46" s="543"/>
    </row>
    <row r="47" spans="1:5" ht="15.75" thickBot="1" x14ac:dyDescent="0.3">
      <c r="A47" s="548" t="s">
        <v>597</v>
      </c>
      <c r="B47" s="553">
        <v>50405</v>
      </c>
      <c r="C47" s="546"/>
      <c r="D47" s="544"/>
      <c r="E47" s="543"/>
    </row>
    <row r="48" spans="1:5" ht="15.75" thickBot="1" x14ac:dyDescent="0.3">
      <c r="A48" s="548" t="s">
        <v>598</v>
      </c>
      <c r="B48" s="553">
        <v>50533</v>
      </c>
      <c r="C48" s="546"/>
      <c r="D48" s="544"/>
      <c r="E48" s="543"/>
    </row>
    <row r="49" spans="1:5" ht="15.75" thickBot="1" x14ac:dyDescent="0.3">
      <c r="A49" s="548" t="s">
        <v>599</v>
      </c>
      <c r="B49" s="553">
        <v>50406</v>
      </c>
      <c r="C49" s="546"/>
      <c r="D49" s="544"/>
      <c r="E49" s="543"/>
    </row>
    <row r="50" spans="1:5" ht="15.75" thickBot="1" x14ac:dyDescent="0.3">
      <c r="A50" s="548" t="s">
        <v>600</v>
      </c>
      <c r="B50" s="553">
        <v>50565</v>
      </c>
      <c r="C50" s="546"/>
      <c r="D50" s="544"/>
      <c r="E50" s="543"/>
    </row>
    <row r="51" spans="1:5" ht="15.75" thickBot="1" x14ac:dyDescent="0.3">
      <c r="A51" s="548" t="s">
        <v>601</v>
      </c>
      <c r="B51" s="553">
        <v>50407</v>
      </c>
      <c r="C51" s="546"/>
      <c r="D51" s="544"/>
      <c r="E51" s="543"/>
    </row>
    <row r="52" spans="1:5" ht="15.75" thickBot="1" x14ac:dyDescent="0.3">
      <c r="A52" s="548" t="s">
        <v>602</v>
      </c>
      <c r="B52" s="553">
        <v>50486</v>
      </c>
      <c r="C52" s="546"/>
      <c r="D52" s="544"/>
      <c r="E52" s="543"/>
    </row>
    <row r="53" spans="1:5" ht="15.75" thickBot="1" x14ac:dyDescent="0.3">
      <c r="A53" s="548" t="s">
        <v>603</v>
      </c>
      <c r="B53" s="553">
        <v>50408</v>
      </c>
      <c r="C53" s="546"/>
      <c r="D53" s="544"/>
      <c r="E53" s="543"/>
    </row>
    <row r="54" spans="1:5" ht="15.75" thickBot="1" x14ac:dyDescent="0.3">
      <c r="A54" s="548" t="s">
        <v>604</v>
      </c>
      <c r="B54" s="553">
        <v>50409</v>
      </c>
      <c r="C54" s="546"/>
      <c r="D54" s="544"/>
      <c r="E54" s="543"/>
    </row>
    <row r="55" spans="1:5" ht="15.75" thickBot="1" x14ac:dyDescent="0.3">
      <c r="A55" s="548" t="s">
        <v>605</v>
      </c>
      <c r="B55" s="553">
        <v>50410</v>
      </c>
      <c r="C55" s="546"/>
      <c r="D55" s="544"/>
      <c r="E55" s="543"/>
    </row>
    <row r="56" spans="1:5" ht="15.75" thickBot="1" x14ac:dyDescent="0.3">
      <c r="A56" s="548" t="s">
        <v>606</v>
      </c>
      <c r="B56" s="553">
        <v>50411</v>
      </c>
      <c r="C56" s="546"/>
      <c r="D56" s="544"/>
      <c r="E56" s="543"/>
    </row>
    <row r="57" spans="1:5" ht="15.75" thickBot="1" x14ac:dyDescent="0.3">
      <c r="A57" s="548" t="s">
        <v>607</v>
      </c>
      <c r="B57" s="553">
        <v>50412</v>
      </c>
      <c r="C57" s="546"/>
      <c r="D57" s="544"/>
      <c r="E57" s="543"/>
    </row>
    <row r="58" spans="1:5" ht="15.75" thickBot="1" x14ac:dyDescent="0.3">
      <c r="A58" s="548" t="s">
        <v>608</v>
      </c>
      <c r="B58" s="553">
        <v>50488</v>
      </c>
      <c r="C58" s="546"/>
      <c r="D58" s="544"/>
      <c r="E58" s="543"/>
    </row>
    <row r="59" spans="1:5" ht="15.75" thickBot="1" x14ac:dyDescent="0.3">
      <c r="A59" s="548" t="s">
        <v>609</v>
      </c>
      <c r="B59" s="553">
        <v>50413</v>
      </c>
      <c r="C59" s="546"/>
      <c r="D59" s="544"/>
      <c r="E59" s="543"/>
    </row>
    <row r="60" spans="1:5" ht="15.75" thickBot="1" x14ac:dyDescent="0.3">
      <c r="A60" s="548" t="s">
        <v>610</v>
      </c>
      <c r="B60" s="553">
        <v>50414</v>
      </c>
      <c r="C60" s="546"/>
      <c r="D60" s="544"/>
      <c r="E60" s="543"/>
    </row>
    <row r="61" spans="1:5" ht="15.75" thickBot="1" x14ac:dyDescent="0.3">
      <c r="A61" s="548" t="s">
        <v>611</v>
      </c>
      <c r="B61" s="553">
        <v>50415</v>
      </c>
      <c r="C61" s="546"/>
      <c r="D61" s="544"/>
      <c r="E61" s="543"/>
    </row>
    <row r="62" spans="1:5" ht="15.75" thickBot="1" x14ac:dyDescent="0.3">
      <c r="A62" s="548" t="s">
        <v>612</v>
      </c>
      <c r="B62" s="553">
        <v>50416</v>
      </c>
      <c r="C62" s="546"/>
      <c r="D62" s="544"/>
      <c r="E62" s="543"/>
    </row>
    <row r="63" spans="1:5" ht="15.75" thickBot="1" x14ac:dyDescent="0.3">
      <c r="A63" s="548" t="s">
        <v>613</v>
      </c>
      <c r="B63" s="553">
        <v>50534</v>
      </c>
      <c r="C63" s="546"/>
      <c r="D63" s="544"/>
      <c r="E63" s="543"/>
    </row>
    <row r="64" spans="1:5" ht="15.75" thickBot="1" x14ac:dyDescent="0.3">
      <c r="A64" s="548" t="s">
        <v>614</v>
      </c>
      <c r="B64" s="553">
        <v>50417</v>
      </c>
      <c r="C64" s="546"/>
      <c r="D64" s="544"/>
      <c r="E64" s="543"/>
    </row>
    <row r="65" spans="1:5" x14ac:dyDescent="0.25">
      <c r="A65" s="549" t="s">
        <v>615</v>
      </c>
      <c r="B65" s="555">
        <v>50418</v>
      </c>
      <c r="C65" s="546"/>
      <c r="D65" s="544"/>
      <c r="E65" s="543"/>
    </row>
    <row r="66" spans="1:5" ht="15.75" thickBot="1" x14ac:dyDescent="0.3">
      <c r="A66" s="548" t="s">
        <v>616</v>
      </c>
      <c r="B66" s="553">
        <v>50546</v>
      </c>
      <c r="C66" s="546"/>
      <c r="D66" s="544"/>
      <c r="E66" s="543"/>
    </row>
    <row r="67" spans="1:5" ht="15.75" thickBot="1" x14ac:dyDescent="0.3">
      <c r="A67" s="548" t="s">
        <v>617</v>
      </c>
      <c r="B67" s="553">
        <v>50552</v>
      </c>
      <c r="C67" s="546"/>
      <c r="D67" s="544"/>
      <c r="E67" s="543"/>
    </row>
    <row r="68" spans="1:5" ht="15.75" thickBot="1" x14ac:dyDescent="0.3">
      <c r="A68" s="548" t="s">
        <v>618</v>
      </c>
      <c r="B68" s="553">
        <v>50419</v>
      </c>
      <c r="C68" s="547"/>
      <c r="D68" s="547"/>
      <c r="E68" s="547"/>
    </row>
    <row r="69" spans="1:5" ht="15.75" thickBot="1" x14ac:dyDescent="0.3">
      <c r="A69" s="550" t="s">
        <v>619</v>
      </c>
      <c r="B69" s="554">
        <v>50441</v>
      </c>
      <c r="C69" s="547"/>
      <c r="D69" s="547"/>
      <c r="E69" s="547"/>
    </row>
    <row r="70" spans="1:5" x14ac:dyDescent="0.25">
      <c r="A70" s="552" t="s">
        <v>620</v>
      </c>
      <c r="B70" s="553">
        <v>50420</v>
      </c>
      <c r="C70" s="547"/>
      <c r="D70" s="547"/>
      <c r="E70" s="547"/>
    </row>
    <row r="71" spans="1:5" x14ac:dyDescent="0.25">
      <c r="A71" s="552" t="s">
        <v>621</v>
      </c>
      <c r="B71" s="553">
        <v>50421</v>
      </c>
      <c r="C71" s="547"/>
      <c r="D71" s="547"/>
      <c r="E71" s="547"/>
    </row>
    <row r="72" spans="1:5" x14ac:dyDescent="0.25">
      <c r="A72" s="551" t="s">
        <v>622</v>
      </c>
      <c r="B72" s="553">
        <v>50422</v>
      </c>
      <c r="C72" s="547"/>
      <c r="D72" s="547"/>
      <c r="E72" s="547"/>
    </row>
    <row r="73" spans="1:5" x14ac:dyDescent="0.25">
      <c r="A73" s="549" t="s">
        <v>623</v>
      </c>
      <c r="B73" s="553">
        <v>50535</v>
      </c>
      <c r="C73" s="547"/>
      <c r="D73" s="547"/>
      <c r="E73" s="547"/>
    </row>
    <row r="74" spans="1:5" x14ac:dyDescent="0.25">
      <c r="A74" s="551" t="s">
        <v>624</v>
      </c>
      <c r="B74" s="553">
        <v>50423</v>
      </c>
      <c r="C74" s="547"/>
      <c r="D74" s="547"/>
      <c r="E74" s="547"/>
    </row>
    <row r="75" spans="1:5" x14ac:dyDescent="0.25">
      <c r="A75" s="551" t="s">
        <v>625</v>
      </c>
      <c r="B75" s="553">
        <v>50424</v>
      </c>
      <c r="C75" s="532"/>
      <c r="D75" s="532"/>
      <c r="E75" s="532"/>
    </row>
    <row r="76" spans="1:5" x14ac:dyDescent="0.25">
      <c r="A76" s="551" t="s">
        <v>626</v>
      </c>
      <c r="B76" s="553">
        <v>50425</v>
      </c>
      <c r="C76" s="532"/>
      <c r="D76" s="532"/>
      <c r="E76" s="532"/>
    </row>
    <row r="77" spans="1:5" x14ac:dyDescent="0.25">
      <c r="A77" s="551" t="s">
        <v>627</v>
      </c>
      <c r="B77" s="553">
        <v>50426</v>
      </c>
      <c r="C77" s="532"/>
      <c r="D77" s="532"/>
      <c r="E77" s="532"/>
    </row>
    <row r="78" spans="1:5" x14ac:dyDescent="0.25">
      <c r="A78" s="549" t="s">
        <v>628</v>
      </c>
      <c r="B78" s="553">
        <v>50537</v>
      </c>
      <c r="C78" s="532"/>
      <c r="D78" s="532"/>
      <c r="E78" s="532"/>
    </row>
    <row r="79" spans="1:5" x14ac:dyDescent="0.25">
      <c r="A79" s="551" t="s">
        <v>629</v>
      </c>
      <c r="B79" s="553">
        <v>50427</v>
      </c>
      <c r="C79" s="532"/>
      <c r="D79" s="532"/>
      <c r="E79" s="532"/>
    </row>
    <row r="80" spans="1:5" customFormat="1" x14ac:dyDescent="0.25">
      <c r="A80" s="551" t="s">
        <v>630</v>
      </c>
      <c r="B80" s="553">
        <v>50428</v>
      </c>
    </row>
    <row r="81" spans="1:2" customFormat="1" x14ac:dyDescent="0.25">
      <c r="A81" s="551" t="s">
        <v>631</v>
      </c>
      <c r="B81" s="553">
        <v>50429</v>
      </c>
    </row>
    <row r="82" spans="1:2" customFormat="1" x14ac:dyDescent="0.25">
      <c r="A82" s="551" t="s">
        <v>632</v>
      </c>
      <c r="B82" s="553">
        <v>50431</v>
      </c>
    </row>
    <row r="83" spans="1:2" customFormat="1" x14ac:dyDescent="0.25">
      <c r="A83" s="551" t="s">
        <v>633</v>
      </c>
      <c r="B83" s="553">
        <v>50430</v>
      </c>
    </row>
    <row r="84" spans="1:2" customFormat="1" x14ac:dyDescent="0.25">
      <c r="A84" s="551" t="s">
        <v>634</v>
      </c>
      <c r="B84" s="553">
        <v>50432</v>
      </c>
    </row>
    <row r="85" spans="1:2" customFormat="1" x14ac:dyDescent="0.25">
      <c r="A85" s="551" t="s">
        <v>635</v>
      </c>
      <c r="B85" s="553">
        <v>50453</v>
      </c>
    </row>
    <row r="86" spans="1:2" customFormat="1" x14ac:dyDescent="0.25">
      <c r="A86" s="551" t="s">
        <v>636</v>
      </c>
      <c r="B86" s="553">
        <v>50433</v>
      </c>
    </row>
    <row r="87" spans="1:2" customFormat="1" x14ac:dyDescent="0.25">
      <c r="A87" s="551" t="s">
        <v>637</v>
      </c>
      <c r="B87" s="553">
        <v>50435</v>
      </c>
    </row>
    <row r="88" spans="1:2" x14ac:dyDescent="0.25">
      <c r="A88" s="551" t="s">
        <v>638</v>
      </c>
      <c r="B88" s="553">
        <v>50436</v>
      </c>
    </row>
    <row r="89" spans="1:2" x14ac:dyDescent="0.25">
      <c r="A89" s="551" t="s">
        <v>639</v>
      </c>
      <c r="B89" s="553">
        <v>50499</v>
      </c>
    </row>
    <row r="90" spans="1:2" x14ac:dyDescent="0.25">
      <c r="A90" s="551" t="s">
        <v>640</v>
      </c>
      <c r="B90" s="553">
        <v>50438</v>
      </c>
    </row>
    <row r="91" spans="1:2" x14ac:dyDescent="0.25">
      <c r="A91" s="551" t="s">
        <v>641</v>
      </c>
      <c r="B91" s="553">
        <v>50439</v>
      </c>
    </row>
  </sheetData>
  <sheetProtection algorithmName="SHA-512" hashValue="gldfLzz+Y9zDVsUgzSx3M0nUFvuWq+d8UoxY8m1+LW+jfS/GLgSLQxQHR17XP88ZQ+KXLXadbug4/hBMj/k+NQ==" saltValue="KnBP7koY4pvAnaSCquaAB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DE6B1DBF4D8840B7EB4ABAA788F1E7" ma:contentTypeVersion="1" ma:contentTypeDescription="Create a new document." ma:contentTypeScope="" ma:versionID="efeaea188b7cb24963ac672785fa5ed1">
  <xsd:schema xmlns:xsd="http://www.w3.org/2001/XMLSchema" xmlns:xs="http://www.w3.org/2001/XMLSchema" xmlns:p="http://schemas.microsoft.com/office/2006/metadata/properties" xmlns:ns2="d4ea4015-5b02-447c-9074-d5807a41497e" targetNamespace="http://schemas.microsoft.com/office/2006/metadata/properties" ma:root="true" ma:fieldsID="26357a8f2741f71438dd457ebc97f38f" ns2:_="">
    <xsd:import namespace="d4ea4015-5b02-447c-9074-d5807a4149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D01CE436-9BC4-42F0-BEAC-C3C436D81050}"/>
</file>

<file path=customXml/itemProps2.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3.xml><?xml version="1.0" encoding="utf-8"?>
<ds:datastoreItem xmlns:ds="http://schemas.openxmlformats.org/officeDocument/2006/customXml" ds:itemID="{1843076E-D01F-4418-A018-8509E507A11D}">
  <ds:schemaRefs>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1A64D8E6-051B-464C-9530-3BFBED0505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vt:lpstr>
      <vt:lpstr>Collection Worksheet</vt:lpstr>
      <vt:lpstr>IMPORT</vt:lpstr>
      <vt:lpstr>RSS</vt:lpstr>
      <vt:lpstr>2018 Data</vt:lpstr>
      <vt:lpstr>Unit Names</vt:lpstr>
      <vt:lpstr>'Collection Worksheet'!Print_Area</vt:lpstr>
      <vt:lpstr>'Collection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2019-07-11T14:39:48Z</cp:lastPrinted>
  <dcterms:created xsi:type="dcterms:W3CDTF">2011-03-11T21:05:05Z</dcterms:created>
  <dcterms:modified xsi:type="dcterms:W3CDTF">2019-08-02T17:53:29Z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Version">
    <vt:i4>20</vt:i4>
  </property>
  <property fmtid="{D5CDD505-2E9C-101B-9397-08002B2CF9AE}" pid="5" name="tabName">
    <vt:lpwstr>2019 Review Year</vt:lpwstr>
  </property>
  <property fmtid="{D5CDD505-2E9C-101B-9397-08002B2CF9AE}" pid="6" name="tabIndex">
    <vt:lpwstr/>
  </property>
  <property fmtid="{D5CDD505-2E9C-101B-9397-08002B2CF9AE}" pid="7" name="workpaperIndex">
    <vt:lpwstr/>
  </property>
  <property fmtid="{D5CDD505-2E9C-101B-9397-08002B2CF9AE}" pid="8" name="ContentTypeId">
    <vt:lpwstr>0x01010074DE6B1DBF4D8840B7EB4ABAA788F1E7</vt:lpwstr>
  </property>
</Properties>
</file>